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814" activeTab="6"/>
  </bookViews>
  <sheets>
    <sheet name="Итог" sheetId="1" r:id="rId1"/>
    <sheet name="S-этап" sheetId="2" r:id="rId2"/>
    <sheet name="Переправа (А)" sheetId="3" r:id="rId3"/>
    <sheet name="Спасение в четверке" sheetId="4" r:id="rId4"/>
    <sheet name="3-ка и Самоспас" sheetId="5" r:id="rId5"/>
    <sheet name="Пальцы,консоль" sheetId="6" r:id="rId6"/>
    <sheet name="Медицина (А)" sheetId="7" r:id="rId7"/>
    <sheet name="Таблица штрафов" sheetId="8" r:id="rId8"/>
    <sheet name="Инструкция" sheetId="9" r:id="rId9"/>
  </sheets>
  <definedNames>
    <definedName name="HTML_CodePage" hidden="1">1251</definedName>
    <definedName name="HTML_Control" localSheetId="4" hidden="1">{"'Лист1'!$A$4:$V$20","'Лист1'!$A$4:$V$20"}</definedName>
    <definedName name="HTML_Control" localSheetId="0" hidden="1">{"'Лист1'!$A$4:$V$20","'Лист1'!$A$4:$V$20"}</definedName>
    <definedName name="HTML_Control" localSheetId="6" hidden="1">{"'Лист1'!$A$4:$V$20","'Лист1'!$A$4:$V$20"}</definedName>
    <definedName name="HTML_Control" localSheetId="5" hidden="1">{"'Лист1'!$A$4:$V$20","'Лист1'!$A$4:$V$20"}</definedName>
    <definedName name="HTML_Control" localSheetId="3" hidden="1">{"'Лист1'!$A$4:$V$20","'Лист1'!$A$4:$V$20"}</definedName>
    <definedName name="HTML_Control" hidden="1">{"'Лист1'!$A$4:$V$20","'Лист1'!$A$4:$V$20"}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"D:\users\Mikeom\My\TAKT\img\2005\Спасы\htm\klassA.htm"</definedName>
    <definedName name="HTML_PathTemplate" hidden="1">"D:\users\Mikeom\My\TAKT\img\2005\Спасы\htm\klassA_xenon.htm"</definedName>
  </definedNames>
  <calcPr fullCalcOnLoad="1"/>
</workbook>
</file>

<file path=xl/comments1.xml><?xml version="1.0" encoding="utf-8"?>
<comments xmlns="http://schemas.openxmlformats.org/spreadsheetml/2006/main">
  <authors>
    <author>Maxim</author>
  </authors>
  <commentList>
    <comment ref="A12" authorId="0">
      <text>
        <r>
          <rPr>
            <b/>
            <sz val="8"/>
            <rFont val="Tahoma"/>
            <family val="0"/>
          </rPr>
          <t>Maxim:</t>
        </r>
        <r>
          <rPr>
            <sz val="8"/>
            <rFont val="Tahoma"/>
            <family val="0"/>
          </rPr>
          <t xml:space="preserve">
Золотых Елена Валерьевна
Абраменко Григорий Геннадьевич
Плескач Тамара Сергеевна
Гусельников Михаил Васильевич
Жидова Дарья алексеевна
Хныкин Пётр Алексеевич
Кокорин Алексей</t>
        </r>
      </text>
    </comment>
    <comment ref="A11" authorId="0">
      <text>
        <r>
          <rPr>
            <b/>
            <sz val="8"/>
            <rFont val="Tahoma"/>
            <family val="0"/>
          </rPr>
          <t>Maxim:</t>
        </r>
        <r>
          <rPr>
            <sz val="8"/>
            <rFont val="Tahoma"/>
            <family val="0"/>
          </rPr>
          <t xml:space="preserve">
Калинин Владимир Владимирович
Иконникова Александра Андреевна
Королёв Александр Вячеславович
Мурсалимова Юлия Зиннуровна
Муравьёв Иван Вячеславович
Хамматов Марат Наильевич</t>
        </r>
      </text>
    </comment>
    <comment ref="A10" authorId="0">
      <text>
        <r>
          <rPr>
            <b/>
            <sz val="8"/>
            <rFont val="Tahoma"/>
            <family val="0"/>
          </rPr>
          <t>Maxim:</t>
        </r>
        <r>
          <rPr>
            <sz val="8"/>
            <rFont val="Tahoma"/>
            <family val="0"/>
          </rPr>
          <t xml:space="preserve">
Бычков Вячеслав Алексеевич
Чемезов Виталий Олегович
Маринин Алексей Владимирович
Фёдоров Денис Николаевич
Глибчук Илья Николаевич
Пантелеева Любовь Сергеевна</t>
        </r>
      </text>
    </comment>
    <comment ref="A9" authorId="0">
      <text>
        <r>
          <rPr>
            <b/>
            <sz val="8"/>
            <rFont val="Tahoma"/>
            <family val="0"/>
          </rPr>
          <t>Maxim:</t>
        </r>
        <r>
          <rPr>
            <sz val="8"/>
            <rFont val="Tahoma"/>
            <family val="0"/>
          </rPr>
          <t xml:space="preserve">
Бычков Сергей Алексеевич
Гулин Дмитрий Игоревич
Мосоровчук Роман Александрович
Пятина Александра Дмитриевна
Басхаева Наталия Николаевна
Филинов Андрей Валерьевич</t>
        </r>
      </text>
    </comment>
    <comment ref="A13" authorId="0">
      <text>
        <r>
          <rPr>
            <b/>
            <sz val="8"/>
            <rFont val="Tahoma"/>
            <family val="0"/>
          </rPr>
          <t>Maxim:</t>
        </r>
        <r>
          <rPr>
            <sz val="8"/>
            <rFont val="Tahoma"/>
            <family val="0"/>
          </rPr>
          <t xml:space="preserve">
Куликов Кирилл Александрович
Молотков Дмитрий Олегович
Мальцев Максим Иванович
Широков Леонид Владимирович
Устюжанцева Вера Сергеевна
Назырова Зарина Абдужалиловна</t>
        </r>
      </text>
    </comment>
  </commentList>
</comments>
</file>

<file path=xl/comments2.xml><?xml version="1.0" encoding="utf-8"?>
<comments xmlns="http://schemas.openxmlformats.org/spreadsheetml/2006/main">
  <authors>
    <author>Alexey</author>
  </authors>
  <commentList>
    <comment ref="D4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</commentList>
</comments>
</file>

<file path=xl/comments3.xml><?xml version="1.0" encoding="utf-8"?>
<comments xmlns="http://schemas.openxmlformats.org/spreadsheetml/2006/main">
  <authors>
    <author>Alexey</author>
  </authors>
  <commentList>
    <comment ref="D3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</commentList>
</comments>
</file>

<file path=xl/comments4.xml><?xml version="1.0" encoding="utf-8"?>
<comments xmlns="http://schemas.openxmlformats.org/spreadsheetml/2006/main">
  <authors>
    <author>Alexey</author>
    <author>Maxim</author>
  </authors>
  <commentList>
    <comment ref="D3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  <comment ref="D14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  <comment ref="C8" authorId="1">
      <text>
        <r>
          <rPr>
            <sz val="8"/>
            <rFont val="Tahoma"/>
            <family val="0"/>
          </rPr>
          <t>второй день соревнований</t>
        </r>
      </text>
    </comment>
    <comment ref="C17" authorId="1">
      <text>
        <r>
          <rPr>
            <sz val="8"/>
            <rFont val="Tahoma"/>
            <family val="0"/>
          </rPr>
          <t>второй день соревнований</t>
        </r>
      </text>
    </comment>
  </commentList>
</comments>
</file>

<file path=xl/comments5.xml><?xml version="1.0" encoding="utf-8"?>
<comments xmlns="http://schemas.openxmlformats.org/spreadsheetml/2006/main">
  <authors>
    <author>Alexey</author>
    <author>Maxim</author>
  </authors>
  <commentList>
    <comment ref="D3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  <comment ref="A21" authorId="1">
      <text>
        <r>
          <rPr>
            <sz val="8"/>
            <rFont val="Tahoma"/>
            <family val="0"/>
          </rPr>
          <t>связка прошла этап вне зачёта</t>
        </r>
      </text>
    </comment>
  </commentList>
</comments>
</file>

<file path=xl/comments6.xml><?xml version="1.0" encoding="utf-8"?>
<comments xmlns="http://schemas.openxmlformats.org/spreadsheetml/2006/main">
  <authors>
    <author>Alexey</author>
  </authors>
  <commentList>
    <comment ref="D3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  <comment ref="W9" authorId="0">
      <text>
        <r>
          <rPr>
            <b/>
            <sz val="8"/>
            <rFont val="Tahoma"/>
            <family val="0"/>
          </rPr>
          <t>38 положительное число, 39 - отрицательное</t>
        </r>
      </text>
    </comment>
  </commentList>
</comments>
</file>

<file path=xl/comments7.xml><?xml version="1.0" encoding="utf-8"?>
<comments xmlns="http://schemas.openxmlformats.org/spreadsheetml/2006/main">
  <authors>
    <author>Alexey</author>
  </authors>
  <commentList>
    <comment ref="D3" authorId="0">
      <text>
        <r>
          <rPr>
            <b/>
            <sz val="8"/>
            <rFont val="Tahoma"/>
            <family val="0"/>
          </rPr>
          <t>Положение ячейки "Ценность этапа" фиксированно D4</t>
        </r>
      </text>
    </comment>
    <comment ref="K6" authorId="0">
      <text>
        <r>
          <rPr>
            <b/>
            <sz val="8"/>
            <rFont val="Tahoma"/>
            <family val="0"/>
          </rPr>
          <t>40 положительное число, 41 - отрицательное</t>
        </r>
      </text>
    </comment>
  </commentList>
</comments>
</file>

<file path=xl/comments8.xml><?xml version="1.0" encoding="utf-8"?>
<comments xmlns="http://schemas.openxmlformats.org/spreadsheetml/2006/main">
  <authors>
    <author>Alexey</author>
  </authors>
  <commentList>
    <comment ref="C45" authorId="0">
      <text>
        <r>
          <rPr>
            <b/>
            <sz val="8"/>
            <rFont val="Tahoma"/>
            <family val="0"/>
          </rPr>
          <t>Вносится отдельно</t>
        </r>
      </text>
    </comment>
    <comment ref="C46" authorId="0">
      <text>
        <r>
          <rPr>
            <b/>
            <sz val="8"/>
            <rFont val="Tahoma"/>
            <family val="0"/>
          </rPr>
          <t>Вносится отдельно</t>
        </r>
      </text>
    </comment>
  </commentList>
</comments>
</file>

<file path=xl/sharedStrings.xml><?xml version="1.0" encoding="utf-8"?>
<sst xmlns="http://schemas.openxmlformats.org/spreadsheetml/2006/main" count="263" uniqueCount="143">
  <si>
    <t>Команды</t>
  </si>
  <si>
    <t>Время</t>
  </si>
  <si>
    <t>Медицина</t>
  </si>
  <si>
    <t>Сумма баллов</t>
  </si>
  <si>
    <t>Место</t>
  </si>
  <si>
    <t>Главный судья соревнований:</t>
  </si>
  <si>
    <t>Команда</t>
  </si>
  <si>
    <t>Очки</t>
  </si>
  <si>
    <t>Оценка участника</t>
  </si>
  <si>
    <t>Этап - "Медицина"</t>
  </si>
  <si>
    <t>Задание</t>
  </si>
  <si>
    <t>Ст. судья этапа:</t>
  </si>
  <si>
    <t>Судьи этапа:</t>
  </si>
  <si>
    <t>Судейский состав</t>
  </si>
  <si>
    <t>Ценность этапа:</t>
  </si>
  <si>
    <t>Таблица штрафов</t>
  </si>
  <si>
    <t>N штрафа</t>
  </si>
  <si>
    <t>Характер нарушения</t>
  </si>
  <si>
    <t>Применение незаявленного снаряжения</t>
  </si>
  <si>
    <t>Невыполнение требований судьи</t>
  </si>
  <si>
    <t>Неподготовленность команды</t>
  </si>
  <si>
    <t>Превышение контрольного времени</t>
  </si>
  <si>
    <t>Невыполнение требований положения</t>
  </si>
  <si>
    <t>Угроза безопасности</t>
  </si>
  <si>
    <t>Потеря основной веревки или каски</t>
  </si>
  <si>
    <t>Неправильная страховка (самостраховка, самозадержание)</t>
  </si>
  <si>
    <t>Деформация носилок, выпадение пострадавшего</t>
  </si>
  <si>
    <t>Превышение нагрузочной способности перил</t>
  </si>
  <si>
    <t>Незакрученная муфта нагрузочного карабина</t>
  </si>
  <si>
    <t>Неправильная работа со схватывающим</t>
  </si>
  <si>
    <t>Неправильно завязанный узел</t>
  </si>
  <si>
    <t>Пропуск пункта промежуточной страховки</t>
  </si>
  <si>
    <t>Намокание участника</t>
  </si>
  <si>
    <t>Пострадавший оказывает помощь участникам.</t>
  </si>
  <si>
    <t>Некорректные отношения в команде</t>
  </si>
  <si>
    <t>Использование судейского снаряжения</t>
  </si>
  <si>
    <t>Работа без верхонок</t>
  </si>
  <si>
    <t>Неподача (неправильная подача) команды</t>
  </si>
  <si>
    <t>Неправильное выполнение технического приема</t>
  </si>
  <si>
    <t>Отсутствие узла на конце рабочей веревки</t>
  </si>
  <si>
    <t>Неправильный спуск (подъем) по веревке</t>
  </si>
  <si>
    <t>Неправильная вязка носилок, кокона</t>
  </si>
  <si>
    <t>Подсказка судьи</t>
  </si>
  <si>
    <t>Потеря равновесия</t>
  </si>
  <si>
    <t>Срыв с самозадержанием</t>
  </si>
  <si>
    <t>Заступ за контрольную линию</t>
  </si>
  <si>
    <t>Потеря снаряжения (кроме веревки и каски)</t>
  </si>
  <si>
    <t>Небрежное отношение со снаряжением</t>
  </si>
  <si>
    <t>Поощрительный бал</t>
  </si>
  <si>
    <t>Ш. Баллы</t>
  </si>
  <si>
    <t>Номера штрафов</t>
  </si>
  <si>
    <t>ОШИБКА</t>
  </si>
  <si>
    <t>Нарушение отсутсвует (техническая строка)</t>
  </si>
  <si>
    <t>Штрафные баллы</t>
  </si>
  <si>
    <t>Стоимость балла, мин.</t>
  </si>
  <si>
    <t>(таблица используется для расчета штрафных баллов)</t>
  </si>
  <si>
    <t>Старт</t>
  </si>
  <si>
    <t>Финиш</t>
  </si>
  <si>
    <t>Этапа</t>
  </si>
  <si>
    <t>Время итог</t>
  </si>
  <si>
    <t>Штраф.</t>
  </si>
  <si>
    <t>Время (мин.)</t>
  </si>
  <si>
    <t>Судейские</t>
  </si>
  <si>
    <t>Инструкция по заполнению.</t>
  </si>
  <si>
    <r>
      <t xml:space="preserve">1. Электронная судейская ведомость предназначена для автоматизации расчета баллов, набранных командами на </t>
    </r>
    <r>
      <rPr>
        <sz val="10"/>
        <rFont val="Arial Cyr"/>
        <family val="0"/>
      </rPr>
      <t>соревнованиях по спасательным работам в горах, проводимых клубом "ТАКТ", для определения победителей и для публикования результатов.</t>
    </r>
  </si>
  <si>
    <t>Вопрос</t>
  </si>
  <si>
    <t>Перевязка</t>
  </si>
  <si>
    <t>очков</t>
  </si>
  <si>
    <t>Очки за этапы</t>
  </si>
  <si>
    <t>Сумма очков</t>
  </si>
  <si>
    <t>2. Ячейки для заполнения отмечены бледно-зеленым цветом:</t>
  </si>
  <si>
    <t>3. На странице "Итог" вносятся названия команд. Эти названия появятся в ведомостях этапов автоматически.</t>
  </si>
  <si>
    <t>4. На странице этапа необходимо внести все константы и коэффициенты. Затем заполняется время старта и список штрафов. Поощрительные баллы вносятся в отдельный столбец. Поощрительные баллы вносятся отрицательным числом, штрафы - положительным.</t>
  </si>
  <si>
    <t>Разработчик: Варламов Алексей Геннадьевич, avarlamov@mail.tomsknet.ru</t>
  </si>
  <si>
    <t>6. В случае измерения "чистого" времени и/или записи штрафов непосредственно в баллах, допускается внесение значений в ячейки таблицы результатов поверх формулы расчета. В случае отсечек времени допускается скорректировать либо время окончания работы, либо внести время работы в ячейку с рассчитанным временем работы поверх формулы.</t>
  </si>
  <si>
    <t xml:space="preserve">7. В таблице у всех команд должно быть Итоговое время отличным от нуля. Незаполненные строки необходимо либо удалить, либо поставить им технический штраф "Снятие" с временем, заведомо превышающем любое время прошедших команд. </t>
  </si>
  <si>
    <t>9. По окончании ввода перейти на страницу Итог и отсортировать команды в порядке убывания набранных очков. Заполнить столбец занятых мест.</t>
  </si>
  <si>
    <t>8. Далее, для наглядности, можно отсортировать команды по убыванию набранных очков. (для этого ВСТАВИТЬ в начало пустую строку, затем ПЕРЕТАЩИТЬ на её место нужную строку). На освободившееся место перетащить следующую строку и  т.д.</t>
  </si>
  <si>
    <t>Не пройден этап (отказ от прохождения и т.п.)</t>
  </si>
  <si>
    <t>Потеря страховки (самостраховки)</t>
  </si>
  <si>
    <t>Неправильные действия сопровождающих, неправильная транспортировка.</t>
  </si>
  <si>
    <t>Пререкания с судьей, неспортивное поведение</t>
  </si>
  <si>
    <t>Переправа</t>
  </si>
  <si>
    <t>Пальцы</t>
  </si>
  <si>
    <t>Консоль</t>
  </si>
  <si>
    <t>Пальцы, консоль</t>
  </si>
  <si>
    <t>Прохождение "пальцев":</t>
  </si>
  <si>
    <t>Прохождение консоли:</t>
  </si>
  <si>
    <t>Этап - "Пальцы, консоль"</t>
  </si>
  <si>
    <t>S-этап</t>
  </si>
  <si>
    <t>4-ка</t>
  </si>
  <si>
    <t>3-ка</t>
  </si>
  <si>
    <t>Балл за этап</t>
  </si>
  <si>
    <t>РТФ</t>
  </si>
  <si>
    <t>КТФ</t>
  </si>
  <si>
    <t>Отделение</t>
  </si>
  <si>
    <t>Срыв участника с повисанием на судейской страховке</t>
  </si>
  <si>
    <t>Не прошедший участник (за каждого) ("S-этап" и "П-перила")</t>
  </si>
  <si>
    <t>Не закрепленный конец перильной веревки на нижней станции</t>
  </si>
  <si>
    <t xml:space="preserve">Не расправленный узел, не знание применения узла (для этапа «Вязка узлов») </t>
  </si>
  <si>
    <t>N39</t>
  </si>
  <si>
    <t>N38</t>
  </si>
  <si>
    <t>Мурзин Сергей</t>
  </si>
  <si>
    <t>Ветка 1</t>
  </si>
  <si>
    <t>Ветка 2</t>
  </si>
  <si>
    <t>Курашко Денис</t>
  </si>
  <si>
    <t>Номера 38,39</t>
  </si>
  <si>
    <t>Этап - "Организация навесной переправы с транспортировкой пострадавшего"</t>
  </si>
  <si>
    <t>Этап - "Организация спасения из ледниковой трещины в связке-четверке"</t>
  </si>
  <si>
    <t>Этап - "Взаимодействие связок" (S-этап)</t>
  </si>
  <si>
    <t>попытка</t>
  </si>
  <si>
    <t>Количество попыток:</t>
  </si>
  <si>
    <t>Правильный ответ:</t>
  </si>
  <si>
    <t>Протест</t>
  </si>
  <si>
    <t>Анк-морпорк</t>
  </si>
  <si>
    <t>Крутые перцы</t>
  </si>
  <si>
    <t>ФСУ</t>
  </si>
  <si>
    <t>Ударники</t>
  </si>
  <si>
    <t>Ежики</t>
  </si>
  <si>
    <t>Рябцунов Никита Сергеевич</t>
  </si>
  <si>
    <t>Майский слёт 2012г.</t>
  </si>
  <si>
    <t xml:space="preserve">результаты соревнований </t>
  </si>
  <si>
    <t>Молотков Дмитрий</t>
  </si>
  <si>
    <t>Уйданов Павел</t>
  </si>
  <si>
    <t>Герульский Александр</t>
  </si>
  <si>
    <t>Ламанов Алексей</t>
  </si>
  <si>
    <t>Алина</t>
  </si>
  <si>
    <t>Славгородская Ольга</t>
  </si>
  <si>
    <t>Славгородский Денис</t>
  </si>
  <si>
    <t>Иконникова Александра</t>
  </si>
  <si>
    <t>Капитонова Елена</t>
  </si>
  <si>
    <t>Обухов Максим</t>
  </si>
  <si>
    <t>Судейский состав 3-ка</t>
  </si>
  <si>
    <t>Судейский состав самоспас</t>
  </si>
  <si>
    <t>Мордовина Татьяна</t>
  </si>
  <si>
    <t>Шаталов Евгений</t>
  </si>
  <si>
    <t>Гусельников Михаил</t>
  </si>
  <si>
    <t>Королев Александр</t>
  </si>
  <si>
    <t>Этап - "Спасение ведущего в группе" и "Экстренная эвакуация зависшего на участке перил"</t>
  </si>
  <si>
    <t>Самоспас</t>
  </si>
  <si>
    <t>Баринов Антон</t>
  </si>
  <si>
    <t>Ермолаева Евгения</t>
  </si>
  <si>
    <t>Коновалов Алексей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</si>
</sst>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0;#0;"/>
    <numFmt numFmtId="171" formatCode="[$-F400]h:mm:ss\ AM/PM"/>
    <numFmt numFmtId="172" formatCode="h:mm;@"/>
    <numFmt numFmtId="173" formatCode="#;#;s\н\я\т\и\е"/>
    <numFmt numFmtId="174" formatCode="#;s\н\я\т\и\е"/>
    <numFmt numFmtId="175" formatCode="#0;#0;\C\н\я\т\и\е"/>
    <numFmt numFmtId="176" formatCode="0.000"/>
    <numFmt numFmtId="177" formatCode="[h]:mm:ss;@"/>
    <numFmt numFmtId="178" formatCode="0.0"/>
    <numFmt numFmtId="179" formatCode="#,##0.0"/>
  </numFmts>
  <fonts count="3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8"/>
      <name val="Tahoma"/>
      <family val="0"/>
    </font>
    <font>
      <b/>
      <sz val="8"/>
      <name val="Arial Cyr"/>
      <family val="0"/>
    </font>
    <font>
      <sz val="10"/>
      <name val="Arial"/>
      <family val="2"/>
    </font>
    <font>
      <b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72" fontId="0" fillId="4" borderId="14" xfId="0" applyNumberFormat="1" applyFont="1" applyFill="1" applyBorder="1" applyAlignment="1">
      <alignment/>
    </xf>
    <xf numFmtId="172" fontId="0" fillId="4" borderId="15" xfId="0" applyNumberFormat="1" applyFont="1" applyFill="1" applyBorder="1" applyAlignment="1">
      <alignment/>
    </xf>
    <xf numFmtId="0" fontId="11" fillId="4" borderId="14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1" fontId="11" fillId="4" borderId="16" xfId="0" applyNumberFormat="1" applyFont="1" applyFill="1" applyBorder="1" applyAlignment="1">
      <alignment horizontal="center"/>
    </xf>
    <xf numFmtId="1" fontId="11" fillId="4" borderId="17" xfId="0" applyNumberFormat="1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center"/>
    </xf>
    <xf numFmtId="1" fontId="11" fillId="4" borderId="15" xfId="0" applyNumberFormat="1" applyFont="1" applyFill="1" applyBorder="1" applyAlignment="1">
      <alignment horizontal="center"/>
    </xf>
    <xf numFmtId="0" fontId="11" fillId="4" borderId="19" xfId="0" applyFont="1" applyFill="1" applyBorder="1" applyAlignment="1">
      <alignment/>
    </xf>
    <xf numFmtId="0" fontId="11" fillId="4" borderId="20" xfId="0" applyFont="1" applyFill="1" applyBorder="1" applyAlignment="1">
      <alignment/>
    </xf>
    <xf numFmtId="0" fontId="11" fillId="4" borderId="20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2" fontId="6" fillId="0" borderId="21" xfId="0" applyNumberFormat="1" applyFont="1" applyBorder="1" applyAlignment="1">
      <alignment horizontal="center"/>
    </xf>
    <xf numFmtId="170" fontId="12" fillId="0" borderId="16" xfId="0" applyNumberFormat="1" applyFont="1" applyFill="1" applyBorder="1" applyAlignment="1">
      <alignment horizontal="center"/>
    </xf>
    <xf numFmtId="170" fontId="12" fillId="0" borderId="22" xfId="0" applyNumberFormat="1" applyFont="1" applyFill="1" applyBorder="1" applyAlignment="1">
      <alignment horizontal="center"/>
    </xf>
    <xf numFmtId="170" fontId="12" fillId="0" borderId="23" xfId="0" applyNumberFormat="1" applyFont="1" applyFill="1" applyBorder="1" applyAlignment="1">
      <alignment horizontal="center"/>
    </xf>
    <xf numFmtId="170" fontId="12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4" borderId="29" xfId="0" applyFont="1" applyFill="1" applyBorder="1" applyAlignment="1">
      <alignment/>
    </xf>
    <xf numFmtId="0" fontId="5" fillId="4" borderId="30" xfId="0" applyFont="1" applyFill="1" applyBorder="1" applyAlignment="1">
      <alignment/>
    </xf>
    <xf numFmtId="2" fontId="0" fillId="0" borderId="31" xfId="0" applyNumberFormat="1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1" fontId="11" fillId="4" borderId="32" xfId="0" applyNumberFormat="1" applyFont="1" applyFill="1" applyBorder="1" applyAlignment="1">
      <alignment horizontal="center"/>
    </xf>
    <xf numFmtId="1" fontId="11" fillId="4" borderId="33" xfId="0" applyNumberFormat="1" applyFont="1" applyFill="1" applyBorder="1" applyAlignment="1">
      <alignment horizontal="center"/>
    </xf>
    <xf numFmtId="170" fontId="12" fillId="0" borderId="3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11" fillId="4" borderId="32" xfId="0" applyFont="1" applyFill="1" applyBorder="1" applyAlignment="1">
      <alignment/>
    </xf>
    <xf numFmtId="0" fontId="11" fillId="4" borderId="33" xfId="0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70" fontId="12" fillId="0" borderId="23" xfId="0" applyNumberFormat="1" applyFont="1" applyBorder="1" applyAlignment="1">
      <alignment horizontal="center"/>
    </xf>
    <xf numFmtId="170" fontId="12" fillId="0" borderId="24" xfId="0" applyNumberFormat="1" applyFont="1" applyBorder="1" applyAlignment="1">
      <alignment horizontal="center"/>
    </xf>
    <xf numFmtId="170" fontId="12" fillId="0" borderId="36" xfId="0" applyNumberFormat="1" applyFont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9" fontId="0" fillId="0" borderId="31" xfId="0" applyNumberFormat="1" applyFont="1" applyBorder="1" applyAlignment="1">
      <alignment/>
    </xf>
    <xf numFmtId="178" fontId="0" fillId="0" borderId="31" xfId="0" applyNumberFormat="1" applyFont="1" applyFill="1" applyBorder="1" applyAlignment="1">
      <alignment horizontal="center" vertical="center"/>
    </xf>
    <xf numFmtId="2" fontId="0" fillId="24" borderId="3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5" fillId="4" borderId="0" xfId="0" applyFont="1" applyFill="1" applyAlignment="1">
      <alignment/>
    </xf>
    <xf numFmtId="2" fontId="6" fillId="0" borderId="3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2" fontId="1" fillId="24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9" fontId="0" fillId="4" borderId="31" xfId="0" applyNumberFormat="1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2" fillId="0" borderId="29" xfId="0" applyFont="1" applyBorder="1" applyAlignment="1">
      <alignment horizontal="center" wrapText="1"/>
    </xf>
    <xf numFmtId="0" fontId="0" fillId="0" borderId="4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7" fillId="4" borderId="10" xfId="0" applyFont="1" applyFill="1" applyBorder="1" applyAlignment="1">
      <alignment/>
    </xf>
    <xf numFmtId="0" fontId="0" fillId="0" borderId="41" xfId="0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14" fillId="4" borderId="10" xfId="0" applyFont="1" applyFill="1" applyBorder="1" applyAlignment="1">
      <alignment/>
    </xf>
    <xf numFmtId="0" fontId="2" fillId="0" borderId="47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8" xfId="0" applyBorder="1" applyAlignment="1">
      <alignment horizontal="left" vertical="top"/>
    </xf>
    <xf numFmtId="0" fontId="2" fillId="0" borderId="48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" fillId="4" borderId="16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6" fillId="4" borderId="18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6" fillId="4" borderId="10" xfId="0" applyFont="1" applyFill="1" applyBorder="1" applyAlignment="1">
      <alignment/>
    </xf>
    <xf numFmtId="0" fontId="6" fillId="0" borderId="57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top"/>
    </xf>
    <xf numFmtId="0" fontId="6" fillId="4" borderId="32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2" fontId="1" fillId="0" borderId="43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7" fillId="4" borderId="39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2" fontId="0" fillId="0" borderId="43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4" xfId="0" applyFont="1" applyBorder="1" applyAlignment="1">
      <alignment/>
    </xf>
    <xf numFmtId="0" fontId="14" fillId="4" borderId="39" xfId="0" applyFont="1" applyFill="1" applyBorder="1" applyAlignment="1">
      <alignment/>
    </xf>
    <xf numFmtId="0" fontId="14" fillId="4" borderId="60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6" fillId="4" borderId="39" xfId="0" applyFont="1" applyFill="1" applyBorder="1" applyAlignment="1">
      <alignment/>
    </xf>
    <xf numFmtId="0" fontId="6" fillId="4" borderId="60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left" vertical="center"/>
    </xf>
    <xf numFmtId="1" fontId="6" fillId="4" borderId="43" xfId="0" applyNumberFormat="1" applyFont="1" applyFill="1" applyBorder="1" applyAlignment="1">
      <alignment horizontal="center"/>
    </xf>
    <xf numFmtId="1" fontId="6" fillId="4" borderId="37" xfId="0" applyNumberFormat="1" applyFont="1" applyFill="1" applyBorder="1" applyAlignment="1">
      <alignment horizontal="center"/>
    </xf>
    <xf numFmtId="2" fontId="6" fillId="0" borderId="4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0" fontId="2" fillId="0" borderId="54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1" fontId="6" fillId="4" borderId="43" xfId="0" applyNumberFormat="1" applyFont="1" applyFill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6:C47" comment="" totalsRowCount="1">
  <autoFilter ref="A6:C47"/>
  <tableColumns count="3">
    <tableColumn id="1" name="N штрафа"/>
    <tableColumn id="2" name="Характер нарушения"/>
    <tableColumn id="3" name="Ш. Баллы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table" Target="../tables/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85" zoomScaleNormal="85" zoomScalePageLayoutView="0" workbookViewId="0" topLeftCell="A1">
      <selection activeCell="L10" sqref="L10"/>
    </sheetView>
  </sheetViews>
  <sheetFormatPr defaultColWidth="9.00390625" defaultRowHeight="12.75"/>
  <cols>
    <col min="1" max="1" width="15.625" style="0" customWidth="1"/>
    <col min="2" max="2" width="11.375" style="0" customWidth="1"/>
    <col min="3" max="3" width="11.625" style="0" customWidth="1"/>
    <col min="4" max="4" width="13.125" style="0" customWidth="1"/>
    <col min="5" max="5" width="13.25390625" style="0" customWidth="1"/>
    <col min="6" max="6" width="11.75390625" style="0" customWidth="1"/>
    <col min="7" max="7" width="9.00390625" style="0" customWidth="1"/>
    <col min="8" max="8" width="11.875" style="0" customWidth="1"/>
    <col min="9" max="9" width="13.00390625" style="0" customWidth="1"/>
  </cols>
  <sheetData>
    <row r="1" spans="1:10" ht="18">
      <c r="A1" s="104" t="s">
        <v>120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">
      <c r="A2" s="104" t="s">
        <v>121</v>
      </c>
      <c r="B2" s="104"/>
      <c r="C2" s="104"/>
      <c r="D2" s="104"/>
      <c r="E2" s="104"/>
      <c r="F2" s="104"/>
      <c r="G2" s="104"/>
      <c r="H2" s="104"/>
      <c r="I2" s="104"/>
      <c r="J2" s="104"/>
    </row>
    <row r="6" ht="13.5" thickBot="1">
      <c r="A6" s="66"/>
    </row>
    <row r="7" spans="1:10" ht="13.5" customHeight="1" thickBot="1">
      <c r="A7" s="111" t="s">
        <v>0</v>
      </c>
      <c r="B7" s="108" t="s">
        <v>95</v>
      </c>
      <c r="C7" s="108" t="s">
        <v>68</v>
      </c>
      <c r="D7" s="109"/>
      <c r="E7" s="109"/>
      <c r="F7" s="109"/>
      <c r="G7" s="109"/>
      <c r="H7" s="110"/>
      <c r="I7" s="105" t="s">
        <v>69</v>
      </c>
      <c r="J7" s="105" t="s">
        <v>4</v>
      </c>
    </row>
    <row r="8" spans="1:10" ht="26.25" thickBot="1">
      <c r="A8" s="111"/>
      <c r="B8" s="111"/>
      <c r="C8" s="73" t="s">
        <v>89</v>
      </c>
      <c r="D8" s="73" t="s">
        <v>82</v>
      </c>
      <c r="E8" s="73" t="s">
        <v>90</v>
      </c>
      <c r="F8" s="73" t="s">
        <v>91</v>
      </c>
      <c r="G8" s="73" t="s">
        <v>85</v>
      </c>
      <c r="H8" s="73" t="s">
        <v>2</v>
      </c>
      <c r="I8" s="106"/>
      <c r="J8" s="106"/>
    </row>
    <row r="9" spans="1:10" s="18" customFormat="1" ht="16.5" thickBot="1">
      <c r="A9" s="96" t="s">
        <v>113</v>
      </c>
      <c r="B9" s="97" t="s">
        <v>93</v>
      </c>
      <c r="C9" s="78">
        <f>'S-этап'!AB20</f>
        <v>0</v>
      </c>
      <c r="D9" s="78">
        <f>'Переправа (А)'!AA19</f>
        <v>30</v>
      </c>
      <c r="E9" s="72">
        <f>'Спасение в четверке'!AB32</f>
        <v>8.913043478260867</v>
      </c>
      <c r="F9" s="72">
        <f>'3-ка и Самоспас'!AB32</f>
        <v>0</v>
      </c>
      <c r="G9" s="72">
        <f>'Пальцы,консоль'!Y12</f>
        <v>4.333333333333333</v>
      </c>
      <c r="H9" s="72">
        <f>'Медицина (А)'!M14</f>
        <v>17</v>
      </c>
      <c r="I9" s="72">
        <f>SUM(C9:H9)</f>
        <v>60.2463768115942</v>
      </c>
      <c r="J9" s="82">
        <v>1</v>
      </c>
    </row>
    <row r="10" spans="1:10" s="18" customFormat="1" ht="16.5" thickBot="1">
      <c r="A10" s="97" t="s">
        <v>114</v>
      </c>
      <c r="B10" s="50" t="s">
        <v>94</v>
      </c>
      <c r="C10" s="72">
        <f>'S-этап'!AB19</f>
        <v>0</v>
      </c>
      <c r="D10" s="72">
        <f>'Переправа (А)'!AA18</f>
        <v>0</v>
      </c>
      <c r="E10" s="78">
        <f>'Спасение в четверке'!AB30</f>
        <v>10</v>
      </c>
      <c r="F10" s="78">
        <f>'3-ка и Самоспас'!AB30</f>
        <v>17.79761904761904</v>
      </c>
      <c r="G10" s="72">
        <f>'Пальцы,консоль'!Y14</f>
        <v>4</v>
      </c>
      <c r="H10" s="78">
        <f>'Медицина (А)'!M12</f>
        <v>18</v>
      </c>
      <c r="I10" s="72">
        <f>SUM(C10:H10)</f>
        <v>49.79761904761904</v>
      </c>
      <c r="J10" s="82">
        <v>2</v>
      </c>
    </row>
    <row r="11" spans="1:10" s="18" customFormat="1" ht="15.75" thickBot="1">
      <c r="A11" s="97" t="s">
        <v>115</v>
      </c>
      <c r="B11" s="97" t="s">
        <v>116</v>
      </c>
      <c r="C11" s="72">
        <f>'S-этап'!AB18</f>
        <v>0</v>
      </c>
      <c r="D11" s="72">
        <f>'Переправа (А)'!AA17</f>
        <v>14.3801652892562</v>
      </c>
      <c r="E11" s="72">
        <f>'Спасение в четверке'!AB28</f>
        <v>0</v>
      </c>
      <c r="F11" s="72">
        <f>'3-ка и Самоспас'!AB28</f>
        <v>0</v>
      </c>
      <c r="G11" s="72">
        <f>'Пальцы,консоль'!Y16</f>
        <v>4.666666666666667</v>
      </c>
      <c r="H11" s="72">
        <f>'Медицина (А)'!M10</f>
        <v>15</v>
      </c>
      <c r="I11" s="72">
        <f>SUM(C11:H11)</f>
        <v>34.04683195592287</v>
      </c>
      <c r="J11" s="83">
        <v>4</v>
      </c>
    </row>
    <row r="12" spans="1:10" s="18" customFormat="1" ht="15.75" thickBot="1">
      <c r="A12" s="97" t="s">
        <v>117</v>
      </c>
      <c r="B12" s="50" t="s">
        <v>93</v>
      </c>
      <c r="C12" s="72">
        <f>'S-этап'!AB17</f>
        <v>0</v>
      </c>
      <c r="D12" s="72">
        <f>'Переправа (А)'!AA16</f>
        <v>0</v>
      </c>
      <c r="E12" s="72">
        <f>'Спасение в четверке'!AB26</f>
        <v>0</v>
      </c>
      <c r="F12" s="72">
        <f>'3-ка и Самоспас'!AB26</f>
        <v>10</v>
      </c>
      <c r="G12" s="78">
        <f>'Пальцы,консоль'!Y18</f>
        <v>6</v>
      </c>
      <c r="H12" s="72">
        <f>'Медицина (А)'!M8</f>
        <v>15</v>
      </c>
      <c r="I12" s="72">
        <f>SUM(C12:H12)</f>
        <v>31</v>
      </c>
      <c r="J12" s="83">
        <v>5</v>
      </c>
    </row>
    <row r="13" spans="1:10" s="18" customFormat="1" ht="16.5" thickBot="1">
      <c r="A13" s="97" t="s">
        <v>118</v>
      </c>
      <c r="B13" s="97" t="s">
        <v>94</v>
      </c>
      <c r="C13" s="72">
        <f>'S-этап'!AB21</f>
        <v>0</v>
      </c>
      <c r="D13" s="72">
        <f>'Переправа (А)'!AA20</f>
        <v>0</v>
      </c>
      <c r="E13" s="78">
        <f>'Спасение в четверке'!AB34</f>
        <v>10</v>
      </c>
      <c r="F13" s="72">
        <f>'3-ка и Самоспас'!AB34</f>
        <v>10</v>
      </c>
      <c r="G13" s="72">
        <f>'Пальцы,консоль'!Y20</f>
        <v>5.666666666666667</v>
      </c>
      <c r="H13" s="72">
        <f>'Медицина (А)'!M16</f>
        <v>17</v>
      </c>
      <c r="I13" s="72">
        <f>SUM(C13:H13)</f>
        <v>42.66666666666667</v>
      </c>
      <c r="J13" s="103">
        <v>3</v>
      </c>
    </row>
    <row r="14" spans="1:10" s="18" customFormat="1" ht="12.75">
      <c r="A14"/>
      <c r="B14"/>
      <c r="C14"/>
      <c r="D14"/>
      <c r="E14" s="84"/>
      <c r="F14" s="67"/>
      <c r="G14" s="67"/>
      <c r="H14" s="68"/>
      <c r="I14"/>
      <c r="J14"/>
    </row>
    <row r="15" spans="5:8" ht="12.75">
      <c r="E15" s="84"/>
      <c r="F15" s="67"/>
      <c r="G15" s="67"/>
      <c r="H15" s="68"/>
    </row>
    <row r="16" spans="5:8" ht="12.75">
      <c r="E16" s="84"/>
      <c r="F16" s="67"/>
      <c r="G16" s="67"/>
      <c r="H16" s="68"/>
    </row>
    <row r="17" spans="5:8" ht="12.75">
      <c r="E17" s="84"/>
      <c r="F17" s="67"/>
      <c r="G17" s="67"/>
      <c r="H17" s="68"/>
    </row>
    <row r="18" spans="5:8" ht="12.75">
      <c r="E18" s="84"/>
      <c r="F18" s="67"/>
      <c r="G18" s="67"/>
      <c r="H18" s="68"/>
    </row>
    <row r="21" spans="1:5" ht="12.75">
      <c r="A21" s="107" t="s">
        <v>5</v>
      </c>
      <c r="B21" s="107"/>
      <c r="C21" s="75" t="s">
        <v>119</v>
      </c>
      <c r="D21" s="19"/>
      <c r="E21" s="19"/>
    </row>
  </sheetData>
  <sheetProtection/>
  <mergeCells count="8">
    <mergeCell ref="A1:J1"/>
    <mergeCell ref="A2:J2"/>
    <mergeCell ref="J7:J8"/>
    <mergeCell ref="A21:B21"/>
    <mergeCell ref="C7:H7"/>
    <mergeCell ref="I7:I8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zoomScale="90" zoomScaleNormal="90" zoomScalePageLayoutView="0" workbookViewId="0" topLeftCell="A1">
      <selection activeCell="A2" sqref="A2:AB2"/>
    </sheetView>
  </sheetViews>
  <sheetFormatPr defaultColWidth="9.00390625" defaultRowHeight="12.75"/>
  <cols>
    <col min="2" max="2" width="10.125" style="0" customWidth="1"/>
    <col min="3" max="3" width="13.25390625" style="0" customWidth="1"/>
    <col min="5" max="12" width="2.75390625" style="0" customWidth="1"/>
    <col min="13" max="13" width="3.625" style="0" customWidth="1"/>
    <col min="14" max="26" width="2.75390625" style="0" customWidth="1"/>
    <col min="27" max="27" width="11.875" style="0" customWidth="1"/>
    <col min="28" max="28" width="9.875" style="0" bestFit="1" customWidth="1"/>
  </cols>
  <sheetData>
    <row r="1" spans="1:32" s="2" customFormat="1" ht="18" customHeight="1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4"/>
      <c r="AD1" s="4"/>
      <c r="AE1" s="4"/>
      <c r="AF1" s="4"/>
    </row>
    <row r="2" spans="1:32" s="2" customFormat="1" ht="18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"/>
      <c r="AD2" s="1"/>
      <c r="AE2" s="1"/>
      <c r="AF2" s="1"/>
    </row>
    <row r="3" spans="1:32" s="2" customFormat="1" ht="18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1"/>
      <c r="AD3" s="1"/>
      <c r="AE3" s="1"/>
      <c r="AF3" s="1"/>
    </row>
    <row r="4" spans="1:4" s="2" customFormat="1" ht="16.5" thickBot="1">
      <c r="A4" s="130" t="s">
        <v>14</v>
      </c>
      <c r="B4" s="130"/>
      <c r="C4" s="130"/>
      <c r="D4" s="34">
        <v>35</v>
      </c>
    </row>
    <row r="5" spans="1:28" s="2" customFormat="1" ht="15.75">
      <c r="A5" s="131" t="s">
        <v>6</v>
      </c>
      <c r="B5" s="132"/>
      <c r="C5" s="142" t="s">
        <v>1</v>
      </c>
      <c r="D5" s="143"/>
      <c r="E5" s="132" t="s">
        <v>50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4" t="s">
        <v>62</v>
      </c>
      <c r="AB5" s="135"/>
    </row>
    <row r="6" spans="1:28" s="2" customFormat="1" ht="16.5" thickBot="1">
      <c r="A6" s="133"/>
      <c r="B6" s="120"/>
      <c r="C6" s="15" t="s">
        <v>56</v>
      </c>
      <c r="D6" s="16" t="s">
        <v>57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55" t="s">
        <v>101</v>
      </c>
      <c r="AB6" s="54" t="s">
        <v>100</v>
      </c>
    </row>
    <row r="7" spans="1:28" s="2" customFormat="1" ht="15" customHeight="1">
      <c r="A7" s="136" t="str">
        <f>Итог!A12</f>
        <v>Ударники</v>
      </c>
      <c r="B7" s="137"/>
      <c r="C7" s="22">
        <v>0.4673611111111111</v>
      </c>
      <c r="D7" s="23">
        <v>0.5506944444444445</v>
      </c>
      <c r="E7" s="24">
        <v>22</v>
      </c>
      <c r="F7" s="25">
        <v>31</v>
      </c>
      <c r="G7" s="25">
        <v>31</v>
      </c>
      <c r="H7" s="25">
        <v>31</v>
      </c>
      <c r="I7" s="25">
        <v>17</v>
      </c>
      <c r="J7" s="25">
        <v>20</v>
      </c>
      <c r="K7" s="25">
        <v>31</v>
      </c>
      <c r="L7" s="25">
        <v>18</v>
      </c>
      <c r="M7" s="25">
        <v>20</v>
      </c>
      <c r="N7" s="25">
        <v>12</v>
      </c>
      <c r="O7" s="25">
        <v>14</v>
      </c>
      <c r="P7" s="25">
        <v>36</v>
      </c>
      <c r="Q7" s="25">
        <v>36</v>
      </c>
      <c r="R7" s="25">
        <v>36</v>
      </c>
      <c r="S7" s="25">
        <v>31</v>
      </c>
      <c r="T7" s="25">
        <v>31</v>
      </c>
      <c r="U7" s="26">
        <v>12</v>
      </c>
      <c r="V7" s="26">
        <v>31</v>
      </c>
      <c r="W7" s="26">
        <v>31</v>
      </c>
      <c r="X7" s="26">
        <v>37</v>
      </c>
      <c r="Y7" s="26">
        <v>12</v>
      </c>
      <c r="Z7" s="26">
        <v>4</v>
      </c>
      <c r="AA7" s="51"/>
      <c r="AB7" s="52"/>
    </row>
    <row r="8" spans="1:28" s="2" customFormat="1" ht="15.75" customHeight="1">
      <c r="A8" s="144" t="str">
        <f>Итог!A11</f>
        <v>Крутые перцы</v>
      </c>
      <c r="B8" s="145"/>
      <c r="C8" s="22">
        <v>0.3986111111111111</v>
      </c>
      <c r="D8" s="23">
        <v>0.48194444444444445</v>
      </c>
      <c r="E8" s="24">
        <v>31</v>
      </c>
      <c r="F8" s="25">
        <v>20</v>
      </c>
      <c r="G8" s="25">
        <v>20</v>
      </c>
      <c r="H8" s="25">
        <v>12</v>
      </c>
      <c r="I8" s="25">
        <v>20</v>
      </c>
      <c r="J8" s="25">
        <v>12</v>
      </c>
      <c r="K8" s="25">
        <v>4</v>
      </c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  <c r="W8" s="26"/>
      <c r="X8" s="26"/>
      <c r="Y8" s="26"/>
      <c r="Z8" s="26"/>
      <c r="AA8" s="29"/>
      <c r="AB8" s="30"/>
    </row>
    <row r="9" spans="1:28" s="2" customFormat="1" ht="15" customHeight="1">
      <c r="A9" s="144" t="str">
        <f>Итог!A10</f>
        <v>Анк-морпорк</v>
      </c>
      <c r="B9" s="145"/>
      <c r="C9" s="22">
        <v>0.6722222222222222</v>
      </c>
      <c r="D9" s="23">
        <v>0.7590277777777777</v>
      </c>
      <c r="E9" s="31">
        <v>29</v>
      </c>
      <c r="F9" s="32">
        <v>20</v>
      </c>
      <c r="G9" s="32">
        <v>16</v>
      </c>
      <c r="H9" s="32">
        <v>18</v>
      </c>
      <c r="I9" s="32">
        <v>37</v>
      </c>
      <c r="J9" s="32">
        <v>37</v>
      </c>
      <c r="K9" s="32">
        <v>22</v>
      </c>
      <c r="L9" s="32">
        <v>36</v>
      </c>
      <c r="M9" s="32">
        <v>36</v>
      </c>
      <c r="N9" s="32">
        <v>8</v>
      </c>
      <c r="O9" s="32">
        <v>4</v>
      </c>
      <c r="P9" s="32"/>
      <c r="Q9" s="32"/>
      <c r="R9" s="32"/>
      <c r="S9" s="32"/>
      <c r="T9" s="32"/>
      <c r="U9" s="33"/>
      <c r="V9" s="33"/>
      <c r="W9" s="33"/>
      <c r="X9" s="33"/>
      <c r="Y9" s="33"/>
      <c r="Z9" s="33"/>
      <c r="AA9" s="51"/>
      <c r="AB9" s="52"/>
    </row>
    <row r="10" spans="1:28" s="2" customFormat="1" ht="15" customHeight="1">
      <c r="A10" s="144" t="str">
        <f>Итог!A9</f>
        <v>Протест</v>
      </c>
      <c r="B10" s="145"/>
      <c r="C10" s="22">
        <v>0.5743055555555555</v>
      </c>
      <c r="D10" s="23">
        <v>0.6548611111111111</v>
      </c>
      <c r="E10" s="24">
        <v>17</v>
      </c>
      <c r="F10" s="25">
        <v>31</v>
      </c>
      <c r="G10" s="25">
        <v>20</v>
      </c>
      <c r="H10" s="25">
        <v>12</v>
      </c>
      <c r="I10" s="25">
        <v>12</v>
      </c>
      <c r="J10" s="25">
        <v>24</v>
      </c>
      <c r="K10" s="25">
        <v>37</v>
      </c>
      <c r="L10" s="25">
        <v>24</v>
      </c>
      <c r="M10" s="25">
        <v>37</v>
      </c>
      <c r="N10" s="25">
        <v>21</v>
      </c>
      <c r="O10" s="25">
        <v>4</v>
      </c>
      <c r="P10" s="25"/>
      <c r="Q10" s="25"/>
      <c r="R10" s="25"/>
      <c r="S10" s="25"/>
      <c r="T10" s="25"/>
      <c r="U10" s="26"/>
      <c r="V10" s="26"/>
      <c r="W10" s="26"/>
      <c r="X10" s="26"/>
      <c r="Y10" s="26"/>
      <c r="Z10" s="26"/>
      <c r="AA10" s="29"/>
      <c r="AB10" s="30"/>
    </row>
    <row r="11" spans="1:28" s="2" customFormat="1" ht="15" customHeight="1">
      <c r="A11" s="144" t="str">
        <f>Итог!A13</f>
        <v>Ежики</v>
      </c>
      <c r="B11" s="145"/>
      <c r="C11" s="22">
        <v>0.8131944444444444</v>
      </c>
      <c r="D11" s="23">
        <v>0.875</v>
      </c>
      <c r="E11" s="24">
        <v>20</v>
      </c>
      <c r="F11" s="25">
        <v>36</v>
      </c>
      <c r="G11" s="25">
        <v>12</v>
      </c>
      <c r="H11" s="25">
        <v>20</v>
      </c>
      <c r="I11" s="25">
        <v>31</v>
      </c>
      <c r="J11" s="25">
        <v>17</v>
      </c>
      <c r="K11" s="25">
        <v>17</v>
      </c>
      <c r="L11" s="25">
        <v>32</v>
      </c>
      <c r="M11" s="25">
        <v>30</v>
      </c>
      <c r="N11" s="25">
        <v>29</v>
      </c>
      <c r="O11" s="25">
        <v>36</v>
      </c>
      <c r="P11" s="25">
        <v>31</v>
      </c>
      <c r="Q11" s="25">
        <v>17</v>
      </c>
      <c r="R11" s="25">
        <v>31</v>
      </c>
      <c r="S11" s="25">
        <v>31</v>
      </c>
      <c r="T11" s="25">
        <v>31</v>
      </c>
      <c r="U11" s="26">
        <v>31</v>
      </c>
      <c r="V11" s="26">
        <v>31</v>
      </c>
      <c r="W11" s="26">
        <v>29</v>
      </c>
      <c r="X11" s="26">
        <v>20</v>
      </c>
      <c r="Y11" s="26">
        <v>3</v>
      </c>
      <c r="Z11" s="26"/>
      <c r="AA11" s="29"/>
      <c r="AB11" s="30"/>
    </row>
    <row r="12" spans="1:2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="2" customFormat="1" ht="15"/>
    <row r="14" spans="1:28" s="2" customFormat="1" ht="15.75" customHeight="1" thickBot="1">
      <c r="A14" s="120" t="s">
        <v>54</v>
      </c>
      <c r="B14" s="120"/>
      <c r="C14" s="120"/>
      <c r="D14" s="35">
        <v>0.5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1"/>
      <c r="AA14" s="12"/>
      <c r="AB14" s="12"/>
    </row>
    <row r="15" spans="1:28" s="2" customFormat="1" ht="15.75" customHeight="1">
      <c r="A15" s="131" t="s">
        <v>6</v>
      </c>
      <c r="B15" s="139"/>
      <c r="C15" s="142" t="s">
        <v>61</v>
      </c>
      <c r="D15" s="143"/>
      <c r="E15" s="132" t="s">
        <v>53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98" t="s">
        <v>59</v>
      </c>
      <c r="AB15" s="118" t="s">
        <v>7</v>
      </c>
    </row>
    <row r="16" spans="1:28" s="2" customFormat="1" ht="15.75" customHeight="1" thickBot="1">
      <c r="A16" s="140"/>
      <c r="B16" s="141"/>
      <c r="C16" s="15" t="s">
        <v>58</v>
      </c>
      <c r="D16" s="16" t="s">
        <v>60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29"/>
      <c r="AB16" s="119"/>
    </row>
    <row r="17" spans="1:28" s="2" customFormat="1" ht="15.75" customHeight="1" thickBot="1">
      <c r="A17" s="116" t="str">
        <f>A7</f>
        <v>Ударники</v>
      </c>
      <c r="B17" s="117"/>
      <c r="C17" s="49">
        <f>(D7-C7)*60*24</f>
        <v>120.00000000000004</v>
      </c>
      <c r="D17" s="71">
        <f>SUM(E17:Z17,AA7,AB7)*$D$14</f>
        <v>5080</v>
      </c>
      <c r="E17" s="39">
        <f>VLOOKUP(E7,'Таблица штрафов'!$A$7:$C$47,3,TRUE)</f>
        <v>8</v>
      </c>
      <c r="F17" s="40">
        <f>VLOOKUP(F7,'Таблица штрафов'!$A$7:$C$47,3,TRUE)</f>
        <v>5</v>
      </c>
      <c r="G17" s="40">
        <f>VLOOKUP(G7,'Таблица штрафов'!$A$7:$C$47,3,TRUE)</f>
        <v>5</v>
      </c>
      <c r="H17" s="40">
        <f>VLOOKUP(H7,'Таблица штрафов'!$A$7:$C$47,3,TRUE)</f>
        <v>5</v>
      </c>
      <c r="I17" s="40">
        <f>VLOOKUP(I7,'Таблица штрафов'!$A$7:$C$47,3,TRUE)</f>
        <v>10</v>
      </c>
      <c r="J17" s="40">
        <f>VLOOKUP(J7,'Таблица штрафов'!$A$7:$C$47,3,TRUE)</f>
        <v>8</v>
      </c>
      <c r="K17" s="40">
        <f>VLOOKUP(K7,'Таблица штрафов'!$A$7:$C$47,3,TRUE)</f>
        <v>5</v>
      </c>
      <c r="L17" s="40">
        <f>VLOOKUP(L7,'Таблица штрафов'!$A$7:$C$47,3,TRUE)</f>
        <v>10</v>
      </c>
      <c r="M17" s="40">
        <f>VLOOKUP(M7,'Таблица штрафов'!$A$7:$C$47,3,TRUE)</f>
        <v>8</v>
      </c>
      <c r="N17" s="40">
        <f>VLOOKUP(N7,'Таблица штрафов'!$A$7:$C$47,3,TRUE)</f>
        <v>16</v>
      </c>
      <c r="O17" s="40">
        <f>VLOOKUP(O7,'Таблица штрафов'!$A$7:$C$47,3,TRUE)</f>
        <v>14</v>
      </c>
      <c r="P17" s="40">
        <f>VLOOKUP(P7,'Таблица штрафов'!$A$7:$C$47,3,TRUE)</f>
        <v>4</v>
      </c>
      <c r="Q17" s="40">
        <f>VLOOKUP(Q7,'Таблица штрафов'!$A$7:$C$47,3,TRUE)</f>
        <v>4</v>
      </c>
      <c r="R17" s="40">
        <f>VLOOKUP(R7,'Таблица штрафов'!$A$7:$C$47,3,TRUE)</f>
        <v>4</v>
      </c>
      <c r="S17" s="40">
        <f>VLOOKUP(S7,'Таблица штрафов'!$A$7:$C$47,3,TRUE)</f>
        <v>5</v>
      </c>
      <c r="T17" s="40">
        <f>VLOOKUP(T7,'Таблица штрафов'!$A$7:$C$47,3,TRUE)</f>
        <v>5</v>
      </c>
      <c r="U17" s="40">
        <f>VLOOKUP(U7,'Таблица штрафов'!$A$7:$C$47,3,TRUE)</f>
        <v>16</v>
      </c>
      <c r="V17" s="40">
        <f>VLOOKUP(V7,'Таблица штрафов'!$A$7:$C$47,3,TRUE)</f>
        <v>5</v>
      </c>
      <c r="W17" s="40">
        <f>VLOOKUP(W7,'Таблица штрафов'!$A$7:$C$47,3,TRUE)</f>
        <v>5</v>
      </c>
      <c r="X17" s="40">
        <f>VLOOKUP(X7,'Таблица штрафов'!$A$7:$C$47,3,TRUE)</f>
        <v>2</v>
      </c>
      <c r="Y17" s="40">
        <f>VLOOKUP(Y7,'Таблица штрафов'!$A$7:$C$47,3,TRUE)</f>
        <v>16</v>
      </c>
      <c r="Z17" s="40">
        <f>VLOOKUP(Z7,'Таблица штрафов'!$A$7:$C$47,3,TRUE)</f>
        <v>10000</v>
      </c>
      <c r="AA17" s="43">
        <f>C17+D17</f>
        <v>5200</v>
      </c>
      <c r="AB17" s="49">
        <f>IF(AA17&gt;1000,0,MIN($AA$17:$AA$21)/AA17*$D$4)</f>
        <v>0</v>
      </c>
    </row>
    <row r="18" spans="1:28" ht="15.75" thickBot="1">
      <c r="A18" s="114" t="str">
        <f>A8</f>
        <v>Крутые перцы</v>
      </c>
      <c r="B18" s="115"/>
      <c r="C18" s="49">
        <f>(D8-C8)*60*24</f>
        <v>120.00000000000004</v>
      </c>
      <c r="D18" s="71">
        <f>SUM(E18:Z18,AA8,AB8)*$D$14</f>
        <v>5030.5</v>
      </c>
      <c r="E18" s="41">
        <f>VLOOKUP(E8,'Таблица штрафов'!$A$7:$C$47,3,TRUE)</f>
        <v>5</v>
      </c>
      <c r="F18" s="42">
        <f>VLOOKUP(F8,'Таблица штрафов'!$A$7:$C$47,3,TRUE)</f>
        <v>8</v>
      </c>
      <c r="G18" s="42">
        <f>VLOOKUP(G8,'Таблица штрафов'!$A$7:$C$47,3,TRUE)</f>
        <v>8</v>
      </c>
      <c r="H18" s="42">
        <f>VLOOKUP(H8,'Таблица штрафов'!$A$7:$C$47,3,TRUE)</f>
        <v>16</v>
      </c>
      <c r="I18" s="42">
        <f>VLOOKUP(I8,'Таблица штрафов'!$A$7:$C$47,3,TRUE)</f>
        <v>8</v>
      </c>
      <c r="J18" s="42">
        <f>VLOOKUP(J8,'Таблица штрафов'!$A$7:$C$47,3,TRUE)</f>
        <v>16</v>
      </c>
      <c r="K18" s="42">
        <f>VLOOKUP(K8,'Таблица штрафов'!$A$7:$C$47,3,TRUE)</f>
        <v>10000</v>
      </c>
      <c r="L18" s="42">
        <f>VLOOKUP(L8,'Таблица штрафов'!$A$7:$C$47,3,TRUE)</f>
        <v>0</v>
      </c>
      <c r="M18" s="42">
        <f>VLOOKUP(M8,'Таблица штрафов'!$A$7:$C$47,3,TRUE)</f>
        <v>0</v>
      </c>
      <c r="N18" s="42">
        <f>VLOOKUP(N8,'Таблица штрафов'!$A$7:$C$47,3,TRUE)</f>
        <v>0</v>
      </c>
      <c r="O18" s="42">
        <f>VLOOKUP(O8,'Таблица штрафов'!$A$7:$C$47,3,TRUE)</f>
        <v>0</v>
      </c>
      <c r="P18" s="42">
        <f>VLOOKUP(P8,'Таблица штрафов'!$A$7:$C$47,3,TRUE)</f>
        <v>0</v>
      </c>
      <c r="Q18" s="42">
        <f>VLOOKUP(Q8,'Таблица штрафов'!$A$7:$C$47,3,TRUE)</f>
        <v>0</v>
      </c>
      <c r="R18" s="42">
        <f>VLOOKUP(R8,'Таблица штрафов'!$A$7:$C$47,3,TRUE)</f>
        <v>0</v>
      </c>
      <c r="S18" s="42">
        <f>VLOOKUP(S8,'Таблица штрафов'!$A$7:$C$47,3,TRUE)</f>
        <v>0</v>
      </c>
      <c r="T18" s="42">
        <f>VLOOKUP(T8,'Таблица штрафов'!$A$7:$C$47,3,TRUE)</f>
        <v>0</v>
      </c>
      <c r="U18" s="42">
        <f>VLOOKUP(U8,'Таблица штрафов'!$A$7:$C$47,3,TRUE)</f>
        <v>0</v>
      </c>
      <c r="V18" s="40">
        <f>VLOOKUP(V8,'Таблица штрафов'!$A$7:$C$47,3,TRUE)</f>
        <v>0</v>
      </c>
      <c r="W18" s="40">
        <f>VLOOKUP(W8,'Таблица штрафов'!$A$7:$C$47,3,TRUE)</f>
        <v>0</v>
      </c>
      <c r="X18" s="40">
        <f>VLOOKUP(X8,'Таблица штрафов'!$A$7:$C$47,3,TRUE)</f>
        <v>0</v>
      </c>
      <c r="Y18" s="40">
        <f>VLOOKUP(Y8,'Таблица штрафов'!$A$7:$C$47,3,TRUE)</f>
        <v>0</v>
      </c>
      <c r="Z18" s="40">
        <f>VLOOKUP(Z8,'Таблица штрафов'!$A$7:$C$47,3,TRUE)</f>
        <v>0</v>
      </c>
      <c r="AA18" s="44">
        <f>C18+D18</f>
        <v>5150.5</v>
      </c>
      <c r="AB18" s="49">
        <f>IF(AA18&gt;1000,0,MIN($AA$17:$AA$21)/AA18*$D$4)</f>
        <v>0</v>
      </c>
    </row>
    <row r="19" spans="1:28" ht="15.75" thickBot="1">
      <c r="A19" s="116" t="str">
        <f>A9</f>
        <v>Анк-морпорк</v>
      </c>
      <c r="B19" s="117"/>
      <c r="C19" s="49">
        <f>(D9-C9)*60*24</f>
        <v>125.00000000000003</v>
      </c>
      <c r="D19" s="71">
        <f>SUM(E19:Z19,AA9,AB9)*$D$14</f>
        <v>5115.5</v>
      </c>
      <c r="E19" s="39">
        <f>VLOOKUP(E9,'Таблица штрафов'!$A$7:$C$47,3,TRUE)</f>
        <v>7</v>
      </c>
      <c r="F19" s="40">
        <f>VLOOKUP(F9,'Таблица штрафов'!$A$7:$C$47,3,TRUE)</f>
        <v>8</v>
      </c>
      <c r="G19" s="40">
        <f>VLOOKUP(G9,'Таблица штрафов'!$A$7:$C$47,3,TRUE)</f>
        <v>10</v>
      </c>
      <c r="H19" s="40">
        <f>VLOOKUP(H9,'Таблица штрафов'!$A$7:$C$47,3,TRUE)</f>
        <v>10</v>
      </c>
      <c r="I19" s="40">
        <f>VLOOKUP(I9,'Таблица штрафов'!$A$7:$C$47,3,TRUE)</f>
        <v>2</v>
      </c>
      <c r="J19" s="40">
        <f>VLOOKUP(J9,'Таблица штрафов'!$A$7:$C$47,3,TRUE)</f>
        <v>2</v>
      </c>
      <c r="K19" s="40">
        <f>VLOOKUP(K9,'Таблица штрафов'!$A$7:$C$47,3,TRUE)</f>
        <v>8</v>
      </c>
      <c r="L19" s="40">
        <f>VLOOKUP(L9,'Таблица штрафов'!$A$7:$C$47,3,TRUE)</f>
        <v>4</v>
      </c>
      <c r="M19" s="40">
        <f>VLOOKUP(M9,'Таблица штрафов'!$A$7:$C$47,3,TRUE)*25</f>
        <v>100</v>
      </c>
      <c r="N19" s="40">
        <f>VLOOKUP(N9,'Таблица штрафов'!$A$7:$C$47,3,TRUE)*2</f>
        <v>80</v>
      </c>
      <c r="O19" s="40">
        <f>VLOOKUP(O9,'Таблица штрафов'!$A$7:$C$47,3,TRUE)</f>
        <v>10000</v>
      </c>
      <c r="P19" s="40">
        <f>VLOOKUP(P9,'Таблица штрафов'!$A$7:$C$47,3,TRUE)</f>
        <v>0</v>
      </c>
      <c r="Q19" s="42">
        <f>VLOOKUP(Q9,'Таблица штрафов'!$A$7:$C$47,3,TRUE)</f>
        <v>0</v>
      </c>
      <c r="R19" s="53">
        <f>VLOOKUP(R9,'Таблица штрафов'!$A$7:$C$47,3,TRUE)</f>
        <v>0</v>
      </c>
      <c r="S19" s="40">
        <f>VLOOKUP(S9,'Таблица штрафов'!$A$7:$C$47,3,TRUE)</f>
        <v>0</v>
      </c>
      <c r="T19" s="40">
        <f>VLOOKUP(T9,'Таблица штрафов'!$A$7:$C$47,3,TRUE)</f>
        <v>0</v>
      </c>
      <c r="U19" s="40">
        <f>VLOOKUP(U9,'Таблица штрафов'!$A$7:$C$47,3,TRUE)</f>
        <v>0</v>
      </c>
      <c r="V19" s="40">
        <f>VLOOKUP(V9,'Таблица штрафов'!$A$7:$C$47,3,TRUE)</f>
        <v>0</v>
      </c>
      <c r="W19" s="40">
        <f>VLOOKUP(W9,'Таблица штрафов'!$A$7:$C$47,3,TRUE)</f>
        <v>0</v>
      </c>
      <c r="X19" s="40">
        <f>VLOOKUP(X9,'Таблица штрафов'!$A$7:$C$47,3,TRUE)</f>
        <v>0</v>
      </c>
      <c r="Y19" s="40">
        <f>VLOOKUP(Y9,'Таблица штрафов'!$A$7:$C$47,3,TRUE)</f>
        <v>0</v>
      </c>
      <c r="Z19" s="40">
        <f>VLOOKUP(Z9,'Таблица штрафов'!$A$7:$C$47,3,TRUE)</f>
        <v>0</v>
      </c>
      <c r="AA19" s="43">
        <f>C19+D19</f>
        <v>5240.5</v>
      </c>
      <c r="AB19" s="49">
        <f>IF(AA19&gt;1000,0,MIN($AA$17:$AA$21)/AA19*$D$4)</f>
        <v>0</v>
      </c>
    </row>
    <row r="20" spans="1:28" s="2" customFormat="1" ht="15.75" thickBot="1">
      <c r="A20" s="116" t="str">
        <f>A10</f>
        <v>Протест</v>
      </c>
      <c r="B20" s="117"/>
      <c r="C20" s="49">
        <f>(D10-C10)*60*24</f>
        <v>116.00000000000006</v>
      </c>
      <c r="D20" s="71">
        <f>SUM(E20:Z20,AA10,AB10)*$D$14</f>
        <v>5041.5</v>
      </c>
      <c r="E20" s="39">
        <f>VLOOKUP(E10,'Таблица штрафов'!$A$7:$C$47,3,TRUE)</f>
        <v>10</v>
      </c>
      <c r="F20" s="40">
        <f>VLOOKUP(F10,'Таблица штрафов'!$A$7:$C$47,3,TRUE)</f>
        <v>5</v>
      </c>
      <c r="G20" s="40">
        <f>VLOOKUP(G10,'Таблица штрафов'!$A$7:$C$47,3,TRUE)</f>
        <v>8</v>
      </c>
      <c r="H20" s="40">
        <f>VLOOKUP(H10,'Таблица штрафов'!$A$7:$C$47,3,TRUE)</f>
        <v>16</v>
      </c>
      <c r="I20" s="40">
        <f>VLOOKUP(I10,'Таблица штрафов'!$A$7:$C$47,3,TRUE)</f>
        <v>16</v>
      </c>
      <c r="J20" s="40">
        <f>VLOOKUP(J10,'Таблица штрафов'!$A$7:$C$47,3,TRUE)</f>
        <v>8</v>
      </c>
      <c r="K20" s="40">
        <f>VLOOKUP(K10,'Таблица штрафов'!$A$7:$C$47,3,TRUE)</f>
        <v>2</v>
      </c>
      <c r="L20" s="40">
        <f>VLOOKUP(L10,'Таблица штрафов'!$A$7:$C$47,3,TRUE)</f>
        <v>8</v>
      </c>
      <c r="M20" s="40">
        <f>VLOOKUP(M10,'Таблица штрафов'!$A$7:$C$47,3,TRUE)</f>
        <v>2</v>
      </c>
      <c r="N20" s="40">
        <f>VLOOKUP(N10,'Таблица штрафов'!$A$7:$C$47,3,TRUE)</f>
        <v>8</v>
      </c>
      <c r="O20" s="40">
        <f>VLOOKUP(O10,'Таблица штрафов'!$A$7:$C$47,3,TRUE)</f>
        <v>10000</v>
      </c>
      <c r="P20" s="40">
        <f>VLOOKUP(P10,'Таблица штрафов'!$A$7:$C$47,3,TRUE)</f>
        <v>0</v>
      </c>
      <c r="Q20" s="40">
        <f>VLOOKUP(Q10,'Таблица штрафов'!$A$7:$C$47,3,TRUE)</f>
        <v>0</v>
      </c>
      <c r="R20" s="40">
        <f>VLOOKUP(R10,'Таблица штрафов'!$A$7:$C$47,3,TRUE)</f>
        <v>0</v>
      </c>
      <c r="S20" s="40">
        <f>VLOOKUP(S10,'Таблица штрафов'!$A$7:$C$47,3,TRUE)</f>
        <v>0</v>
      </c>
      <c r="T20" s="40">
        <f>VLOOKUP(T10,'Таблица штрафов'!$A$7:$C$47,3,TRUE)</f>
        <v>0</v>
      </c>
      <c r="U20" s="40">
        <f>VLOOKUP(U10,'Таблица штрафов'!$A$7:$C$47,3,TRUE)</f>
        <v>0</v>
      </c>
      <c r="V20" s="40">
        <f>VLOOKUP(V10,'Таблица штрафов'!$A$7:$C$47,3,TRUE)</f>
        <v>0</v>
      </c>
      <c r="W20" s="40">
        <f>VLOOKUP(W10,'Таблица штрафов'!$A$7:$C$47,3,TRUE)</f>
        <v>0</v>
      </c>
      <c r="X20" s="40">
        <f>VLOOKUP(X10,'Таблица штрафов'!$A$7:$C$47,3,TRUE)</f>
        <v>0</v>
      </c>
      <c r="Y20" s="40">
        <f>VLOOKUP(Y10,'Таблица штрафов'!$A$7:$C$47,3,TRUE)</f>
        <v>0</v>
      </c>
      <c r="Z20" s="40">
        <f>VLOOKUP(Z10,'Таблица штрафов'!$A$7:$C$47,3,TRUE)</f>
        <v>0</v>
      </c>
      <c r="AA20" s="43">
        <f>C20+D20</f>
        <v>5157.5</v>
      </c>
      <c r="AB20" s="49">
        <f>IF(AA20&gt;1000,0,MIN($AA$17:$AA$21)/AA20*$D$4)</f>
        <v>0</v>
      </c>
    </row>
    <row r="21" spans="1:28" s="2" customFormat="1" ht="15.75" thickBot="1">
      <c r="A21" s="116" t="str">
        <f>A11</f>
        <v>Ежики</v>
      </c>
      <c r="B21" s="117"/>
      <c r="C21" s="49">
        <f>(D11-C11)*60*24</f>
        <v>89</v>
      </c>
      <c r="D21" s="71">
        <f>SUM(E21:Z21,AA11,AB11)*$D$14</f>
        <v>5069</v>
      </c>
      <c r="E21" s="39">
        <f>VLOOKUP(E11,'Таблица штрафов'!$A$7:$C$47,3,TRUE)</f>
        <v>8</v>
      </c>
      <c r="F21" s="40">
        <f>VLOOKUP(F11,'Таблица штрафов'!$A$7:$C$47,3,TRUE)</f>
        <v>4</v>
      </c>
      <c r="G21" s="40">
        <f>VLOOKUP(G11,'Таблица штрафов'!$A$7:$C$47,3,TRUE)</f>
        <v>16</v>
      </c>
      <c r="H21" s="40">
        <f>VLOOKUP(H11,'Таблица штрафов'!$A$7:$C$47,3,TRUE)</f>
        <v>8</v>
      </c>
      <c r="I21" s="40">
        <f>VLOOKUP(I11,'Таблица штрафов'!$A$7:$C$47,3,TRUE)</f>
        <v>5</v>
      </c>
      <c r="J21" s="40">
        <f>VLOOKUP(J11,'Таблица штрафов'!$A$7:$C$47,3,TRUE)</f>
        <v>10</v>
      </c>
      <c r="K21" s="40">
        <f>VLOOKUP(K11,'Таблица штрафов'!$A$7:$C$47,3,TRUE)</f>
        <v>10</v>
      </c>
      <c r="L21" s="40">
        <f>VLOOKUP(L11,'Таблица штрафов'!$A$7:$C$47,3,TRUE)</f>
        <v>5</v>
      </c>
      <c r="M21" s="40">
        <f>VLOOKUP(M11,'Таблица штрафов'!$A$7:$C$47,3,TRUE)</f>
        <v>6</v>
      </c>
      <c r="N21" s="40">
        <f>VLOOKUP(N11,'Таблица штрафов'!$A$7:$C$47,3,TRUE)</f>
        <v>7</v>
      </c>
      <c r="O21" s="40">
        <f>VLOOKUP(O11,'Таблица штрафов'!$A$7:$C$47,3,TRUE)</f>
        <v>4</v>
      </c>
      <c r="P21" s="40">
        <f>VLOOKUP(P11,'Таблица штрафов'!$A$7:$C$47,3,TRUE)</f>
        <v>5</v>
      </c>
      <c r="Q21" s="40">
        <f>VLOOKUP(Q11,'Таблица штрафов'!$A$7:$C$47,3,TRUE)</f>
        <v>10</v>
      </c>
      <c r="R21" s="40">
        <f>VLOOKUP(R11,'Таблица штрафов'!$A$7:$C$47,3,TRUE)</f>
        <v>5</v>
      </c>
      <c r="S21" s="40">
        <f>VLOOKUP(S11,'Таблица штрафов'!$A$7:$C$47,3,TRUE)</f>
        <v>5</v>
      </c>
      <c r="T21" s="40">
        <f>VLOOKUP(T11,'Таблица штрафов'!$A$7:$C$47,3,TRUE)</f>
        <v>5</v>
      </c>
      <c r="U21" s="40">
        <f>VLOOKUP(U11,'Таблица штрафов'!$A$7:$C$47,3,TRUE)</f>
        <v>5</v>
      </c>
      <c r="V21" s="40">
        <f>VLOOKUP(V11,'Таблица штрафов'!$A$7:$C$47,3,TRUE)</f>
        <v>5</v>
      </c>
      <c r="W21" s="40">
        <f>VLOOKUP(W11,'Таблица штрафов'!$A$7:$C$47,3,TRUE)</f>
        <v>7</v>
      </c>
      <c r="X21" s="40">
        <f>VLOOKUP(X11,'Таблица штрафов'!$A$7:$C$47,3,TRUE)</f>
        <v>8</v>
      </c>
      <c r="Y21" s="40">
        <f>VLOOKUP(Y11,'Таблица штрафов'!$A$7:$C$47,3,TRUE)</f>
        <v>10000</v>
      </c>
      <c r="Z21" s="40">
        <f>VLOOKUP(Z11,'Таблица штрафов'!$A$7:$C$47,3,TRUE)</f>
        <v>0</v>
      </c>
      <c r="AA21" s="43">
        <f>C21+D21</f>
        <v>5158</v>
      </c>
      <c r="AB21" s="49">
        <f>IF(AA21&gt;1000,0,MIN($AA$17:$AA$21)/AA21*$D$4)</f>
        <v>0</v>
      </c>
    </row>
    <row r="22" spans="1:28" s="2" customFormat="1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6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113" t="s">
        <v>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121" t="s">
        <v>11</v>
      </c>
      <c r="B26" s="121"/>
      <c r="C26" s="121"/>
      <c r="D26" s="122" t="s">
        <v>102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ht="15">
      <c r="A27" s="123" t="s">
        <v>12</v>
      </c>
      <c r="B27" s="124"/>
      <c r="C27" s="125"/>
      <c r="D27" s="101" t="s">
        <v>122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5">
      <c r="A28" s="126"/>
      <c r="B28" s="127"/>
      <c r="C28" s="128"/>
      <c r="D28" s="101" t="s">
        <v>123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5">
      <c r="A29" s="102"/>
      <c r="B29" s="99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</sheetData>
  <sheetProtection/>
  <mergeCells count="30">
    <mergeCell ref="A8:B8"/>
    <mergeCell ref="A9:B9"/>
    <mergeCell ref="AA5:AB5"/>
    <mergeCell ref="A7:B7"/>
    <mergeCell ref="E5:Z6"/>
    <mergeCell ref="A21:B21"/>
    <mergeCell ref="A15:B16"/>
    <mergeCell ref="C15:D15"/>
    <mergeCell ref="E15:Z16"/>
    <mergeCell ref="C5:D5"/>
    <mergeCell ref="A11:B11"/>
    <mergeCell ref="A10:B10"/>
    <mergeCell ref="A27:C29"/>
    <mergeCell ref="D27:Z27"/>
    <mergeCell ref="D28:Z28"/>
    <mergeCell ref="D29:Z29"/>
    <mergeCell ref="A24:M24"/>
    <mergeCell ref="A26:C26"/>
    <mergeCell ref="D26:Z26"/>
    <mergeCell ref="A20:B20"/>
    <mergeCell ref="A2:AB2"/>
    <mergeCell ref="A1:AB1"/>
    <mergeCell ref="A18:B18"/>
    <mergeCell ref="A19:B19"/>
    <mergeCell ref="A17:B17"/>
    <mergeCell ref="AB15:AB16"/>
    <mergeCell ref="A14:C14"/>
    <mergeCell ref="AA15:AA16"/>
    <mergeCell ref="A4:C4"/>
    <mergeCell ref="A5:B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="90" zoomScaleNormal="90" zoomScalePageLayoutView="0" workbookViewId="0" topLeftCell="A7">
      <selection activeCell="C20" sqref="C20"/>
    </sheetView>
  </sheetViews>
  <sheetFormatPr defaultColWidth="9.00390625" defaultRowHeight="12.75"/>
  <cols>
    <col min="2" max="2" width="19.25390625" style="0" customWidth="1"/>
    <col min="3" max="4" width="9.25390625" style="0" bestFit="1" customWidth="1"/>
    <col min="5" max="5" width="2.75390625" style="0" customWidth="1"/>
    <col min="6" max="6" width="3.00390625" style="0" bestFit="1" customWidth="1"/>
    <col min="7" max="25" width="2.75390625" style="0" customWidth="1"/>
    <col min="26" max="26" width="11.75390625" style="0" customWidth="1"/>
    <col min="27" max="27" width="10.00390625" style="0" bestFit="1" customWidth="1"/>
  </cols>
  <sheetData>
    <row r="1" spans="1:31" s="2" customFormat="1" ht="18" customHeight="1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4"/>
      <c r="AC1" s="4"/>
      <c r="AD1" s="4"/>
      <c r="AE1" s="4"/>
    </row>
    <row r="2" spans="1:31" s="2" customFormat="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  <c r="AC2" s="4"/>
      <c r="AD2" s="4"/>
      <c r="AE2" s="4"/>
    </row>
    <row r="3" spans="1:4" s="2" customFormat="1" ht="16.5" thickBot="1">
      <c r="A3" s="130" t="s">
        <v>14</v>
      </c>
      <c r="B3" s="130"/>
      <c r="C3" s="130"/>
      <c r="D3" s="34">
        <v>30</v>
      </c>
    </row>
    <row r="4" spans="1:27" s="2" customFormat="1" ht="15.75">
      <c r="A4" s="131" t="s">
        <v>6</v>
      </c>
      <c r="B4" s="139"/>
      <c r="C4" s="142" t="s">
        <v>1</v>
      </c>
      <c r="D4" s="143"/>
      <c r="E4" s="131" t="s">
        <v>50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9"/>
      <c r="Z4" s="134" t="s">
        <v>62</v>
      </c>
      <c r="AA4" s="135"/>
    </row>
    <row r="5" spans="1:27" s="2" customFormat="1" ht="16.5" thickBot="1">
      <c r="A5" s="140"/>
      <c r="B5" s="141"/>
      <c r="C5" s="15" t="s">
        <v>56</v>
      </c>
      <c r="D5" s="16" t="s">
        <v>57</v>
      </c>
      <c r="E5" s="140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41"/>
      <c r="Z5" s="55" t="s">
        <v>101</v>
      </c>
      <c r="AA5" s="54" t="s">
        <v>100</v>
      </c>
    </row>
    <row r="6" spans="1:27" s="2" customFormat="1" ht="15" customHeight="1">
      <c r="A6" s="153" t="str">
        <f>Итог!A12</f>
        <v>Ударники</v>
      </c>
      <c r="B6" s="154"/>
      <c r="C6" s="22">
        <v>0</v>
      </c>
      <c r="D6" s="23">
        <v>0.04305555555555556</v>
      </c>
      <c r="E6" s="56">
        <v>35</v>
      </c>
      <c r="F6" s="32">
        <v>20</v>
      </c>
      <c r="G6" s="32">
        <v>20</v>
      </c>
      <c r="H6" s="32">
        <v>20</v>
      </c>
      <c r="I6" s="32">
        <v>20</v>
      </c>
      <c r="J6" s="32">
        <v>15</v>
      </c>
      <c r="K6" s="32"/>
      <c r="L6" s="32">
        <v>4</v>
      </c>
      <c r="M6" s="32"/>
      <c r="N6" s="32"/>
      <c r="O6" s="32"/>
      <c r="P6" s="32"/>
      <c r="Q6" s="32"/>
      <c r="R6" s="32"/>
      <c r="S6" s="32"/>
      <c r="T6" s="32"/>
      <c r="U6" s="33"/>
      <c r="V6" s="33"/>
      <c r="W6" s="33"/>
      <c r="X6" s="33"/>
      <c r="Y6" s="57"/>
      <c r="Z6" s="27"/>
      <c r="AA6" s="28"/>
    </row>
    <row r="7" spans="1:27" s="2" customFormat="1" ht="15" customHeight="1">
      <c r="A7" s="153" t="str">
        <f>Итог!A11</f>
        <v>Крутые перцы</v>
      </c>
      <c r="B7" s="154"/>
      <c r="C7" s="22">
        <v>0</v>
      </c>
      <c r="D7" s="23">
        <v>0.042361111111111106</v>
      </c>
      <c r="E7" s="36">
        <v>12</v>
      </c>
      <c r="F7" s="25">
        <v>35</v>
      </c>
      <c r="G7" s="25">
        <v>35</v>
      </c>
      <c r="H7" s="25">
        <v>12</v>
      </c>
      <c r="I7" s="25">
        <v>35</v>
      </c>
      <c r="J7" s="25">
        <v>35</v>
      </c>
      <c r="K7" s="25">
        <v>11</v>
      </c>
      <c r="L7" s="25">
        <v>11</v>
      </c>
      <c r="M7" s="25">
        <v>11</v>
      </c>
      <c r="N7" s="25">
        <v>36</v>
      </c>
      <c r="O7" s="25">
        <v>36</v>
      </c>
      <c r="P7" s="25">
        <v>36</v>
      </c>
      <c r="Q7" s="25"/>
      <c r="R7" s="25"/>
      <c r="S7" s="25"/>
      <c r="T7" s="25"/>
      <c r="U7" s="26"/>
      <c r="V7" s="26"/>
      <c r="W7" s="26"/>
      <c r="X7" s="26"/>
      <c r="Y7" s="37"/>
      <c r="Z7" s="29"/>
      <c r="AA7" s="30"/>
    </row>
    <row r="8" spans="1:27" s="2" customFormat="1" ht="15" customHeight="1">
      <c r="A8" s="153" t="str">
        <f>Итог!A10</f>
        <v>Анк-морпорк</v>
      </c>
      <c r="B8" s="154"/>
      <c r="C8" s="22">
        <v>0</v>
      </c>
      <c r="D8" s="23">
        <v>0.04305555555555556</v>
      </c>
      <c r="E8" s="36">
        <v>20</v>
      </c>
      <c r="F8" s="25">
        <v>20</v>
      </c>
      <c r="G8" s="25">
        <v>9</v>
      </c>
      <c r="H8" s="25">
        <v>12</v>
      </c>
      <c r="I8" s="25"/>
      <c r="J8" s="25">
        <v>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  <c r="W8" s="26"/>
      <c r="X8" s="26"/>
      <c r="Y8" s="37"/>
      <c r="Z8" s="29"/>
      <c r="AA8" s="30"/>
    </row>
    <row r="9" spans="1:27" s="2" customFormat="1" ht="15" customHeight="1">
      <c r="A9" s="153" t="str">
        <f>Итог!A9</f>
        <v>Протест</v>
      </c>
      <c r="B9" s="154"/>
      <c r="C9" s="22">
        <v>0</v>
      </c>
      <c r="D9" s="23">
        <v>0.03333333333333333</v>
      </c>
      <c r="E9" s="36">
        <v>35</v>
      </c>
      <c r="F9" s="25">
        <v>35</v>
      </c>
      <c r="G9" s="25">
        <v>35</v>
      </c>
      <c r="H9" s="25">
        <v>35</v>
      </c>
      <c r="I9" s="25">
        <v>35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37"/>
      <c r="Z9" s="29"/>
      <c r="AA9" s="30"/>
    </row>
    <row r="10" spans="1:27" s="2" customFormat="1" ht="15" customHeight="1">
      <c r="A10" s="153" t="str">
        <f>Итог!A13</f>
        <v>Ежики</v>
      </c>
      <c r="B10" s="154"/>
      <c r="C10" s="22">
        <v>0</v>
      </c>
      <c r="D10" s="23">
        <v>0.044444444444444446</v>
      </c>
      <c r="E10" s="36">
        <v>12</v>
      </c>
      <c r="F10" s="25">
        <v>35</v>
      </c>
      <c r="G10" s="25">
        <v>12</v>
      </c>
      <c r="H10" s="25">
        <v>35</v>
      </c>
      <c r="I10" s="25">
        <v>35</v>
      </c>
      <c r="J10" s="25">
        <v>20</v>
      </c>
      <c r="K10" s="25">
        <v>36</v>
      </c>
      <c r="L10" s="25">
        <v>36</v>
      </c>
      <c r="M10" s="25">
        <v>36</v>
      </c>
      <c r="N10" s="25">
        <v>36</v>
      </c>
      <c r="O10" s="25">
        <v>35</v>
      </c>
      <c r="P10" s="25"/>
      <c r="Q10" s="25">
        <v>4</v>
      </c>
      <c r="R10" s="25"/>
      <c r="S10" s="25"/>
      <c r="T10" s="25"/>
      <c r="U10" s="26"/>
      <c r="V10" s="26"/>
      <c r="W10" s="26"/>
      <c r="X10" s="26"/>
      <c r="Y10" s="37"/>
      <c r="Z10" s="29"/>
      <c r="AA10" s="30"/>
    </row>
    <row r="11" s="2" customFormat="1" ht="15"/>
    <row r="12" s="2" customFormat="1" ht="15.75" customHeight="1"/>
    <row r="13" spans="1:27" s="2" customFormat="1" ht="15.75" customHeight="1" thickBot="1">
      <c r="A13" s="120" t="s">
        <v>54</v>
      </c>
      <c r="B13" s="120"/>
      <c r="C13" s="120"/>
      <c r="D13" s="35">
        <v>0.5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11"/>
      <c r="Z13" s="12"/>
      <c r="AA13" s="12"/>
    </row>
    <row r="14" spans="1:27" s="2" customFormat="1" ht="15.75" customHeight="1">
      <c r="A14" s="131" t="s">
        <v>6</v>
      </c>
      <c r="B14" s="139"/>
      <c r="C14" s="142" t="s">
        <v>61</v>
      </c>
      <c r="D14" s="143"/>
      <c r="E14" s="132" t="s">
        <v>53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9"/>
      <c r="Z14" s="98" t="s">
        <v>59</v>
      </c>
      <c r="AA14" s="118" t="s">
        <v>7</v>
      </c>
    </row>
    <row r="15" spans="1:27" s="2" customFormat="1" ht="15.75" customHeight="1" thickBot="1">
      <c r="A15" s="133"/>
      <c r="B15" s="152"/>
      <c r="C15" s="15" t="s">
        <v>58</v>
      </c>
      <c r="D15" s="16" t="s">
        <v>60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41"/>
      <c r="Z15" s="129"/>
      <c r="AA15" s="119"/>
    </row>
    <row r="16" spans="1:27" s="2" customFormat="1" ht="15.75" customHeight="1" thickBot="1">
      <c r="A16" s="114" t="str">
        <f>A6</f>
        <v>Ударники</v>
      </c>
      <c r="B16" s="149"/>
      <c r="C16" s="58">
        <f>(D6-C6)*60*24</f>
        <v>62.000000000000014</v>
      </c>
      <c r="D16" s="70">
        <f>SUM(E16:Y16,Z6,AA6)*$D$13</f>
        <v>5024</v>
      </c>
      <c r="E16" s="61">
        <f>VLOOKUP(E6,'Таблица штрафов'!$A$7:$C$47,3,TRUE)</f>
        <v>4</v>
      </c>
      <c r="F16" s="61">
        <f>VLOOKUP(F6,'Таблица штрафов'!$A$7:$C$47,3,TRUE)</f>
        <v>8</v>
      </c>
      <c r="G16" s="61">
        <f>VLOOKUP(G6,'Таблица штрафов'!$A$7:$C$47,3,TRUE)</f>
        <v>8</v>
      </c>
      <c r="H16" s="61">
        <f>VLOOKUP(H6,'Таблица штрафов'!$A$7:$C$47,3,TRUE)</f>
        <v>8</v>
      </c>
      <c r="I16" s="61">
        <f>VLOOKUP(I6,'Таблица штрафов'!$A$7:$C$47,3,TRUE)</f>
        <v>8</v>
      </c>
      <c r="J16" s="61">
        <f>VLOOKUP(J6,'Таблица штрафов'!$A$7:$C$47,3,TRUE)</f>
        <v>12</v>
      </c>
      <c r="K16" s="61">
        <f>VLOOKUP(K6,'Таблица штрафов'!$A$7:$C$47,3,TRUE)</f>
        <v>0</v>
      </c>
      <c r="L16" s="61">
        <f>VLOOKUP(L6,'Таблица штрафов'!$A$7:$C$47,3,TRUE)</f>
        <v>10000</v>
      </c>
      <c r="M16" s="61">
        <f>VLOOKUP(M6,'Таблица штрафов'!$A$7:$C$47,3,TRUE)</f>
        <v>0</v>
      </c>
      <c r="N16" s="61">
        <f>VLOOKUP(N6,'Таблица штрафов'!$A$7:$C$47,3,TRUE)</f>
        <v>0</v>
      </c>
      <c r="O16" s="61">
        <f>VLOOKUP(O6,'Таблица штрафов'!$A$7:$C$47,3,TRUE)</f>
        <v>0</v>
      </c>
      <c r="P16" s="61">
        <f>VLOOKUP(P6,'Таблица штрафов'!$A$7:$C$47,3,TRUE)</f>
        <v>0</v>
      </c>
      <c r="Q16" s="61">
        <f>VLOOKUP(Q6,'Таблица штрафов'!$A$7:$C$47,3,TRUE)</f>
        <v>0</v>
      </c>
      <c r="R16" s="61">
        <f>VLOOKUP(R6,'Таблица штрафов'!$A$7:$C$47,3,TRUE)</f>
        <v>0</v>
      </c>
      <c r="S16" s="61">
        <f>VLOOKUP(S6,'Таблица штрафов'!$A$7:$C$47,3,TRUE)</f>
        <v>0</v>
      </c>
      <c r="T16" s="61">
        <f>VLOOKUP(T6,'Таблица штрафов'!$A$7:$C$47,3,TRUE)</f>
        <v>0</v>
      </c>
      <c r="U16" s="61">
        <f>VLOOKUP(U6,'Таблица штрафов'!$A$7:$C$47,3,TRUE)</f>
        <v>0</v>
      </c>
      <c r="V16" s="61">
        <f>VLOOKUP(V6,'Таблица штрафов'!$A$7:$C$47,3,TRUE)</f>
        <v>0</v>
      </c>
      <c r="W16" s="61">
        <f>VLOOKUP(W6,'Таблица штрафов'!$A$7:$C$47,3,TRUE)</f>
        <v>0</v>
      </c>
      <c r="X16" s="61">
        <f>VLOOKUP(X6,'Таблица штрафов'!$A$7:$C$47,3,TRUE)</f>
        <v>0</v>
      </c>
      <c r="Y16" s="62">
        <f>VLOOKUP(Y6,'Таблица штрафов'!$A$7:$C$47,3,TRUE)</f>
        <v>0</v>
      </c>
      <c r="Z16" s="38">
        <f>C16+D16</f>
        <v>5086</v>
      </c>
      <c r="AA16" s="49">
        <f>IF(Z16&gt;1000,0,MIN($Z$16:$Z$22)/Z16*$D$3)</f>
        <v>0</v>
      </c>
    </row>
    <row r="17" spans="1:27" s="2" customFormat="1" ht="15.75" thickBot="1">
      <c r="A17" s="114" t="str">
        <f>A7</f>
        <v>Крутые перцы</v>
      </c>
      <c r="B17" s="149"/>
      <c r="C17" s="58">
        <f>(D7-C7)*60*24</f>
        <v>61</v>
      </c>
      <c r="D17" s="59">
        <f>SUM(E17:Y17,Z7,AA7)*$D$13</f>
        <v>60</v>
      </c>
      <c r="E17" s="60">
        <f>VLOOKUP(E7,'Таблица штрафов'!$A$7:$C$47,3,TRUE)</f>
        <v>16</v>
      </c>
      <c r="F17" s="61">
        <f>VLOOKUP(F7,'Таблица штрафов'!$A$7:$C$47,3,TRUE)</f>
        <v>4</v>
      </c>
      <c r="G17" s="61">
        <f>VLOOKUP(G7,'Таблица штрафов'!$A$7:$C$47,3,TRUE)</f>
        <v>4</v>
      </c>
      <c r="H17" s="61">
        <f>VLOOKUP(H7,'Таблица штрафов'!$A$7:$C$47,3,TRUE)</f>
        <v>16</v>
      </c>
      <c r="I17" s="61">
        <f>VLOOKUP(I7,'Таблица штрафов'!$A$7:$C$47,3,TRUE)</f>
        <v>4</v>
      </c>
      <c r="J17" s="61">
        <f>VLOOKUP(J7,'Таблица штрафов'!$A$7:$C$47,3,TRUE)</f>
        <v>4</v>
      </c>
      <c r="K17" s="61">
        <f>VLOOKUP(K7,'Таблица штрафов'!$A$7:$C$47,3,TRUE)</f>
        <v>20</v>
      </c>
      <c r="L17" s="61">
        <f>VLOOKUP(L7,'Таблица штрафов'!$A$7:$C$47,3,TRUE)</f>
        <v>20</v>
      </c>
      <c r="M17" s="61">
        <f>VLOOKUP(M7,'Таблица штрафов'!$A$7:$C$47,3,TRUE)</f>
        <v>20</v>
      </c>
      <c r="N17" s="61">
        <f>VLOOKUP(N7,'Таблица штрафов'!$A$7:$C$47,3,TRUE)</f>
        <v>4</v>
      </c>
      <c r="O17" s="61">
        <f>VLOOKUP(O7,'Таблица штрафов'!$A$7:$C$47,3,TRUE)</f>
        <v>4</v>
      </c>
      <c r="P17" s="61">
        <f>VLOOKUP(P7,'Таблица штрафов'!$A$7:$C$47,3,TRUE)</f>
        <v>4</v>
      </c>
      <c r="Q17" s="61">
        <f>VLOOKUP(Q7,'Таблица штрафов'!$A$7:$C$47,3,TRUE)</f>
        <v>0</v>
      </c>
      <c r="R17" s="61">
        <f>VLOOKUP(R7,'Таблица штрафов'!$A$7:$C$47,3,TRUE)</f>
        <v>0</v>
      </c>
      <c r="S17" s="61">
        <f>VLOOKUP(S7,'Таблица штрафов'!$A$7:$C$47,3,TRUE)</f>
        <v>0</v>
      </c>
      <c r="T17" s="61">
        <f>VLOOKUP(T7,'Таблица штрафов'!$A$7:$C$47,3,TRUE)</f>
        <v>0</v>
      </c>
      <c r="U17" s="61">
        <f>VLOOKUP(U7,'Таблица штрафов'!$A$7:$C$47,3,TRUE)</f>
        <v>0</v>
      </c>
      <c r="V17" s="61">
        <f>VLOOKUP(V7,'Таблица штрафов'!$A$7:$C$47,3,TRUE)</f>
        <v>0</v>
      </c>
      <c r="W17" s="61">
        <f>VLOOKUP(W7,'Таблица штрафов'!$A$7:$C$47,3,TRUE)</f>
        <v>0</v>
      </c>
      <c r="X17" s="61">
        <f>VLOOKUP(X7,'Таблица штрафов'!$A$7:$C$47,3,TRUE)</f>
        <v>0</v>
      </c>
      <c r="Y17" s="62">
        <f>VLOOKUP(Y7,'Таблица штрафов'!$A$7:$C$47,3,TRUE)</f>
        <v>0</v>
      </c>
      <c r="Z17" s="38">
        <f>C17+D17</f>
        <v>121</v>
      </c>
      <c r="AA17" s="49">
        <f>IF(Z17&gt;1000,0,MIN($Z$16:$Z$22)/Z17*$D$3)</f>
        <v>14.3801652892562</v>
      </c>
    </row>
    <row r="18" spans="1:27" s="2" customFormat="1" ht="15.75" thickBot="1">
      <c r="A18" s="114" t="str">
        <f>A8</f>
        <v>Анк-морпорк</v>
      </c>
      <c r="B18" s="149"/>
      <c r="C18" s="58">
        <f>(D8-C8)*60*24</f>
        <v>62.000000000000014</v>
      </c>
      <c r="D18" s="59">
        <f>SUM(E18:Y18,Z8,AA8)*$D$13</f>
        <v>5026</v>
      </c>
      <c r="E18" s="60">
        <f>VLOOKUP(E8,'Таблица штрафов'!$A$7:$C$47,3,TRUE)</f>
        <v>8</v>
      </c>
      <c r="F18" s="61">
        <f>VLOOKUP(F8,'Таблица штрафов'!$A$7:$C$47,3,TRUE)</f>
        <v>8</v>
      </c>
      <c r="G18" s="61">
        <f>VLOOKUP(G8,'Таблица штрафов'!$A$7:$C$47,3,TRUE)</f>
        <v>20</v>
      </c>
      <c r="H18" s="61">
        <f>VLOOKUP(H8,'Таблица штрафов'!$A$7:$C$47,3,TRUE)</f>
        <v>16</v>
      </c>
      <c r="I18" s="61">
        <f>VLOOKUP(I8,'Таблица штрафов'!$A$7:$C$47,3,TRUE)</f>
        <v>0</v>
      </c>
      <c r="J18" s="61">
        <f>VLOOKUP(J8,'Таблица штрафов'!$A$7:$C$47,3,TRUE)</f>
        <v>10000</v>
      </c>
      <c r="K18" s="61">
        <f>VLOOKUP(K8,'Таблица штрафов'!$A$7:$C$47,3,TRUE)</f>
        <v>0</v>
      </c>
      <c r="L18" s="61">
        <f>VLOOKUP(L8,'Таблица штрафов'!$A$7:$C$47,3,TRUE)</f>
        <v>0</v>
      </c>
      <c r="M18" s="61">
        <f>VLOOKUP(M8,'Таблица штрафов'!$A$7:$C$47,3,TRUE)</f>
        <v>0</v>
      </c>
      <c r="N18" s="61">
        <f>VLOOKUP(N8,'Таблица штрафов'!$A$7:$C$47,3,TRUE)</f>
        <v>0</v>
      </c>
      <c r="O18" s="61">
        <f>VLOOKUP(O8,'Таблица штрафов'!$A$7:$C$47,3,TRUE)</f>
        <v>0</v>
      </c>
      <c r="P18" s="61">
        <f>VLOOKUP(P8,'Таблица штрафов'!$A$7:$C$47,3,TRUE)</f>
        <v>0</v>
      </c>
      <c r="Q18" s="61">
        <f>VLOOKUP(Q8,'Таблица штрафов'!$A$7:$C$47,3,TRUE)</f>
        <v>0</v>
      </c>
      <c r="R18" s="61">
        <f>VLOOKUP(R8,'Таблица штрафов'!$A$7:$C$47,3,TRUE)</f>
        <v>0</v>
      </c>
      <c r="S18" s="61">
        <f>VLOOKUP(S8,'Таблица штрафов'!$A$7:$C$47,3,TRUE)</f>
        <v>0</v>
      </c>
      <c r="T18" s="61">
        <f>VLOOKUP(T8,'Таблица штрафов'!$A$7:$C$47,3,TRUE)</f>
        <v>0</v>
      </c>
      <c r="U18" s="61">
        <f>VLOOKUP(U8,'Таблица штрафов'!$A$7:$C$47,3,TRUE)</f>
        <v>0</v>
      </c>
      <c r="V18" s="61">
        <f>VLOOKUP(V8,'Таблица штрафов'!$A$7:$C$47,3,TRUE)</f>
        <v>0</v>
      </c>
      <c r="W18" s="61">
        <f>VLOOKUP(W8,'Таблица штрафов'!$A$7:$C$47,3,TRUE)</f>
        <v>0</v>
      </c>
      <c r="X18" s="61">
        <f>VLOOKUP(X8,'Таблица штрафов'!$A$7:$C$47,3,TRUE)</f>
        <v>0</v>
      </c>
      <c r="Y18" s="62">
        <f>VLOOKUP(Y8,'Таблица штрафов'!$A$7:$C$47,3,TRUE)</f>
        <v>0</v>
      </c>
      <c r="Z18" s="38">
        <f>C18+D18</f>
        <v>5088</v>
      </c>
      <c r="AA18" s="49">
        <f>IF(Z18&gt;1000,0,MIN($Z$16:$Z$22)/Z18*$D$3)</f>
        <v>0</v>
      </c>
    </row>
    <row r="19" spans="1:27" s="2" customFormat="1" ht="15.75" thickBot="1">
      <c r="A19" s="150" t="str">
        <f>A9</f>
        <v>Протест</v>
      </c>
      <c r="B19" s="151"/>
      <c r="C19" s="58">
        <f>(D9-C9)*60*24</f>
        <v>48</v>
      </c>
      <c r="D19" s="70">
        <f>SUM(E19:Y19,Z9,AA9)*$D$13</f>
        <v>10</v>
      </c>
      <c r="E19" s="60">
        <f>VLOOKUP(E9,'Таблица штрафов'!$A$7:$C$47,3,TRUE)</f>
        <v>4</v>
      </c>
      <c r="F19" s="61">
        <f>VLOOKUP(F9,'Таблица штрафов'!$A$7:$C$47,3,TRUE)</f>
        <v>4</v>
      </c>
      <c r="G19" s="61">
        <f>VLOOKUP(G9,'Таблица штрафов'!$A$7:$C$47,3,TRUE)</f>
        <v>4</v>
      </c>
      <c r="H19" s="61">
        <f>VLOOKUP(H9,'Таблица штрафов'!$A$7:$C$47,3,TRUE)</f>
        <v>4</v>
      </c>
      <c r="I19" s="61">
        <f>VLOOKUP(I9,'Таблица штрафов'!$A$7:$C$47,3,TRUE)</f>
        <v>4</v>
      </c>
      <c r="J19" s="61">
        <f>VLOOKUP(J9,'Таблица штрафов'!$A$7:$C$47,3,TRUE)</f>
        <v>0</v>
      </c>
      <c r="K19" s="61">
        <f>VLOOKUP(K9,'Таблица штрафов'!$A$7:$C$47,3,TRUE)</f>
        <v>0</v>
      </c>
      <c r="L19" s="61">
        <f>VLOOKUP(L9,'Таблица штрафов'!$A$7:$C$47,3,TRUE)</f>
        <v>0</v>
      </c>
      <c r="M19" s="61">
        <f>VLOOKUP(M9,'Таблица штрафов'!$A$7:$C$47,3,TRUE)</f>
        <v>0</v>
      </c>
      <c r="N19" s="61">
        <f>VLOOKUP(N9,'Таблица штрафов'!$A$7:$C$47,3,TRUE)</f>
        <v>0</v>
      </c>
      <c r="O19" s="61">
        <f>VLOOKUP(O9,'Таблица штрафов'!$A$7:$C$47,3,TRUE)</f>
        <v>0</v>
      </c>
      <c r="P19" s="61">
        <f>VLOOKUP(P9,'Таблица штрафов'!$A$7:$C$47,3,TRUE)</f>
        <v>0</v>
      </c>
      <c r="Q19" s="61">
        <f>VLOOKUP(Q9,'Таблица штрафов'!$A$7:$C$47,3,TRUE)</f>
        <v>0</v>
      </c>
      <c r="R19" s="61">
        <f>VLOOKUP(R9,'Таблица штрафов'!$A$7:$C$47,3,TRUE)</f>
        <v>0</v>
      </c>
      <c r="S19" s="61">
        <f>VLOOKUP(S9,'Таблица штрафов'!$A$7:$C$47,3,TRUE)</f>
        <v>0</v>
      </c>
      <c r="T19" s="61">
        <f>VLOOKUP(T9,'Таблица штрафов'!$A$7:$C$47,3,TRUE)</f>
        <v>0</v>
      </c>
      <c r="U19" s="61">
        <f>VLOOKUP(U9,'Таблица штрафов'!$A$7:$C$47,3,TRUE)</f>
        <v>0</v>
      </c>
      <c r="V19" s="61">
        <f>VLOOKUP(V9,'Таблица штрафов'!$A$7:$C$47,3,TRUE)</f>
        <v>0</v>
      </c>
      <c r="W19" s="61">
        <f>VLOOKUP(W9,'Таблица штрафов'!$A$7:$C$47,3,TRUE)</f>
        <v>0</v>
      </c>
      <c r="X19" s="61">
        <f>VLOOKUP(X9,'Таблица штрафов'!$A$7:$C$47,3,TRUE)</f>
        <v>0</v>
      </c>
      <c r="Y19" s="62">
        <f>VLOOKUP(Y9,'Таблица штрафов'!$A$7:$C$47,3,TRUE)</f>
        <v>0</v>
      </c>
      <c r="Z19" s="38">
        <f>C19+D19</f>
        <v>58</v>
      </c>
      <c r="AA19" s="80">
        <f>IF(Z19&gt;1000,0,MIN($Z$16:$Z$22)/Z19*$D$3)</f>
        <v>30</v>
      </c>
    </row>
    <row r="20" spans="1:27" s="2" customFormat="1" ht="15.75" thickBot="1">
      <c r="A20" s="116" t="str">
        <f>A10</f>
        <v>Ежики</v>
      </c>
      <c r="B20" s="148"/>
      <c r="C20" s="58">
        <f>(D10-C10)*60*24</f>
        <v>64</v>
      </c>
      <c r="D20" s="70">
        <f>SUM(E20:Y20,Z10,AA10)*$D$13</f>
        <v>5036</v>
      </c>
      <c r="E20" s="60">
        <f>VLOOKUP(E10,'Таблица штрафов'!$A$7:$C$47,3,TRUE)</f>
        <v>16</v>
      </c>
      <c r="F20" s="61">
        <f>VLOOKUP(F10,'Таблица штрафов'!$A$7:$C$47,3,TRUE)</f>
        <v>4</v>
      </c>
      <c r="G20" s="61">
        <f>VLOOKUP(G10,'Таблица штрафов'!$A$7:$C$47,3,TRUE)</f>
        <v>16</v>
      </c>
      <c r="H20" s="61">
        <f>VLOOKUP(H10,'Таблица штрафов'!$A$7:$C$47,3,TRUE)</f>
        <v>4</v>
      </c>
      <c r="I20" s="61">
        <f>VLOOKUP(I10,'Таблица штрафов'!$A$7:$C$47,3,TRUE)</f>
        <v>4</v>
      </c>
      <c r="J20" s="61">
        <f>VLOOKUP(J10,'Таблица штрафов'!$A$7:$C$47,3,TRUE)</f>
        <v>8</v>
      </c>
      <c r="K20" s="61">
        <f>VLOOKUP(K10,'Таблица штрафов'!$A$7:$C$47,3,TRUE)</f>
        <v>4</v>
      </c>
      <c r="L20" s="61">
        <f>VLOOKUP(L10,'Таблица штрафов'!$A$7:$C$47,3,TRUE)</f>
        <v>4</v>
      </c>
      <c r="M20" s="61">
        <f>VLOOKUP(M10,'Таблица штрафов'!$A$7:$C$47,3,TRUE)</f>
        <v>4</v>
      </c>
      <c r="N20" s="61">
        <f>VLOOKUP(N10,'Таблица штрафов'!$A$7:$C$47,3,TRUE)</f>
        <v>4</v>
      </c>
      <c r="O20" s="61">
        <f>VLOOKUP(O10,'Таблица штрафов'!$A$7:$C$47,3,TRUE)</f>
        <v>4</v>
      </c>
      <c r="P20" s="61">
        <f>VLOOKUP(P10,'Таблица штрафов'!$A$7:$C$47,3,TRUE)</f>
        <v>0</v>
      </c>
      <c r="Q20" s="61">
        <f>VLOOKUP(Q10,'Таблица штрафов'!$A$7:$C$47,3,TRUE)</f>
        <v>10000</v>
      </c>
      <c r="R20" s="61">
        <f>VLOOKUP(R10,'Таблица штрафов'!$A$7:$C$47,3,TRUE)</f>
        <v>0</v>
      </c>
      <c r="S20" s="61">
        <f>VLOOKUP(S10,'Таблица штрафов'!$A$7:$C$47,3,TRUE)</f>
        <v>0</v>
      </c>
      <c r="T20" s="61">
        <f>VLOOKUP(T10,'Таблица штрафов'!$A$7:$C$47,3,TRUE)</f>
        <v>0</v>
      </c>
      <c r="U20" s="61">
        <f>VLOOKUP(U10,'Таблица штрафов'!$A$7:$C$47,3,TRUE)</f>
        <v>0</v>
      </c>
      <c r="V20" s="61">
        <f>VLOOKUP(V10,'Таблица штрафов'!$A$7:$C$47,3,TRUE)</f>
        <v>0</v>
      </c>
      <c r="W20" s="61">
        <f>VLOOKUP(W10,'Таблица штрафов'!$A$7:$C$47,3,TRUE)</f>
        <v>0</v>
      </c>
      <c r="X20" s="61">
        <f>VLOOKUP(X10,'Таблица штрафов'!$A$7:$C$47,3,TRUE)</f>
        <v>0</v>
      </c>
      <c r="Y20" s="62">
        <f>VLOOKUP(Y10,'Таблица штрафов'!$A$7:$C$47,3,TRUE)</f>
        <v>0</v>
      </c>
      <c r="Z20" s="38">
        <f>C20+D20</f>
        <v>5100</v>
      </c>
      <c r="AA20" s="49">
        <f>IF(Z20&gt;1000,0,MIN($Z$16:$Z$22)/Z20*$D$3)</f>
        <v>0</v>
      </c>
    </row>
    <row r="21" s="2" customFormat="1" ht="15.75" customHeight="1"/>
    <row r="22" s="2" customFormat="1" ht="15" customHeight="1"/>
    <row r="24" spans="1:13" ht="15.75">
      <c r="A24" s="113" t="s">
        <v>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6" spans="1:27" ht="15.75">
      <c r="A26" s="121" t="s">
        <v>11</v>
      </c>
      <c r="B26" s="121"/>
      <c r="C26" s="121"/>
      <c r="D26" s="122" t="s">
        <v>127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2"/>
      <c r="AA26" s="2"/>
    </row>
    <row r="27" spans="1:25" ht="15">
      <c r="A27" s="146" t="s">
        <v>12</v>
      </c>
      <c r="B27" s="146"/>
      <c r="C27" s="146"/>
      <c r="D27" s="101" t="s">
        <v>128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5">
      <c r="A28" s="146"/>
      <c r="B28" s="146"/>
      <c r="C28" s="146"/>
      <c r="D28" s="101" t="s">
        <v>129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5">
      <c r="A29" s="146"/>
      <c r="B29" s="146"/>
      <c r="C29" s="146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5">
      <c r="A30" s="146"/>
      <c r="B30" s="146"/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</row>
    <row r="31" spans="1:25" ht="15">
      <c r="A31" s="146"/>
      <c r="B31" s="146"/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</sheetData>
  <sheetProtection/>
  <mergeCells count="31">
    <mergeCell ref="A10:B10"/>
    <mergeCell ref="A8:B8"/>
    <mergeCell ref="A9:B9"/>
    <mergeCell ref="Z4:AA4"/>
    <mergeCell ref="A1:AA1"/>
    <mergeCell ref="A6:B6"/>
    <mergeCell ref="A7:B7"/>
    <mergeCell ref="A3:C3"/>
    <mergeCell ref="A4:B5"/>
    <mergeCell ref="C4:D4"/>
    <mergeCell ref="E4:Y5"/>
    <mergeCell ref="E14:Y15"/>
    <mergeCell ref="A16:B16"/>
    <mergeCell ref="Z14:Z15"/>
    <mergeCell ref="AA14:AA15"/>
    <mergeCell ref="A17:B17"/>
    <mergeCell ref="A13:C13"/>
    <mergeCell ref="A14:B15"/>
    <mergeCell ref="C14:D14"/>
    <mergeCell ref="A26:C26"/>
    <mergeCell ref="D26:Y26"/>
    <mergeCell ref="A20:B20"/>
    <mergeCell ref="A18:B18"/>
    <mergeCell ref="A19:B19"/>
    <mergeCell ref="A24:M24"/>
    <mergeCell ref="A27:C31"/>
    <mergeCell ref="D27:Y27"/>
    <mergeCell ref="D28:Y28"/>
    <mergeCell ref="D29:Y29"/>
    <mergeCell ref="D30:Y30"/>
    <mergeCell ref="D31:Y3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="90" zoomScaleNormal="90" zoomScalePageLayoutView="0" workbookViewId="0" topLeftCell="A1">
      <selection activeCell="C31" sqref="C31"/>
    </sheetView>
  </sheetViews>
  <sheetFormatPr defaultColWidth="9.00390625" defaultRowHeight="12.75"/>
  <cols>
    <col min="2" max="2" width="13.875" style="0" customWidth="1"/>
    <col min="3" max="4" width="9.25390625" style="0" bestFit="1" customWidth="1"/>
    <col min="5" max="5" width="2.75390625" style="0" customWidth="1"/>
    <col min="6" max="6" width="3.00390625" style="0" bestFit="1" customWidth="1"/>
    <col min="7" max="25" width="2.75390625" style="0" customWidth="1"/>
    <col min="26" max="26" width="11.75390625" style="0" customWidth="1"/>
    <col min="27" max="27" width="10.00390625" style="0" bestFit="1" customWidth="1"/>
  </cols>
  <sheetData>
    <row r="1" spans="1:31" s="2" customFormat="1" ht="18" customHeight="1">
      <c r="A1" s="113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4"/>
      <c r="AD1" s="4"/>
      <c r="AE1" s="4"/>
    </row>
    <row r="2" spans="1:31" s="2" customFormat="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  <c r="AC2" s="4"/>
      <c r="AD2" s="4"/>
      <c r="AE2" s="4"/>
    </row>
    <row r="3" spans="1:4" s="2" customFormat="1" ht="15.75">
      <c r="A3" s="130" t="s">
        <v>14</v>
      </c>
      <c r="B3" s="130"/>
      <c r="C3" s="130"/>
      <c r="D3" s="34">
        <v>20</v>
      </c>
    </row>
    <row r="4" spans="1:4" s="2" customFormat="1" ht="15.75">
      <c r="A4" s="3"/>
      <c r="B4" s="3"/>
      <c r="C4" s="3"/>
      <c r="D4" s="77"/>
    </row>
    <row r="5" spans="1:4" s="2" customFormat="1" ht="16.5" thickBot="1">
      <c r="A5" s="3" t="s">
        <v>103</v>
      </c>
      <c r="B5" s="3"/>
      <c r="C5" s="3"/>
      <c r="D5" s="34">
        <v>10</v>
      </c>
    </row>
    <row r="6" spans="1:27" s="2" customFormat="1" ht="15.75">
      <c r="A6" s="131" t="s">
        <v>6</v>
      </c>
      <c r="B6" s="139"/>
      <c r="C6" s="142" t="s">
        <v>1</v>
      </c>
      <c r="D6" s="143"/>
      <c r="E6" s="131" t="s">
        <v>50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9"/>
      <c r="Z6" s="134" t="s">
        <v>62</v>
      </c>
      <c r="AA6" s="135"/>
    </row>
    <row r="7" spans="1:27" s="2" customFormat="1" ht="16.5" thickBot="1">
      <c r="A7" s="140"/>
      <c r="B7" s="141"/>
      <c r="C7" s="15" t="s">
        <v>56</v>
      </c>
      <c r="D7" s="16" t="s">
        <v>57</v>
      </c>
      <c r="E7" s="140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41"/>
      <c r="Z7" s="55" t="s">
        <v>101</v>
      </c>
      <c r="AA7" s="54" t="s">
        <v>100</v>
      </c>
    </row>
    <row r="8" spans="1:27" s="2" customFormat="1" ht="15" customHeight="1">
      <c r="A8" s="153" t="str">
        <f>Итог!A12</f>
        <v>Ударники</v>
      </c>
      <c r="B8" s="154"/>
      <c r="C8" s="22">
        <v>0.46458333333333335</v>
      </c>
      <c r="D8" s="23">
        <v>0.48583333333333334</v>
      </c>
      <c r="E8" s="56">
        <v>20</v>
      </c>
      <c r="F8" s="32">
        <v>20</v>
      </c>
      <c r="G8" s="32">
        <v>20</v>
      </c>
      <c r="H8" s="32">
        <v>3</v>
      </c>
      <c r="I8" s="32"/>
      <c r="J8" s="32">
        <v>4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33"/>
      <c r="W8" s="33"/>
      <c r="X8" s="33"/>
      <c r="Y8" s="57"/>
      <c r="Z8" s="29"/>
      <c r="AA8" s="30"/>
    </row>
    <row r="9" spans="1:27" s="2" customFormat="1" ht="15" customHeight="1">
      <c r="A9" s="153" t="str">
        <f>Итог!A11</f>
        <v>Крутые перцы</v>
      </c>
      <c r="B9" s="154"/>
      <c r="C9" s="22">
        <v>0.46458333333333335</v>
      </c>
      <c r="D9" s="23">
        <v>0.4784722222222222</v>
      </c>
      <c r="E9" s="36">
        <v>3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37"/>
      <c r="Z9" s="29"/>
      <c r="AA9" s="30"/>
    </row>
    <row r="10" spans="1:27" s="2" customFormat="1" ht="15" customHeight="1">
      <c r="A10" s="153" t="str">
        <f>Итог!A10</f>
        <v>Анк-морпорк</v>
      </c>
      <c r="B10" s="154"/>
      <c r="C10" s="22">
        <v>0.6958333333333333</v>
      </c>
      <c r="D10" s="23">
        <v>0.7125</v>
      </c>
      <c r="E10" s="36">
        <v>35</v>
      </c>
      <c r="F10" s="25">
        <v>20</v>
      </c>
      <c r="G10" s="25">
        <v>20</v>
      </c>
      <c r="H10" s="25">
        <v>20</v>
      </c>
      <c r="I10" s="25">
        <v>20</v>
      </c>
      <c r="J10" s="25"/>
      <c r="K10" s="25">
        <v>3</v>
      </c>
      <c r="L10" s="25">
        <v>4</v>
      </c>
      <c r="M10" s="25"/>
      <c r="N10" s="25"/>
      <c r="O10" s="25"/>
      <c r="P10" s="25"/>
      <c r="Q10" s="25"/>
      <c r="R10" s="25"/>
      <c r="S10" s="25"/>
      <c r="T10" s="25"/>
      <c r="U10" s="26"/>
      <c r="V10" s="26"/>
      <c r="W10" s="26"/>
      <c r="X10" s="26"/>
      <c r="Y10" s="37"/>
      <c r="Z10" s="29"/>
      <c r="AA10" s="30"/>
    </row>
    <row r="11" spans="1:27" s="2" customFormat="1" ht="15">
      <c r="A11" s="153" t="str">
        <f>Итог!A9</f>
        <v>Протест</v>
      </c>
      <c r="B11" s="154"/>
      <c r="C11" s="22">
        <v>0.5604166666666667</v>
      </c>
      <c r="D11" s="23">
        <v>0.5722222222222222</v>
      </c>
      <c r="E11" s="36">
        <v>20</v>
      </c>
      <c r="F11" s="25">
        <v>20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37"/>
      <c r="Z11" s="29"/>
      <c r="AA11" s="30">
        <v>-4</v>
      </c>
    </row>
    <row r="12" spans="1:27" s="2" customFormat="1" ht="15">
      <c r="A12" s="153" t="str">
        <f>Итог!A13</f>
        <v>Ежики</v>
      </c>
      <c r="B12" s="154"/>
      <c r="C12" s="22">
        <v>0.6430555555555556</v>
      </c>
      <c r="D12" s="23">
        <v>0.6548611111111111</v>
      </c>
      <c r="E12" s="36">
        <v>27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6"/>
      <c r="X12" s="26"/>
      <c r="Y12" s="37"/>
      <c r="Z12" s="29"/>
      <c r="AA12" s="30"/>
    </row>
    <row r="13" s="2" customFormat="1" ht="15.75" customHeight="1"/>
    <row r="14" spans="1:4" s="2" customFormat="1" ht="16.5" thickBot="1">
      <c r="A14" s="130" t="s">
        <v>104</v>
      </c>
      <c r="B14" s="130"/>
      <c r="C14" s="130"/>
      <c r="D14" s="34">
        <v>10</v>
      </c>
    </row>
    <row r="15" spans="1:27" s="2" customFormat="1" ht="15.75">
      <c r="A15" s="131" t="s">
        <v>6</v>
      </c>
      <c r="B15" s="139"/>
      <c r="C15" s="142" t="s">
        <v>1</v>
      </c>
      <c r="D15" s="143"/>
      <c r="E15" s="131" t="s">
        <v>50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9"/>
      <c r="Z15" s="134" t="s">
        <v>62</v>
      </c>
      <c r="AA15" s="135"/>
    </row>
    <row r="16" spans="1:27" s="2" customFormat="1" ht="16.5" thickBot="1">
      <c r="A16" s="140"/>
      <c r="B16" s="141"/>
      <c r="C16" s="15" t="s">
        <v>56</v>
      </c>
      <c r="D16" s="16" t="s">
        <v>57</v>
      </c>
      <c r="E16" s="140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41"/>
      <c r="Z16" s="55" t="s">
        <v>101</v>
      </c>
      <c r="AA16" s="54" t="s">
        <v>100</v>
      </c>
    </row>
    <row r="17" spans="1:27" s="2" customFormat="1" ht="15" customHeight="1">
      <c r="A17" s="153" t="str">
        <f>Итог!A12</f>
        <v>Ударники</v>
      </c>
      <c r="B17" s="154"/>
      <c r="C17" s="22">
        <v>0.49513888888888885</v>
      </c>
      <c r="D17" s="23">
        <v>0.5194444444444445</v>
      </c>
      <c r="E17" s="56">
        <v>24</v>
      </c>
      <c r="F17" s="32">
        <v>24</v>
      </c>
      <c r="G17" s="32">
        <v>24</v>
      </c>
      <c r="H17" s="32">
        <v>24</v>
      </c>
      <c r="I17" s="32">
        <v>24</v>
      </c>
      <c r="J17" s="32"/>
      <c r="K17" s="32">
        <v>3</v>
      </c>
      <c r="L17" s="32">
        <v>4</v>
      </c>
      <c r="M17" s="32"/>
      <c r="N17" s="32"/>
      <c r="O17" s="32"/>
      <c r="P17" s="32"/>
      <c r="Q17" s="32"/>
      <c r="R17" s="32"/>
      <c r="S17" s="32"/>
      <c r="T17" s="32"/>
      <c r="U17" s="33"/>
      <c r="V17" s="33"/>
      <c r="W17" s="33"/>
      <c r="X17" s="33"/>
      <c r="Y17" s="57"/>
      <c r="Z17" s="29"/>
      <c r="AA17" s="30"/>
    </row>
    <row r="18" spans="1:27" s="2" customFormat="1" ht="15" customHeight="1">
      <c r="A18" s="153" t="str">
        <f>Итог!A11</f>
        <v>Крутые перцы</v>
      </c>
      <c r="B18" s="154"/>
      <c r="C18" s="22">
        <v>0.4902777777777778</v>
      </c>
      <c r="D18" s="23">
        <v>0.5069444444444444</v>
      </c>
      <c r="E18" s="56">
        <v>20</v>
      </c>
      <c r="F18" s="32">
        <v>20</v>
      </c>
      <c r="G18" s="32">
        <v>20</v>
      </c>
      <c r="H18" s="32">
        <v>24</v>
      </c>
      <c r="I18" s="32">
        <v>24</v>
      </c>
      <c r="J18" s="32">
        <v>24</v>
      </c>
      <c r="K18" s="32"/>
      <c r="L18" s="32">
        <v>3</v>
      </c>
      <c r="M18" s="32">
        <v>4</v>
      </c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33"/>
      <c r="Y18" s="57"/>
      <c r="Z18" s="29"/>
      <c r="AA18" s="30">
        <v>-4</v>
      </c>
    </row>
    <row r="19" spans="1:27" s="2" customFormat="1" ht="15" customHeight="1">
      <c r="A19" s="153" t="str">
        <f>Итог!A10</f>
        <v>Анк-морпорк</v>
      </c>
      <c r="B19" s="154"/>
      <c r="C19" s="22">
        <v>0.7222222222222222</v>
      </c>
      <c r="D19" s="23">
        <v>0.7361111111111112</v>
      </c>
      <c r="E19" s="36">
        <v>20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6"/>
      <c r="W19" s="26"/>
      <c r="X19" s="26"/>
      <c r="Y19" s="37"/>
      <c r="Z19" s="29"/>
      <c r="AA19" s="30">
        <v>-5</v>
      </c>
    </row>
    <row r="20" spans="1:27" s="2" customFormat="1" ht="15" customHeight="1">
      <c r="A20" s="153" t="str">
        <f>Итог!A9</f>
        <v>Протест</v>
      </c>
      <c r="B20" s="154"/>
      <c r="C20" s="22">
        <v>0.5847222222222223</v>
      </c>
      <c r="D20" s="23">
        <v>0.6027777777777777</v>
      </c>
      <c r="E20" s="36">
        <v>35</v>
      </c>
      <c r="F20" s="25">
        <v>20</v>
      </c>
      <c r="G20" s="25">
        <v>27</v>
      </c>
      <c r="H20" s="25">
        <v>29</v>
      </c>
      <c r="I20" s="25">
        <v>29</v>
      </c>
      <c r="J20" s="25"/>
      <c r="K20" s="25">
        <v>3</v>
      </c>
      <c r="L20" s="25">
        <v>4</v>
      </c>
      <c r="M20" s="25"/>
      <c r="N20" s="25"/>
      <c r="O20" s="25"/>
      <c r="P20" s="25"/>
      <c r="Q20" s="25"/>
      <c r="R20" s="25"/>
      <c r="S20" s="25"/>
      <c r="T20" s="25"/>
      <c r="U20" s="26"/>
      <c r="V20" s="26"/>
      <c r="W20" s="26"/>
      <c r="X20" s="26"/>
      <c r="Y20" s="37"/>
      <c r="Z20" s="29"/>
      <c r="AA20" s="30"/>
    </row>
    <row r="21" spans="1:27" s="2" customFormat="1" ht="15" customHeight="1">
      <c r="A21" s="153" t="str">
        <f>Итог!A13</f>
        <v>Ежики</v>
      </c>
      <c r="B21" s="154"/>
      <c r="C21" s="22">
        <v>0.6638888888888889</v>
      </c>
      <c r="D21" s="23">
        <v>0.6819444444444445</v>
      </c>
      <c r="E21" s="36">
        <v>20</v>
      </c>
      <c r="F21" s="25">
        <v>24</v>
      </c>
      <c r="G21" s="25">
        <v>20</v>
      </c>
      <c r="H21" s="25">
        <v>20</v>
      </c>
      <c r="I21" s="25"/>
      <c r="J21" s="25">
        <v>3</v>
      </c>
      <c r="K21" s="25">
        <v>4</v>
      </c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6"/>
      <c r="W21" s="26"/>
      <c r="X21" s="26"/>
      <c r="Y21" s="37"/>
      <c r="Z21" s="29"/>
      <c r="AA21" s="30"/>
    </row>
    <row r="22" s="2" customFormat="1" ht="15"/>
    <row r="23" spans="1:27" s="2" customFormat="1" ht="15" customHeight="1" thickBot="1">
      <c r="A23" s="120" t="s">
        <v>54</v>
      </c>
      <c r="B23" s="120"/>
      <c r="C23" s="120"/>
      <c r="D23" s="35">
        <v>0.5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2"/>
      <c r="AA23" s="12"/>
    </row>
    <row r="24" spans="1:28" s="2" customFormat="1" ht="15" customHeight="1">
      <c r="A24" s="131" t="s">
        <v>6</v>
      </c>
      <c r="B24" s="139"/>
      <c r="C24" s="142" t="s">
        <v>61</v>
      </c>
      <c r="D24" s="143"/>
      <c r="E24" s="132" t="s">
        <v>53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9"/>
      <c r="Z24" s="98" t="s">
        <v>59</v>
      </c>
      <c r="AA24" s="118" t="s">
        <v>7</v>
      </c>
      <c r="AB24" s="159" t="s">
        <v>92</v>
      </c>
    </row>
    <row r="25" spans="1:28" ht="16.5" thickBot="1">
      <c r="A25" s="133"/>
      <c r="B25" s="152"/>
      <c r="C25" s="15" t="s">
        <v>58</v>
      </c>
      <c r="D25" s="16" t="s">
        <v>60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29"/>
      <c r="AA25" s="119"/>
      <c r="AB25" s="160"/>
    </row>
    <row r="26" spans="1:28" ht="15.75" thickBot="1">
      <c r="A26" s="114" t="str">
        <f>A8</f>
        <v>Ударники</v>
      </c>
      <c r="B26" s="149"/>
      <c r="C26" s="58">
        <f>(D8-C8)*60*24</f>
        <v>30.599999999999987</v>
      </c>
      <c r="D26" s="70">
        <f>SUM(E26:Y26,Z8,AA8)*$D$23</f>
        <v>10012</v>
      </c>
      <c r="E26" s="61">
        <f>VLOOKUP(E8,'Таблица штрафов'!$A$7:$C$47,3,TRUE)</f>
        <v>8</v>
      </c>
      <c r="F26" s="61">
        <f>VLOOKUP(F8,'Таблица штрафов'!$A$7:$C$47,3,TRUE)</f>
        <v>8</v>
      </c>
      <c r="G26" s="61">
        <f>VLOOKUP(G8,'Таблица штрафов'!$A$7:$C$47,3,TRUE)</f>
        <v>8</v>
      </c>
      <c r="H26" s="61">
        <f>VLOOKUP(H8,'Таблица штрафов'!$A$7:$C$47,3,TRUE)</f>
        <v>10000</v>
      </c>
      <c r="I26" s="61">
        <f>VLOOKUP(I8,'Таблица штрафов'!$A$7:$C$47,3,TRUE)</f>
        <v>0</v>
      </c>
      <c r="J26" s="61">
        <f>VLOOKUP(J8,'Таблица штрафов'!$A$7:$C$47,3,TRUE)</f>
        <v>10000</v>
      </c>
      <c r="K26" s="61">
        <f>VLOOKUP(K8,'Таблица штрафов'!$A$7:$C$47,3,TRUE)</f>
        <v>0</v>
      </c>
      <c r="L26" s="61">
        <f>VLOOKUP(L8,'Таблица штрафов'!$A$7:$C$47,3,TRUE)</f>
        <v>0</v>
      </c>
      <c r="M26" s="61">
        <f>VLOOKUP(M8,'Таблица штрафов'!$A$7:$C$47,3,TRUE)</f>
        <v>0</v>
      </c>
      <c r="N26" s="61">
        <f>VLOOKUP(N8,'Таблица штрафов'!$A$7:$C$47,3,TRUE)</f>
        <v>0</v>
      </c>
      <c r="O26" s="61">
        <f>VLOOKUP(O8,'Таблица штрафов'!$A$7:$C$47,3,TRUE)</f>
        <v>0</v>
      </c>
      <c r="P26" s="61">
        <f>VLOOKUP(P8,'Таблица штрафов'!$A$7:$C$47,3,TRUE)</f>
        <v>0</v>
      </c>
      <c r="Q26" s="61">
        <f>VLOOKUP(Q8,'Таблица штрафов'!$A$7:$C$47,3,TRUE)</f>
        <v>0</v>
      </c>
      <c r="R26" s="61">
        <f>VLOOKUP(R8,'Таблица штрафов'!$A$7:$C$47,3,TRUE)</f>
        <v>0</v>
      </c>
      <c r="S26" s="61">
        <f>VLOOKUP(S8,'Таблица штрафов'!$A$7:$C$47,3,TRUE)</f>
        <v>0</v>
      </c>
      <c r="T26" s="61">
        <f>VLOOKUP(T8,'Таблица штрафов'!$A$7:$C$47,3,TRUE)</f>
        <v>0</v>
      </c>
      <c r="U26" s="61">
        <f>VLOOKUP(U8,'Таблица штрафов'!$A$7:$C$47,3,TRUE)</f>
        <v>0</v>
      </c>
      <c r="V26" s="61">
        <f>VLOOKUP(V8,'Таблица штрафов'!$A$7:$C$47,3,TRUE)</f>
        <v>0</v>
      </c>
      <c r="W26" s="61">
        <f>VLOOKUP(W8,'Таблица штрафов'!$A$7:$C$47,3,TRUE)</f>
        <v>0</v>
      </c>
      <c r="X26" s="61">
        <f>VLOOKUP(X8,'Таблица штрафов'!$A$7:$C$47,3,TRUE)</f>
        <v>0</v>
      </c>
      <c r="Y26" s="62">
        <f>VLOOKUP(Y8,'Таблица штрафов'!$A$7:$C$47,3,TRUE)</f>
        <v>0</v>
      </c>
      <c r="Z26" s="38">
        <f>C26+D26</f>
        <v>10042.6</v>
      </c>
      <c r="AA26" s="49">
        <f>IF(Z26&gt;1000,0,MIN(Z26,Z28,Z30,Z32,Z34)/Z26*$D$3/2)</f>
        <v>0</v>
      </c>
      <c r="AB26" s="157">
        <f>(AA26+AA27)</f>
        <v>0</v>
      </c>
    </row>
    <row r="27" spans="1:28" ht="15.75" customHeight="1" thickBot="1">
      <c r="A27" s="114" t="str">
        <f>A17</f>
        <v>Ударники</v>
      </c>
      <c r="B27" s="149"/>
      <c r="C27" s="58">
        <f>(D17-C17)*60*24</f>
        <v>35.000000000000114</v>
      </c>
      <c r="D27" s="70">
        <f>SUM(E27:Y27,Z17,AA17)*$D$23</f>
        <v>10020</v>
      </c>
      <c r="E27" s="61">
        <f>VLOOKUP(E17,'Таблица штрафов'!$A$7:$C$47,3,TRUE)</f>
        <v>8</v>
      </c>
      <c r="F27" s="61">
        <f>VLOOKUP(F17,'Таблица штрафов'!$A$7:$C$47,3,TRUE)</f>
        <v>8</v>
      </c>
      <c r="G27" s="61">
        <f>VLOOKUP(G17,'Таблица штрафов'!$A$7:$C$47,3,TRUE)</f>
        <v>8</v>
      </c>
      <c r="H27" s="61">
        <f>VLOOKUP(H17,'Таблица штрафов'!$A$7:$C$47,3,TRUE)</f>
        <v>8</v>
      </c>
      <c r="I27" s="61">
        <f>VLOOKUP(I17,'Таблица штрафов'!$A$7:$C$47,3,TRUE)</f>
        <v>8</v>
      </c>
      <c r="J27" s="61">
        <f>VLOOKUP(J17,'Таблица штрафов'!$A$7:$C$47,3,TRUE)</f>
        <v>0</v>
      </c>
      <c r="K27" s="61">
        <f>VLOOKUP(K17,'Таблица штрафов'!$A$7:$C$47,3,TRUE)</f>
        <v>10000</v>
      </c>
      <c r="L27" s="61">
        <f>VLOOKUP(L17,'Таблица штрафов'!$A$7:$C$47,3,TRUE)</f>
        <v>10000</v>
      </c>
      <c r="M27" s="61">
        <f>VLOOKUP(M17,'Таблица штрафов'!$A$7:$C$47,3,TRUE)</f>
        <v>0</v>
      </c>
      <c r="N27" s="61">
        <f>VLOOKUP(N17,'Таблица штрафов'!$A$7:$C$47,3,TRUE)</f>
        <v>0</v>
      </c>
      <c r="O27" s="61">
        <f>VLOOKUP(O17,'Таблица штрафов'!$A$7:$C$47,3,TRUE)</f>
        <v>0</v>
      </c>
      <c r="P27" s="61">
        <f>VLOOKUP(P17,'Таблица штрафов'!$A$7:$C$47,3,TRUE)</f>
        <v>0</v>
      </c>
      <c r="Q27" s="61">
        <f>VLOOKUP(Q17,'Таблица штрафов'!$A$7:$C$47,3,TRUE)</f>
        <v>0</v>
      </c>
      <c r="R27" s="61">
        <f>VLOOKUP(R17,'Таблица штрафов'!$A$7:$C$47,3,TRUE)</f>
        <v>0</v>
      </c>
      <c r="S27" s="61">
        <f>VLOOKUP(S17,'Таблица штрафов'!$A$7:$C$47,3,TRUE)</f>
        <v>0</v>
      </c>
      <c r="T27" s="61">
        <f>VLOOKUP(T17,'Таблица штрафов'!$A$7:$C$47,3,TRUE)</f>
        <v>0</v>
      </c>
      <c r="U27" s="61">
        <f>VLOOKUP(U17,'Таблица штрафов'!$A$7:$C$47,3,TRUE)</f>
        <v>0</v>
      </c>
      <c r="V27" s="61">
        <f>VLOOKUP(V17,'Таблица штрафов'!$A$7:$C$47,3,TRUE)</f>
        <v>0</v>
      </c>
      <c r="W27" s="61">
        <f>VLOOKUP(W17,'Таблица штрафов'!$A$7:$C$47,3,TRUE)</f>
        <v>0</v>
      </c>
      <c r="X27" s="61">
        <f>VLOOKUP(X17,'Таблица штрафов'!$A$7:$C$47,3,TRUE)</f>
        <v>0</v>
      </c>
      <c r="Y27" s="61">
        <f>VLOOKUP(Y17,'Таблица штрафов'!$A$7:$C$47,3,TRUE)</f>
        <v>0</v>
      </c>
      <c r="Z27" s="38">
        <f aca="true" t="shared" si="0" ref="Z27:Z35">C27+D27</f>
        <v>10055</v>
      </c>
      <c r="AA27" s="49">
        <f>IF(Z27&gt;1000,0,MIN(Z27,Z29,Z31,Z33,Z35)/Z27*$D$3/2)</f>
        <v>0</v>
      </c>
      <c r="AB27" s="158"/>
    </row>
    <row r="28" spans="1:28" ht="15.75" customHeight="1" thickBot="1">
      <c r="A28" s="114" t="str">
        <f>A9</f>
        <v>Крутые перцы</v>
      </c>
      <c r="B28" s="149"/>
      <c r="C28" s="58">
        <f>(D9-C9)*60*24</f>
        <v>19.99999999999993</v>
      </c>
      <c r="D28" s="70">
        <f>SUM(E28:Y28,Z9,AA9)*$D$23</f>
        <v>5000</v>
      </c>
      <c r="E28" s="61">
        <f>VLOOKUP(E9,'Таблица штрафов'!$A$7:$C$47,3,TRUE)</f>
        <v>10000</v>
      </c>
      <c r="F28" s="61">
        <f>VLOOKUP(F9,'Таблица штрафов'!$A$7:$C$47,3,TRUE)</f>
        <v>0</v>
      </c>
      <c r="G28" s="61">
        <f>VLOOKUP(G9,'Таблица штрафов'!$A$7:$C$47,3,TRUE)</f>
        <v>0</v>
      </c>
      <c r="H28" s="61">
        <f>VLOOKUP(H9,'Таблица штрафов'!$A$7:$C$47,3,TRUE)</f>
        <v>0</v>
      </c>
      <c r="I28" s="61">
        <f>VLOOKUP(I9,'Таблица штрафов'!$A$7:$C$47,3,TRUE)</f>
        <v>0</v>
      </c>
      <c r="J28" s="61">
        <f>VLOOKUP(J9,'Таблица штрафов'!$A$7:$C$47,3,TRUE)</f>
        <v>0</v>
      </c>
      <c r="K28" s="61">
        <f>VLOOKUP(K9,'Таблица штрафов'!$A$7:$C$47,3,TRUE)</f>
        <v>0</v>
      </c>
      <c r="L28" s="61">
        <f>VLOOKUP(L9,'Таблица штрафов'!$A$7:$C$47,3,TRUE)</f>
        <v>0</v>
      </c>
      <c r="M28" s="61">
        <f>VLOOKUP(M9,'Таблица штрафов'!$A$7:$C$47,3,TRUE)</f>
        <v>0</v>
      </c>
      <c r="N28" s="61">
        <f>VLOOKUP(N9,'Таблица штрафов'!$A$7:$C$47,3,TRUE)</f>
        <v>0</v>
      </c>
      <c r="O28" s="61">
        <f>VLOOKUP(O9,'Таблица штрафов'!$A$7:$C$47,3,TRUE)</f>
        <v>0</v>
      </c>
      <c r="P28" s="61">
        <f>VLOOKUP(P9,'Таблица штрафов'!$A$7:$C$47,3,TRUE)</f>
        <v>0</v>
      </c>
      <c r="Q28" s="61">
        <f>VLOOKUP(Q9,'Таблица штрафов'!$A$7:$C$47,3,TRUE)</f>
        <v>0</v>
      </c>
      <c r="R28" s="61">
        <f>VLOOKUP(R9,'Таблица штрафов'!$A$7:$C$47,3,TRUE)</f>
        <v>0</v>
      </c>
      <c r="S28" s="61">
        <f>VLOOKUP(S9,'Таблица штрафов'!$A$7:$C$47,3,TRUE)</f>
        <v>0</v>
      </c>
      <c r="T28" s="61">
        <f>VLOOKUP(T9,'Таблица штрафов'!$A$7:$C$47,3,TRUE)</f>
        <v>0</v>
      </c>
      <c r="U28" s="61">
        <f>VLOOKUP(U9,'Таблица штрафов'!$A$7:$C$47,3,TRUE)</f>
        <v>0</v>
      </c>
      <c r="V28" s="61">
        <f>VLOOKUP(V9,'Таблица штрафов'!$A$7:$C$47,3,TRUE)</f>
        <v>0</v>
      </c>
      <c r="W28" s="61">
        <f>VLOOKUP(W9,'Таблица штрафов'!$A$7:$C$47,3,TRUE)</f>
        <v>0</v>
      </c>
      <c r="X28" s="61">
        <f>VLOOKUP(X9,'Таблица штрафов'!$A$7:$C$47,3,TRUE)</f>
        <v>0</v>
      </c>
      <c r="Y28" s="62">
        <f>VLOOKUP(Y9,'Таблица штрафов'!$A$7:$C$47,3,TRUE)</f>
        <v>0</v>
      </c>
      <c r="Z28" s="38">
        <f t="shared" si="0"/>
        <v>5020</v>
      </c>
      <c r="AA28" s="49">
        <f>IF(Z28&gt;1000,0,MIN(Z26,Z28,Z30,Z32,Z34)/Z28*$D$3/2)</f>
        <v>0</v>
      </c>
      <c r="AB28" s="157">
        <f>(AA28+AA29)</f>
        <v>0</v>
      </c>
    </row>
    <row r="29" spans="1:28" ht="15.75" customHeight="1" thickBot="1">
      <c r="A29" s="114" t="str">
        <f>A18</f>
        <v>Крутые перцы</v>
      </c>
      <c r="B29" s="149"/>
      <c r="C29" s="58">
        <f>(D18-C18)*60*24</f>
        <v>23.999999999999915</v>
      </c>
      <c r="D29" s="70">
        <f>SUM(E29:Y29,Z18,AA18)*$D$23</f>
        <v>10022</v>
      </c>
      <c r="E29" s="61">
        <f>VLOOKUP(E18,'Таблица штрафов'!$A$7:$C$47,3,TRUE)</f>
        <v>8</v>
      </c>
      <c r="F29" s="61">
        <f>VLOOKUP(F18,'Таблица штрафов'!$A$7:$C$47,3,TRUE)</f>
        <v>8</v>
      </c>
      <c r="G29" s="61">
        <f>VLOOKUP(G18,'Таблица штрафов'!$A$7:$C$47,3,TRUE)</f>
        <v>8</v>
      </c>
      <c r="H29" s="61">
        <f>VLOOKUP(H18,'Таблица штрафов'!$A$7:$C$47,3,TRUE)</f>
        <v>8</v>
      </c>
      <c r="I29" s="61">
        <f>VLOOKUP(I18,'Таблица штрафов'!$A$7:$C$47,3,TRUE)</f>
        <v>8</v>
      </c>
      <c r="J29" s="61">
        <f>VLOOKUP(J18,'Таблица штрафов'!$A$7:$C$47,3,TRUE)</f>
        <v>8</v>
      </c>
      <c r="K29" s="61">
        <f>VLOOKUP(K18,'Таблица штрафов'!$A$7:$C$47,3,TRUE)</f>
        <v>0</v>
      </c>
      <c r="L29" s="61">
        <f>VLOOKUP(L18,'Таблица штрафов'!$A$7:$C$47,3,TRUE)</f>
        <v>10000</v>
      </c>
      <c r="M29" s="61">
        <f>VLOOKUP(M18,'Таблица штрафов'!$A$7:$C$47,3,TRUE)</f>
        <v>10000</v>
      </c>
      <c r="N29" s="61">
        <f>VLOOKUP(N18,'Таблица штрафов'!$A$7:$C$47,3,TRUE)</f>
        <v>0</v>
      </c>
      <c r="O29" s="61">
        <f>VLOOKUP(O18,'Таблица штрафов'!$A$7:$C$47,3,TRUE)</f>
        <v>0</v>
      </c>
      <c r="P29" s="61">
        <f>VLOOKUP(P18,'Таблица штрафов'!$A$7:$C$47,3,TRUE)</f>
        <v>0</v>
      </c>
      <c r="Q29" s="61">
        <f>VLOOKUP(Q18,'Таблица штрафов'!$A$7:$C$47,3,TRUE)</f>
        <v>0</v>
      </c>
      <c r="R29" s="61">
        <f>VLOOKUP(R18,'Таблица штрафов'!$A$7:$C$47,3,TRUE)</f>
        <v>0</v>
      </c>
      <c r="S29" s="61">
        <f>VLOOKUP(S18,'Таблица штрафов'!$A$7:$C$47,3,TRUE)</f>
        <v>0</v>
      </c>
      <c r="T29" s="61">
        <f>VLOOKUP(T18,'Таблица штрафов'!$A$7:$C$47,3,TRUE)</f>
        <v>0</v>
      </c>
      <c r="U29" s="61">
        <f>VLOOKUP(U18,'Таблица штрафов'!$A$7:$C$47,3,TRUE)</f>
        <v>0</v>
      </c>
      <c r="V29" s="61">
        <f>VLOOKUP(V18,'Таблица штрафов'!$A$7:$C$47,3,TRUE)</f>
        <v>0</v>
      </c>
      <c r="W29" s="61">
        <f>VLOOKUP(W18,'Таблица штрафов'!$A$7:$C$47,3,TRUE)</f>
        <v>0</v>
      </c>
      <c r="X29" s="61">
        <f>VLOOKUP(X18,'Таблица штрафов'!$A$7:$C$47,3,TRUE)</f>
        <v>0</v>
      </c>
      <c r="Y29" s="61">
        <f>VLOOKUP(Y18,'Таблица штрафов'!$A$7:$C$47,3,TRUE)</f>
        <v>0</v>
      </c>
      <c r="Z29" s="38">
        <f t="shared" si="0"/>
        <v>10046</v>
      </c>
      <c r="AA29" s="49">
        <f>IF(Z29&gt;1000,0,MIN(Z29,Z31,Z33,Z35,Z27)/Z29*$D$3/2)</f>
        <v>0</v>
      </c>
      <c r="AB29" s="158"/>
    </row>
    <row r="30" spans="1:28" ht="15.75" customHeight="1" thickBot="1">
      <c r="A30" s="114" t="str">
        <f>A10</f>
        <v>Анк-морпорк</v>
      </c>
      <c r="B30" s="149"/>
      <c r="C30" s="58">
        <f>(D10-C10)*60*24</f>
        <v>24.000000000000075</v>
      </c>
      <c r="D30" s="70">
        <f>SUM(E30:Y30,Z10,AA10)*$D$23</f>
        <v>10018</v>
      </c>
      <c r="E30" s="61">
        <f>VLOOKUP(E10,'Таблица штрафов'!$A$7:$C$47,3,TRUE)</f>
        <v>4</v>
      </c>
      <c r="F30" s="61">
        <f>VLOOKUP(F10,'Таблица штрафов'!$A$7:$C$47,3,TRUE)</f>
        <v>8</v>
      </c>
      <c r="G30" s="61">
        <f>VLOOKUP(G10,'Таблица штрафов'!$A$7:$C$47,3,TRUE)</f>
        <v>8</v>
      </c>
      <c r="H30" s="61">
        <f>VLOOKUP(H10,'Таблица штрафов'!$A$7:$C$47,3,TRUE)</f>
        <v>8</v>
      </c>
      <c r="I30" s="61">
        <f>VLOOKUP(I10,'Таблица штрафов'!$A$7:$C$47,3,TRUE)</f>
        <v>8</v>
      </c>
      <c r="J30" s="61">
        <f>VLOOKUP(J10,'Таблица штрафов'!$A$7:$C$47,3,TRUE)</f>
        <v>0</v>
      </c>
      <c r="K30" s="61">
        <f>VLOOKUP(K10,'Таблица штрафов'!$A$7:$C$47,3,TRUE)</f>
        <v>10000</v>
      </c>
      <c r="L30" s="61">
        <f>VLOOKUP(L10,'Таблица штрафов'!$A$7:$C$47,3,TRUE)</f>
        <v>10000</v>
      </c>
      <c r="M30" s="61">
        <f>VLOOKUP(M10,'Таблица штрафов'!$A$7:$C$47,3,TRUE)</f>
        <v>0</v>
      </c>
      <c r="N30" s="61">
        <f>VLOOKUP(N10,'Таблица штрафов'!$A$7:$C$47,3,TRUE)</f>
        <v>0</v>
      </c>
      <c r="O30" s="61">
        <f>VLOOKUP(O10,'Таблица штрафов'!$A$7:$C$47,3,TRUE)</f>
        <v>0</v>
      </c>
      <c r="P30" s="61">
        <f>VLOOKUP(P10,'Таблица штрафов'!$A$7:$C$47,3,TRUE)</f>
        <v>0</v>
      </c>
      <c r="Q30" s="61">
        <f>VLOOKUP(Q10,'Таблица штрафов'!$A$7:$C$47,3,TRUE)</f>
        <v>0</v>
      </c>
      <c r="R30" s="61">
        <f>VLOOKUP(R10,'Таблица штрафов'!$A$7:$C$47,3,TRUE)</f>
        <v>0</v>
      </c>
      <c r="S30" s="61">
        <f>VLOOKUP(S10,'Таблица штрафов'!$A$7:$C$47,3,TRUE)</f>
        <v>0</v>
      </c>
      <c r="T30" s="61">
        <f>VLOOKUP(T10,'Таблица штрафов'!$A$7:$C$47,3,TRUE)</f>
        <v>0</v>
      </c>
      <c r="U30" s="61">
        <f>VLOOKUP(U10,'Таблица штрафов'!$A$7:$C$47,3,TRUE)</f>
        <v>0</v>
      </c>
      <c r="V30" s="61">
        <f>VLOOKUP(V10,'Таблица штрафов'!$A$7:$C$47,3,TRUE)</f>
        <v>0</v>
      </c>
      <c r="W30" s="61">
        <f>VLOOKUP(W10,'Таблица штрафов'!$A$7:$C$47,3,TRUE)</f>
        <v>0</v>
      </c>
      <c r="X30" s="61">
        <f>VLOOKUP(X10,'Таблица штрафов'!$A$7:$C$47,3,TRUE)</f>
        <v>0</v>
      </c>
      <c r="Y30" s="62">
        <f>VLOOKUP(Y10,'Таблица штрафов'!$A$7:$C$47,3,TRUE)</f>
        <v>0</v>
      </c>
      <c r="Z30" s="38">
        <f t="shared" si="0"/>
        <v>10042</v>
      </c>
      <c r="AA30" s="49">
        <f>IF(Z30&gt;1000,0,MIN(Z30,Z32,Z34,Z26,Z28)/Z30*$D$3/2)</f>
        <v>0</v>
      </c>
      <c r="AB30" s="155">
        <f>(AA30+AA31)</f>
        <v>10</v>
      </c>
    </row>
    <row r="31" spans="1:28" ht="15.75" customHeight="1" thickBot="1">
      <c r="A31" s="114" t="str">
        <f>A19</f>
        <v>Анк-морпорк</v>
      </c>
      <c r="B31" s="149"/>
      <c r="C31" s="58">
        <f>(D19-C19)*60*24</f>
        <v>20.00000000000009</v>
      </c>
      <c r="D31" s="70">
        <f>SUM(E31:Y31,Z19,AA19)*$D$23</f>
        <v>1.5</v>
      </c>
      <c r="E31" s="61">
        <f>VLOOKUP(E19,'Таблица штрафов'!$A$7:$C$47,3,TRUE)</f>
        <v>8</v>
      </c>
      <c r="F31" s="61">
        <f>VLOOKUP(F19,'Таблица штрафов'!$A$7:$C$47,3,TRUE)</f>
        <v>0</v>
      </c>
      <c r="G31" s="61">
        <f>VLOOKUP(G19,'Таблица штрафов'!$A$7:$C$47,3,TRUE)</f>
        <v>0</v>
      </c>
      <c r="H31" s="61">
        <f>VLOOKUP(H19,'Таблица штрафов'!$A$7:$C$47,3,TRUE)</f>
        <v>0</v>
      </c>
      <c r="I31" s="61">
        <f>VLOOKUP(I19,'Таблица штрафов'!$A$7:$C$47,3,TRUE)</f>
        <v>0</v>
      </c>
      <c r="J31" s="61">
        <f>VLOOKUP(J19,'Таблица штрафов'!$A$7:$C$47,3,TRUE)</f>
        <v>0</v>
      </c>
      <c r="K31" s="61">
        <f>VLOOKUP(K19,'Таблица штрафов'!$A$7:$C$47,3,TRUE)</f>
        <v>0</v>
      </c>
      <c r="L31" s="61">
        <f>VLOOKUP(L19,'Таблица штрафов'!$A$7:$C$47,3,TRUE)</f>
        <v>0</v>
      </c>
      <c r="M31" s="61">
        <f>VLOOKUP(M19,'Таблица штрафов'!$A$7:$C$47,3,TRUE)</f>
        <v>0</v>
      </c>
      <c r="N31" s="61">
        <f>VLOOKUP(N19,'Таблица штрафов'!$A$7:$C$47,3,TRUE)</f>
        <v>0</v>
      </c>
      <c r="O31" s="61">
        <f>VLOOKUP(O19,'Таблица штрафов'!$A$7:$C$47,3,TRUE)</f>
        <v>0</v>
      </c>
      <c r="P31" s="61">
        <f>VLOOKUP(P19,'Таблица штрафов'!$A$7:$C$47,3,TRUE)</f>
        <v>0</v>
      </c>
      <c r="Q31" s="61">
        <f>VLOOKUP(Q19,'Таблица штрафов'!$A$7:$C$47,3,TRUE)</f>
        <v>0</v>
      </c>
      <c r="R31" s="61">
        <f>VLOOKUP(R19,'Таблица штрафов'!$A$7:$C$47,3,TRUE)</f>
        <v>0</v>
      </c>
      <c r="S31" s="61">
        <f>VLOOKUP(S19,'Таблица штрафов'!$A$7:$C$47,3,TRUE)</f>
        <v>0</v>
      </c>
      <c r="T31" s="61">
        <f>VLOOKUP(T19,'Таблица штрафов'!$A$7:$C$47,3,TRUE)</f>
        <v>0</v>
      </c>
      <c r="U31" s="61">
        <f>VLOOKUP(U19,'Таблица штрафов'!$A$7:$C$47,3,TRUE)</f>
        <v>0</v>
      </c>
      <c r="V31" s="61">
        <f>VLOOKUP(V19,'Таблица штрафов'!$A$7:$C$47,3,TRUE)</f>
        <v>0</v>
      </c>
      <c r="W31" s="61">
        <f>VLOOKUP(W19,'Таблица штрафов'!$A$7:$C$47,3,TRUE)</f>
        <v>0</v>
      </c>
      <c r="X31" s="61">
        <f>VLOOKUP(X19,'Таблица штрафов'!$A$7:$C$47,3,TRUE)</f>
        <v>0</v>
      </c>
      <c r="Y31" s="61">
        <f>VLOOKUP(Y19,'Таблица штрафов'!$A$7:$C$47,3,TRUE)</f>
        <v>0</v>
      </c>
      <c r="Z31" s="38">
        <f t="shared" si="0"/>
        <v>21.50000000000009</v>
      </c>
      <c r="AA31" s="49">
        <f>IF(Z31&gt;1000,0,MIN(Z31,Z33,Z35,Z27,Z29)/Z31*$D$3/2)</f>
        <v>10</v>
      </c>
      <c r="AB31" s="156"/>
    </row>
    <row r="32" spans="1:28" ht="15.75" customHeight="1" thickBot="1">
      <c r="A32" s="114" t="str">
        <f>A11</f>
        <v>Протест</v>
      </c>
      <c r="B32" s="149"/>
      <c r="C32" s="58">
        <f>(D11-C11)*60*24</f>
        <v>16.99999999999994</v>
      </c>
      <c r="D32" s="70">
        <f>SUM(E32:Y32,Z11,AA11)*$D$23</f>
        <v>6</v>
      </c>
      <c r="E32" s="61">
        <f>VLOOKUP(E11,'Таблица штрафов'!$A$7:$C$47,3,TRUE)</f>
        <v>8</v>
      </c>
      <c r="F32" s="61">
        <f>VLOOKUP(F11,'Таблица штрафов'!$A$7:$C$47,3,TRUE)</f>
        <v>8</v>
      </c>
      <c r="G32" s="61">
        <f>VLOOKUP(G11,'Таблица штрафов'!$A$7:$C$47,3,TRUE)</f>
        <v>0</v>
      </c>
      <c r="H32" s="61">
        <f>VLOOKUP(H11,'Таблица штрафов'!$A$7:$C$47,3,TRUE)</f>
        <v>0</v>
      </c>
      <c r="I32" s="61">
        <f>VLOOKUP(I11,'Таблица штрафов'!$A$7:$C$47,3,TRUE)</f>
        <v>0</v>
      </c>
      <c r="J32" s="61">
        <f>VLOOKUP(J11,'Таблица штрафов'!$A$7:$C$47,3,TRUE)</f>
        <v>0</v>
      </c>
      <c r="K32" s="61">
        <f>VLOOKUP(K11,'Таблица штрафов'!$A$7:$C$47,3,TRUE)</f>
        <v>0</v>
      </c>
      <c r="L32" s="61">
        <f>VLOOKUP(L11,'Таблица штрафов'!$A$7:$C$47,3,TRUE)</f>
        <v>0</v>
      </c>
      <c r="M32" s="61">
        <f>VLOOKUP(M11,'Таблица штрафов'!$A$7:$C$47,3,TRUE)</f>
        <v>0</v>
      </c>
      <c r="N32" s="61">
        <f>VLOOKUP(N11,'Таблица штрафов'!$A$7:$C$47,3,TRUE)</f>
        <v>0</v>
      </c>
      <c r="O32" s="61">
        <f>VLOOKUP(O11,'Таблица штрафов'!$A$7:$C$47,3,TRUE)</f>
        <v>0</v>
      </c>
      <c r="P32" s="61">
        <f>VLOOKUP(P11,'Таблица штрафов'!$A$7:$C$47,3,TRUE)</f>
        <v>0</v>
      </c>
      <c r="Q32" s="61">
        <f>VLOOKUP(Q11,'Таблица штрафов'!$A$7:$C$47,3,TRUE)</f>
        <v>0</v>
      </c>
      <c r="R32" s="61">
        <f>VLOOKUP(R11,'Таблица штрафов'!$A$7:$C$47,3,TRUE)</f>
        <v>0</v>
      </c>
      <c r="S32" s="61">
        <f>VLOOKUP(S11,'Таблица штрафов'!$A$7:$C$47,3,TRUE)</f>
        <v>0</v>
      </c>
      <c r="T32" s="61">
        <f>VLOOKUP(T11,'Таблица штрафов'!$A$7:$C$47,3,TRUE)</f>
        <v>0</v>
      </c>
      <c r="U32" s="61">
        <f>VLOOKUP(U11,'Таблица штрафов'!$A$7:$C$47,3,TRUE)</f>
        <v>0</v>
      </c>
      <c r="V32" s="61">
        <f>VLOOKUP(V11,'Таблица штрафов'!$A$7:$C$47,3,TRUE)</f>
        <v>0</v>
      </c>
      <c r="W32" s="61">
        <f>VLOOKUP(W11,'Таблица штрафов'!$A$7:$C$47,3,TRUE)</f>
        <v>0</v>
      </c>
      <c r="X32" s="61">
        <f>VLOOKUP(X11,'Таблица штрафов'!$A$7:$C$47,3,TRUE)</f>
        <v>0</v>
      </c>
      <c r="Y32" s="62">
        <f>VLOOKUP(Y11,'Таблица штрафов'!$A$7:$C$47,3,TRUE)</f>
        <v>0</v>
      </c>
      <c r="Z32" s="38">
        <f t="shared" si="0"/>
        <v>22.99999999999994</v>
      </c>
      <c r="AA32" s="49">
        <f>IF(Z32&gt;1000,0,MIN(Z32,Z34,Z26,Z28,Z30)/Z32*$D$3/2)</f>
        <v>8.913043478260867</v>
      </c>
      <c r="AB32" s="157">
        <f>(AA32+AA33)</f>
        <v>8.913043478260867</v>
      </c>
    </row>
    <row r="33" spans="1:28" ht="15.75" customHeight="1" thickBot="1">
      <c r="A33" s="114" t="str">
        <f>A20</f>
        <v>Протест</v>
      </c>
      <c r="B33" s="149"/>
      <c r="C33" s="58">
        <f>(D20-C20)*60*24</f>
        <v>25.999999999999908</v>
      </c>
      <c r="D33" s="70">
        <f>SUM(E33:Y33,Z20,AA20)*$D$23</f>
        <v>10016.5</v>
      </c>
      <c r="E33" s="61">
        <f>VLOOKUP(E20,'Таблица штрафов'!$A$7:$C$47,3,TRUE)</f>
        <v>4</v>
      </c>
      <c r="F33" s="61">
        <f>VLOOKUP(F20,'Таблица штрафов'!$A$7:$C$47,3,TRUE)</f>
        <v>8</v>
      </c>
      <c r="G33" s="61">
        <f>VLOOKUP(G20,'Таблица штрафов'!$A$7:$C$47,3,TRUE)</f>
        <v>7</v>
      </c>
      <c r="H33" s="61">
        <f>VLOOKUP(H20,'Таблица штрафов'!$A$7:$C$47,3,TRUE)</f>
        <v>7</v>
      </c>
      <c r="I33" s="61">
        <f>VLOOKUP(I20,'Таблица штрафов'!$A$7:$C$47,3,TRUE)</f>
        <v>7</v>
      </c>
      <c r="J33" s="61">
        <f>VLOOKUP(J20,'Таблица штрафов'!$A$7:$C$47,3,TRUE)</f>
        <v>0</v>
      </c>
      <c r="K33" s="61">
        <f>VLOOKUP(K20,'Таблица штрафов'!$A$7:$C$47,3,TRUE)</f>
        <v>10000</v>
      </c>
      <c r="L33" s="61">
        <f>VLOOKUP(L20,'Таблица штрафов'!$A$7:$C$47,3,TRUE)</f>
        <v>10000</v>
      </c>
      <c r="M33" s="61">
        <f>VLOOKUP(M20,'Таблица штрафов'!$A$7:$C$47,3,TRUE)</f>
        <v>0</v>
      </c>
      <c r="N33" s="61">
        <f>VLOOKUP(N20,'Таблица штрафов'!$A$7:$C$47,3,TRUE)</f>
        <v>0</v>
      </c>
      <c r="O33" s="61">
        <f>VLOOKUP(O20,'Таблица штрафов'!$A$7:$C$47,3,TRUE)</f>
        <v>0</v>
      </c>
      <c r="P33" s="61">
        <f>VLOOKUP(P20,'Таблица штрафов'!$A$7:$C$47,3,TRUE)</f>
        <v>0</v>
      </c>
      <c r="Q33" s="61">
        <f>VLOOKUP(Q20,'Таблица штрафов'!$A$7:$C$47,3,TRUE)</f>
        <v>0</v>
      </c>
      <c r="R33" s="61">
        <f>VLOOKUP(R20,'Таблица штрафов'!$A$7:$C$47,3,TRUE)</f>
        <v>0</v>
      </c>
      <c r="S33" s="61">
        <f>VLOOKUP(S20,'Таблица штрафов'!$A$7:$C$47,3,TRUE)</f>
        <v>0</v>
      </c>
      <c r="T33" s="61">
        <f>VLOOKUP(T20,'Таблица штрафов'!$A$7:$C$47,3,TRUE)</f>
        <v>0</v>
      </c>
      <c r="U33" s="61">
        <f>VLOOKUP(U20,'Таблица штрафов'!$A$7:$C$47,3,TRUE)</f>
        <v>0</v>
      </c>
      <c r="V33" s="61">
        <f>VLOOKUP(V20,'Таблица штрафов'!$A$7:$C$47,3,TRUE)</f>
        <v>0</v>
      </c>
      <c r="W33" s="61">
        <f>VLOOKUP(W20,'Таблица штрафов'!$A$7:$C$47,3,TRUE)</f>
        <v>0</v>
      </c>
      <c r="X33" s="61">
        <f>VLOOKUP(X20,'Таблица штрафов'!$A$7:$C$47,3,TRUE)</f>
        <v>0</v>
      </c>
      <c r="Y33" s="61">
        <f>VLOOKUP(Y20,'Таблица штрафов'!$A$7:$C$47,3,TRUE)</f>
        <v>0</v>
      </c>
      <c r="Z33" s="38">
        <f t="shared" si="0"/>
        <v>10042.5</v>
      </c>
      <c r="AA33" s="49">
        <f>IF(Z33&gt;1000,0,MIN(Z33,Z35,Z27,Z29,Z31)/Z33*$D$3/2)</f>
        <v>0</v>
      </c>
      <c r="AB33" s="158"/>
    </row>
    <row r="34" spans="1:28" ht="15.75" customHeight="1" thickBot="1">
      <c r="A34" s="114" t="str">
        <f>A12</f>
        <v>Ежики</v>
      </c>
      <c r="B34" s="149"/>
      <c r="C34" s="58">
        <f>(D12-C12)*60*24</f>
        <v>16.99999999999994</v>
      </c>
      <c r="D34" s="70">
        <f>SUM(E34:Y34,Z12,AA12)*$D$23</f>
        <v>3.5</v>
      </c>
      <c r="E34" s="61">
        <f>VLOOKUP(E12,'Таблица штрафов'!$A$7:$C$47,3,TRUE)</f>
        <v>7</v>
      </c>
      <c r="F34" s="61">
        <f>VLOOKUP(F12,'Таблица штрафов'!$A$7:$C$47,3,TRUE)</f>
        <v>0</v>
      </c>
      <c r="G34" s="61">
        <f>VLOOKUP(G12,'Таблица штрафов'!$A$7:$C$47,3,TRUE)</f>
        <v>0</v>
      </c>
      <c r="H34" s="61">
        <f>VLOOKUP(H12,'Таблица штрафов'!$A$7:$C$47,3,TRUE)</f>
        <v>0</v>
      </c>
      <c r="I34" s="61">
        <f>VLOOKUP(I12,'Таблица штрафов'!$A$7:$C$47,3,TRUE)</f>
        <v>0</v>
      </c>
      <c r="J34" s="61">
        <f>VLOOKUP(J12,'Таблица штрафов'!$A$7:$C$47,3,TRUE)</f>
        <v>0</v>
      </c>
      <c r="K34" s="61">
        <f>VLOOKUP(K12,'Таблица штрафов'!$A$7:$C$47,3,TRUE)</f>
        <v>0</v>
      </c>
      <c r="L34" s="61">
        <f>VLOOKUP(L12,'Таблица штрафов'!$A$7:$C$47,3,TRUE)</f>
        <v>0</v>
      </c>
      <c r="M34" s="61">
        <f>VLOOKUP(M12,'Таблица штрафов'!$A$7:$C$47,3,TRUE)</f>
        <v>0</v>
      </c>
      <c r="N34" s="61">
        <f>VLOOKUP(N12,'Таблица штрафов'!$A$7:$C$47,3,TRUE)</f>
        <v>0</v>
      </c>
      <c r="O34" s="61">
        <f>VLOOKUP(O12,'Таблица штрафов'!$A$7:$C$47,3,TRUE)</f>
        <v>0</v>
      </c>
      <c r="P34" s="61">
        <f>VLOOKUP(P12,'Таблица штрафов'!$A$7:$C$47,3,TRUE)</f>
        <v>0</v>
      </c>
      <c r="Q34" s="61">
        <f>VLOOKUP(Q12,'Таблица штрафов'!$A$7:$C$47,3,TRUE)</f>
        <v>0</v>
      </c>
      <c r="R34" s="61">
        <f>VLOOKUP(R12,'Таблица штрафов'!$A$7:$C$47,3,TRUE)</f>
        <v>0</v>
      </c>
      <c r="S34" s="61">
        <f>VLOOKUP(S12,'Таблица штрафов'!$A$7:$C$47,3,TRUE)</f>
        <v>0</v>
      </c>
      <c r="T34" s="61">
        <f>VLOOKUP(T12,'Таблица штрафов'!$A$7:$C$47,3,TRUE)</f>
        <v>0</v>
      </c>
      <c r="U34" s="61">
        <f>VLOOKUP(U12,'Таблица штрафов'!$A$7:$C$47,3,TRUE)</f>
        <v>0</v>
      </c>
      <c r="V34" s="61">
        <f>VLOOKUP(V12,'Таблица штрафов'!$A$7:$C$47,3,TRUE)</f>
        <v>0</v>
      </c>
      <c r="W34" s="61">
        <f>VLOOKUP(W12,'Таблица штрафов'!$A$7:$C$47,3,TRUE)</f>
        <v>0</v>
      </c>
      <c r="X34" s="61">
        <f>VLOOKUP(X12,'Таблица штрафов'!$A$7:$C$47,3,TRUE)</f>
        <v>0</v>
      </c>
      <c r="Y34" s="62">
        <f>VLOOKUP(Y12,'Таблица штрафов'!$A$7:$C$47,3,TRUE)</f>
        <v>0</v>
      </c>
      <c r="Z34" s="38">
        <f t="shared" si="0"/>
        <v>20.49999999999994</v>
      </c>
      <c r="AA34" s="49">
        <f>IF(Z34&gt;1000,0,MIN(Z34,Z26,Z28,Z30,Z32)/Z34*$D$3/2)</f>
        <v>10</v>
      </c>
      <c r="AB34" s="157">
        <f>(AA34+AA35)</f>
        <v>10</v>
      </c>
    </row>
    <row r="35" spans="1:28" ht="15.75" customHeight="1" thickBot="1">
      <c r="A35" s="114" t="str">
        <f>A21</f>
        <v>Ежики</v>
      </c>
      <c r="B35" s="149"/>
      <c r="C35" s="58">
        <f>(D21-C21)*60*24</f>
        <v>26.000000000000068</v>
      </c>
      <c r="D35" s="70">
        <f>SUM(E35:Y35,Z21,AA21)*$D$23</f>
        <v>10016</v>
      </c>
      <c r="E35" s="61">
        <f>VLOOKUP(E21,'Таблица штрафов'!$A$7:$C$47,3,TRUE)</f>
        <v>8</v>
      </c>
      <c r="F35" s="61">
        <f>VLOOKUP(F21,'Таблица штрафов'!$A$7:$C$47,3,TRUE)</f>
        <v>8</v>
      </c>
      <c r="G35" s="61">
        <f>VLOOKUP(G21,'Таблица штрафов'!$A$7:$C$47,3,TRUE)</f>
        <v>8</v>
      </c>
      <c r="H35" s="61">
        <f>VLOOKUP(H21,'Таблица штрафов'!$A$7:$C$47,3,TRUE)</f>
        <v>8</v>
      </c>
      <c r="I35" s="61">
        <f>VLOOKUP(I21,'Таблица штрафов'!$A$7:$C$47,3,TRUE)</f>
        <v>0</v>
      </c>
      <c r="J35" s="61">
        <f>VLOOKUP(J21,'Таблица штрафов'!$A$7:$C$47,3,TRUE)</f>
        <v>10000</v>
      </c>
      <c r="K35" s="61">
        <f>VLOOKUP(K21,'Таблица штрафов'!$A$7:$C$47,3,TRUE)</f>
        <v>10000</v>
      </c>
      <c r="L35" s="61">
        <f>VLOOKUP(L21,'Таблица штрафов'!$A$7:$C$47,3,TRUE)</f>
        <v>0</v>
      </c>
      <c r="M35" s="61">
        <f>VLOOKUP(M21,'Таблица штрафов'!$A$7:$C$47,3,TRUE)</f>
        <v>0</v>
      </c>
      <c r="N35" s="61">
        <f>VLOOKUP(N21,'Таблица штрафов'!$A$7:$C$47,3,TRUE)</f>
        <v>0</v>
      </c>
      <c r="O35" s="61">
        <f>VLOOKUP(O21,'Таблица штрафов'!$A$7:$C$47,3,TRUE)</f>
        <v>0</v>
      </c>
      <c r="P35" s="61">
        <f>VLOOKUP(P21,'Таблица штрафов'!$A$7:$C$47,3,TRUE)</f>
        <v>0</v>
      </c>
      <c r="Q35" s="61">
        <f>VLOOKUP(Q21,'Таблица штрафов'!$A$7:$C$47,3,TRUE)</f>
        <v>0</v>
      </c>
      <c r="R35" s="61">
        <f>VLOOKUP(R21,'Таблица штрафов'!$A$7:$C$47,3,TRUE)</f>
        <v>0</v>
      </c>
      <c r="S35" s="61">
        <f>VLOOKUP(S21,'Таблица штрафов'!$A$7:$C$47,3,TRUE)</f>
        <v>0</v>
      </c>
      <c r="T35" s="61">
        <f>VLOOKUP(T21,'Таблица штрафов'!$A$7:$C$47,3,TRUE)</f>
        <v>0</v>
      </c>
      <c r="U35" s="61">
        <f>VLOOKUP(U21,'Таблица штрафов'!$A$7:$C$47,3,TRUE)</f>
        <v>0</v>
      </c>
      <c r="V35" s="61">
        <f>VLOOKUP(V21,'Таблица штрафов'!$A$7:$C$47,3,TRUE)</f>
        <v>0</v>
      </c>
      <c r="W35" s="61">
        <f>VLOOKUP(W21,'Таблица штрафов'!$A$7:$C$47,3,TRUE)</f>
        <v>0</v>
      </c>
      <c r="X35" s="61">
        <f>VLOOKUP(X21,'Таблица штрафов'!$A$7:$C$47,3,TRUE)</f>
        <v>0</v>
      </c>
      <c r="Y35" s="61">
        <f>VLOOKUP(Y21,'Таблица штрафов'!$A$7:$C$47,3,TRUE)</f>
        <v>0</v>
      </c>
      <c r="Z35" s="76">
        <f t="shared" si="0"/>
        <v>10042</v>
      </c>
      <c r="AA35" s="49">
        <f>IF(Z35&gt;1000,0,MIN(Z35,Z27,Z29,Z31,Z33)/Z35*$D$3/2)</f>
        <v>0</v>
      </c>
      <c r="AB35" s="158"/>
    </row>
    <row r="41" spans="1:13" ht="15.75">
      <c r="A41" s="113" t="s">
        <v>13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3" spans="1:27" ht="15.75">
      <c r="A43" s="121" t="s">
        <v>11</v>
      </c>
      <c r="B43" s="121"/>
      <c r="C43" s="121"/>
      <c r="D43" s="122" t="s">
        <v>124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2"/>
      <c r="AA43" s="2"/>
    </row>
    <row r="44" spans="1:25" ht="15">
      <c r="A44" s="146" t="s">
        <v>12</v>
      </c>
      <c r="B44" s="146"/>
      <c r="C44" s="146"/>
      <c r="D44" s="101" t="s">
        <v>105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5">
      <c r="A45" s="146"/>
      <c r="B45" s="146"/>
      <c r="C45" s="146"/>
      <c r="D45" s="101" t="s">
        <v>125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5">
      <c r="A46" s="146"/>
      <c r="B46" s="146"/>
      <c r="C46" s="146"/>
      <c r="D46" s="101" t="s">
        <v>126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7" ht="15">
      <c r="A47" s="146"/>
      <c r="B47" s="146"/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2"/>
      <c r="AA47" s="2"/>
    </row>
    <row r="48" spans="1:25" ht="15">
      <c r="A48" s="146"/>
      <c r="B48" s="146"/>
      <c r="C48" s="146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</sheetData>
  <sheetProtection/>
  <mergeCells count="52">
    <mergeCell ref="Z24:Z25"/>
    <mergeCell ref="AB24:AB25"/>
    <mergeCell ref="AB26:AB27"/>
    <mergeCell ref="AB28:AB29"/>
    <mergeCell ref="AA24:AA25"/>
    <mergeCell ref="AB30:AB31"/>
    <mergeCell ref="A28:B28"/>
    <mergeCell ref="D47:Y47"/>
    <mergeCell ref="A44:C48"/>
    <mergeCell ref="D48:Y48"/>
    <mergeCell ref="D44:Y44"/>
    <mergeCell ref="D45:Y45"/>
    <mergeCell ref="AB32:AB33"/>
    <mergeCell ref="AB34:AB35"/>
    <mergeCell ref="A35:B35"/>
    <mergeCell ref="A23:C23"/>
    <mergeCell ref="A8:B8"/>
    <mergeCell ref="A9:B9"/>
    <mergeCell ref="D46:Y46"/>
    <mergeCell ref="A43:C43"/>
    <mergeCell ref="D43:Y43"/>
    <mergeCell ref="A30:B30"/>
    <mergeCell ref="A31:B31"/>
    <mergeCell ref="A41:M41"/>
    <mergeCell ref="A32:B32"/>
    <mergeCell ref="A33:B33"/>
    <mergeCell ref="A34:B34"/>
    <mergeCell ref="E24:Y25"/>
    <mergeCell ref="A26:B26"/>
    <mergeCell ref="A24:B25"/>
    <mergeCell ref="C24:D24"/>
    <mergeCell ref="A29:B29"/>
    <mergeCell ref="A27:B27"/>
    <mergeCell ref="A12:B12"/>
    <mergeCell ref="A10:B10"/>
    <mergeCell ref="A11:B11"/>
    <mergeCell ref="A14:C14"/>
    <mergeCell ref="A1:AB1"/>
    <mergeCell ref="A3:C3"/>
    <mergeCell ref="A6:B7"/>
    <mergeCell ref="C6:D6"/>
    <mergeCell ref="E6:Y7"/>
    <mergeCell ref="Z6:AA6"/>
    <mergeCell ref="A21:B21"/>
    <mergeCell ref="Z15:AA15"/>
    <mergeCell ref="A17:B17"/>
    <mergeCell ref="A18:B18"/>
    <mergeCell ref="A19:B19"/>
    <mergeCell ref="A15:B16"/>
    <mergeCell ref="C15:D15"/>
    <mergeCell ref="E15:Y16"/>
    <mergeCell ref="A20:B2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zoomScale="90" zoomScaleNormal="90" zoomScalePageLayoutView="0" workbookViewId="0" topLeftCell="A10">
      <selection activeCell="AB40" sqref="AB40"/>
    </sheetView>
  </sheetViews>
  <sheetFormatPr defaultColWidth="9.00390625" defaultRowHeight="12.75"/>
  <cols>
    <col min="2" max="2" width="7.625" style="0" customWidth="1"/>
    <col min="3" max="4" width="9.25390625" style="0" bestFit="1" customWidth="1"/>
    <col min="5" max="6" width="5.875" style="0" bestFit="1" customWidth="1"/>
    <col min="7" max="8" width="2.75390625" style="0" customWidth="1"/>
    <col min="9" max="9" width="5.875" style="0" bestFit="1" customWidth="1"/>
    <col min="10" max="25" width="2.75390625" style="0" customWidth="1"/>
    <col min="26" max="26" width="11.75390625" style="0" customWidth="1"/>
    <col min="27" max="27" width="10.00390625" style="0" bestFit="1" customWidth="1"/>
  </cols>
  <sheetData>
    <row r="1" spans="1:31" s="2" customFormat="1" ht="18" customHeight="1">
      <c r="A1" s="113" t="s">
        <v>138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4"/>
      <c r="AD1" s="4"/>
      <c r="AE1" s="4"/>
    </row>
    <row r="2" spans="1:31" s="2" customFormat="1" ht="18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4"/>
      <c r="AD2" s="4"/>
      <c r="AE2" s="4"/>
    </row>
    <row r="3" spans="1:4" s="2" customFormat="1" ht="15.75">
      <c r="A3" s="130" t="s">
        <v>14</v>
      </c>
      <c r="B3" s="130"/>
      <c r="C3" s="130"/>
      <c r="D3" s="34">
        <v>20</v>
      </c>
    </row>
    <row r="4" spans="1:4" s="2" customFormat="1" ht="15.75">
      <c r="A4" s="3"/>
      <c r="B4" s="3"/>
      <c r="C4" s="3"/>
      <c r="D4" s="34"/>
    </row>
    <row r="5" spans="1:4" s="2" customFormat="1" ht="16.5" thickBot="1">
      <c r="A5" s="3" t="s">
        <v>139</v>
      </c>
      <c r="B5" s="3"/>
      <c r="C5" s="3"/>
      <c r="D5" s="34">
        <v>10</v>
      </c>
    </row>
    <row r="6" spans="1:27" s="2" customFormat="1" ht="15.75">
      <c r="A6" s="131" t="s">
        <v>6</v>
      </c>
      <c r="B6" s="139"/>
      <c r="C6" s="142" t="s">
        <v>1</v>
      </c>
      <c r="D6" s="143"/>
      <c r="E6" s="131" t="s">
        <v>50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9"/>
      <c r="Z6" s="134" t="s">
        <v>62</v>
      </c>
      <c r="AA6" s="135"/>
    </row>
    <row r="7" spans="1:27" s="2" customFormat="1" ht="16.5" thickBot="1">
      <c r="A7" s="140"/>
      <c r="B7" s="141"/>
      <c r="C7" s="15" t="s">
        <v>56</v>
      </c>
      <c r="D7" s="16" t="s">
        <v>57</v>
      </c>
      <c r="E7" s="140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41"/>
      <c r="Z7" s="55" t="s">
        <v>101</v>
      </c>
      <c r="AA7" s="54" t="s">
        <v>100</v>
      </c>
    </row>
    <row r="8" spans="1:27" s="2" customFormat="1" ht="15" customHeight="1">
      <c r="A8" s="153" t="str">
        <f>Итог!A12</f>
        <v>Ударники</v>
      </c>
      <c r="B8" s="154"/>
      <c r="C8" s="22">
        <v>0.545138888888889</v>
      </c>
      <c r="D8" s="23">
        <v>0.6027777777777777</v>
      </c>
      <c r="E8" s="56">
        <v>36</v>
      </c>
      <c r="F8" s="32">
        <v>9</v>
      </c>
      <c r="G8" s="32">
        <v>9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33"/>
      <c r="W8" s="33"/>
      <c r="X8" s="33"/>
      <c r="Y8" s="57"/>
      <c r="Z8" s="29"/>
      <c r="AA8" s="30"/>
    </row>
    <row r="9" spans="1:27" s="2" customFormat="1" ht="15" customHeight="1">
      <c r="A9" s="153" t="str">
        <f>Итог!A11</f>
        <v>Крутые перцы</v>
      </c>
      <c r="B9" s="154"/>
      <c r="C9" s="22">
        <v>0.7097222222222223</v>
      </c>
      <c r="D9" s="23">
        <v>0.75</v>
      </c>
      <c r="E9" s="36">
        <v>36</v>
      </c>
      <c r="F9" s="25">
        <v>12</v>
      </c>
      <c r="G9" s="25">
        <v>29</v>
      </c>
      <c r="H9" s="25">
        <v>20</v>
      </c>
      <c r="I9" s="25"/>
      <c r="J9" s="25">
        <v>3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37"/>
      <c r="Z9" s="29"/>
      <c r="AA9" s="30"/>
    </row>
    <row r="10" spans="1:27" s="2" customFormat="1" ht="15" customHeight="1">
      <c r="A10" s="153" t="str">
        <f>Итог!A10</f>
        <v>Анк-морпорк</v>
      </c>
      <c r="B10" s="154"/>
      <c r="C10" s="22">
        <v>0.4513888888888889</v>
      </c>
      <c r="D10" s="23">
        <v>0.5055555555555555</v>
      </c>
      <c r="E10" s="36">
        <v>20</v>
      </c>
      <c r="F10" s="25">
        <v>12</v>
      </c>
      <c r="G10" s="25">
        <v>10</v>
      </c>
      <c r="H10" s="25">
        <v>20</v>
      </c>
      <c r="I10" s="25">
        <v>20</v>
      </c>
      <c r="J10" s="25">
        <v>12</v>
      </c>
      <c r="K10" s="25">
        <v>20</v>
      </c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6"/>
      <c r="W10" s="26"/>
      <c r="X10" s="26"/>
      <c r="Y10" s="37"/>
      <c r="Z10" s="29"/>
      <c r="AA10" s="30"/>
    </row>
    <row r="11" spans="1:27" s="2" customFormat="1" ht="15">
      <c r="A11" s="153" t="str">
        <f>Итог!A9</f>
        <v>Протест</v>
      </c>
      <c r="B11" s="154"/>
      <c r="C11" s="22">
        <v>0.7777777777777778</v>
      </c>
      <c r="D11" s="23"/>
      <c r="E11" s="36">
        <v>27</v>
      </c>
      <c r="F11" s="25">
        <v>20</v>
      </c>
      <c r="G11" s="25">
        <v>20</v>
      </c>
      <c r="H11" s="25">
        <v>27</v>
      </c>
      <c r="I11" s="25"/>
      <c r="J11" s="25">
        <v>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37"/>
      <c r="Z11" s="29"/>
      <c r="AA11" s="30">
        <v>-4</v>
      </c>
    </row>
    <row r="12" spans="1:27" s="2" customFormat="1" ht="15">
      <c r="A12" s="153" t="str">
        <f>Итог!A13</f>
        <v>Ежики</v>
      </c>
      <c r="B12" s="154"/>
      <c r="C12" s="22">
        <v>0.43402777777777773</v>
      </c>
      <c r="D12" s="23"/>
      <c r="E12" s="36">
        <v>20</v>
      </c>
      <c r="F12" s="25">
        <v>9</v>
      </c>
      <c r="G12" s="25">
        <v>12</v>
      </c>
      <c r="H12" s="25">
        <v>20</v>
      </c>
      <c r="I12" s="25"/>
      <c r="J12" s="25">
        <v>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6"/>
      <c r="X12" s="26"/>
      <c r="Y12" s="37"/>
      <c r="Z12" s="29"/>
      <c r="AA12" s="30"/>
    </row>
    <row r="13" s="2" customFormat="1" ht="15.75" customHeight="1"/>
    <row r="14" spans="1:4" s="2" customFormat="1" ht="16.5" thickBot="1">
      <c r="A14" s="3" t="s">
        <v>91</v>
      </c>
      <c r="B14" s="3"/>
      <c r="C14" s="3"/>
      <c r="D14" s="34">
        <v>10</v>
      </c>
    </row>
    <row r="15" spans="1:27" s="2" customFormat="1" ht="15.75">
      <c r="A15" s="131" t="s">
        <v>6</v>
      </c>
      <c r="B15" s="139"/>
      <c r="C15" s="142" t="s">
        <v>1</v>
      </c>
      <c r="D15" s="143"/>
      <c r="E15" s="131" t="s">
        <v>50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9"/>
      <c r="Z15" s="134" t="s">
        <v>62</v>
      </c>
      <c r="AA15" s="135"/>
    </row>
    <row r="16" spans="1:27" s="2" customFormat="1" ht="16.5" thickBot="1">
      <c r="A16" s="140"/>
      <c r="B16" s="141"/>
      <c r="C16" s="15" t="s">
        <v>56</v>
      </c>
      <c r="D16" s="16" t="s">
        <v>57</v>
      </c>
      <c r="E16" s="140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41"/>
      <c r="Z16" s="55" t="s">
        <v>101</v>
      </c>
      <c r="AA16" s="54" t="s">
        <v>100</v>
      </c>
    </row>
    <row r="17" spans="1:27" s="2" customFormat="1" ht="15" customHeight="1">
      <c r="A17" s="153" t="str">
        <f>Итог!A12</f>
        <v>Ударники</v>
      </c>
      <c r="B17" s="154"/>
      <c r="C17" s="22">
        <v>0</v>
      </c>
      <c r="D17" s="23">
        <v>0.029861111111111113</v>
      </c>
      <c r="E17" s="56">
        <v>20</v>
      </c>
      <c r="F17" s="32">
        <v>11</v>
      </c>
      <c r="G17" s="32"/>
      <c r="H17" s="32">
        <v>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3"/>
      <c r="W17" s="33"/>
      <c r="X17" s="33"/>
      <c r="Y17" s="57"/>
      <c r="Z17" s="29"/>
      <c r="AA17" s="30"/>
    </row>
    <row r="18" spans="1:27" s="2" customFormat="1" ht="15" customHeight="1">
      <c r="A18" s="153" t="str">
        <f>Итог!A11</f>
        <v>Крутые перцы</v>
      </c>
      <c r="B18" s="154"/>
      <c r="C18" s="22">
        <v>0</v>
      </c>
      <c r="D18" s="23">
        <v>0.036111111111111115</v>
      </c>
      <c r="E18" s="36">
        <v>24</v>
      </c>
      <c r="F18" s="25">
        <v>27</v>
      </c>
      <c r="G18" s="25">
        <v>36</v>
      </c>
      <c r="H18" s="25"/>
      <c r="I18" s="25">
        <v>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6"/>
      <c r="W18" s="26"/>
      <c r="X18" s="26"/>
      <c r="Y18" s="37"/>
      <c r="Z18" s="29"/>
      <c r="AA18" s="30"/>
    </row>
    <row r="19" spans="1:27" s="2" customFormat="1" ht="15">
      <c r="A19" s="153" t="str">
        <f>Итог!A10</f>
        <v>Анк-морпорк</v>
      </c>
      <c r="B19" s="154"/>
      <c r="C19" s="22">
        <v>0</v>
      </c>
      <c r="D19" s="23">
        <v>0.024305555555555556</v>
      </c>
      <c r="E19" s="36">
        <v>36</v>
      </c>
      <c r="F19" s="25">
        <v>36</v>
      </c>
      <c r="G19" s="25">
        <v>36</v>
      </c>
      <c r="H19" s="25">
        <v>36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6"/>
      <c r="W19" s="26"/>
      <c r="X19" s="26"/>
      <c r="Y19" s="37"/>
      <c r="Z19" s="29"/>
      <c r="AA19" s="30">
        <v>-2</v>
      </c>
    </row>
    <row r="20" spans="1:27" s="2" customFormat="1" ht="15">
      <c r="A20" s="153" t="str">
        <f>Итог!A9</f>
        <v>Протест</v>
      </c>
      <c r="B20" s="154"/>
      <c r="C20" s="22">
        <v>0</v>
      </c>
      <c r="D20" s="23">
        <v>0.04027777777777778</v>
      </c>
      <c r="E20" s="36">
        <v>29</v>
      </c>
      <c r="F20" s="25">
        <v>12</v>
      </c>
      <c r="G20" s="25">
        <v>36</v>
      </c>
      <c r="H20" s="25">
        <v>24</v>
      </c>
      <c r="I20" s="25">
        <v>36</v>
      </c>
      <c r="J20" s="25">
        <v>36</v>
      </c>
      <c r="K20" s="25"/>
      <c r="L20" s="25">
        <v>4</v>
      </c>
      <c r="M20" s="25"/>
      <c r="N20" s="25"/>
      <c r="O20" s="25"/>
      <c r="P20" s="25"/>
      <c r="Q20" s="25"/>
      <c r="R20" s="25"/>
      <c r="S20" s="25"/>
      <c r="T20" s="25"/>
      <c r="U20" s="26"/>
      <c r="V20" s="26"/>
      <c r="W20" s="26"/>
      <c r="X20" s="26"/>
      <c r="Y20" s="37"/>
      <c r="Z20" s="29"/>
      <c r="AA20" s="30"/>
    </row>
    <row r="21" spans="1:27" s="2" customFormat="1" ht="15">
      <c r="A21" s="153" t="str">
        <f>Итог!A13</f>
        <v>Ежики</v>
      </c>
      <c r="B21" s="154"/>
      <c r="C21" s="22">
        <v>0</v>
      </c>
      <c r="D21" s="23">
        <v>0.02152777777777778</v>
      </c>
      <c r="E21" s="36">
        <v>12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6"/>
      <c r="W21" s="26"/>
      <c r="X21" s="26"/>
      <c r="Y21" s="37"/>
      <c r="Z21" s="29"/>
      <c r="AA21" s="30">
        <v>-2</v>
      </c>
    </row>
    <row r="22" s="2" customFormat="1" ht="15" customHeight="1"/>
    <row r="23" spans="1:27" s="2" customFormat="1" ht="15" customHeight="1" thickBot="1">
      <c r="A23" s="120" t="s">
        <v>54</v>
      </c>
      <c r="B23" s="120"/>
      <c r="C23" s="120"/>
      <c r="D23" s="35">
        <v>0.5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2"/>
      <c r="AA23" s="12"/>
    </row>
    <row r="24" spans="1:28" s="2" customFormat="1" ht="15" customHeight="1">
      <c r="A24" s="131" t="s">
        <v>6</v>
      </c>
      <c r="B24" s="139"/>
      <c r="C24" s="142" t="s">
        <v>61</v>
      </c>
      <c r="D24" s="143"/>
      <c r="E24" s="132" t="s">
        <v>53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9"/>
      <c r="Z24" s="98" t="s">
        <v>59</v>
      </c>
      <c r="AA24" s="118" t="s">
        <v>7</v>
      </c>
      <c r="AB24" s="159" t="s">
        <v>92</v>
      </c>
    </row>
    <row r="25" spans="1:28" ht="16.5" thickBot="1">
      <c r="A25" s="133"/>
      <c r="B25" s="152"/>
      <c r="C25" s="15" t="s">
        <v>58</v>
      </c>
      <c r="D25" s="16" t="s">
        <v>60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29"/>
      <c r="AA25" s="119"/>
      <c r="AB25" s="160"/>
    </row>
    <row r="26" spans="1:28" ht="15.75" thickBot="1">
      <c r="A26" s="114" t="str">
        <f>A8</f>
        <v>Ударники</v>
      </c>
      <c r="B26" s="149"/>
      <c r="C26" s="58">
        <f>(D8-C8)*60*24</f>
        <v>82.99999999999986</v>
      </c>
      <c r="D26" s="70">
        <f>SUM(E26:Y26,Z8,AA8)*$D$23</f>
        <v>22</v>
      </c>
      <c r="E26" s="61">
        <f>VLOOKUP(E8,'Таблица штрафов'!$A$7:$C$47,3,TRUE)</f>
        <v>4</v>
      </c>
      <c r="F26" s="61">
        <f>VLOOKUP(F8,'Таблица штрафов'!$A$7:$C$47,3,TRUE)</f>
        <v>20</v>
      </c>
      <c r="G26" s="61">
        <f>VLOOKUP(G8,'Таблица штрафов'!$A$7:$C$47,3,TRUE)</f>
        <v>20</v>
      </c>
      <c r="H26" s="61">
        <f>VLOOKUP(H8,'Таблица штрафов'!$A$7:$C$47,3,TRUE)</f>
        <v>0</v>
      </c>
      <c r="I26" s="61">
        <f>VLOOKUP(I8,'Таблица штрафов'!$A$7:$C$47,3,TRUE)</f>
        <v>0</v>
      </c>
      <c r="J26" s="61">
        <f>VLOOKUP(J8,'Таблица штрафов'!$A$7:$C$47,3,TRUE)</f>
        <v>0</v>
      </c>
      <c r="K26" s="61">
        <f>VLOOKUP(K8,'Таблица штрафов'!$A$7:$C$47,3,TRUE)</f>
        <v>0</v>
      </c>
      <c r="L26" s="61">
        <f>VLOOKUP(L8,'Таблица штрафов'!$A$7:$C$47,3,TRUE)</f>
        <v>0</v>
      </c>
      <c r="M26" s="61">
        <f>VLOOKUP(M8,'Таблица штрафов'!$A$7:$C$47,3,TRUE)</f>
        <v>0</v>
      </c>
      <c r="N26" s="61">
        <f>VLOOKUP(N8,'Таблица штрафов'!$A$7:$C$47,3,TRUE)</f>
        <v>0</v>
      </c>
      <c r="O26" s="61">
        <f>VLOOKUP(O8,'Таблица штрафов'!$A$7:$C$47,3,TRUE)</f>
        <v>0</v>
      </c>
      <c r="P26" s="61">
        <f>VLOOKUP(P8,'Таблица штрафов'!$A$7:$C$47,3,TRUE)</f>
        <v>0</v>
      </c>
      <c r="Q26" s="61">
        <f>VLOOKUP(Q8,'Таблица штрафов'!$A$7:$C$47,3,TRUE)</f>
        <v>0</v>
      </c>
      <c r="R26" s="61">
        <f>VLOOKUP(R8,'Таблица штрафов'!$A$7:$C$47,3,TRUE)</f>
        <v>0</v>
      </c>
      <c r="S26" s="61">
        <f>VLOOKUP(S8,'Таблица штрафов'!$A$7:$C$47,3,TRUE)</f>
        <v>0</v>
      </c>
      <c r="T26" s="61">
        <f>VLOOKUP(T8,'Таблица штрафов'!$A$7:$C$47,3,TRUE)</f>
        <v>0</v>
      </c>
      <c r="U26" s="61">
        <f>VLOOKUP(U8,'Таблица штрафов'!$A$7:$C$47,3,TRUE)</f>
        <v>0</v>
      </c>
      <c r="V26" s="61">
        <f>VLOOKUP(V8,'Таблица штрафов'!$A$7:$C$47,3,TRUE)</f>
        <v>0</v>
      </c>
      <c r="W26" s="61">
        <f>VLOOKUP(W8,'Таблица штрафов'!$A$7:$C$47,3,TRUE)</f>
        <v>0</v>
      </c>
      <c r="X26" s="61">
        <f>VLOOKUP(X8,'Таблица штрафов'!$A$7:$C$47,3,TRUE)</f>
        <v>0</v>
      </c>
      <c r="Y26" s="62">
        <f>VLOOKUP(Y8,'Таблица штрафов'!$A$7:$C$47,3,TRUE)</f>
        <v>0</v>
      </c>
      <c r="Z26" s="38">
        <f aca="true" t="shared" si="0" ref="Z26:Z35">C26+D26</f>
        <v>104.99999999999986</v>
      </c>
      <c r="AA26" s="49">
        <f>IF(Z26&gt;1000,0,MIN(Z26,Z28,Z30,Z32,Z34)/Z26*$D$3/2)</f>
        <v>10</v>
      </c>
      <c r="AB26" s="155">
        <f>(AA26+AA27)</f>
        <v>10</v>
      </c>
    </row>
    <row r="27" spans="1:28" ht="15.75" customHeight="1" thickBot="1">
      <c r="A27" s="114" t="str">
        <f>A17</f>
        <v>Ударники</v>
      </c>
      <c r="B27" s="149"/>
      <c r="C27" s="58">
        <f>(D17-C17)*60*24</f>
        <v>43</v>
      </c>
      <c r="D27" s="70">
        <f>SUM(E27:Y27,Z17,AA17)*$D$23</f>
        <v>5014</v>
      </c>
      <c r="E27" s="61">
        <f>VLOOKUP(E17,'Таблица штрафов'!$A$7:$C$47,3,TRUE)</f>
        <v>8</v>
      </c>
      <c r="F27" s="61">
        <f>VLOOKUP(F17,'Таблица штрафов'!$A$7:$C$47,3,TRUE)</f>
        <v>20</v>
      </c>
      <c r="G27" s="61">
        <f>VLOOKUP(G17,'Таблица штрафов'!$A$7:$C$47,3,TRUE)</f>
        <v>0</v>
      </c>
      <c r="H27" s="61">
        <f>VLOOKUP(H17,'Таблица штрафов'!$A$7:$C$47,3,TRUE)</f>
        <v>10000</v>
      </c>
      <c r="I27" s="61">
        <f>VLOOKUP(I17,'Таблица штрафов'!$A$7:$C$47,3,TRUE)</f>
        <v>0</v>
      </c>
      <c r="J27" s="61">
        <f>VLOOKUP(J17,'Таблица штрафов'!$A$7:$C$47,3,TRUE)</f>
        <v>0</v>
      </c>
      <c r="K27" s="61">
        <f>VLOOKUP(K17,'Таблица штрафов'!$A$7:$C$47,3,TRUE)</f>
        <v>0</v>
      </c>
      <c r="L27" s="61">
        <f>VLOOKUP(L17,'Таблица штрафов'!$A$7:$C$47,3,TRUE)</f>
        <v>0</v>
      </c>
      <c r="M27" s="61">
        <f>VLOOKUP(M17,'Таблица штрафов'!$A$7:$C$47,3,TRUE)</f>
        <v>0</v>
      </c>
      <c r="N27" s="61">
        <f>VLOOKUP(N17,'Таблица штрафов'!$A$7:$C$47,3,TRUE)</f>
        <v>0</v>
      </c>
      <c r="O27" s="61">
        <f>VLOOKUP(O17,'Таблица штрафов'!$A$7:$C$47,3,TRUE)</f>
        <v>0</v>
      </c>
      <c r="P27" s="61">
        <f>VLOOKUP(P17,'Таблица штрафов'!$A$7:$C$47,3,TRUE)</f>
        <v>0</v>
      </c>
      <c r="Q27" s="61">
        <f>VLOOKUP(Q17,'Таблица штрафов'!$A$7:$C$47,3,TRUE)</f>
        <v>0</v>
      </c>
      <c r="R27" s="61">
        <f>VLOOKUP(R17,'Таблица штрафов'!$A$7:$C$47,3,TRUE)</f>
        <v>0</v>
      </c>
      <c r="S27" s="61">
        <f>VLOOKUP(S17,'Таблица штрафов'!$A$7:$C$47,3,TRUE)</f>
        <v>0</v>
      </c>
      <c r="T27" s="61">
        <f>VLOOKUP(T17,'Таблица штрафов'!$A$7:$C$47,3,TRUE)</f>
        <v>0</v>
      </c>
      <c r="U27" s="61">
        <f>VLOOKUP(U17,'Таблица штрафов'!$A$7:$C$47,3,TRUE)</f>
        <v>0</v>
      </c>
      <c r="V27" s="61">
        <f>VLOOKUP(V17,'Таблица штрафов'!$A$7:$C$47,3,TRUE)</f>
        <v>0</v>
      </c>
      <c r="W27" s="61">
        <f>VLOOKUP(W17,'Таблица штрафов'!$A$7:$C$47,3,TRUE)</f>
        <v>0</v>
      </c>
      <c r="X27" s="61">
        <f>VLOOKUP(X17,'Таблица штрафов'!$A$7:$C$47,3,TRUE)</f>
        <v>0</v>
      </c>
      <c r="Y27" s="61">
        <f>VLOOKUP(Y17,'Таблица штрафов'!$A$7:$C$47,3,TRUE)</f>
        <v>0</v>
      </c>
      <c r="Z27" s="38">
        <f t="shared" si="0"/>
        <v>5057</v>
      </c>
      <c r="AA27" s="49">
        <f>IF(Z27&gt;1000,0,MIN(Z27,Z29,Z31,Z33,Z35)/Z27*$D$3/2)</f>
        <v>0</v>
      </c>
      <c r="AB27" s="156"/>
    </row>
    <row r="28" spans="1:28" ht="15.75" customHeight="1" thickBot="1">
      <c r="A28" s="114" t="str">
        <f>A9</f>
        <v>Крутые перцы</v>
      </c>
      <c r="B28" s="149"/>
      <c r="C28" s="58">
        <f>(D9-C9)*60*24</f>
        <v>57.99999999999996</v>
      </c>
      <c r="D28" s="70">
        <f>SUM(E28:Y28,Z9,AA9)*$D$23</f>
        <v>5017.5</v>
      </c>
      <c r="E28" s="61">
        <f>VLOOKUP(E9,'Таблица штрафов'!$A$7:$C$47,3,TRUE)</f>
        <v>4</v>
      </c>
      <c r="F28" s="61">
        <f>VLOOKUP(F9,'Таблица штрафов'!$A$7:$C$47,3,TRUE)</f>
        <v>16</v>
      </c>
      <c r="G28" s="61">
        <f>VLOOKUP(G9,'Таблица штрафов'!$A$7:$C$47,3,TRUE)</f>
        <v>7</v>
      </c>
      <c r="H28" s="61">
        <f>VLOOKUP(H9,'Таблица штрафов'!$A$7:$C$47,3,TRUE)</f>
        <v>8</v>
      </c>
      <c r="I28" s="61">
        <f>VLOOKUP(I9,'Таблица штрафов'!$A$7:$C$47,3,TRUE)</f>
        <v>0</v>
      </c>
      <c r="J28" s="61">
        <f>VLOOKUP(J9,'Таблица штрафов'!$A$7:$C$47,3,TRUE)</f>
        <v>10000</v>
      </c>
      <c r="K28" s="61">
        <f>VLOOKUP(K9,'Таблица штрафов'!$A$7:$C$47,3,TRUE)</f>
        <v>0</v>
      </c>
      <c r="L28" s="61">
        <f>VLOOKUP(L9,'Таблица штрафов'!$A$7:$C$47,3,TRUE)</f>
        <v>0</v>
      </c>
      <c r="M28" s="61">
        <f>VLOOKUP(M9,'Таблица штрафов'!$A$7:$C$47,3,TRUE)</f>
        <v>0</v>
      </c>
      <c r="N28" s="61">
        <f>VLOOKUP(N9,'Таблица штрафов'!$A$7:$C$47,3,TRUE)</f>
        <v>0</v>
      </c>
      <c r="O28" s="61">
        <f>VLOOKUP(O9,'Таблица штрафов'!$A$7:$C$47,3,TRUE)</f>
        <v>0</v>
      </c>
      <c r="P28" s="61">
        <f>VLOOKUP(P9,'Таблица штрафов'!$A$7:$C$47,3,TRUE)</f>
        <v>0</v>
      </c>
      <c r="Q28" s="61">
        <f>VLOOKUP(Q9,'Таблица штрафов'!$A$7:$C$47,3,TRUE)</f>
        <v>0</v>
      </c>
      <c r="R28" s="61">
        <f>VLOOKUP(R9,'Таблица штрафов'!$A$7:$C$47,3,TRUE)</f>
        <v>0</v>
      </c>
      <c r="S28" s="61">
        <f>VLOOKUP(S9,'Таблица штрафов'!$A$7:$C$47,3,TRUE)</f>
        <v>0</v>
      </c>
      <c r="T28" s="61">
        <f>VLOOKUP(T9,'Таблица штрафов'!$A$7:$C$47,3,TRUE)</f>
        <v>0</v>
      </c>
      <c r="U28" s="61">
        <f>VLOOKUP(U9,'Таблица штрафов'!$A$7:$C$47,3,TRUE)</f>
        <v>0</v>
      </c>
      <c r="V28" s="61">
        <f>VLOOKUP(V9,'Таблица штрафов'!$A$7:$C$47,3,TRUE)</f>
        <v>0</v>
      </c>
      <c r="W28" s="61">
        <f>VLOOKUP(W9,'Таблица штрафов'!$A$7:$C$47,3,TRUE)</f>
        <v>0</v>
      </c>
      <c r="X28" s="61">
        <f>VLOOKUP(X9,'Таблица штрафов'!$A$7:$C$47,3,TRUE)</f>
        <v>0</v>
      </c>
      <c r="Y28" s="62">
        <f>VLOOKUP(Y9,'Таблица штрафов'!$A$7:$C$47,3,TRUE)</f>
        <v>0</v>
      </c>
      <c r="Z28" s="38">
        <f t="shared" si="0"/>
        <v>5075.5</v>
      </c>
      <c r="AA28" s="49">
        <f>IF(Z28&gt;1000,0,MIN(Z28,Z30,Z32,Z34,Z26)/Z28*$D$3/2)</f>
        <v>0</v>
      </c>
      <c r="AB28" s="157">
        <f>(AA28+AA29)</f>
        <v>0</v>
      </c>
    </row>
    <row r="29" spans="1:28" ht="15.75" customHeight="1" thickBot="1">
      <c r="A29" s="114" t="str">
        <f>A18</f>
        <v>Крутые перцы</v>
      </c>
      <c r="B29" s="149"/>
      <c r="C29" s="58">
        <f>(D18-C18)*60*24</f>
        <v>52.00000000000001</v>
      </c>
      <c r="D29" s="70">
        <f>SUM(E29:Y29,Z18,AA18)*$D$23</f>
        <v>5009.5</v>
      </c>
      <c r="E29" s="61">
        <f>VLOOKUP(E18,'Таблица штрафов'!$A$7:$C$47,3,TRUE)</f>
        <v>8</v>
      </c>
      <c r="F29" s="61">
        <f>VLOOKUP(F18,'Таблица штрафов'!$A$7:$C$47,3,TRUE)</f>
        <v>7</v>
      </c>
      <c r="G29" s="61">
        <f>VLOOKUP(G18,'Таблица штрафов'!$A$7:$C$47,3,TRUE)</f>
        <v>4</v>
      </c>
      <c r="H29" s="61">
        <f>VLOOKUP(H18,'Таблица штрафов'!$A$7:$C$47,3,TRUE)</f>
        <v>0</v>
      </c>
      <c r="I29" s="61">
        <f>VLOOKUP(I18,'Таблица штрафов'!$A$7:$C$47,3,TRUE)</f>
        <v>10000</v>
      </c>
      <c r="J29" s="61">
        <f>VLOOKUP(J18,'Таблица штрафов'!$A$7:$C$47,3,TRUE)</f>
        <v>0</v>
      </c>
      <c r="K29" s="61">
        <f>VLOOKUP(K18,'Таблица штрафов'!$A$7:$C$47,3,TRUE)</f>
        <v>0</v>
      </c>
      <c r="L29" s="61">
        <f>VLOOKUP(L18,'Таблица штрафов'!$A$7:$C$47,3,TRUE)</f>
        <v>0</v>
      </c>
      <c r="M29" s="61">
        <f>VLOOKUP(M18,'Таблица штрафов'!$A$7:$C$47,3,TRUE)</f>
        <v>0</v>
      </c>
      <c r="N29" s="61">
        <f>VLOOKUP(N18,'Таблица штрафов'!$A$7:$C$47,3,TRUE)</f>
        <v>0</v>
      </c>
      <c r="O29" s="61">
        <f>VLOOKUP(O18,'Таблица штрафов'!$A$7:$C$47,3,TRUE)</f>
        <v>0</v>
      </c>
      <c r="P29" s="61">
        <f>VLOOKUP(P18,'Таблица штрафов'!$A$7:$C$47,3,TRUE)</f>
        <v>0</v>
      </c>
      <c r="Q29" s="61">
        <f>VLOOKUP(Q18,'Таблица штрафов'!$A$7:$C$47,3,TRUE)</f>
        <v>0</v>
      </c>
      <c r="R29" s="61">
        <f>VLOOKUP(R18,'Таблица штрафов'!$A$7:$C$47,3,TRUE)</f>
        <v>0</v>
      </c>
      <c r="S29" s="61">
        <f>VLOOKUP(S18,'Таблица штрафов'!$A$7:$C$47,3,TRUE)</f>
        <v>0</v>
      </c>
      <c r="T29" s="61">
        <f>VLOOKUP(T18,'Таблица штрафов'!$A$7:$C$47,3,TRUE)</f>
        <v>0</v>
      </c>
      <c r="U29" s="61">
        <f>VLOOKUP(U18,'Таблица штрафов'!$A$7:$C$47,3,TRUE)</f>
        <v>0</v>
      </c>
      <c r="V29" s="61">
        <f>VLOOKUP(V18,'Таблица штрафов'!$A$7:$C$47,3,TRUE)</f>
        <v>0</v>
      </c>
      <c r="W29" s="61">
        <f>VLOOKUP(W18,'Таблица штрафов'!$A$7:$C$47,3,TRUE)</f>
        <v>0</v>
      </c>
      <c r="X29" s="61">
        <f>VLOOKUP(X18,'Таблица штрафов'!$A$7:$C$47,3,TRUE)</f>
        <v>0</v>
      </c>
      <c r="Y29" s="61">
        <f>VLOOKUP(Y18,'Таблица штрафов'!$A$7:$C$47,3,TRUE)</f>
        <v>0</v>
      </c>
      <c r="Z29" s="38">
        <f t="shared" si="0"/>
        <v>5061.5</v>
      </c>
      <c r="AA29" s="49">
        <f>IF(Z29&gt;1000,0,MIN(Z29,Z31,Z33,Z35,Z27)/Z29*$D$3/2)</f>
        <v>0</v>
      </c>
      <c r="AB29" s="158"/>
    </row>
    <row r="30" spans="1:28" ht="15.75" customHeight="1" thickBot="1">
      <c r="A30" s="114" t="str">
        <f>A10</f>
        <v>Анк-морпорк</v>
      </c>
      <c r="B30" s="149"/>
      <c r="C30" s="58">
        <f>(D10-C10)*60*24</f>
        <v>77.99999999999996</v>
      </c>
      <c r="D30" s="70">
        <f>SUM(E30:Y30,Z10,AA10)*$D$23</f>
        <v>42</v>
      </c>
      <c r="E30" s="61">
        <f>VLOOKUP(E10,'Таблица штрафов'!$A$7:$C$47,3,TRUE)</f>
        <v>8</v>
      </c>
      <c r="F30" s="61">
        <f>VLOOKUP(F10,'Таблица штрафов'!$A$7:$C$47,3,TRUE)</f>
        <v>16</v>
      </c>
      <c r="G30" s="61">
        <f>VLOOKUP(G10,'Таблица штрафов'!$A$7:$C$47,3,TRUE)</f>
        <v>20</v>
      </c>
      <c r="H30" s="61">
        <f>VLOOKUP(H10,'Таблица штрафов'!$A$7:$C$47,3,TRUE)</f>
        <v>8</v>
      </c>
      <c r="I30" s="61">
        <f>VLOOKUP(I10,'Таблица штрафов'!$A$7:$C$47,3,TRUE)</f>
        <v>8</v>
      </c>
      <c r="J30" s="61">
        <f>VLOOKUP(J10,'Таблица штрафов'!$A$7:$C$47,3,TRUE)</f>
        <v>16</v>
      </c>
      <c r="K30" s="61">
        <f>VLOOKUP(K10,'Таблица штрафов'!$A$7:$C$47,3,TRUE)</f>
        <v>8</v>
      </c>
      <c r="L30" s="61">
        <f>VLOOKUP(L10,'Таблица штрафов'!$A$7:$C$47,3,TRUE)</f>
        <v>0</v>
      </c>
      <c r="M30" s="61">
        <f>VLOOKUP(M10,'Таблица штрафов'!$A$7:$C$47,3,TRUE)</f>
        <v>0</v>
      </c>
      <c r="N30" s="61">
        <f>VLOOKUP(N10,'Таблица штрафов'!$A$7:$C$47,3,TRUE)</f>
        <v>0</v>
      </c>
      <c r="O30" s="61">
        <f>VLOOKUP(O10,'Таблица штрафов'!$A$7:$C$47,3,TRUE)</f>
        <v>0</v>
      </c>
      <c r="P30" s="61">
        <f>VLOOKUP(P10,'Таблица штрафов'!$A$7:$C$47,3,TRUE)</f>
        <v>0</v>
      </c>
      <c r="Q30" s="61">
        <f>VLOOKUP(Q10,'Таблица штрафов'!$A$7:$C$47,3,TRUE)</f>
        <v>0</v>
      </c>
      <c r="R30" s="61">
        <f>VLOOKUP(R10,'Таблица штрафов'!$A$7:$C$47,3,TRUE)</f>
        <v>0</v>
      </c>
      <c r="S30" s="61">
        <f>VLOOKUP(S10,'Таблица штрафов'!$A$7:$C$47,3,TRUE)</f>
        <v>0</v>
      </c>
      <c r="T30" s="61">
        <f>VLOOKUP(T10,'Таблица штрафов'!$A$7:$C$47,3,TRUE)</f>
        <v>0</v>
      </c>
      <c r="U30" s="61">
        <f>VLOOKUP(U10,'Таблица штрафов'!$A$7:$C$47,3,TRUE)</f>
        <v>0</v>
      </c>
      <c r="V30" s="61">
        <f>VLOOKUP(V10,'Таблица штрафов'!$A$7:$C$47,3,TRUE)</f>
        <v>0</v>
      </c>
      <c r="W30" s="61">
        <f>VLOOKUP(W10,'Таблица штрафов'!$A$7:$C$47,3,TRUE)</f>
        <v>0</v>
      </c>
      <c r="X30" s="61">
        <f>VLOOKUP(X10,'Таблица штрафов'!$A$7:$C$47,3,TRUE)</f>
        <v>0</v>
      </c>
      <c r="Y30" s="62">
        <f>VLOOKUP(Y10,'Таблица штрафов'!$A$7:$C$47,3,TRUE)</f>
        <v>0</v>
      </c>
      <c r="Z30" s="38">
        <f t="shared" si="0"/>
        <v>119.99999999999996</v>
      </c>
      <c r="AA30" s="49">
        <f>IF(Z30&gt;1000,0,MIN(Z30,Z32,Z34,Z26,Z28)/Z30*$D$3/2)</f>
        <v>8.749999999999991</v>
      </c>
      <c r="AB30" s="157">
        <f>(AA30+AA31)</f>
        <v>17.79761904761904</v>
      </c>
    </row>
    <row r="31" spans="1:28" ht="15.75" customHeight="1" thickBot="1">
      <c r="A31" s="114" t="str">
        <f>A19</f>
        <v>Анк-морпорк</v>
      </c>
      <c r="B31" s="149"/>
      <c r="C31" s="58">
        <f>(D19-C19)*60*24</f>
        <v>35</v>
      </c>
      <c r="D31" s="70">
        <f>SUM(E31:Y31,Z19,AA19)*$D$23</f>
        <v>7</v>
      </c>
      <c r="E31" s="61">
        <f>VLOOKUP(E19,'Таблица штрафов'!$A$7:$C$47,3,TRUE)</f>
        <v>4</v>
      </c>
      <c r="F31" s="61">
        <f>VLOOKUP(F19,'Таблица штрафов'!$A$7:$C$47,3,TRUE)</f>
        <v>4</v>
      </c>
      <c r="G31" s="61">
        <f>VLOOKUP(G19,'Таблица штрафов'!$A$7:$C$47,3,TRUE)</f>
        <v>4</v>
      </c>
      <c r="H31" s="61">
        <f>VLOOKUP(H19,'Таблица штрафов'!$A$7:$C$47,3,TRUE)</f>
        <v>4</v>
      </c>
      <c r="I31" s="61">
        <f>VLOOKUP(I19,'Таблица штрафов'!$A$7:$C$47,3,TRUE)</f>
        <v>0</v>
      </c>
      <c r="J31" s="61">
        <f>VLOOKUP(J19,'Таблица штрафов'!$A$7:$C$47,3,TRUE)</f>
        <v>0</v>
      </c>
      <c r="K31" s="61">
        <f>VLOOKUP(K19,'Таблица штрафов'!$A$7:$C$47,3,TRUE)</f>
        <v>0</v>
      </c>
      <c r="L31" s="61">
        <f>VLOOKUP(L19,'Таблица штрафов'!$A$7:$C$47,3,TRUE)</f>
        <v>0</v>
      </c>
      <c r="M31" s="61">
        <f>VLOOKUP(M19,'Таблица штрафов'!$A$7:$C$47,3,TRUE)</f>
        <v>0</v>
      </c>
      <c r="N31" s="61">
        <f>VLOOKUP(N19,'Таблица штрафов'!$A$7:$C$47,3,TRUE)</f>
        <v>0</v>
      </c>
      <c r="O31" s="61">
        <f>VLOOKUP(O19,'Таблица штрафов'!$A$7:$C$47,3,TRUE)</f>
        <v>0</v>
      </c>
      <c r="P31" s="61">
        <f>VLOOKUP(P19,'Таблица штрафов'!$A$7:$C$47,3,TRUE)</f>
        <v>0</v>
      </c>
      <c r="Q31" s="61">
        <f>VLOOKUP(Q19,'Таблица штрафов'!$A$7:$C$47,3,TRUE)</f>
        <v>0</v>
      </c>
      <c r="R31" s="61">
        <f>VLOOKUP(R19,'Таблица штрафов'!$A$7:$C$47,3,TRUE)</f>
        <v>0</v>
      </c>
      <c r="S31" s="61">
        <f>VLOOKUP(S19,'Таблица штрафов'!$A$7:$C$47,3,TRUE)</f>
        <v>0</v>
      </c>
      <c r="T31" s="61">
        <f>VLOOKUP(T19,'Таблица штрафов'!$A$7:$C$47,3,TRUE)</f>
        <v>0</v>
      </c>
      <c r="U31" s="61">
        <f>VLOOKUP(U19,'Таблица штрафов'!$A$7:$C$47,3,TRUE)</f>
        <v>0</v>
      </c>
      <c r="V31" s="61">
        <f>VLOOKUP(V19,'Таблица штрафов'!$A$7:$C$47,3,TRUE)</f>
        <v>0</v>
      </c>
      <c r="W31" s="61">
        <f>VLOOKUP(W19,'Таблица штрафов'!$A$7:$C$47,3,TRUE)</f>
        <v>0</v>
      </c>
      <c r="X31" s="61">
        <f>VLOOKUP(X19,'Таблица штрафов'!$A$7:$C$47,3,TRUE)</f>
        <v>0</v>
      </c>
      <c r="Y31" s="61">
        <f>VLOOKUP(Y19,'Таблица штрафов'!$A$7:$C$47,3,TRUE)</f>
        <v>0</v>
      </c>
      <c r="Z31" s="38">
        <f t="shared" si="0"/>
        <v>42</v>
      </c>
      <c r="AA31" s="49">
        <f>IF(Z31&gt;1000,0,MIN(Z31,Z33,Z35,Z27,Z29)/Z31*$D$3/2)</f>
        <v>9.04761904761905</v>
      </c>
      <c r="AB31" s="158"/>
    </row>
    <row r="32" spans="1:28" ht="15.75" customHeight="1" thickBot="1">
      <c r="A32" s="114" t="str">
        <f>A11</f>
        <v>Протест</v>
      </c>
      <c r="B32" s="149"/>
      <c r="C32" s="58">
        <f>(D11-C11)*60*24</f>
        <v>-1120</v>
      </c>
      <c r="D32" s="70">
        <f>SUM(E32:Y32,Z11,AA11)*$D$23</f>
        <v>5013</v>
      </c>
      <c r="E32" s="61">
        <f>VLOOKUP(E11,'Таблица штрафов'!$A$7:$C$47,3,TRUE)</f>
        <v>7</v>
      </c>
      <c r="F32" s="61">
        <f>VLOOKUP(F11,'Таблица штрафов'!$A$7:$C$47,3,TRUE)</f>
        <v>8</v>
      </c>
      <c r="G32" s="61">
        <f>VLOOKUP(G11,'Таблица штрафов'!$A$7:$C$47,3,TRUE)</f>
        <v>8</v>
      </c>
      <c r="H32" s="61">
        <f>VLOOKUP(H11,'Таблица штрафов'!$A$7:$C$47,3,TRUE)</f>
        <v>7</v>
      </c>
      <c r="I32" s="61">
        <f>VLOOKUP(I11,'Таблица штрафов'!$A$7:$C$47,3,TRUE)</f>
        <v>0</v>
      </c>
      <c r="J32" s="61">
        <f>VLOOKUP(J11,'Таблица штрафов'!$A$7:$C$47,3,TRUE)</f>
        <v>10000</v>
      </c>
      <c r="K32" s="61">
        <f>VLOOKUP(K11,'Таблица штрафов'!$A$7:$C$47,3,TRUE)</f>
        <v>0</v>
      </c>
      <c r="L32" s="61">
        <f>VLOOKUP(L11,'Таблица штрафов'!$A$7:$C$47,3,TRUE)</f>
        <v>0</v>
      </c>
      <c r="M32" s="61">
        <f>VLOOKUP(M11,'Таблица штрафов'!$A$7:$C$47,3,TRUE)</f>
        <v>0</v>
      </c>
      <c r="N32" s="61">
        <f>VLOOKUP(N11,'Таблица штрафов'!$A$7:$C$47,3,TRUE)</f>
        <v>0</v>
      </c>
      <c r="O32" s="61">
        <f>VLOOKUP(O11,'Таблица штрафов'!$A$7:$C$47,3,TRUE)</f>
        <v>0</v>
      </c>
      <c r="P32" s="61">
        <f>VLOOKUP(P11,'Таблица штрафов'!$A$7:$C$47,3,TRUE)</f>
        <v>0</v>
      </c>
      <c r="Q32" s="61">
        <f>VLOOKUP(Q11,'Таблица штрафов'!$A$7:$C$47,3,TRUE)</f>
        <v>0</v>
      </c>
      <c r="R32" s="61">
        <f>VLOOKUP(R11,'Таблица штрафов'!$A$7:$C$47,3,TRUE)</f>
        <v>0</v>
      </c>
      <c r="S32" s="61">
        <f>VLOOKUP(S11,'Таблица штрафов'!$A$7:$C$47,3,TRUE)</f>
        <v>0</v>
      </c>
      <c r="T32" s="61">
        <f>VLOOKUP(T11,'Таблица штрафов'!$A$7:$C$47,3,TRUE)</f>
        <v>0</v>
      </c>
      <c r="U32" s="61">
        <f>VLOOKUP(U11,'Таблица штрафов'!$A$7:$C$47,3,TRUE)</f>
        <v>0</v>
      </c>
      <c r="V32" s="61">
        <f>VLOOKUP(V11,'Таблица штрафов'!$A$7:$C$47,3,TRUE)</f>
        <v>0</v>
      </c>
      <c r="W32" s="61">
        <f>VLOOKUP(W11,'Таблица штрафов'!$A$7:$C$47,3,TRUE)</f>
        <v>0</v>
      </c>
      <c r="X32" s="61">
        <f>VLOOKUP(X11,'Таблица штрафов'!$A$7:$C$47,3,TRUE)</f>
        <v>0</v>
      </c>
      <c r="Y32" s="62">
        <f>VLOOKUP(Y11,'Таблица штрафов'!$A$7:$C$47,3,TRUE)</f>
        <v>0</v>
      </c>
      <c r="Z32" s="38">
        <f t="shared" si="0"/>
        <v>3893</v>
      </c>
      <c r="AA32" s="49">
        <f>IF(Z32&gt;1000,0,MIN(Z32,Z34,Z26,Z28,Z30)/Z32*$D$3/2)</f>
        <v>0</v>
      </c>
      <c r="AB32" s="173">
        <f>(AA32+AA33)</f>
        <v>0</v>
      </c>
    </row>
    <row r="33" spans="1:28" ht="15.75" customHeight="1" thickBot="1">
      <c r="A33" s="114" t="str">
        <f>A20</f>
        <v>Протест</v>
      </c>
      <c r="B33" s="149"/>
      <c r="C33" s="58">
        <f>(D20-C20)*60*24</f>
        <v>58.00000000000001</v>
      </c>
      <c r="D33" s="70">
        <f>SUM(E33:Y33,Z20,AA20)*$D$23</f>
        <v>5021.5</v>
      </c>
      <c r="E33" s="61">
        <f>VLOOKUP(E20,'Таблица штрафов'!$A$7:$C$47,3,TRUE)</f>
        <v>7</v>
      </c>
      <c r="F33" s="61">
        <f>VLOOKUP(F20,'Таблица штрафов'!$A$7:$C$47,3,TRUE)</f>
        <v>16</v>
      </c>
      <c r="G33" s="61">
        <f>VLOOKUP(G20,'Таблица штрафов'!$A$7:$C$47,3,TRUE)</f>
        <v>4</v>
      </c>
      <c r="H33" s="61">
        <f>VLOOKUP(H20,'Таблица штрафов'!$A$7:$C$47,3,TRUE)</f>
        <v>8</v>
      </c>
      <c r="I33" s="61">
        <f>VLOOKUP(I20,'Таблица штрафов'!$A$7:$C$47,3,TRUE)</f>
        <v>4</v>
      </c>
      <c r="J33" s="61">
        <f>VLOOKUP(J20,'Таблица штрафов'!$A$7:$C$47,3,TRUE)</f>
        <v>4</v>
      </c>
      <c r="K33" s="61">
        <f>VLOOKUP(K20,'Таблица штрафов'!$A$7:$C$47,3,TRUE)</f>
        <v>0</v>
      </c>
      <c r="L33" s="61">
        <f>VLOOKUP(L20,'Таблица штрафов'!$A$7:$C$47,3,TRUE)</f>
        <v>10000</v>
      </c>
      <c r="M33" s="61">
        <f>VLOOKUP(M20,'Таблица штрафов'!$A$7:$C$47,3,TRUE)</f>
        <v>0</v>
      </c>
      <c r="N33" s="61">
        <f>VLOOKUP(N20,'Таблица штрафов'!$A$7:$C$47,3,TRUE)</f>
        <v>0</v>
      </c>
      <c r="O33" s="61">
        <f>VLOOKUP(O20,'Таблица штрафов'!$A$7:$C$47,3,TRUE)</f>
        <v>0</v>
      </c>
      <c r="P33" s="61">
        <f>VLOOKUP(P20,'Таблица штрафов'!$A$7:$C$47,3,TRUE)</f>
        <v>0</v>
      </c>
      <c r="Q33" s="61">
        <f>VLOOKUP(Q20,'Таблица штрафов'!$A$7:$C$47,3,TRUE)</f>
        <v>0</v>
      </c>
      <c r="R33" s="61">
        <f>VLOOKUP(R20,'Таблица штрафов'!$A$7:$C$47,3,TRUE)</f>
        <v>0</v>
      </c>
      <c r="S33" s="61">
        <f>VLOOKUP(S20,'Таблица штрафов'!$A$7:$C$47,3,TRUE)</f>
        <v>0</v>
      </c>
      <c r="T33" s="61">
        <f>VLOOKUP(T20,'Таблица штрафов'!$A$7:$C$47,3,TRUE)</f>
        <v>0</v>
      </c>
      <c r="U33" s="61">
        <f>VLOOKUP(U20,'Таблица штрафов'!$A$7:$C$47,3,TRUE)</f>
        <v>0</v>
      </c>
      <c r="V33" s="61">
        <f>VLOOKUP(V20,'Таблица штрафов'!$A$7:$C$47,3,TRUE)</f>
        <v>0</v>
      </c>
      <c r="W33" s="61">
        <f>VLOOKUP(W20,'Таблица штрафов'!$A$7:$C$47,3,TRUE)</f>
        <v>0</v>
      </c>
      <c r="X33" s="61">
        <f>VLOOKUP(X20,'Таблица штрафов'!$A$7:$C$47,3,TRUE)</f>
        <v>0</v>
      </c>
      <c r="Y33" s="61">
        <f>VLOOKUP(Y20,'Таблица штрафов'!$A$7:$C$47,3,TRUE)</f>
        <v>0</v>
      </c>
      <c r="Z33" s="38">
        <f t="shared" si="0"/>
        <v>5079.5</v>
      </c>
      <c r="AA33" s="49">
        <f>IF(Z33&gt;1000,0,MIN(Z33,Z35,Z27,Z29,Z31)/Z33*$D$3/2)</f>
        <v>0</v>
      </c>
      <c r="AB33" s="174"/>
    </row>
    <row r="34" spans="1:28" ht="15.75" customHeight="1" thickBot="1">
      <c r="A34" s="114" t="str">
        <f>A12</f>
        <v>Ежики</v>
      </c>
      <c r="B34" s="149"/>
      <c r="C34" s="58">
        <f>(D12-C12)*60*24</f>
        <v>-625</v>
      </c>
      <c r="D34" s="70">
        <f>SUM(E34:Y34,Z12,AA12)*$D$23</f>
        <v>5026</v>
      </c>
      <c r="E34" s="61">
        <f>VLOOKUP(E12,'Таблица штрафов'!$A$7:$C$47,3,TRUE)</f>
        <v>8</v>
      </c>
      <c r="F34" s="61">
        <f>VLOOKUP(F12,'Таблица штрафов'!$A$7:$C$47,3,TRUE)</f>
        <v>20</v>
      </c>
      <c r="G34" s="61">
        <f>VLOOKUP(G12,'Таблица штрафов'!$A$7:$C$47,3,TRUE)</f>
        <v>16</v>
      </c>
      <c r="H34" s="61">
        <f>VLOOKUP(H12,'Таблица штрафов'!$A$7:$C$47,3,TRUE)</f>
        <v>8</v>
      </c>
      <c r="I34" s="61">
        <f>VLOOKUP(I12,'Таблица штрафов'!$A$7:$C$47,3,TRUE)</f>
        <v>0</v>
      </c>
      <c r="J34" s="61">
        <f>VLOOKUP(J12,'Таблица штрафов'!$A$7:$C$47,3,TRUE)</f>
        <v>10000</v>
      </c>
      <c r="K34" s="61">
        <f>VLOOKUP(K12,'Таблица штрафов'!$A$7:$C$47,3,TRUE)</f>
        <v>0</v>
      </c>
      <c r="L34" s="61">
        <f>VLOOKUP(L12,'Таблица штрафов'!$A$7:$C$47,3,TRUE)</f>
        <v>0</v>
      </c>
      <c r="M34" s="61">
        <f>VLOOKUP(M12,'Таблица штрафов'!$A$7:$C$47,3,TRUE)</f>
        <v>0</v>
      </c>
      <c r="N34" s="61">
        <f>VLOOKUP(N12,'Таблица штрафов'!$A$7:$C$47,3,TRUE)</f>
        <v>0</v>
      </c>
      <c r="O34" s="61">
        <f>VLOOKUP(O12,'Таблица штрафов'!$A$7:$C$47,3,TRUE)</f>
        <v>0</v>
      </c>
      <c r="P34" s="61">
        <f>VLOOKUP(P12,'Таблица штрафов'!$A$7:$C$47,3,TRUE)</f>
        <v>0</v>
      </c>
      <c r="Q34" s="61">
        <f>VLOOKUP(Q12,'Таблица штрафов'!$A$7:$C$47,3,TRUE)</f>
        <v>0</v>
      </c>
      <c r="R34" s="61">
        <f>VLOOKUP(R12,'Таблица штрафов'!$A$7:$C$47,3,TRUE)</f>
        <v>0</v>
      </c>
      <c r="S34" s="61">
        <f>VLOOKUP(S12,'Таблица штрафов'!$A$7:$C$47,3,TRUE)</f>
        <v>0</v>
      </c>
      <c r="T34" s="61">
        <f>VLOOKUP(T12,'Таблица штрафов'!$A$7:$C$47,3,TRUE)</f>
        <v>0</v>
      </c>
      <c r="U34" s="61">
        <f>VLOOKUP(U12,'Таблица штрафов'!$A$7:$C$47,3,TRUE)</f>
        <v>0</v>
      </c>
      <c r="V34" s="61">
        <f>VLOOKUP(V12,'Таблица штрафов'!$A$7:$C$47,3,TRUE)</f>
        <v>0</v>
      </c>
      <c r="W34" s="61">
        <f>VLOOKUP(W12,'Таблица штрафов'!$A$7:$C$47,3,TRUE)</f>
        <v>0</v>
      </c>
      <c r="X34" s="61">
        <f>VLOOKUP(X12,'Таблица штрафов'!$A$7:$C$47,3,TRUE)</f>
        <v>0</v>
      </c>
      <c r="Y34" s="62">
        <f>VLOOKUP(Y12,'Таблица штрафов'!$A$7:$C$47,3,TRUE)</f>
        <v>0</v>
      </c>
      <c r="Z34" s="38">
        <f t="shared" si="0"/>
        <v>4401</v>
      </c>
      <c r="AA34" s="49">
        <f>IF(Z34&gt;1000,0,MIN(Z34,Z26,Z28,Z30,Z32)/Z34*$D$3/2)</f>
        <v>0</v>
      </c>
      <c r="AB34" s="155">
        <f>(AA34+AA35)</f>
        <v>10</v>
      </c>
    </row>
    <row r="35" spans="1:28" ht="15.75" customHeight="1" thickBot="1">
      <c r="A35" s="114" t="str">
        <f>A21</f>
        <v>Ежики</v>
      </c>
      <c r="B35" s="149"/>
      <c r="C35" s="58">
        <f>(D21-C21)*60*24</f>
        <v>31.000000000000007</v>
      </c>
      <c r="D35" s="70">
        <f>SUM(E35:Y35,Z21,AA21)*$D$23</f>
        <v>7</v>
      </c>
      <c r="E35" s="61">
        <f>VLOOKUP(E21,'Таблица штрафов'!$A$7:$C$47,3,TRUE)</f>
        <v>16</v>
      </c>
      <c r="F35" s="61">
        <f>VLOOKUP(F21,'Таблица штрафов'!$A$7:$C$47,3,TRUE)</f>
        <v>0</v>
      </c>
      <c r="G35" s="61">
        <f>VLOOKUP(G21,'Таблица штрафов'!$A$7:$C$47,3,TRUE)</f>
        <v>0</v>
      </c>
      <c r="H35" s="61">
        <f>VLOOKUP(H21,'Таблица штрафов'!$A$7:$C$47,3,TRUE)</f>
        <v>0</v>
      </c>
      <c r="I35" s="61">
        <f>VLOOKUP(I21,'Таблица штрафов'!$A$7:$C$47,3,TRUE)</f>
        <v>0</v>
      </c>
      <c r="J35" s="61">
        <f>VLOOKUP(J21,'Таблица штрафов'!$A$7:$C$47,3,TRUE)</f>
        <v>0</v>
      </c>
      <c r="K35" s="61">
        <f>VLOOKUP(K21,'Таблица штрафов'!$A$7:$C$47,3,TRUE)</f>
        <v>0</v>
      </c>
      <c r="L35" s="61">
        <f>VLOOKUP(L21,'Таблица штрафов'!$A$7:$C$47,3,TRUE)</f>
        <v>0</v>
      </c>
      <c r="M35" s="61">
        <f>VLOOKUP(M21,'Таблица штрафов'!$A$7:$C$47,3,TRUE)</f>
        <v>0</v>
      </c>
      <c r="N35" s="61">
        <f>VLOOKUP(N21,'Таблица штрафов'!$A$7:$C$47,3,TRUE)</f>
        <v>0</v>
      </c>
      <c r="O35" s="61">
        <f>VLOOKUP(O21,'Таблица штрафов'!$A$7:$C$47,3,TRUE)</f>
        <v>0</v>
      </c>
      <c r="P35" s="61">
        <f>VLOOKUP(P21,'Таблица штрафов'!$A$7:$C$47,3,TRUE)</f>
        <v>0</v>
      </c>
      <c r="Q35" s="61">
        <f>VLOOKUP(Q21,'Таблица штрафов'!$A$7:$C$47,3,TRUE)</f>
        <v>0</v>
      </c>
      <c r="R35" s="61">
        <f>VLOOKUP(R21,'Таблица штрафов'!$A$7:$C$47,3,TRUE)</f>
        <v>0</v>
      </c>
      <c r="S35" s="61">
        <f>VLOOKUP(S21,'Таблица штрафов'!$A$7:$C$47,3,TRUE)</f>
        <v>0</v>
      </c>
      <c r="T35" s="61">
        <f>VLOOKUP(T21,'Таблица штрафов'!$A$7:$C$47,3,TRUE)</f>
        <v>0</v>
      </c>
      <c r="U35" s="61">
        <f>VLOOKUP(U21,'Таблица штрафов'!$A$7:$C$47,3,TRUE)</f>
        <v>0</v>
      </c>
      <c r="V35" s="61">
        <f>VLOOKUP(V21,'Таблица штрафов'!$A$7:$C$47,3,TRUE)</f>
        <v>0</v>
      </c>
      <c r="W35" s="61">
        <f>VLOOKUP(W21,'Таблица штрафов'!$A$7:$C$47,3,TRUE)</f>
        <v>0</v>
      </c>
      <c r="X35" s="61">
        <f>VLOOKUP(X21,'Таблица штрафов'!$A$7:$C$47,3,TRUE)</f>
        <v>0</v>
      </c>
      <c r="Y35" s="61">
        <f>VLOOKUP(Y21,'Таблица штрафов'!$A$7:$C$47,3,TRUE)</f>
        <v>0</v>
      </c>
      <c r="Z35" s="38">
        <f t="shared" si="0"/>
        <v>38.00000000000001</v>
      </c>
      <c r="AA35" s="49">
        <f>IF(Z35&gt;1000,0,MIN(Z35,Z27,Z29,Z31,Z33)/Z35*$D$3/2)</f>
        <v>10</v>
      </c>
      <c r="AB35" s="156"/>
    </row>
    <row r="37" spans="1:13" ht="15.75">
      <c r="A37" s="161" t="s">
        <v>132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27" ht="15.75">
      <c r="A38" s="121" t="s">
        <v>11</v>
      </c>
      <c r="B38" s="121"/>
      <c r="C38" s="121"/>
      <c r="D38" s="122" t="s">
        <v>130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2"/>
      <c r="AA38" s="2"/>
    </row>
    <row r="39" spans="1:25" ht="15" customHeight="1">
      <c r="A39" s="123" t="s">
        <v>12</v>
      </c>
      <c r="B39" s="162"/>
      <c r="C39" s="163"/>
      <c r="D39" s="170" t="s">
        <v>131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2"/>
    </row>
    <row r="40" spans="1:25" ht="15" customHeight="1">
      <c r="A40" s="164"/>
      <c r="B40" s="165"/>
      <c r="C40" s="166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2"/>
    </row>
    <row r="41" spans="1:25" ht="15" customHeight="1">
      <c r="A41" s="167"/>
      <c r="B41" s="168"/>
      <c r="C41" s="169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2"/>
    </row>
    <row r="43" spans="1:13" ht="15.75">
      <c r="A43" s="161" t="s">
        <v>133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25" ht="15.75">
      <c r="A44" s="121" t="s">
        <v>11</v>
      </c>
      <c r="B44" s="121"/>
      <c r="C44" s="121"/>
      <c r="D44" s="122" t="s">
        <v>134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</row>
    <row r="45" spans="1:25" ht="15">
      <c r="A45" s="123" t="s">
        <v>12</v>
      </c>
      <c r="B45" s="162"/>
      <c r="C45" s="163"/>
      <c r="D45" s="170" t="s">
        <v>135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2"/>
    </row>
    <row r="46" spans="1:25" ht="15">
      <c r="A46" s="164"/>
      <c r="B46" s="165"/>
      <c r="C46" s="166"/>
      <c r="D46" s="170" t="s">
        <v>136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2"/>
    </row>
    <row r="47" spans="1:25" ht="15">
      <c r="A47" s="167"/>
      <c r="B47" s="168"/>
      <c r="C47" s="169"/>
      <c r="D47" s="170" t="s">
        <v>137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2"/>
    </row>
  </sheetData>
  <sheetProtection/>
  <mergeCells count="57">
    <mergeCell ref="AB26:AB27"/>
    <mergeCell ref="AB28:AB29"/>
    <mergeCell ref="AB30:AB31"/>
    <mergeCell ref="A27:B27"/>
    <mergeCell ref="A30:B30"/>
    <mergeCell ref="A31:B31"/>
    <mergeCell ref="A26:B26"/>
    <mergeCell ref="AB24:AB25"/>
    <mergeCell ref="A20:B20"/>
    <mergeCell ref="A1:AB1"/>
    <mergeCell ref="A2:AB2"/>
    <mergeCell ref="A23:C23"/>
    <mergeCell ref="A24:B25"/>
    <mergeCell ref="A3:C3"/>
    <mergeCell ref="A6:B7"/>
    <mergeCell ref="C6:D6"/>
    <mergeCell ref="E6:Y7"/>
    <mergeCell ref="AB34:AB35"/>
    <mergeCell ref="A35:B35"/>
    <mergeCell ref="AB32:AB33"/>
    <mergeCell ref="D41:Y41"/>
    <mergeCell ref="D40:Y40"/>
    <mergeCell ref="D39:Y39"/>
    <mergeCell ref="A39:C41"/>
    <mergeCell ref="A38:C38"/>
    <mergeCell ref="D38:Y38"/>
    <mergeCell ref="A37:M37"/>
    <mergeCell ref="A28:B28"/>
    <mergeCell ref="A29:B29"/>
    <mergeCell ref="A33:B33"/>
    <mergeCell ref="A34:B34"/>
    <mergeCell ref="A32:B32"/>
    <mergeCell ref="Z6:AA6"/>
    <mergeCell ref="AA24:AA25"/>
    <mergeCell ref="A8:B8"/>
    <mergeCell ref="A9:B9"/>
    <mergeCell ref="Z24:Z25"/>
    <mergeCell ref="C24:D24"/>
    <mergeCell ref="C15:D15"/>
    <mergeCell ref="E15:Y16"/>
    <mergeCell ref="Z15:AA15"/>
    <mergeCell ref="E24:Y25"/>
    <mergeCell ref="A21:B21"/>
    <mergeCell ref="A17:B17"/>
    <mergeCell ref="A18:B18"/>
    <mergeCell ref="A19:B19"/>
    <mergeCell ref="A10:B10"/>
    <mergeCell ref="A11:B11"/>
    <mergeCell ref="A12:B12"/>
    <mergeCell ref="A15:B16"/>
    <mergeCell ref="A43:M43"/>
    <mergeCell ref="A44:C44"/>
    <mergeCell ref="D44:Y44"/>
    <mergeCell ref="A45:C47"/>
    <mergeCell ref="D45:Y45"/>
    <mergeCell ref="D46:Y46"/>
    <mergeCell ref="D47:Y4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8"/>
  <sheetViews>
    <sheetView zoomScale="90" zoomScaleNormal="90" zoomScalePageLayoutView="0" workbookViewId="0" topLeftCell="A1">
      <selection activeCell="E25" sqref="E25:Y25"/>
    </sheetView>
  </sheetViews>
  <sheetFormatPr defaultColWidth="9.00390625" defaultRowHeight="12.75"/>
  <cols>
    <col min="1" max="2" width="9.125" style="2" customWidth="1"/>
    <col min="3" max="3" width="11.25390625" style="2" customWidth="1"/>
    <col min="4" max="4" width="11.375" style="2" customWidth="1"/>
    <col min="5" max="11" width="2.625" style="2" customWidth="1"/>
    <col min="12" max="12" width="2.75390625" style="2" customWidth="1"/>
    <col min="13" max="19" width="2.625" style="2" customWidth="1"/>
    <col min="20" max="22" width="2.625" style="2" bestFit="1" customWidth="1"/>
    <col min="23" max="23" width="11.875" style="2" customWidth="1"/>
    <col min="24" max="24" width="11.25390625" style="2" customWidth="1"/>
    <col min="25" max="25" width="11.625" style="2" customWidth="1"/>
    <col min="26" max="16384" width="9.125" style="2" customWidth="1"/>
  </cols>
  <sheetData>
    <row r="1" spans="1:29" ht="18" customHeight="1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4"/>
      <c r="AA1" s="4"/>
      <c r="AB1" s="4"/>
      <c r="AC1" s="4"/>
    </row>
    <row r="2" spans="1:29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  <c r="AA2" s="4"/>
      <c r="AB2" s="4"/>
      <c r="AC2" s="4"/>
    </row>
    <row r="3" spans="1:5" ht="15.75">
      <c r="A3" s="130" t="s">
        <v>14</v>
      </c>
      <c r="B3" s="130"/>
      <c r="C3" s="130"/>
      <c r="D3" s="34">
        <v>12</v>
      </c>
      <c r="E3" s="2" t="s">
        <v>67</v>
      </c>
    </row>
    <row r="4" spans="1:4" ht="15.75">
      <c r="A4" s="3" t="s">
        <v>111</v>
      </c>
      <c r="B4" s="3"/>
      <c r="C4" s="3"/>
      <c r="D4" s="34">
        <v>3</v>
      </c>
    </row>
    <row r="5" spans="1:24" ht="15.75">
      <c r="A5" s="3" t="s">
        <v>86</v>
      </c>
      <c r="B5" s="3"/>
      <c r="C5" s="3"/>
      <c r="D5" s="34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3"/>
    </row>
    <row r="6" spans="1:25" ht="15.75">
      <c r="A6" s="3" t="s">
        <v>87</v>
      </c>
      <c r="B6" s="3"/>
      <c r="C6" s="3"/>
      <c r="D6" s="34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4"/>
      <c r="U6" s="74"/>
      <c r="V6" s="74"/>
      <c r="W6" s="74"/>
      <c r="X6" s="74"/>
      <c r="Y6" s="74"/>
    </row>
    <row r="7" spans="1:25" ht="15.75">
      <c r="A7" s="3"/>
      <c r="B7" s="3"/>
      <c r="C7" s="3"/>
      <c r="D7" s="3"/>
      <c r="T7" s="74"/>
      <c r="U7" s="74"/>
      <c r="V7" s="74"/>
      <c r="W7" s="74"/>
      <c r="X7" s="74"/>
      <c r="Y7" s="74"/>
    </row>
    <row r="8" spans="3:4" ht="16.5" thickBot="1">
      <c r="C8" s="3"/>
      <c r="D8" s="3"/>
    </row>
    <row r="9" spans="1:25" ht="15.75" customHeight="1">
      <c r="A9" s="197" t="s">
        <v>6</v>
      </c>
      <c r="B9" s="198"/>
      <c r="C9" s="199"/>
      <c r="D9" s="181" t="s">
        <v>10</v>
      </c>
      <c r="E9" s="134" t="s">
        <v>8</v>
      </c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35"/>
      <c r="W9" s="178" t="s">
        <v>106</v>
      </c>
      <c r="X9" s="178" t="s">
        <v>3</v>
      </c>
      <c r="Y9" s="181" t="s">
        <v>7</v>
      </c>
    </row>
    <row r="10" spans="1:25" ht="15.75">
      <c r="A10" s="200"/>
      <c r="B10" s="201"/>
      <c r="C10" s="202"/>
      <c r="D10" s="182"/>
      <c r="E10" s="175">
        <v>1</v>
      </c>
      <c r="F10" s="176"/>
      <c r="G10" s="177"/>
      <c r="H10" s="175">
        <v>2</v>
      </c>
      <c r="I10" s="176"/>
      <c r="J10" s="177"/>
      <c r="K10" s="175">
        <v>3</v>
      </c>
      <c r="L10" s="176"/>
      <c r="M10" s="177"/>
      <c r="N10" s="175">
        <v>4</v>
      </c>
      <c r="O10" s="176"/>
      <c r="P10" s="177"/>
      <c r="Q10" s="175">
        <v>5</v>
      </c>
      <c r="R10" s="176"/>
      <c r="S10" s="177"/>
      <c r="T10" s="175">
        <v>6</v>
      </c>
      <c r="U10" s="176"/>
      <c r="V10" s="177"/>
      <c r="W10" s="179"/>
      <c r="X10" s="179"/>
      <c r="Y10" s="182"/>
    </row>
    <row r="11" spans="1:25" ht="15.75" customHeight="1" thickBot="1">
      <c r="A11" s="203"/>
      <c r="B11" s="204"/>
      <c r="C11" s="205"/>
      <c r="D11" s="183"/>
      <c r="E11" s="184" t="s">
        <v>110</v>
      </c>
      <c r="F11" s="185"/>
      <c r="G11" s="186"/>
      <c r="H11" s="184" t="s">
        <v>110</v>
      </c>
      <c r="I11" s="185"/>
      <c r="J11" s="186"/>
      <c r="K11" s="184" t="s">
        <v>110</v>
      </c>
      <c r="L11" s="185"/>
      <c r="M11" s="186"/>
      <c r="N11" s="184" t="s">
        <v>110</v>
      </c>
      <c r="O11" s="185"/>
      <c r="P11" s="186"/>
      <c r="Q11" s="184" t="s">
        <v>110</v>
      </c>
      <c r="R11" s="185"/>
      <c r="S11" s="186"/>
      <c r="T11" s="184" t="s">
        <v>110</v>
      </c>
      <c r="U11" s="185"/>
      <c r="V11" s="186"/>
      <c r="W11" s="180"/>
      <c r="X11" s="180"/>
      <c r="Y11" s="183"/>
    </row>
    <row r="12" spans="1:25" ht="15">
      <c r="A12" s="206" t="str">
        <f>Итог!A9</f>
        <v>Протест</v>
      </c>
      <c r="B12" s="207"/>
      <c r="C12" s="208"/>
      <c r="D12" s="47" t="s">
        <v>83</v>
      </c>
      <c r="E12" s="63">
        <v>1</v>
      </c>
      <c r="F12" s="63">
        <v>1</v>
      </c>
      <c r="G12" s="63">
        <v>1</v>
      </c>
      <c r="H12" s="63">
        <v>1</v>
      </c>
      <c r="I12" s="63">
        <v>1</v>
      </c>
      <c r="J12" s="63">
        <v>1</v>
      </c>
      <c r="K12" s="63">
        <v>1</v>
      </c>
      <c r="L12" s="63">
        <v>0</v>
      </c>
      <c r="M12" s="63">
        <v>0</v>
      </c>
      <c r="N12" s="63">
        <v>1</v>
      </c>
      <c r="O12" s="63">
        <v>1</v>
      </c>
      <c r="P12" s="63">
        <v>1</v>
      </c>
      <c r="Q12" s="63">
        <v>0</v>
      </c>
      <c r="R12" s="63">
        <v>0</v>
      </c>
      <c r="S12" s="63">
        <v>0</v>
      </c>
      <c r="T12" s="63">
        <v>1</v>
      </c>
      <c r="U12" s="63">
        <v>1</v>
      </c>
      <c r="V12" s="63">
        <v>0</v>
      </c>
      <c r="W12" s="212"/>
      <c r="X12" s="214">
        <f>SUM(E12:V12)+SUM(E13:V13)</f>
        <v>13</v>
      </c>
      <c r="Y12" s="214">
        <f>X12/D4</f>
        <v>4.333333333333333</v>
      </c>
    </row>
    <row r="13" spans="1:25" ht="15.75" thickBot="1">
      <c r="A13" s="209"/>
      <c r="B13" s="210"/>
      <c r="C13" s="211"/>
      <c r="D13" s="48" t="s">
        <v>84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1</v>
      </c>
      <c r="U13" s="65">
        <v>0</v>
      </c>
      <c r="V13" s="65">
        <v>0</v>
      </c>
      <c r="W13" s="213"/>
      <c r="X13" s="215"/>
      <c r="Y13" s="215"/>
    </row>
    <row r="14" spans="1:25" ht="15">
      <c r="A14" s="206" t="str">
        <f>Итог!A10</f>
        <v>Анк-морпорк</v>
      </c>
      <c r="B14" s="207"/>
      <c r="C14" s="208"/>
      <c r="D14" s="47" t="s">
        <v>83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v>1</v>
      </c>
      <c r="K14" s="63">
        <v>0</v>
      </c>
      <c r="L14" s="63">
        <v>0</v>
      </c>
      <c r="M14" s="63">
        <v>0</v>
      </c>
      <c r="N14" s="63">
        <v>1</v>
      </c>
      <c r="O14" s="63">
        <v>1</v>
      </c>
      <c r="P14" s="63">
        <v>1</v>
      </c>
      <c r="Q14" s="63">
        <v>1</v>
      </c>
      <c r="R14" s="63">
        <v>1</v>
      </c>
      <c r="S14" s="63">
        <v>1</v>
      </c>
      <c r="T14" s="63">
        <v>1</v>
      </c>
      <c r="U14" s="63">
        <v>1</v>
      </c>
      <c r="V14" s="63">
        <v>1</v>
      </c>
      <c r="W14" s="212"/>
      <c r="X14" s="214">
        <f>SUM(E14:V14)+SUM(E15:V15)</f>
        <v>12</v>
      </c>
      <c r="Y14" s="214">
        <f>X14/D4</f>
        <v>4</v>
      </c>
    </row>
    <row r="15" spans="1:25" ht="15.75" thickBot="1">
      <c r="A15" s="209"/>
      <c r="B15" s="210"/>
      <c r="C15" s="211"/>
      <c r="D15" s="48" t="s">
        <v>84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213"/>
      <c r="X15" s="215"/>
      <c r="Y15" s="215"/>
    </row>
    <row r="16" spans="1:25" ht="15">
      <c r="A16" s="206" t="str">
        <f>Итог!A11</f>
        <v>Крутые перцы</v>
      </c>
      <c r="B16" s="207"/>
      <c r="C16" s="208"/>
      <c r="D16" s="47" t="s">
        <v>83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1</v>
      </c>
      <c r="L16" s="63">
        <v>1</v>
      </c>
      <c r="M16" s="63">
        <v>1</v>
      </c>
      <c r="N16" s="63">
        <v>1</v>
      </c>
      <c r="O16" s="63">
        <v>1</v>
      </c>
      <c r="P16" s="63">
        <v>1</v>
      </c>
      <c r="Q16" s="63">
        <v>1</v>
      </c>
      <c r="R16" s="63">
        <v>1</v>
      </c>
      <c r="S16" s="63">
        <v>1</v>
      </c>
      <c r="T16" s="63">
        <v>1</v>
      </c>
      <c r="U16" s="63">
        <v>1</v>
      </c>
      <c r="V16" s="63">
        <v>1</v>
      </c>
      <c r="W16" s="212"/>
      <c r="X16" s="214">
        <f>SUM(E16:V16)+SUM(E17:V17)</f>
        <v>14</v>
      </c>
      <c r="Y16" s="214">
        <f>X16/D4</f>
        <v>4.666666666666667</v>
      </c>
    </row>
    <row r="17" spans="1:25" ht="15.75" thickBot="1">
      <c r="A17" s="209"/>
      <c r="B17" s="210"/>
      <c r="C17" s="211"/>
      <c r="D17" s="48" t="s">
        <v>84</v>
      </c>
      <c r="E17" s="65">
        <v>0</v>
      </c>
      <c r="F17" s="65">
        <v>0</v>
      </c>
      <c r="G17" s="65">
        <v>0</v>
      </c>
      <c r="H17" s="65">
        <v>0</v>
      </c>
      <c r="I17" s="65">
        <v>1</v>
      </c>
      <c r="J17" s="65">
        <v>1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213"/>
      <c r="X17" s="215"/>
      <c r="Y17" s="215"/>
    </row>
    <row r="18" spans="1:25" ht="15">
      <c r="A18" s="206" t="str">
        <f>Итог!A12</f>
        <v>Ударники</v>
      </c>
      <c r="B18" s="207"/>
      <c r="C18" s="208"/>
      <c r="D18" s="47" t="s">
        <v>83</v>
      </c>
      <c r="E18" s="81">
        <v>0</v>
      </c>
      <c r="F18" s="81">
        <v>0</v>
      </c>
      <c r="G18" s="81">
        <v>0</v>
      </c>
      <c r="H18" s="81">
        <v>1</v>
      </c>
      <c r="I18" s="81">
        <v>1</v>
      </c>
      <c r="J18" s="81">
        <v>1</v>
      </c>
      <c r="K18" s="81">
        <v>1</v>
      </c>
      <c r="L18" s="81">
        <v>1</v>
      </c>
      <c r="M18" s="81">
        <v>1</v>
      </c>
      <c r="N18" s="81">
        <v>1</v>
      </c>
      <c r="O18" s="81">
        <v>1</v>
      </c>
      <c r="P18" s="81">
        <v>0</v>
      </c>
      <c r="Q18" s="81">
        <v>1</v>
      </c>
      <c r="R18" s="81">
        <v>1</v>
      </c>
      <c r="S18" s="81">
        <v>1</v>
      </c>
      <c r="T18" s="81">
        <v>0</v>
      </c>
      <c r="U18" s="81">
        <v>0</v>
      </c>
      <c r="V18" s="81">
        <v>0</v>
      </c>
      <c r="W18" s="212"/>
      <c r="X18" s="214">
        <f>SUM(E18:V18)+SUM(E19:V19)</f>
        <v>18</v>
      </c>
      <c r="Y18" s="214">
        <f>X18/D4</f>
        <v>6</v>
      </c>
    </row>
    <row r="19" spans="1:25" ht="15.75" thickBot="1">
      <c r="A19" s="209"/>
      <c r="B19" s="210"/>
      <c r="C19" s="211"/>
      <c r="D19" s="48" t="s">
        <v>84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1</v>
      </c>
      <c r="L19" s="65">
        <v>1</v>
      </c>
      <c r="M19" s="65">
        <v>1</v>
      </c>
      <c r="N19" s="65">
        <v>0</v>
      </c>
      <c r="O19" s="65">
        <v>1</v>
      </c>
      <c r="P19" s="65">
        <v>0</v>
      </c>
      <c r="Q19" s="65">
        <v>1</v>
      </c>
      <c r="R19" s="65">
        <v>1</v>
      </c>
      <c r="S19" s="65">
        <v>1</v>
      </c>
      <c r="T19" s="65">
        <v>0</v>
      </c>
      <c r="U19" s="65">
        <v>0</v>
      </c>
      <c r="V19" s="65">
        <v>0</v>
      </c>
      <c r="W19" s="213"/>
      <c r="X19" s="215"/>
      <c r="Y19" s="215"/>
    </row>
    <row r="20" spans="1:25" ht="15">
      <c r="A20" s="206" t="str">
        <f>Итог!A13</f>
        <v>Ежики</v>
      </c>
      <c r="B20" s="207"/>
      <c r="C20" s="208"/>
      <c r="D20" s="47" t="s">
        <v>83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0</v>
      </c>
      <c r="M20" s="63">
        <v>0</v>
      </c>
      <c r="N20" s="63">
        <v>1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212"/>
      <c r="X20" s="214">
        <f>SUM(E20:V20)+SUM(E21:V21)</f>
        <v>17</v>
      </c>
      <c r="Y20" s="214">
        <f>X20/D4</f>
        <v>5.666666666666667</v>
      </c>
    </row>
    <row r="21" spans="1:25" ht="15.75" thickBot="1">
      <c r="A21" s="209"/>
      <c r="B21" s="210"/>
      <c r="C21" s="211"/>
      <c r="D21" s="48" t="s">
        <v>84</v>
      </c>
      <c r="E21" s="65">
        <v>0</v>
      </c>
      <c r="F21" s="65">
        <v>0</v>
      </c>
      <c r="G21" s="65">
        <v>0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0</v>
      </c>
      <c r="N21" s="65">
        <v>1</v>
      </c>
      <c r="O21" s="65">
        <v>0</v>
      </c>
      <c r="P21" s="65">
        <v>0</v>
      </c>
      <c r="Q21" s="65">
        <v>1</v>
      </c>
      <c r="R21" s="65">
        <v>1</v>
      </c>
      <c r="S21" s="65">
        <v>0</v>
      </c>
      <c r="T21" s="65">
        <v>0</v>
      </c>
      <c r="U21" s="65">
        <v>1</v>
      </c>
      <c r="V21" s="65">
        <v>0</v>
      </c>
      <c r="W21" s="213"/>
      <c r="X21" s="215"/>
      <c r="Y21" s="215"/>
    </row>
    <row r="23" spans="1:25" ht="15.75">
      <c r="A23" s="113" t="s">
        <v>13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87" t="s">
        <v>11</v>
      </c>
      <c r="B25" s="188"/>
      <c r="C25" s="189"/>
      <c r="D25" s="5"/>
      <c r="E25" s="190" t="s">
        <v>140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2"/>
    </row>
    <row r="26" spans="1:25" ht="15.75">
      <c r="A26" s="123" t="s">
        <v>12</v>
      </c>
      <c r="B26" s="162"/>
      <c r="C26" s="163"/>
      <c r="D26" s="17"/>
      <c r="E26" s="170" t="s">
        <v>141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2"/>
    </row>
    <row r="27" spans="1:25" ht="15.75">
      <c r="A27" s="164"/>
      <c r="B27" s="165"/>
      <c r="C27" s="166"/>
      <c r="D27" s="17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5"/>
    </row>
    <row r="28" spans="1:25" ht="15.75">
      <c r="A28" s="167"/>
      <c r="B28" s="168"/>
      <c r="C28" s="169"/>
      <c r="D28" s="17"/>
      <c r="E28" s="193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5"/>
    </row>
  </sheetData>
  <sheetProtection/>
  <mergeCells count="47">
    <mergeCell ref="Y14:Y15"/>
    <mergeCell ref="Y16:Y17"/>
    <mergeCell ref="X16:X17"/>
    <mergeCell ref="X20:X21"/>
    <mergeCell ref="X18:X19"/>
    <mergeCell ref="E28:Y28"/>
    <mergeCell ref="W12:W13"/>
    <mergeCell ref="W16:W17"/>
    <mergeCell ref="Y18:Y19"/>
    <mergeCell ref="W18:W19"/>
    <mergeCell ref="X12:X13"/>
    <mergeCell ref="Y20:Y21"/>
    <mergeCell ref="Y12:Y13"/>
    <mergeCell ref="X14:X15"/>
    <mergeCell ref="A12:C13"/>
    <mergeCell ref="A20:C21"/>
    <mergeCell ref="A14:C15"/>
    <mergeCell ref="W14:W15"/>
    <mergeCell ref="A16:C17"/>
    <mergeCell ref="A18:C19"/>
    <mergeCell ref="W20:W21"/>
    <mergeCell ref="Q11:S11"/>
    <mergeCell ref="T11:V11"/>
    <mergeCell ref="E9:V9"/>
    <mergeCell ref="A3:C3"/>
    <mergeCell ref="A9:C11"/>
    <mergeCell ref="D9:D11"/>
    <mergeCell ref="E10:G10"/>
    <mergeCell ref="H10:J10"/>
    <mergeCell ref="K11:M11"/>
    <mergeCell ref="N11:P11"/>
    <mergeCell ref="A26:C28"/>
    <mergeCell ref="E26:Y26"/>
    <mergeCell ref="A23:Y23"/>
    <mergeCell ref="A25:C25"/>
    <mergeCell ref="E25:Y25"/>
    <mergeCell ref="E27:Y27"/>
    <mergeCell ref="A1:Y1"/>
    <mergeCell ref="Q10:S10"/>
    <mergeCell ref="T10:V10"/>
    <mergeCell ref="W9:W11"/>
    <mergeCell ref="X9:X11"/>
    <mergeCell ref="Y9:Y11"/>
    <mergeCell ref="K10:M10"/>
    <mergeCell ref="N10:P10"/>
    <mergeCell ref="E11:G11"/>
    <mergeCell ref="H11:J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90" zoomScaleNormal="90" zoomScalePageLayoutView="0" workbookViewId="0" topLeftCell="A1">
      <selection activeCell="A22" sqref="A22:M22"/>
    </sheetView>
  </sheetViews>
  <sheetFormatPr defaultColWidth="9.00390625" defaultRowHeight="12.75"/>
  <cols>
    <col min="1" max="2" width="9.125" style="2" customWidth="1"/>
    <col min="3" max="3" width="10.25390625" style="2" customWidth="1"/>
    <col min="4" max="4" width="11.375" style="2" customWidth="1"/>
    <col min="5" max="10" width="9.125" style="2" customWidth="1"/>
    <col min="11" max="11" width="11.875" style="2" customWidth="1"/>
    <col min="12" max="12" width="11.25390625" style="2" customWidth="1"/>
    <col min="13" max="13" width="11.625" style="2" customWidth="1"/>
    <col min="14" max="16384" width="9.125" style="2" customWidth="1"/>
  </cols>
  <sheetData>
    <row r="1" ht="15"/>
    <row r="2" spans="1:17" ht="18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4"/>
      <c r="O2" s="4"/>
      <c r="P2" s="4"/>
      <c r="Q2" s="4"/>
    </row>
    <row r="3" spans="1:5" ht="15.75">
      <c r="A3" s="130" t="s">
        <v>14</v>
      </c>
      <c r="B3" s="130"/>
      <c r="C3" s="130"/>
      <c r="D3" s="34">
        <v>18</v>
      </c>
      <c r="E3" s="2" t="s">
        <v>67</v>
      </c>
    </row>
    <row r="4" spans="1:12" ht="15.75">
      <c r="A4" s="3" t="s">
        <v>112</v>
      </c>
      <c r="B4" s="3"/>
      <c r="C4" s="3"/>
      <c r="D4" s="34">
        <v>0</v>
      </c>
      <c r="G4" s="9"/>
      <c r="L4" s="3"/>
    </row>
    <row r="5" spans="1:13" ht="16.5" thickBot="1">
      <c r="A5" s="3"/>
      <c r="B5" s="3"/>
      <c r="C5" s="3"/>
      <c r="D5" s="77"/>
      <c r="G5" s="9"/>
      <c r="H5" s="74"/>
      <c r="I5" s="74"/>
      <c r="J5" s="74"/>
      <c r="K5" s="74"/>
      <c r="L5" s="74"/>
      <c r="M5" s="74"/>
    </row>
    <row r="6" spans="1:13" ht="15.75" customHeight="1">
      <c r="A6" s="131" t="s">
        <v>6</v>
      </c>
      <c r="B6" s="132"/>
      <c r="C6" s="139"/>
      <c r="D6" s="220" t="s">
        <v>10</v>
      </c>
      <c r="E6" s="218" t="s">
        <v>8</v>
      </c>
      <c r="F6" s="219"/>
      <c r="G6" s="219"/>
      <c r="H6" s="219"/>
      <c r="I6" s="219"/>
      <c r="J6" s="219"/>
      <c r="K6" s="216" t="s">
        <v>106</v>
      </c>
      <c r="L6" s="222" t="s">
        <v>3</v>
      </c>
      <c r="M6" s="118" t="s">
        <v>7</v>
      </c>
    </row>
    <row r="7" spans="1:13" ht="16.5" thickBot="1">
      <c r="A7" s="133"/>
      <c r="B7" s="120"/>
      <c r="C7" s="152"/>
      <c r="D7" s="221"/>
      <c r="E7" s="45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217"/>
      <c r="L7" s="223"/>
      <c r="M7" s="119"/>
    </row>
    <row r="8" spans="1:13" ht="15">
      <c r="A8" s="206" t="str">
        <f>Итог!A12</f>
        <v>Ударники</v>
      </c>
      <c r="B8" s="207"/>
      <c r="C8" s="208"/>
      <c r="D8" s="47" t="s">
        <v>65</v>
      </c>
      <c r="E8" s="63"/>
      <c r="F8" s="64"/>
      <c r="G8" s="64"/>
      <c r="H8" s="64"/>
      <c r="I8" s="64"/>
      <c r="J8" s="64"/>
      <c r="K8" s="224">
        <v>0</v>
      </c>
      <c r="L8" s="214">
        <v>15</v>
      </c>
      <c r="M8" s="214">
        <v>15</v>
      </c>
    </row>
    <row r="9" spans="1:13" ht="15.75" thickBot="1">
      <c r="A9" s="209"/>
      <c r="B9" s="210"/>
      <c r="C9" s="211"/>
      <c r="D9" s="48" t="s">
        <v>66</v>
      </c>
      <c r="E9" s="65">
        <v>3</v>
      </c>
      <c r="F9" s="65">
        <v>2</v>
      </c>
      <c r="G9" s="65">
        <v>3</v>
      </c>
      <c r="H9" s="65">
        <v>2</v>
      </c>
      <c r="I9" s="65">
        <v>2</v>
      </c>
      <c r="J9" s="65">
        <v>3</v>
      </c>
      <c r="K9" s="225"/>
      <c r="L9" s="215"/>
      <c r="M9" s="215"/>
    </row>
    <row r="10" spans="1:13" ht="15">
      <c r="A10" s="206" t="str">
        <f>Итог!A11</f>
        <v>Крутые перцы</v>
      </c>
      <c r="B10" s="207"/>
      <c r="C10" s="208"/>
      <c r="D10" s="47" t="s">
        <v>65</v>
      </c>
      <c r="E10" s="63"/>
      <c r="F10" s="64"/>
      <c r="G10" s="64"/>
      <c r="H10" s="64"/>
      <c r="I10" s="64"/>
      <c r="J10" s="64"/>
      <c r="K10" s="224">
        <v>0</v>
      </c>
      <c r="L10" s="214">
        <v>15</v>
      </c>
      <c r="M10" s="214">
        <v>15</v>
      </c>
    </row>
    <row r="11" spans="1:13" ht="15.75" thickBot="1">
      <c r="A11" s="209"/>
      <c r="B11" s="210"/>
      <c r="C11" s="211"/>
      <c r="D11" s="48" t="s">
        <v>66</v>
      </c>
      <c r="E11" s="65">
        <v>2</v>
      </c>
      <c r="F11" s="65">
        <v>2</v>
      </c>
      <c r="G11" s="65">
        <v>3</v>
      </c>
      <c r="H11" s="65">
        <v>3</v>
      </c>
      <c r="I11" s="65">
        <v>2</v>
      </c>
      <c r="J11" s="65">
        <v>3</v>
      </c>
      <c r="K11" s="225"/>
      <c r="L11" s="215"/>
      <c r="M11" s="215"/>
    </row>
    <row r="12" spans="1:13" ht="15">
      <c r="A12" s="206" t="str">
        <f>Итог!A10</f>
        <v>Анк-морпорк</v>
      </c>
      <c r="B12" s="207"/>
      <c r="C12" s="208"/>
      <c r="D12" s="47" t="s">
        <v>65</v>
      </c>
      <c r="E12" s="63"/>
      <c r="F12" s="64"/>
      <c r="G12" s="64"/>
      <c r="H12" s="64"/>
      <c r="I12" s="64"/>
      <c r="J12" s="64"/>
      <c r="K12" s="224">
        <v>0</v>
      </c>
      <c r="L12" s="214">
        <v>18</v>
      </c>
      <c r="M12" s="214">
        <v>18</v>
      </c>
    </row>
    <row r="13" spans="1:13" ht="15.75" thickBot="1">
      <c r="A13" s="209"/>
      <c r="B13" s="210"/>
      <c r="C13" s="211"/>
      <c r="D13" s="48" t="s">
        <v>66</v>
      </c>
      <c r="E13" s="65">
        <v>3</v>
      </c>
      <c r="F13" s="65">
        <v>3</v>
      </c>
      <c r="G13" s="65">
        <v>3</v>
      </c>
      <c r="H13" s="65">
        <v>3</v>
      </c>
      <c r="I13" s="65">
        <v>3</v>
      </c>
      <c r="J13" s="65">
        <v>3</v>
      </c>
      <c r="K13" s="225"/>
      <c r="L13" s="215"/>
      <c r="M13" s="215"/>
    </row>
    <row r="14" spans="1:13" ht="15">
      <c r="A14" s="206" t="str">
        <f>Итог!A9</f>
        <v>Протест</v>
      </c>
      <c r="B14" s="207"/>
      <c r="C14" s="208"/>
      <c r="D14" s="47" t="s">
        <v>65</v>
      </c>
      <c r="E14" s="63"/>
      <c r="F14" s="64"/>
      <c r="G14" s="64"/>
      <c r="H14" s="64"/>
      <c r="I14" s="64"/>
      <c r="J14" s="64"/>
      <c r="K14" s="224">
        <v>0</v>
      </c>
      <c r="L14" s="214">
        <v>17</v>
      </c>
      <c r="M14" s="214">
        <v>17</v>
      </c>
    </row>
    <row r="15" spans="1:13" ht="15.75" thickBot="1">
      <c r="A15" s="209"/>
      <c r="B15" s="210"/>
      <c r="C15" s="211"/>
      <c r="D15" s="48" t="s">
        <v>66</v>
      </c>
      <c r="E15" s="65">
        <v>2</v>
      </c>
      <c r="F15" s="65">
        <v>3</v>
      </c>
      <c r="G15" s="65">
        <v>3</v>
      </c>
      <c r="H15" s="65">
        <v>3</v>
      </c>
      <c r="I15" s="65">
        <v>3</v>
      </c>
      <c r="J15" s="65">
        <v>3</v>
      </c>
      <c r="K15" s="225"/>
      <c r="L15" s="215"/>
      <c r="M15" s="215"/>
    </row>
    <row r="16" spans="1:13" ht="15">
      <c r="A16" s="206" t="str">
        <f>Итог!A13</f>
        <v>Ежики</v>
      </c>
      <c r="B16" s="207"/>
      <c r="C16" s="208"/>
      <c r="D16" s="47" t="s">
        <v>65</v>
      </c>
      <c r="E16" s="63"/>
      <c r="F16" s="64"/>
      <c r="G16" s="64"/>
      <c r="H16" s="64"/>
      <c r="I16" s="64"/>
      <c r="J16" s="64"/>
      <c r="K16" s="224"/>
      <c r="L16" s="214">
        <v>17</v>
      </c>
      <c r="M16" s="214">
        <v>17</v>
      </c>
    </row>
    <row r="17" spans="1:13" ht="15.75" thickBot="1">
      <c r="A17" s="209"/>
      <c r="B17" s="210"/>
      <c r="C17" s="211"/>
      <c r="D17" s="48" t="s">
        <v>66</v>
      </c>
      <c r="E17" s="65">
        <v>3</v>
      </c>
      <c r="F17" s="65">
        <v>3</v>
      </c>
      <c r="G17" s="65">
        <v>3</v>
      </c>
      <c r="H17" s="65">
        <v>3</v>
      </c>
      <c r="I17" s="65">
        <v>2</v>
      </c>
      <c r="J17" s="65">
        <v>3</v>
      </c>
      <c r="K17" s="225"/>
      <c r="L17" s="215"/>
      <c r="M17" s="215"/>
    </row>
    <row r="19" ht="15.75" customHeight="1"/>
    <row r="20" ht="15" customHeight="1"/>
    <row r="21" ht="15" customHeight="1"/>
    <row r="22" spans="1:13" ht="15.75">
      <c r="A22" s="113" t="s">
        <v>13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21" t="s">
        <v>11</v>
      </c>
      <c r="B24" s="121"/>
      <c r="C24" s="121"/>
      <c r="D24" s="5"/>
      <c r="E24" s="122" t="s">
        <v>142</v>
      </c>
      <c r="F24" s="122"/>
      <c r="G24" s="122"/>
      <c r="H24" s="122"/>
      <c r="I24" s="122"/>
      <c r="J24" s="122"/>
      <c r="K24" s="122"/>
      <c r="L24" s="122"/>
      <c r="M24" s="122"/>
    </row>
    <row r="25" spans="1:13" ht="15.75">
      <c r="A25" s="146" t="s">
        <v>12</v>
      </c>
      <c r="B25" s="146"/>
      <c r="C25" s="146"/>
      <c r="D25" s="17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5.75">
      <c r="A26" s="146"/>
      <c r="B26" s="146"/>
      <c r="C26" s="146"/>
      <c r="D26" s="1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ht="15.75">
      <c r="A27" s="146"/>
      <c r="B27" s="146"/>
      <c r="C27" s="146"/>
      <c r="D27" s="17"/>
      <c r="E27" s="147"/>
      <c r="F27" s="147"/>
      <c r="G27" s="147"/>
      <c r="H27" s="147"/>
      <c r="I27" s="147"/>
      <c r="J27" s="147"/>
      <c r="K27" s="147"/>
      <c r="L27" s="147"/>
      <c r="M27" s="147"/>
    </row>
  </sheetData>
  <sheetProtection/>
  <mergeCells count="35">
    <mergeCell ref="A12:C13"/>
    <mergeCell ref="A8:C9"/>
    <mergeCell ref="A10:C11"/>
    <mergeCell ref="K16:K17"/>
    <mergeCell ref="K14:K15"/>
    <mergeCell ref="K10:K11"/>
    <mergeCell ref="K8:K9"/>
    <mergeCell ref="K12:K13"/>
    <mergeCell ref="A14:C15"/>
    <mergeCell ref="A16:C17"/>
    <mergeCell ref="M16:M17"/>
    <mergeCell ref="M14:M15"/>
    <mergeCell ref="L8:L9"/>
    <mergeCell ref="M8:M9"/>
    <mergeCell ref="L12:L13"/>
    <mergeCell ref="M12:M13"/>
    <mergeCell ref="M10:M11"/>
    <mergeCell ref="L10:L11"/>
    <mergeCell ref="L16:L17"/>
    <mergeCell ref="L14:L15"/>
    <mergeCell ref="A25:C27"/>
    <mergeCell ref="E25:M25"/>
    <mergeCell ref="A22:M22"/>
    <mergeCell ref="A24:C24"/>
    <mergeCell ref="E24:M24"/>
    <mergeCell ref="E26:M26"/>
    <mergeCell ref="E27:M27"/>
    <mergeCell ref="A3:C3"/>
    <mergeCell ref="A2:M2"/>
    <mergeCell ref="A6:C7"/>
    <mergeCell ref="K6:K7"/>
    <mergeCell ref="M6:M7"/>
    <mergeCell ref="E6:J6"/>
    <mergeCell ref="D6:D7"/>
    <mergeCell ref="L6:L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1">
      <selection activeCell="F7" sqref="F7"/>
    </sheetView>
  </sheetViews>
  <sheetFormatPr defaultColWidth="9.00390625" defaultRowHeight="12.75"/>
  <cols>
    <col min="1" max="1" width="11.875" style="0" customWidth="1"/>
    <col min="2" max="2" width="61.25390625" style="0" customWidth="1"/>
    <col min="3" max="3" width="11.75390625" style="0" customWidth="1"/>
  </cols>
  <sheetData>
    <row r="2" spans="1:10" ht="12.75">
      <c r="A2" s="226" t="s">
        <v>15</v>
      </c>
      <c r="B2" s="226"/>
      <c r="C2" s="226"/>
      <c r="D2" s="13"/>
      <c r="E2" s="13"/>
      <c r="F2" s="13"/>
      <c r="G2" s="13"/>
      <c r="H2" s="13"/>
      <c r="I2" s="13"/>
      <c r="J2" s="13"/>
    </row>
    <row r="3" spans="1:10" ht="12.75">
      <c r="A3" s="227" t="s">
        <v>55</v>
      </c>
      <c r="B3" s="227"/>
      <c r="C3" s="227"/>
      <c r="D3" s="14"/>
      <c r="E3" s="14"/>
      <c r="F3" s="14"/>
      <c r="G3" s="14"/>
      <c r="H3" s="14"/>
      <c r="I3" s="14"/>
      <c r="J3" s="14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3" ht="12.75">
      <c r="A6" s="93" t="s">
        <v>16</v>
      </c>
      <c r="B6" s="94" t="s">
        <v>17</v>
      </c>
      <c r="C6" s="95" t="s">
        <v>49</v>
      </c>
    </row>
    <row r="7" spans="1:3" s="9" customFormat="1" ht="12.75">
      <c r="A7" s="85">
        <v>0</v>
      </c>
      <c r="B7" s="8" t="s">
        <v>52</v>
      </c>
      <c r="C7" s="89"/>
    </row>
    <row r="8" spans="1:3" ht="12.75">
      <c r="A8" s="86">
        <v>1</v>
      </c>
      <c r="B8" s="69" t="s">
        <v>18</v>
      </c>
      <c r="C8" s="90">
        <v>10000</v>
      </c>
    </row>
    <row r="9" spans="1:3" ht="12.75">
      <c r="A9" s="86">
        <v>2</v>
      </c>
      <c r="B9" s="69" t="s">
        <v>19</v>
      </c>
      <c r="C9" s="90">
        <v>10000</v>
      </c>
    </row>
    <row r="10" spans="1:3" ht="12.75">
      <c r="A10" s="86">
        <v>3</v>
      </c>
      <c r="B10" s="69" t="s">
        <v>20</v>
      </c>
      <c r="C10" s="90">
        <v>10000</v>
      </c>
    </row>
    <row r="11" spans="1:3" ht="12.75">
      <c r="A11" s="86">
        <v>4</v>
      </c>
      <c r="B11" s="69" t="s">
        <v>21</v>
      </c>
      <c r="C11" s="90">
        <v>10000</v>
      </c>
    </row>
    <row r="12" spans="1:3" ht="12.75">
      <c r="A12" s="86">
        <v>5</v>
      </c>
      <c r="B12" s="69" t="s">
        <v>22</v>
      </c>
      <c r="C12" s="90">
        <v>10000</v>
      </c>
    </row>
    <row r="13" spans="1:3" ht="12.75">
      <c r="A13" s="86">
        <v>6</v>
      </c>
      <c r="B13" s="69" t="s">
        <v>96</v>
      </c>
      <c r="C13" s="90">
        <v>10000</v>
      </c>
    </row>
    <row r="14" spans="1:3" ht="12.75">
      <c r="A14" s="86">
        <v>7</v>
      </c>
      <c r="B14" s="69" t="s">
        <v>78</v>
      </c>
      <c r="C14" s="90">
        <v>10000</v>
      </c>
    </row>
    <row r="15" spans="1:3" ht="12.75">
      <c r="A15" s="86">
        <v>8</v>
      </c>
      <c r="B15" s="69" t="s">
        <v>97</v>
      </c>
      <c r="C15" s="90">
        <v>40</v>
      </c>
    </row>
    <row r="16" spans="1:3" ht="12.75">
      <c r="A16" s="86">
        <v>9</v>
      </c>
      <c r="B16" s="69" t="s">
        <v>79</v>
      </c>
      <c r="C16" s="90">
        <v>20</v>
      </c>
    </row>
    <row r="17" spans="1:3" ht="12.75">
      <c r="A17" s="86">
        <v>10</v>
      </c>
      <c r="B17" s="69" t="s">
        <v>23</v>
      </c>
      <c r="C17" s="90">
        <v>20</v>
      </c>
    </row>
    <row r="18" spans="1:3" ht="12.75">
      <c r="A18" s="86">
        <v>11</v>
      </c>
      <c r="B18" s="69" t="s">
        <v>24</v>
      </c>
      <c r="C18" s="90">
        <v>20</v>
      </c>
    </row>
    <row r="19" spans="1:3" ht="12.75">
      <c r="A19" s="86">
        <v>12</v>
      </c>
      <c r="B19" s="69" t="s">
        <v>25</v>
      </c>
      <c r="C19" s="90">
        <v>16</v>
      </c>
    </row>
    <row r="20" spans="1:3" ht="12.75">
      <c r="A20" s="86">
        <v>13</v>
      </c>
      <c r="B20" s="69" t="s">
        <v>26</v>
      </c>
      <c r="C20" s="90">
        <v>14</v>
      </c>
    </row>
    <row r="21" spans="1:3" ht="12.75">
      <c r="A21" s="86">
        <v>14</v>
      </c>
      <c r="B21" s="69" t="s">
        <v>27</v>
      </c>
      <c r="C21" s="90">
        <v>14</v>
      </c>
    </row>
    <row r="22" spans="1:3" ht="12.75">
      <c r="A22" s="86">
        <v>15</v>
      </c>
      <c r="B22" s="69" t="s">
        <v>98</v>
      </c>
      <c r="C22" s="90">
        <v>12</v>
      </c>
    </row>
    <row r="23" spans="1:3" s="68" customFormat="1" ht="12.75">
      <c r="A23" s="87">
        <v>16</v>
      </c>
      <c r="B23" s="69" t="s">
        <v>29</v>
      </c>
      <c r="C23" s="91">
        <v>10</v>
      </c>
    </row>
    <row r="24" spans="1:3" ht="12.75">
      <c r="A24" s="86">
        <v>17</v>
      </c>
      <c r="B24" s="69" t="s">
        <v>31</v>
      </c>
      <c r="C24" s="90">
        <v>10</v>
      </c>
    </row>
    <row r="25" spans="1:3" ht="12.75">
      <c r="A25" s="86">
        <v>18</v>
      </c>
      <c r="B25" s="69" t="s">
        <v>35</v>
      </c>
      <c r="C25" s="90">
        <v>10</v>
      </c>
    </row>
    <row r="26" spans="1:3" ht="12.75">
      <c r="A26" s="86">
        <v>19</v>
      </c>
      <c r="B26" s="69" t="s">
        <v>32</v>
      </c>
      <c r="C26" s="90">
        <v>10</v>
      </c>
    </row>
    <row r="27" spans="1:3" ht="12.75">
      <c r="A27" s="86">
        <v>20</v>
      </c>
      <c r="B27" s="69" t="s">
        <v>28</v>
      </c>
      <c r="C27" s="90">
        <v>8</v>
      </c>
    </row>
    <row r="28" spans="1:3" ht="12.75">
      <c r="A28" s="86">
        <v>21</v>
      </c>
      <c r="B28" s="69" t="s">
        <v>36</v>
      </c>
      <c r="C28" s="90">
        <v>8</v>
      </c>
    </row>
    <row r="29" spans="1:3" ht="12.75">
      <c r="A29" s="86">
        <v>22</v>
      </c>
      <c r="B29" s="69" t="s">
        <v>37</v>
      </c>
      <c r="C29" s="90">
        <v>8</v>
      </c>
    </row>
    <row r="30" spans="1:3" ht="25.5">
      <c r="A30" s="86">
        <v>23</v>
      </c>
      <c r="B30" s="69" t="s">
        <v>80</v>
      </c>
      <c r="C30" s="90">
        <v>8</v>
      </c>
    </row>
    <row r="31" spans="1:3" ht="12.75">
      <c r="A31" s="86">
        <v>24</v>
      </c>
      <c r="B31" s="69" t="s">
        <v>38</v>
      </c>
      <c r="C31" s="90">
        <v>8</v>
      </c>
    </row>
    <row r="32" spans="1:3" ht="12.75">
      <c r="A32" s="86">
        <v>25</v>
      </c>
      <c r="B32" s="69" t="s">
        <v>39</v>
      </c>
      <c r="C32" s="90">
        <v>8</v>
      </c>
    </row>
    <row r="33" spans="1:3" ht="12.75">
      <c r="A33" s="86">
        <v>26</v>
      </c>
      <c r="B33" s="69" t="s">
        <v>40</v>
      </c>
      <c r="C33" s="90">
        <v>8</v>
      </c>
    </row>
    <row r="34" spans="1:3" ht="12.75">
      <c r="A34" s="86">
        <v>27</v>
      </c>
      <c r="B34" s="69" t="s">
        <v>30</v>
      </c>
      <c r="C34" s="90">
        <v>7</v>
      </c>
    </row>
    <row r="35" spans="1:3" ht="12.75">
      <c r="A35" s="86">
        <v>28</v>
      </c>
      <c r="B35" s="69" t="s">
        <v>41</v>
      </c>
      <c r="C35" s="90">
        <v>7</v>
      </c>
    </row>
    <row r="36" spans="1:3" ht="12.75">
      <c r="A36" s="86">
        <v>29</v>
      </c>
      <c r="B36" s="69" t="s">
        <v>42</v>
      </c>
      <c r="C36" s="90">
        <v>7</v>
      </c>
    </row>
    <row r="37" spans="1:3" ht="12.75">
      <c r="A37" s="86">
        <v>30</v>
      </c>
      <c r="B37" s="69" t="s">
        <v>44</v>
      </c>
      <c r="C37" s="90">
        <v>6</v>
      </c>
    </row>
    <row r="38" spans="1:3" ht="12.75">
      <c r="A38" s="86">
        <v>31</v>
      </c>
      <c r="B38" s="69" t="s">
        <v>45</v>
      </c>
      <c r="C38" s="90">
        <v>5</v>
      </c>
    </row>
    <row r="39" spans="1:3" ht="12.75">
      <c r="A39" s="86">
        <v>32</v>
      </c>
      <c r="B39" s="69" t="s">
        <v>43</v>
      </c>
      <c r="C39" s="90">
        <v>5</v>
      </c>
    </row>
    <row r="40" spans="1:3" ht="12.75">
      <c r="A40" s="86">
        <v>33</v>
      </c>
      <c r="B40" s="69" t="s">
        <v>33</v>
      </c>
      <c r="C40" s="90">
        <v>5</v>
      </c>
    </row>
    <row r="41" spans="1:3" ht="12.75">
      <c r="A41" s="86">
        <v>34</v>
      </c>
      <c r="B41" s="69" t="s">
        <v>34</v>
      </c>
      <c r="C41" s="90">
        <v>5</v>
      </c>
    </row>
    <row r="42" spans="1:3" ht="12.75">
      <c r="A42" s="86">
        <v>35</v>
      </c>
      <c r="B42" s="69" t="s">
        <v>47</v>
      </c>
      <c r="C42" s="90">
        <v>4</v>
      </c>
    </row>
    <row r="43" spans="1:3" ht="12.75">
      <c r="A43" s="86">
        <v>36</v>
      </c>
      <c r="B43" s="69" t="s">
        <v>46</v>
      </c>
      <c r="C43" s="90">
        <v>4</v>
      </c>
    </row>
    <row r="44" spans="1:3" ht="25.5">
      <c r="A44" s="86">
        <v>37</v>
      </c>
      <c r="B44" s="69" t="s">
        <v>99</v>
      </c>
      <c r="C44" s="90">
        <v>2</v>
      </c>
    </row>
    <row r="45" spans="1:3" ht="12.75">
      <c r="A45" s="86">
        <v>38</v>
      </c>
      <c r="B45" s="6" t="s">
        <v>81</v>
      </c>
      <c r="C45" s="90">
        <v>0</v>
      </c>
    </row>
    <row r="46" spans="1:3" ht="12.75">
      <c r="A46" s="86">
        <v>39</v>
      </c>
      <c r="B46" s="6" t="s">
        <v>48</v>
      </c>
      <c r="C46" s="90">
        <v>0</v>
      </c>
    </row>
    <row r="47" spans="1:3" ht="12.75">
      <c r="A47" s="88"/>
      <c r="B47" s="7" t="s">
        <v>51</v>
      </c>
      <c r="C47" s="92">
        <v>99999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orientation="portrait" paperSize="9"/>
  <legacyDrawing r:id="rId2"/>
  <tableParts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0" sqref="B10:O10"/>
    </sheetView>
  </sheetViews>
  <sheetFormatPr defaultColWidth="9.00390625" defaultRowHeight="12.75"/>
  <cols>
    <col min="1" max="1" width="1.75390625" style="20" customWidth="1"/>
    <col min="2" max="14" width="9.125" style="20" customWidth="1"/>
    <col min="15" max="15" width="13.75390625" style="20" customWidth="1"/>
    <col min="16" max="16384" width="9.125" style="20" customWidth="1"/>
  </cols>
  <sheetData>
    <row r="1" spans="1:15" ht="15.75">
      <c r="A1" s="231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2:15" ht="12.75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36" customHeight="1">
      <c r="B3" s="228" t="s">
        <v>64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8" customHeight="1">
      <c r="B4" s="228" t="s">
        <v>70</v>
      </c>
      <c r="C4" s="228"/>
      <c r="D4" s="228"/>
      <c r="E4" s="228"/>
      <c r="F4" s="228"/>
      <c r="G4" s="228"/>
      <c r="H4" s="229"/>
      <c r="I4" s="229"/>
      <c r="J4" s="21"/>
      <c r="K4" s="21"/>
      <c r="L4" s="21"/>
      <c r="M4" s="21"/>
      <c r="N4" s="21"/>
      <c r="O4" s="21"/>
    </row>
    <row r="5" spans="2:15" ht="24.75" customHeight="1">
      <c r="B5" s="228" t="s">
        <v>71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2:15" ht="27.75" customHeight="1">
      <c r="B6" s="228" t="s">
        <v>72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2:15" ht="45.75" customHeight="1">
      <c r="B7" s="228" t="s">
        <v>74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2:15" ht="29.25" customHeight="1">
      <c r="B8" s="228" t="s">
        <v>75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2:15" ht="28.5" customHeight="1">
      <c r="B9" s="230" t="s">
        <v>77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</row>
    <row r="10" spans="2:15" ht="30" customHeight="1">
      <c r="B10" s="228" t="s">
        <v>76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</row>
    <row r="11" spans="2:15" ht="12.75">
      <c r="B11" s="232" t="s">
        <v>73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2:15" ht="12.75"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2:15" ht="12.75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</row>
    <row r="14" spans="2:15" ht="12.75"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</row>
    <row r="15" spans="2:15" ht="12.75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ht="12.75"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</row>
    <row r="17" spans="2:15" ht="12.75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2:15" ht="12.75"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  <row r="19" spans="2:15" ht="12.75"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</row>
    <row r="20" spans="2:15" ht="12.75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</row>
  </sheetData>
  <sheetProtection/>
  <mergeCells count="21">
    <mergeCell ref="B14:O14"/>
    <mergeCell ref="B15:O15"/>
    <mergeCell ref="B11:O11"/>
    <mergeCell ref="B8:O8"/>
    <mergeCell ref="B10:O10"/>
    <mergeCell ref="A1:O1"/>
    <mergeCell ref="B5:O5"/>
    <mergeCell ref="B6:O6"/>
    <mergeCell ref="B7:O7"/>
    <mergeCell ref="B2:O2"/>
    <mergeCell ref="B3:O3"/>
    <mergeCell ref="B20:O20"/>
    <mergeCell ref="B4:G4"/>
    <mergeCell ref="H4:I4"/>
    <mergeCell ref="B9:O9"/>
    <mergeCell ref="B16:O16"/>
    <mergeCell ref="B17:O17"/>
    <mergeCell ref="B18:O18"/>
    <mergeCell ref="B19:O19"/>
    <mergeCell ref="B12:O12"/>
    <mergeCell ref="B13:O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Xenon</dc:creator>
  <cp:keywords/>
  <dc:description/>
  <cp:lastModifiedBy>Администратор</cp:lastModifiedBy>
  <cp:lastPrinted>2003-06-19T16:38:32Z</cp:lastPrinted>
  <dcterms:created xsi:type="dcterms:W3CDTF">1999-12-07T05:06:42Z</dcterms:created>
  <dcterms:modified xsi:type="dcterms:W3CDTF">2012-05-11T07:58:30Z</dcterms:modified>
  <cp:category/>
  <cp:version/>
  <cp:contentType/>
  <cp:contentStatus/>
</cp:coreProperties>
</file>