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60" windowWidth="26020" windowHeight="16820" tabRatio="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<sst xmlns="http://schemas.openxmlformats.org/spreadsheetml/2006/main" count="71" uniqueCount="42">
  <si>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sales tax</t>
  </si>
  <si>
    <t>$</t>
  </si>
  <si>
    <t>months</t>
  </si>
  <si>
    <t>%</t>
  </si>
  <si>
    <t>Sales price</t>
  </si>
  <si>
    <t>Down payment</t>
  </si>
  <si>
    <t>MF</t>
  </si>
  <si>
    <t>contract residual @ term</t>
  </si>
  <si>
    <t>actual residual @ term</t>
  </si>
  <si>
    <t>lease calculation</t>
  </si>
  <si>
    <t>monthly payment of borrowed residual value</t>
  </si>
  <si>
    <t>contract residual value</t>
  </si>
  <si>
    <t>actual residual value</t>
  </si>
  <si>
    <t>contract depreciation value</t>
  </si>
  <si>
    <t>financed depreciation value (minus down payment)</t>
  </si>
  <si>
    <t>monthly payment of depreciation</t>
  </si>
  <si>
    <t>monthy lease payment</t>
  </si>
  <si>
    <t>total payments at lease term end</t>
  </si>
  <si>
    <t>cost with sales tax if purchased instead of turned in</t>
  </si>
  <si>
    <t>total spent to own car @ term end</t>
  </si>
  <si>
    <t>"cost" of leasing (difference between sales price plus tax and total spent @ term end)</t>
  </si>
  <si>
    <t>purchase calculation</t>
  </si>
  <si>
    <t>lease APR</t>
  </si>
  <si>
    <t>purchase APR</t>
  </si>
  <si>
    <t>monthly payment if financed</t>
  </si>
  <si>
    <t>total amount financed (including tax)</t>
  </si>
  <si>
    <t>total payments at finance term end</t>
  </si>
  <si>
    <t>"cost" of financing (difference between sales price plus tax and total spent @ term end</t>
  </si>
  <si>
    <t>sales price at term end (to "walk away" from vehicle)</t>
  </si>
  <si>
    <t>cost of ownership (total spent net after walking away @ term end)</t>
  </si>
  <si>
    <t>pay dep up front</t>
  </si>
  <si>
    <t>cost of ownership if car is purchased at term and and re-sold due to value difference</t>
  </si>
  <si>
    <t>no down payment</t>
  </si>
  <si>
    <t>residual = actual</t>
  </si>
  <si>
    <t>lease APR = fin APR</t>
  </si>
  <si>
    <t>pay up front and APR equal</t>
  </si>
  <si>
    <t>no DP, APR equal</t>
  </si>
  <si>
    <t>Scenario</t>
  </si>
  <si>
    <t>cost of leasing vs. purchasing if keeping car</t>
  </si>
  <si>
    <t>cost of leasing vs. purchasing if getting rid of car</t>
  </si>
  <si>
    <t>lease term</t>
  </si>
  <si>
    <t>purchase term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</si>
</sst>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"/>
    <numFmt numFmtId="178" formatCode="0.000"/>
    <numFmt numFmtId="179" formatCode="0.0"/>
    <numFmt numFmtId="180" formatCode="0.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25" fillId="27" borderId="1" xfId="40" applyAlignment="1">
      <alignment/>
    </xf>
    <xf numFmtId="1" fontId="25" fillId="27" borderId="1" xfId="40" applyNumberFormat="1" applyAlignment="1">
      <alignment/>
    </xf>
    <xf numFmtId="1" fontId="35" fillId="27" borderId="8" xfId="58" applyNumberFormat="1" applyAlignment="1">
      <alignment/>
    </xf>
    <xf numFmtId="0" fontId="32" fillId="30" borderId="1" xfId="5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45"/>
  <sheetViews>
    <sheetView tabSelected="1" zoomScalePageLayoutView="0" workbookViewId="0" topLeftCell="A2">
      <selection activeCell="E34" sqref="E34"/>
    </sheetView>
  </sheetViews>
  <sheetFormatPr defaultColWidth="11.421875" defaultRowHeight="12.75"/>
  <cols>
    <col min="2" max="2" width="70.421875" style="0" bestFit="1" customWidth="1"/>
    <col min="3" max="3" width="10.8515625" style="3" customWidth="1"/>
    <col min="4" max="4" width="14.28125" style="0" bestFit="1" customWidth="1"/>
    <col min="5" max="5" width="15.421875" style="0" bestFit="1" customWidth="1"/>
    <col min="6" max="6" width="14.421875" style="0" bestFit="1" customWidth="1"/>
    <col min="7" max="7" width="17.28125" style="0" bestFit="1" customWidth="1"/>
    <col min="8" max="8" width="23.140625" style="0" bestFit="1" customWidth="1"/>
    <col min="9" max="9" width="15.140625" style="0" bestFit="1" customWidth="1"/>
  </cols>
  <sheetData>
    <row r="3" spans="2:9" s="1" customFormat="1" ht="12.75">
      <c r="B3" s="1" t="s">
        <v>37</v>
      </c>
      <c r="C3" s="2"/>
      <c r="D3" s="1" t="s">
        <v>30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</row>
    <row r="4" spans="2:9" ht="15.75">
      <c r="B4" t="s">
        <v>4</v>
      </c>
      <c r="C4" s="3" t="s">
        <v>1</v>
      </c>
      <c r="D4" s="8">
        <v>166055</v>
      </c>
      <c r="E4" s="8">
        <v>166055</v>
      </c>
      <c r="F4" s="8">
        <v>166055</v>
      </c>
      <c r="G4" s="8">
        <v>166055</v>
      </c>
      <c r="H4" s="8">
        <v>166055</v>
      </c>
      <c r="I4" s="8">
        <v>166055</v>
      </c>
    </row>
    <row r="5" spans="2:9" ht="15.75">
      <c r="B5" t="s">
        <v>5</v>
      </c>
      <c r="C5" s="3" t="s">
        <v>1</v>
      </c>
      <c r="D5" s="5">
        <f>D4-D11</f>
        <v>83027.5</v>
      </c>
      <c r="E5" s="5">
        <v>5000</v>
      </c>
      <c r="F5" s="5">
        <v>0</v>
      </c>
      <c r="G5" s="5">
        <v>0</v>
      </c>
      <c r="H5" s="5">
        <f>H4-H11</f>
        <v>83027.5</v>
      </c>
      <c r="I5" s="5">
        <v>0</v>
      </c>
    </row>
    <row r="6" spans="2:9" ht="15.75">
      <c r="B6" t="s">
        <v>6</v>
      </c>
      <c r="D6" s="8">
        <v>0.0027</v>
      </c>
      <c r="E6" s="8">
        <v>0.0027</v>
      </c>
      <c r="F6" s="8">
        <v>0.0027</v>
      </c>
      <c r="G6" s="8">
        <v>0.0027</v>
      </c>
      <c r="H6" s="8">
        <v>0.0027</v>
      </c>
      <c r="I6" s="8">
        <v>0.0027</v>
      </c>
    </row>
    <row r="7" spans="2:9" ht="15.75">
      <c r="B7" t="s">
        <v>22</v>
      </c>
      <c r="C7" s="3" t="s">
        <v>3</v>
      </c>
      <c r="D7" s="5">
        <f aca="true" t="shared" si="0" ref="D7:I7">D6*2400</f>
        <v>6.48</v>
      </c>
      <c r="E7" s="5">
        <f t="shared" si="0"/>
        <v>6.48</v>
      </c>
      <c r="F7" s="5">
        <f t="shared" si="0"/>
        <v>6.48</v>
      </c>
      <c r="G7" s="5">
        <f t="shared" si="0"/>
        <v>6.48</v>
      </c>
      <c r="H7" s="5">
        <f t="shared" si="0"/>
        <v>6.48</v>
      </c>
      <c r="I7" s="5">
        <f t="shared" si="0"/>
        <v>6.48</v>
      </c>
    </row>
    <row r="8" spans="2:9" ht="15.75">
      <c r="B8" t="s">
        <v>40</v>
      </c>
      <c r="C8" s="3" t="s">
        <v>2</v>
      </c>
      <c r="D8" s="8">
        <v>36</v>
      </c>
      <c r="E8" s="8">
        <v>36</v>
      </c>
      <c r="F8" s="8">
        <v>36</v>
      </c>
      <c r="G8" s="8">
        <v>36</v>
      </c>
      <c r="H8" s="8">
        <v>36</v>
      </c>
      <c r="I8" s="8">
        <v>36</v>
      </c>
    </row>
    <row r="9" spans="2:9" ht="15.75">
      <c r="B9" t="s">
        <v>41</v>
      </c>
      <c r="C9" s="3" t="s">
        <v>2</v>
      </c>
      <c r="D9" s="8">
        <v>60</v>
      </c>
      <c r="E9" s="8">
        <v>60</v>
      </c>
      <c r="F9" s="8">
        <v>60</v>
      </c>
      <c r="G9" s="8">
        <v>60</v>
      </c>
      <c r="H9" s="8">
        <v>60</v>
      </c>
      <c r="I9" s="8">
        <v>60</v>
      </c>
    </row>
    <row r="10" spans="2:9" ht="15.75">
      <c r="B10" t="s">
        <v>7</v>
      </c>
      <c r="C10" s="3" t="s">
        <v>3</v>
      </c>
      <c r="D10" s="8">
        <v>50</v>
      </c>
      <c r="E10" s="8">
        <v>55.91400439613387</v>
      </c>
      <c r="F10" s="8">
        <v>50</v>
      </c>
      <c r="G10" s="8">
        <v>50</v>
      </c>
      <c r="H10" s="8">
        <v>50</v>
      </c>
      <c r="I10" s="8">
        <v>50</v>
      </c>
    </row>
    <row r="11" spans="2:9" ht="15.75">
      <c r="B11" t="s">
        <v>11</v>
      </c>
      <c r="C11" s="3" t="s">
        <v>1</v>
      </c>
      <c r="D11" s="5">
        <f aca="true" t="shared" si="1" ref="D11:I11">D10/100*D4</f>
        <v>83027.5</v>
      </c>
      <c r="E11" s="5">
        <f t="shared" si="1"/>
        <v>92848.00000000009</v>
      </c>
      <c r="F11" s="5">
        <f t="shared" si="1"/>
        <v>83027.5</v>
      </c>
      <c r="G11" s="5">
        <f t="shared" si="1"/>
        <v>83027.5</v>
      </c>
      <c r="H11" s="5">
        <f t="shared" si="1"/>
        <v>83027.5</v>
      </c>
      <c r="I11" s="5">
        <f t="shared" si="1"/>
        <v>83027.5</v>
      </c>
    </row>
    <row r="12" spans="2:9" ht="15.75">
      <c r="B12" t="s">
        <v>8</v>
      </c>
      <c r="C12" s="3" t="s">
        <v>3</v>
      </c>
      <c r="D12" s="8">
        <v>85</v>
      </c>
      <c r="E12" s="8">
        <v>90</v>
      </c>
      <c r="F12" s="8">
        <v>85</v>
      </c>
      <c r="G12" s="8">
        <v>85</v>
      </c>
      <c r="H12" s="8">
        <v>85</v>
      </c>
      <c r="I12" s="8">
        <v>85</v>
      </c>
    </row>
    <row r="13" spans="2:9" ht="15.75">
      <c r="B13" t="s">
        <v>12</v>
      </c>
      <c r="D13" s="5">
        <f aca="true" t="shared" si="2" ref="D13:I13">D12/100*D4</f>
        <v>141146.75</v>
      </c>
      <c r="E13" s="5">
        <f t="shared" si="2"/>
        <v>149449.5</v>
      </c>
      <c r="F13" s="5">
        <f t="shared" si="2"/>
        <v>141146.75</v>
      </c>
      <c r="G13" s="5">
        <f t="shared" si="2"/>
        <v>141146.75</v>
      </c>
      <c r="H13" s="5">
        <f t="shared" si="2"/>
        <v>141146.75</v>
      </c>
      <c r="I13" s="5">
        <f t="shared" si="2"/>
        <v>141146.75</v>
      </c>
    </row>
    <row r="14" spans="2:9" ht="15.75">
      <c r="B14" t="s">
        <v>0</v>
      </c>
      <c r="C14" s="3" t="s">
        <v>3</v>
      </c>
      <c r="D14" s="8">
        <v>9</v>
      </c>
      <c r="E14" s="8">
        <v>9</v>
      </c>
      <c r="F14" s="8">
        <v>9</v>
      </c>
      <c r="G14" s="8">
        <v>9</v>
      </c>
      <c r="H14" s="8">
        <v>9</v>
      </c>
      <c r="I14" s="8">
        <v>9</v>
      </c>
    </row>
    <row r="15" spans="2:9" ht="15.75">
      <c r="B15" t="s">
        <v>23</v>
      </c>
      <c r="C15" s="3" t="s">
        <v>3</v>
      </c>
      <c r="D15" s="8">
        <v>2</v>
      </c>
      <c r="E15" s="8">
        <v>2</v>
      </c>
      <c r="F15" s="8">
        <v>2</v>
      </c>
      <c r="G15" s="8">
        <v>4.8</v>
      </c>
      <c r="H15" s="8">
        <v>4.8</v>
      </c>
      <c r="I15" s="8">
        <v>4.8</v>
      </c>
    </row>
    <row r="18" ht="12.75">
      <c r="B18" s="1" t="s">
        <v>9</v>
      </c>
    </row>
    <row r="19" spans="2:9" ht="15.75">
      <c r="B19" t="s">
        <v>10</v>
      </c>
      <c r="C19" s="3" t="s">
        <v>1</v>
      </c>
      <c r="D19" s="5">
        <f aca="true" t="shared" si="3" ref="D19:I19">D11*D7/12/100</f>
        <v>448.34850000000006</v>
      </c>
      <c r="E19" s="5">
        <f t="shared" si="3"/>
        <v>501.3792000000005</v>
      </c>
      <c r="F19" s="5">
        <f t="shared" si="3"/>
        <v>448.34850000000006</v>
      </c>
      <c r="G19" s="5">
        <f t="shared" si="3"/>
        <v>448.34850000000006</v>
      </c>
      <c r="H19" s="5">
        <f t="shared" si="3"/>
        <v>448.34850000000006</v>
      </c>
      <c r="I19" s="5">
        <f t="shared" si="3"/>
        <v>448.34850000000006</v>
      </c>
    </row>
    <row r="20" spans="2:9" ht="15.75">
      <c r="B20" t="s">
        <v>13</v>
      </c>
      <c r="C20" s="3" t="s">
        <v>1</v>
      </c>
      <c r="D20" s="5">
        <f aca="true" t="shared" si="4" ref="D20:I20">D4-D11</f>
        <v>83027.5</v>
      </c>
      <c r="E20" s="5">
        <f t="shared" si="4"/>
        <v>73206.99999999991</v>
      </c>
      <c r="F20" s="5">
        <f t="shared" si="4"/>
        <v>83027.5</v>
      </c>
      <c r="G20" s="5">
        <f t="shared" si="4"/>
        <v>83027.5</v>
      </c>
      <c r="H20" s="5">
        <f t="shared" si="4"/>
        <v>83027.5</v>
      </c>
      <c r="I20" s="5">
        <f t="shared" si="4"/>
        <v>83027.5</v>
      </c>
    </row>
    <row r="21" spans="2:9" ht="15.75">
      <c r="B21" t="s">
        <v>14</v>
      </c>
      <c r="C21" s="3" t="s">
        <v>1</v>
      </c>
      <c r="D21" s="5">
        <f aca="true" t="shared" si="5" ref="D21:I21">D20-D5</f>
        <v>0</v>
      </c>
      <c r="E21" s="5">
        <f t="shared" si="5"/>
        <v>68206.99999999991</v>
      </c>
      <c r="F21" s="5">
        <f t="shared" si="5"/>
        <v>83027.5</v>
      </c>
      <c r="G21" s="5">
        <f t="shared" si="5"/>
        <v>83027.5</v>
      </c>
      <c r="H21" s="5">
        <f t="shared" si="5"/>
        <v>0</v>
      </c>
      <c r="I21" s="5">
        <f t="shared" si="5"/>
        <v>83027.5</v>
      </c>
    </row>
    <row r="22" spans="2:9" ht="15.75">
      <c r="B22" t="s">
        <v>15</v>
      </c>
      <c r="C22" s="3" t="s">
        <v>1</v>
      </c>
      <c r="D22" s="6">
        <f aca="true" t="shared" si="6" ref="D22:I22">D21*(D7/1200)*(1+D7/1200)^D8/((1+D7/1200)^D8-1)</f>
        <v>0</v>
      </c>
      <c r="E22" s="6">
        <f t="shared" si="6"/>
        <v>2089.8556935987367</v>
      </c>
      <c r="F22" s="6">
        <f t="shared" si="6"/>
        <v>2543.954339001413</v>
      </c>
      <c r="G22" s="6">
        <f t="shared" si="6"/>
        <v>2543.954339001413</v>
      </c>
      <c r="H22" s="6">
        <f t="shared" si="6"/>
        <v>0</v>
      </c>
      <c r="I22" s="6">
        <f t="shared" si="6"/>
        <v>2543.954339001413</v>
      </c>
    </row>
    <row r="23" spans="2:9" ht="15.75">
      <c r="B23" t="s">
        <v>0</v>
      </c>
      <c r="C23" s="3" t="s">
        <v>1</v>
      </c>
      <c r="D23" s="6">
        <f aca="true" t="shared" si="7" ref="D23:I23">D22*D14/100</f>
        <v>0</v>
      </c>
      <c r="E23" s="6">
        <f t="shared" si="7"/>
        <v>188.0870124238863</v>
      </c>
      <c r="F23" s="6">
        <f t="shared" si="7"/>
        <v>228.95589051012715</v>
      </c>
      <c r="G23" s="6">
        <f t="shared" si="7"/>
        <v>228.95589051012715</v>
      </c>
      <c r="H23" s="6">
        <f t="shared" si="7"/>
        <v>0</v>
      </c>
      <c r="I23" s="6">
        <f t="shared" si="7"/>
        <v>228.95589051012715</v>
      </c>
    </row>
    <row r="24" spans="2:9" ht="15.75">
      <c r="B24" s="1" t="s">
        <v>16</v>
      </c>
      <c r="C24" s="2" t="s">
        <v>1</v>
      </c>
      <c r="D24" s="6">
        <f aca="true" t="shared" si="8" ref="D24:I24">D23+D22+D19</f>
        <v>448.34850000000006</v>
      </c>
      <c r="E24" s="6">
        <f t="shared" si="8"/>
        <v>2779.3219060226234</v>
      </c>
      <c r="F24" s="6">
        <f t="shared" si="8"/>
        <v>3221.25872951154</v>
      </c>
      <c r="G24" s="6">
        <f t="shared" si="8"/>
        <v>3221.25872951154</v>
      </c>
      <c r="H24" s="6">
        <f t="shared" si="8"/>
        <v>448.34850000000006</v>
      </c>
      <c r="I24" s="6">
        <f t="shared" si="8"/>
        <v>3221.25872951154</v>
      </c>
    </row>
    <row r="25" spans="2:9" ht="15.75">
      <c r="B25" t="s">
        <v>17</v>
      </c>
      <c r="C25" s="3" t="s">
        <v>1</v>
      </c>
      <c r="D25" s="6">
        <f aca="true" t="shared" si="9" ref="D25:I25">D24*D8+D5*(1+D14/100)</f>
        <v>106640.52100000001</v>
      </c>
      <c r="E25" s="6">
        <f t="shared" si="9"/>
        <v>105505.58861681444</v>
      </c>
      <c r="F25" s="6">
        <f t="shared" si="9"/>
        <v>115965.31426241544</v>
      </c>
      <c r="G25" s="6">
        <f t="shared" si="9"/>
        <v>115965.31426241544</v>
      </c>
      <c r="H25" s="6">
        <f t="shared" si="9"/>
        <v>106640.52100000001</v>
      </c>
      <c r="I25" s="6">
        <f t="shared" si="9"/>
        <v>115965.31426241544</v>
      </c>
    </row>
    <row r="26" spans="2:9" ht="15.75">
      <c r="B26" t="s">
        <v>18</v>
      </c>
      <c r="C26" s="3" t="s">
        <v>1</v>
      </c>
      <c r="D26" s="5">
        <f aca="true" t="shared" si="10" ref="D26:I26">D11*(1+D14/100)</f>
        <v>90499.975</v>
      </c>
      <c r="E26" s="5">
        <f t="shared" si="10"/>
        <v>101204.32000000011</v>
      </c>
      <c r="F26" s="5">
        <f t="shared" si="10"/>
        <v>90499.975</v>
      </c>
      <c r="G26" s="5">
        <f t="shared" si="10"/>
        <v>90499.975</v>
      </c>
      <c r="H26" s="5">
        <f t="shared" si="10"/>
        <v>90499.975</v>
      </c>
      <c r="I26" s="5">
        <f t="shared" si="10"/>
        <v>90499.975</v>
      </c>
    </row>
    <row r="27" spans="4:9" ht="15.75">
      <c r="D27" s="5"/>
      <c r="E27" s="5"/>
      <c r="F27" s="5"/>
      <c r="G27" s="5"/>
      <c r="H27" s="5"/>
      <c r="I27" s="5"/>
    </row>
    <row r="28" spans="2:9" ht="15.75">
      <c r="B28" t="s">
        <v>19</v>
      </c>
      <c r="C28" s="3" t="s">
        <v>1</v>
      </c>
      <c r="D28" s="6">
        <f aca="true" t="shared" si="11" ref="D28:I28">D25+D26</f>
        <v>197140.496</v>
      </c>
      <c r="E28" s="6">
        <f t="shared" si="11"/>
        <v>206709.90861681453</v>
      </c>
      <c r="F28" s="6">
        <f t="shared" si="11"/>
        <v>206465.28926241543</v>
      </c>
      <c r="G28" s="6">
        <f t="shared" si="11"/>
        <v>206465.28926241543</v>
      </c>
      <c r="H28" s="6">
        <f t="shared" si="11"/>
        <v>197140.496</v>
      </c>
      <c r="I28" s="6">
        <f t="shared" si="11"/>
        <v>206465.28926241543</v>
      </c>
    </row>
    <row r="29" spans="2:9" ht="15.75">
      <c r="B29" t="s">
        <v>20</v>
      </c>
      <c r="C29" s="3" t="s">
        <v>1</v>
      </c>
      <c r="D29" s="6">
        <f aca="true" t="shared" si="12" ref="D29:I29">D28-D4*(1+D14/100)</f>
        <v>16140.546000000002</v>
      </c>
      <c r="E29" s="6">
        <f t="shared" si="12"/>
        <v>25709.958616814518</v>
      </c>
      <c r="F29" s="6">
        <f t="shared" si="12"/>
        <v>25465.339262415422</v>
      </c>
      <c r="G29" s="6">
        <f t="shared" si="12"/>
        <v>25465.339262415422</v>
      </c>
      <c r="H29" s="6">
        <f t="shared" si="12"/>
        <v>16140.546000000002</v>
      </c>
      <c r="I29" s="6">
        <f t="shared" si="12"/>
        <v>25465.339262415422</v>
      </c>
    </row>
    <row r="30" spans="2:9" ht="15.75">
      <c r="B30" s="1" t="s">
        <v>29</v>
      </c>
      <c r="C30" s="2" t="s">
        <v>1</v>
      </c>
      <c r="D30" s="6">
        <f aca="true" t="shared" si="13" ref="D30:I30">D25</f>
        <v>106640.52100000001</v>
      </c>
      <c r="E30" s="6">
        <f t="shared" si="13"/>
        <v>105505.58861681444</v>
      </c>
      <c r="F30" s="6">
        <f t="shared" si="13"/>
        <v>115965.31426241544</v>
      </c>
      <c r="G30" s="6">
        <f t="shared" si="13"/>
        <v>115965.31426241544</v>
      </c>
      <c r="H30" s="6">
        <f t="shared" si="13"/>
        <v>106640.52100000001</v>
      </c>
      <c r="I30" s="6">
        <f t="shared" si="13"/>
        <v>115965.31426241544</v>
      </c>
    </row>
    <row r="31" spans="2:9" ht="15.75">
      <c r="B31" s="1" t="s">
        <v>31</v>
      </c>
      <c r="C31" s="2" t="s">
        <v>1</v>
      </c>
      <c r="D31" s="6">
        <f>D30-(D13*(1+D14/100)-D26)</f>
        <v>43290.538499999995</v>
      </c>
      <c r="E31" s="6">
        <f>E30-(E13*(1+E14/100)-E26)</f>
        <v>43809.95361681453</v>
      </c>
      <c r="F31" s="6">
        <f>F30-(F13*(1+F14/100)-F26)</f>
        <v>52615.33176241543</v>
      </c>
      <c r="G31" s="6">
        <f>G30-(G13*(1+G14/100)-G26)</f>
        <v>52615.33176241543</v>
      </c>
      <c r="H31" s="6">
        <f>H30-(H13*(1+H14/100)-H26)</f>
        <v>43290.538499999995</v>
      </c>
      <c r="I31" s="6">
        <f>I30-(I13*(1+I14/100)-I26)</f>
        <v>52615.33176241543</v>
      </c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2:9" ht="12.75">
      <c r="B34" s="1" t="s">
        <v>21</v>
      </c>
      <c r="D34" s="4"/>
      <c r="E34" s="4"/>
      <c r="F34" s="4"/>
      <c r="G34" s="4"/>
      <c r="H34" s="4"/>
      <c r="I34" s="4"/>
    </row>
    <row r="35" spans="2:9" ht="15.75">
      <c r="B35" t="s">
        <v>25</v>
      </c>
      <c r="C35" s="3" t="s">
        <v>1</v>
      </c>
      <c r="D35" s="5">
        <f aca="true" t="shared" si="14" ref="D35:I35">(D4)*(1+D14/100)-D5</f>
        <v>97972.45000000001</v>
      </c>
      <c r="E35" s="5">
        <f>(E4)*(1+E14/100)-E5</f>
        <v>175999.95</v>
      </c>
      <c r="F35" s="5">
        <f>(F4)*(1+F14/100)-F5</f>
        <v>180999.95</v>
      </c>
      <c r="G35" s="5">
        <f>(G4)*(1+G14/100)-G5</f>
        <v>180999.95</v>
      </c>
      <c r="H35" s="5">
        <f>(H4)*(1+H14/100)-H5</f>
        <v>97972.45000000001</v>
      </c>
      <c r="I35" s="5">
        <f>(I4)*(1+I14/100)-I5</f>
        <v>180999.95</v>
      </c>
    </row>
    <row r="36" spans="2:9" ht="15.75">
      <c r="B36" t="s">
        <v>24</v>
      </c>
      <c r="C36" s="3" t="s">
        <v>1</v>
      </c>
      <c r="D36" s="6">
        <f>D35*(D15/1200)*(1+D15/1200)^D9/((1+D15/1200)^D9-1)</f>
        <v>1717.2375954284184</v>
      </c>
      <c r="E36" s="6">
        <f>E35*(E15/1200)*(1+E15/1200)^E9/((1+E15/1200)^E9-1)</f>
        <v>3084.884892982893</v>
      </c>
      <c r="F36" s="6">
        <f>F35*(F15/1200)*(1+F15/1200)^F9/((1+F15/1200)^F9-1)</f>
        <v>3172.523693249112</v>
      </c>
      <c r="G36" s="6">
        <f>G35*(G15/1200)*(1+G15/1200)^G9/((1+G15/1200)^G9-1)</f>
        <v>3399.132364875295</v>
      </c>
      <c r="H36" s="6">
        <f>H35*(H15/1200)*(1+H15/1200)^H9/((1+H15/1200)^H9-1)</f>
        <v>1839.8973351159857</v>
      </c>
      <c r="I36" s="6">
        <f>I35*(I15/1200)*(1+I15/1200)^I9/((1+I15/1200)^I9-1)</f>
        <v>3399.132364875295</v>
      </c>
    </row>
    <row r="37" spans="2:9" ht="15.75">
      <c r="B37" t="s">
        <v>26</v>
      </c>
      <c r="C37" s="3" t="s">
        <v>1</v>
      </c>
      <c r="D37" s="6">
        <f>D36*D9+D5</f>
        <v>186061.75572570512</v>
      </c>
      <c r="E37" s="6">
        <f>E36*E9+E5</f>
        <v>190093.09357897355</v>
      </c>
      <c r="F37" s="6">
        <f>F36*F9+F5</f>
        <v>190351.42159494673</v>
      </c>
      <c r="G37" s="6">
        <f>G36*G9+G5</f>
        <v>203947.9418925177</v>
      </c>
      <c r="H37" s="6">
        <f>H36*H9+H5</f>
        <v>193421.34010695913</v>
      </c>
      <c r="I37" s="6">
        <f>I36*I9+I5</f>
        <v>203947.9418925177</v>
      </c>
    </row>
    <row r="38" spans="2:9" ht="15.75">
      <c r="B38" s="1" t="s">
        <v>27</v>
      </c>
      <c r="C38" s="3" t="s">
        <v>1</v>
      </c>
      <c r="D38" s="6">
        <f aca="true" t="shared" si="15" ref="D38:I38">D37-D4*(1+D14/100)</f>
        <v>5061.805725705111</v>
      </c>
      <c r="E38" s="6">
        <f>E37-E4*(1+E14/100)</f>
        <v>9093.14357897354</v>
      </c>
      <c r="F38" s="6">
        <f>F37-F4*(1+F14/100)</f>
        <v>9351.47159494672</v>
      </c>
      <c r="G38" s="6">
        <f>G37-G4*(1+G14/100)</f>
        <v>22947.99189251769</v>
      </c>
      <c r="H38" s="6">
        <f>H37-H4*(1+H14/100)</f>
        <v>12421.390106959123</v>
      </c>
      <c r="I38" s="6">
        <f>I37-I4*(1+I14/100)</f>
        <v>22947.99189251769</v>
      </c>
    </row>
    <row r="39" spans="4:9" ht="12.75">
      <c r="D39" s="4"/>
      <c r="E39" s="4"/>
      <c r="F39" s="4"/>
      <c r="G39" s="4"/>
      <c r="H39" s="4"/>
      <c r="I39" s="4"/>
    </row>
    <row r="40" spans="2:9" ht="15.75">
      <c r="B40" t="s">
        <v>28</v>
      </c>
      <c r="C40" s="3" t="s">
        <v>1</v>
      </c>
      <c r="D40" s="5">
        <f aca="true" t="shared" si="16" ref="D40:I40">D13</f>
        <v>141146.75</v>
      </c>
      <c r="E40" s="5">
        <f t="shared" si="16"/>
        <v>149449.5</v>
      </c>
      <c r="F40" s="5">
        <f t="shared" si="16"/>
        <v>141146.75</v>
      </c>
      <c r="G40" s="5">
        <f t="shared" si="16"/>
        <v>141146.75</v>
      </c>
      <c r="H40" s="5">
        <f t="shared" si="16"/>
        <v>141146.75</v>
      </c>
      <c r="I40" s="5">
        <f t="shared" si="16"/>
        <v>141146.75</v>
      </c>
    </row>
    <row r="41" spans="2:9" ht="15.75">
      <c r="B41" s="1" t="s">
        <v>29</v>
      </c>
      <c r="C41" s="3" t="s">
        <v>1</v>
      </c>
      <c r="D41" s="6">
        <f aca="true" t="shared" si="17" ref="D41:I41">D37-D40</f>
        <v>44915.00572570512</v>
      </c>
      <c r="E41" s="6">
        <f t="shared" si="17"/>
        <v>40643.59357897355</v>
      </c>
      <c r="F41" s="6">
        <f t="shared" si="17"/>
        <v>49204.67159494673</v>
      </c>
      <c r="G41" s="6">
        <f t="shared" si="17"/>
        <v>62801.1918925177</v>
      </c>
      <c r="H41" s="6">
        <f t="shared" si="17"/>
        <v>52274.590106959135</v>
      </c>
      <c r="I41" s="6">
        <f t="shared" si="17"/>
        <v>62801.1918925177</v>
      </c>
    </row>
    <row r="42" spans="4:9" ht="12.75">
      <c r="D42" s="4"/>
      <c r="E42" s="4"/>
      <c r="F42" s="4"/>
      <c r="G42" s="4"/>
      <c r="H42" s="4"/>
      <c r="I42" s="4"/>
    </row>
    <row r="43" spans="4:9" ht="12.75">
      <c r="D43" s="4"/>
      <c r="E43" s="4"/>
      <c r="F43" s="4"/>
      <c r="G43" s="4"/>
      <c r="H43" s="4"/>
      <c r="I43" s="4"/>
    </row>
    <row r="44" spans="2:9" ht="15.75">
      <c r="B44" t="s">
        <v>38</v>
      </c>
      <c r="C44" s="2" t="s">
        <v>1</v>
      </c>
      <c r="D44" s="7">
        <f aca="true" t="shared" si="18" ref="D44:I44">D28-D37</f>
        <v>11078.74027429489</v>
      </c>
      <c r="E44" s="7">
        <f t="shared" si="18"/>
        <v>16616.815037840977</v>
      </c>
      <c r="F44" s="7">
        <f t="shared" si="18"/>
        <v>16113.867667468701</v>
      </c>
      <c r="G44" s="7">
        <f t="shared" si="18"/>
        <v>2517.3473698977323</v>
      </c>
      <c r="H44" s="7">
        <f t="shared" si="18"/>
        <v>3719.155893040879</v>
      </c>
      <c r="I44" s="7">
        <f t="shared" si="18"/>
        <v>2517.3473698977323</v>
      </c>
    </row>
    <row r="45" spans="2:9" ht="15.75">
      <c r="B45" t="s">
        <v>39</v>
      </c>
      <c r="C45" s="3" t="s">
        <v>1</v>
      </c>
      <c r="D45" s="7">
        <f aca="true" t="shared" si="19" ref="D45:I45">D31-D41</f>
        <v>-1624.467225705128</v>
      </c>
      <c r="E45" s="7">
        <f t="shared" si="19"/>
        <v>3166.3600378409756</v>
      </c>
      <c r="F45" s="7">
        <f t="shared" si="19"/>
        <v>3410.660167468697</v>
      </c>
      <c r="G45" s="7">
        <f t="shared" si="19"/>
        <v>-10185.860130102272</v>
      </c>
      <c r="H45" s="7">
        <f t="shared" si="19"/>
        <v>-8984.05160695914</v>
      </c>
      <c r="I45" s="7">
        <f t="shared" si="19"/>
        <v>-10185.860130102272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dcterms:created xsi:type="dcterms:W3CDTF">2005-12-04T23:17:49Z</dcterms:created>
  <dcterms:modified xsi:type="dcterms:W3CDTF">2017-10-15T20:26:05Z</dcterms:modified>
  <cp:category/>
  <cp:version/>
  <cp:contentType/>
  <cp:contentStatus/>
</cp:coreProperties>
</file>