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activeTab="7"/>
  </bookViews>
  <sheets>
    <sheet name="dec" sheetId="1" r:id="rId1"/>
    <sheet name="jan" sheetId="2" r:id="rId2"/>
    <sheet name="feb" sheetId="3" r:id="rId3"/>
    <sheet name="mar" sheetId="4" r:id="rId4"/>
    <sheet name="apr" sheetId="7" r:id="rId5"/>
    <sheet name="may" sheetId="8" r:id="rId6"/>
    <sheet name="june" sheetId="9" r:id="rId7"/>
    <sheet name="july" sheetId="10" r:id="rId8"/>
    <sheet name="mar (2)" sheetId="5" r:id="rId9"/>
    <sheet name="Sheet1" sheetId="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calcPr calcId="124519"/>
</workbook>
</file>

<file path=xl/calcChain.xml><?xml version="1.0" encoding="utf-8"?>
<calcChain xmlns="http://schemas.openxmlformats.org/spreadsheetml/2006/main">
  <c r="E13" i="10"/>
  <c r="D30"/>
  <c r="I26"/>
  <c r="H26"/>
  <c r="J26" s="1"/>
  <c r="F26"/>
  <c r="L26" s="1"/>
  <c r="E26"/>
  <c r="K26" s="1"/>
  <c r="M26" s="1"/>
  <c r="I23"/>
  <c r="H23"/>
  <c r="J23" s="1"/>
  <c r="F23"/>
  <c r="L23" s="1"/>
  <c r="E23"/>
  <c r="K23" s="1"/>
  <c r="M23" s="1"/>
  <c r="L17"/>
  <c r="L30" s="1"/>
  <c r="I17"/>
  <c r="I30" s="1"/>
  <c r="H17"/>
  <c r="H30" s="1"/>
  <c r="F17"/>
  <c r="E17"/>
  <c r="K17" s="1"/>
  <c r="M17" s="1"/>
  <c r="F13"/>
  <c r="F30" s="1"/>
  <c r="G13"/>
  <c r="D11"/>
  <c r="D32" s="1"/>
  <c r="I8"/>
  <c r="I11" s="1"/>
  <c r="I32" s="1"/>
  <c r="H8"/>
  <c r="H11" s="1"/>
  <c r="H32" s="1"/>
  <c r="F8"/>
  <c r="F11" s="1"/>
  <c r="F32" s="1"/>
  <c r="E8"/>
  <c r="E11" s="1"/>
  <c r="G8" l="1"/>
  <c r="G11" s="1"/>
  <c r="K8"/>
  <c r="K13"/>
  <c r="G17"/>
  <c r="G30" s="1"/>
  <c r="G26"/>
  <c r="E30"/>
  <c r="E32" s="1"/>
  <c r="J8"/>
  <c r="J11" s="1"/>
  <c r="L8"/>
  <c r="L11" s="1"/>
  <c r="L32" s="1"/>
  <c r="J17"/>
  <c r="J30" s="1"/>
  <c r="G23"/>
  <c r="M13" l="1"/>
  <c r="M30" s="1"/>
  <c r="K30"/>
  <c r="J32"/>
  <c r="G32"/>
  <c r="K11"/>
  <c r="M8"/>
  <c r="K32" l="1"/>
  <c r="M11"/>
  <c r="M32" s="1"/>
  <c r="L17" i="7" l="1"/>
  <c r="I17"/>
  <c r="I26" l="1"/>
  <c r="H26"/>
  <c r="E26" l="1"/>
  <c r="I23"/>
  <c r="H23"/>
  <c r="J23" l="1"/>
  <c r="D30"/>
  <c r="H17"/>
  <c r="I8"/>
  <c r="H8"/>
  <c r="F26" l="1"/>
  <c r="L26" s="1"/>
  <c r="K26"/>
  <c r="I30"/>
  <c r="H30"/>
  <c r="F23"/>
  <c r="L23" s="1"/>
  <c r="E23"/>
  <c r="J17"/>
  <c r="F17"/>
  <c r="E17"/>
  <c r="F13"/>
  <c r="E13"/>
  <c r="D11"/>
  <c r="D32" s="1"/>
  <c r="I11"/>
  <c r="H11"/>
  <c r="F8"/>
  <c r="E8"/>
  <c r="E6" i="6"/>
  <c r="M51" i="5"/>
  <c r="L51"/>
  <c r="K51"/>
  <c r="J51"/>
  <c r="I51"/>
  <c r="H51"/>
  <c r="G51"/>
  <c r="F51"/>
  <c r="D36"/>
  <c r="D38" s="1"/>
  <c r="M49"/>
  <c r="L49"/>
  <c r="I49"/>
  <c r="H49"/>
  <c r="K32"/>
  <c r="I32"/>
  <c r="F32"/>
  <c r="L32" s="1"/>
  <c r="M32" s="1"/>
  <c r="K23" i="7" l="1"/>
  <c r="M23" s="1"/>
  <c r="L30"/>
  <c r="F30"/>
  <c r="K13"/>
  <c r="E30"/>
  <c r="F11"/>
  <c r="L8"/>
  <c r="E11"/>
  <c r="K8"/>
  <c r="I32"/>
  <c r="G17"/>
  <c r="K17"/>
  <c r="M17" s="1"/>
  <c r="H32"/>
  <c r="J26"/>
  <c r="J30" s="1"/>
  <c r="M13"/>
  <c r="J8"/>
  <c r="J11" s="1"/>
  <c r="L11"/>
  <c r="G13"/>
  <c r="G23"/>
  <c r="G8"/>
  <c r="G11" s="1"/>
  <c r="G26"/>
  <c r="E51" i="5"/>
  <c r="D51"/>
  <c r="J32"/>
  <c r="E32" i="7" l="1"/>
  <c r="K30"/>
  <c r="L32"/>
  <c r="M26"/>
  <c r="M30" s="1"/>
  <c r="G30"/>
  <c r="G32" s="1"/>
  <c r="F32"/>
  <c r="K11"/>
  <c r="M8"/>
  <c r="J32"/>
  <c r="G32" i="5"/>
  <c r="M11" i="7" l="1"/>
  <c r="M32" s="1"/>
  <c r="K32"/>
  <c r="J17" i="5"/>
  <c r="F17" l="1"/>
  <c r="I8"/>
  <c r="F8"/>
  <c r="E8"/>
  <c r="I26" l="1"/>
  <c r="H26"/>
  <c r="I23"/>
  <c r="I36" s="1"/>
  <c r="H23"/>
  <c r="H36" s="1"/>
  <c r="E23"/>
  <c r="K23" s="1"/>
  <c r="F23"/>
  <c r="E13"/>
  <c r="J23" l="1"/>
  <c r="E26"/>
  <c r="H8" l="1"/>
  <c r="L8"/>
  <c r="K8"/>
  <c r="G8" l="1"/>
  <c r="L26" l="1"/>
  <c r="K26"/>
  <c r="J26"/>
  <c r="J36" s="1"/>
  <c r="F26"/>
  <c r="G26" s="1"/>
  <c r="L23"/>
  <c r="L36" s="1"/>
  <c r="M17"/>
  <c r="E17"/>
  <c r="E36" s="1"/>
  <c r="F13"/>
  <c r="F36" s="1"/>
  <c r="K13"/>
  <c r="K36" s="1"/>
  <c r="D11"/>
  <c r="L11"/>
  <c r="L38" s="1"/>
  <c r="I11"/>
  <c r="I38" s="1"/>
  <c r="F5" i="6" s="1"/>
  <c r="G5" s="1"/>
  <c r="H11" i="5"/>
  <c r="H38" s="1"/>
  <c r="F4" i="6" s="1"/>
  <c r="F11" i="5"/>
  <c r="F38" s="1"/>
  <c r="E11"/>
  <c r="E38" s="1"/>
  <c r="D30" i="3"/>
  <c r="D28"/>
  <c r="G16" i="2"/>
  <c r="M33" i="1"/>
  <c r="L33"/>
  <c r="K33"/>
  <c r="G33"/>
  <c r="F33"/>
  <c r="E33"/>
  <c r="D33"/>
  <c r="D39" i="4"/>
  <c r="L25"/>
  <c r="K25"/>
  <c r="I25"/>
  <c r="H25"/>
  <c r="F25"/>
  <c r="G25" s="1"/>
  <c r="L22"/>
  <c r="I22"/>
  <c r="I39" s="1"/>
  <c r="H22"/>
  <c r="F22"/>
  <c r="E22"/>
  <c r="K22" s="1"/>
  <c r="M22" s="1"/>
  <c r="M16"/>
  <c r="E16"/>
  <c r="G16" s="1"/>
  <c r="F12"/>
  <c r="F39" s="1"/>
  <c r="E12"/>
  <c r="K12" s="1"/>
  <c r="D10"/>
  <c r="D41" s="1"/>
  <c r="L7"/>
  <c r="L10" s="1"/>
  <c r="I7"/>
  <c r="I10" s="1"/>
  <c r="I41" s="1"/>
  <c r="H7"/>
  <c r="H10" s="1"/>
  <c r="F7"/>
  <c r="F10" s="1"/>
  <c r="F41" s="1"/>
  <c r="E7"/>
  <c r="E10" s="1"/>
  <c r="L25" i="3"/>
  <c r="M25" s="1"/>
  <c r="K25"/>
  <c r="I25"/>
  <c r="H25"/>
  <c r="L39" i="4" l="1"/>
  <c r="L41" s="1"/>
  <c r="F6" i="6"/>
  <c r="G4"/>
  <c r="G6" s="1"/>
  <c r="J25" i="4"/>
  <c r="G17" i="5"/>
  <c r="M23"/>
  <c r="E39" i="4"/>
  <c r="E41" s="1"/>
  <c r="M26" i="5"/>
  <c r="M13"/>
  <c r="J8"/>
  <c r="J11" s="1"/>
  <c r="J38" s="1"/>
  <c r="G13"/>
  <c r="G23"/>
  <c r="G11"/>
  <c r="M25" i="4"/>
  <c r="H39"/>
  <c r="H41" s="1"/>
  <c r="K39"/>
  <c r="M12"/>
  <c r="J7"/>
  <c r="J10" s="1"/>
  <c r="G12"/>
  <c r="G22"/>
  <c r="G7"/>
  <c r="G10" s="1"/>
  <c r="K7"/>
  <c r="J22"/>
  <c r="M36" i="5" l="1"/>
  <c r="G36"/>
  <c r="G38" s="1"/>
  <c r="J39" i="4"/>
  <c r="J41" s="1"/>
  <c r="K11" i="5"/>
  <c r="K38" s="1"/>
  <c r="M8"/>
  <c r="G39" i="4"/>
  <c r="G41" s="1"/>
  <c r="M39"/>
  <c r="K10"/>
  <c r="M7"/>
  <c r="M11" i="5" l="1"/>
  <c r="M38" s="1"/>
  <c r="M10" i="4"/>
  <c r="M41" s="1"/>
  <c r="K41"/>
  <c r="L22" i="3" l="1"/>
  <c r="L28" s="1"/>
  <c r="I22"/>
  <c r="I28" s="1"/>
  <c r="H22"/>
  <c r="H28" s="1"/>
  <c r="F22"/>
  <c r="E22"/>
  <c r="K22" s="1"/>
  <c r="J22" l="1"/>
  <c r="F12"/>
  <c r="K12"/>
  <c r="K28" s="1"/>
  <c r="E12"/>
  <c r="J25" l="1"/>
  <c r="J28" s="1"/>
  <c r="F25" l="1"/>
  <c r="E7"/>
  <c r="K7" s="1"/>
  <c r="E16"/>
  <c r="I7"/>
  <c r="H7"/>
  <c r="J7" l="1"/>
  <c r="F28"/>
  <c r="E28"/>
  <c r="G25"/>
  <c r="M22"/>
  <c r="G22"/>
  <c r="M16"/>
  <c r="G16"/>
  <c r="M12"/>
  <c r="G12"/>
  <c r="G28" s="1"/>
  <c r="J10"/>
  <c r="I10"/>
  <c r="H10"/>
  <c r="E10"/>
  <c r="D10"/>
  <c r="E30" l="1"/>
  <c r="M28"/>
  <c r="I30"/>
  <c r="J30"/>
  <c r="H30"/>
  <c r="F7" l="1"/>
  <c r="M28" i="2"/>
  <c r="L28"/>
  <c r="K28"/>
  <c r="J28"/>
  <c r="I28"/>
  <c r="H28"/>
  <c r="G28"/>
  <c r="F28"/>
  <c r="E28"/>
  <c r="D28"/>
  <c r="M25"/>
  <c r="M22"/>
  <c r="M16"/>
  <c r="M12"/>
  <c r="M7"/>
  <c r="G25"/>
  <c r="G22"/>
  <c r="G12"/>
  <c r="G7"/>
  <c r="G7" i="1"/>
  <c r="G7" i="3" l="1"/>
  <c r="G10" s="1"/>
  <c r="G30" s="1"/>
  <c r="F10"/>
  <c r="F30" s="1"/>
  <c r="K10"/>
  <c r="K30" s="1"/>
  <c r="D10" i="2"/>
  <c r="D30" s="1"/>
  <c r="L10"/>
  <c r="L30" s="1"/>
  <c r="I10"/>
  <c r="I30" s="1"/>
  <c r="H10"/>
  <c r="H30" s="1"/>
  <c r="F10"/>
  <c r="F30" s="1"/>
  <c r="E10"/>
  <c r="I33" i="1"/>
  <c r="L30"/>
  <c r="K30"/>
  <c r="M30" s="1"/>
  <c r="J30"/>
  <c r="G30"/>
  <c r="L27"/>
  <c r="H27"/>
  <c r="J27" s="1"/>
  <c r="F27"/>
  <c r="E27"/>
  <c r="K27" s="1"/>
  <c r="M27" s="1"/>
  <c r="H26"/>
  <c r="J26" s="1"/>
  <c r="F26"/>
  <c r="E26"/>
  <c r="G26" s="1"/>
  <c r="M21"/>
  <c r="K21"/>
  <c r="J21"/>
  <c r="H21"/>
  <c r="G21"/>
  <c r="L16"/>
  <c r="H16"/>
  <c r="H33" s="1"/>
  <c r="F16"/>
  <c r="E16"/>
  <c r="K16" s="1"/>
  <c r="M16" s="1"/>
  <c r="L12"/>
  <c r="J12"/>
  <c r="F12"/>
  <c r="E12"/>
  <c r="K12" s="1"/>
  <c r="D10"/>
  <c r="D35" s="1"/>
  <c r="L7"/>
  <c r="L10" s="1"/>
  <c r="L35" s="1"/>
  <c r="I7"/>
  <c r="I10" s="1"/>
  <c r="I35" s="1"/>
  <c r="H7"/>
  <c r="H10" s="1"/>
  <c r="H35" s="1"/>
  <c r="F7"/>
  <c r="F10" s="1"/>
  <c r="F35" s="1"/>
  <c r="E7"/>
  <c r="E10" s="1"/>
  <c r="L7" i="3" l="1"/>
  <c r="G10" i="2"/>
  <c r="E30"/>
  <c r="J10"/>
  <c r="M12" i="1"/>
  <c r="G10"/>
  <c r="K7"/>
  <c r="G16"/>
  <c r="J16"/>
  <c r="J33" s="1"/>
  <c r="K26"/>
  <c r="M26" s="1"/>
  <c r="G27"/>
  <c r="E35"/>
  <c r="J7"/>
  <c r="J10" s="1"/>
  <c r="G12"/>
  <c r="L10" i="3" l="1"/>
  <c r="M7"/>
  <c r="G30" i="2"/>
  <c r="K10"/>
  <c r="K30" s="1"/>
  <c r="J30"/>
  <c r="G35" i="1"/>
  <c r="K10"/>
  <c r="M7"/>
  <c r="J35"/>
  <c r="L30" i="3" l="1"/>
  <c r="M10"/>
  <c r="M30" s="1"/>
  <c r="M10" i="2"/>
  <c r="M30" s="1"/>
  <c r="K35" i="1"/>
  <c r="M10"/>
  <c r="M35" s="1"/>
</calcChain>
</file>

<file path=xl/sharedStrings.xml><?xml version="1.0" encoding="utf-8"?>
<sst xmlns="http://schemas.openxmlformats.org/spreadsheetml/2006/main" count="577" uniqueCount="84">
  <si>
    <t>STATEMENT OF DEBT SERVICE</t>
  </si>
  <si>
    <t>As of December 31, 2014</t>
  </si>
  <si>
    <t>City of Tagum</t>
  </si>
  <si>
    <t>CREDITOR</t>
  </si>
  <si>
    <t xml:space="preserve">DATE </t>
  </si>
  <si>
    <t>TERM</t>
  </si>
  <si>
    <t xml:space="preserve">PRINCIPAL </t>
  </si>
  <si>
    <t>LOAN DUE FOR 2014</t>
  </si>
  <si>
    <t>LOAN BALANCE</t>
  </si>
  <si>
    <t>AMOUNT</t>
  </si>
  <si>
    <t>PRINCIPAL</t>
  </si>
  <si>
    <t xml:space="preserve">INTEREST </t>
  </si>
  <si>
    <t>TOTAL</t>
  </si>
  <si>
    <t>PHILIPPINE NATIONAL BANK</t>
  </si>
  <si>
    <t xml:space="preserve">  August 19, 2011</t>
  </si>
  <si>
    <t>Interest Rate: 7.75% per annum (net of GRT)</t>
  </si>
  <si>
    <t>Period of payment: 10 years inclusive of 1year grace period on principal</t>
  </si>
  <si>
    <t xml:space="preserve">Billing period: Monthly </t>
  </si>
  <si>
    <t>Subtotal</t>
  </si>
  <si>
    <t>DEVELOPMENT BANK OF THE PHILIPPINES</t>
  </si>
  <si>
    <t>NEW TAGUM CITY HALL (200M)</t>
  </si>
  <si>
    <t xml:space="preserve">  March 6, 2009</t>
  </si>
  <si>
    <t>Interest Rate: 7.5% per annum (fixed rate)</t>
  </si>
  <si>
    <t>Period of payment: 6 years</t>
  </si>
  <si>
    <t>Billing period: Quarterly</t>
  </si>
  <si>
    <t>VARIOUS LOANS (400M)</t>
  </si>
  <si>
    <t xml:space="preserve">Interest Rate: Variable, presently 6.50% per annum </t>
  </si>
  <si>
    <t xml:space="preserve">     New City Hall w/ Annex</t>
  </si>
  <si>
    <t>various dates</t>
  </si>
  <si>
    <t>inclusive of GRT (reviewable monthly)</t>
  </si>
  <si>
    <t>Period of payment: 7 years with one year grace period</t>
  </si>
  <si>
    <t xml:space="preserve">     Heavy Equipment/ Utility Vehicles</t>
  </si>
  <si>
    <t>Interest Rate: Variable, presently 6.30% per annum (reviewable monthly)</t>
  </si>
  <si>
    <t xml:space="preserve">     Land Acquisition</t>
  </si>
  <si>
    <t>Interest Rate: Variable, presently 6.50% per annum exclusive of GRT</t>
  </si>
  <si>
    <t>October 2,2009</t>
  </si>
  <si>
    <t>Period of payment:  5years with 6 months grace period</t>
  </si>
  <si>
    <t>September 29,2010</t>
  </si>
  <si>
    <t>Completion of New City Hall</t>
  </si>
  <si>
    <t>Approved Loan (231M)</t>
  </si>
  <si>
    <t>Period of payment: 10 years with 2 years  grace period</t>
  </si>
  <si>
    <t>May 21, 2013</t>
  </si>
  <si>
    <t xml:space="preserve">SUB TOTAL </t>
  </si>
  <si>
    <t>GRAND TOTAL</t>
  </si>
  <si>
    <t>Prepared by:</t>
  </si>
  <si>
    <t>Certified Correct:</t>
  </si>
  <si>
    <t>RAMIL Y. TIU, CPA</t>
  </si>
  <si>
    <t xml:space="preserve">  Bookkeeper I</t>
  </si>
  <si>
    <t>City Accountant</t>
  </si>
  <si>
    <t>ANTHONY MARK A. LONZAGA, CPA</t>
  </si>
  <si>
    <t>PAYMENTS MADE AS OF JANUARY 31,  2015</t>
  </si>
  <si>
    <t>LOAN DUE FOR 2015</t>
  </si>
  <si>
    <t>Period of payment: 10 years inclusive of 1 year grace period on principal</t>
  </si>
  <si>
    <t>As of January 31, 2015</t>
  </si>
  <si>
    <t>As of February 28, 2015</t>
  </si>
  <si>
    <t>PAYMENTS MADE AS OF FEBRUARY 28,  2015</t>
  </si>
  <si>
    <t>Sub-total</t>
  </si>
  <si>
    <t>Unreleased Loans</t>
  </si>
  <si>
    <t>Construction of School Building (SEF)</t>
  </si>
  <si>
    <t>Interest Rate: Fixed, 5% per annum</t>
  </si>
  <si>
    <t>Period of payment: 10 years with 1 years  grace period</t>
  </si>
  <si>
    <t>PAYMENTS MADE AS OF DECEMBER  2015</t>
  </si>
  <si>
    <t>LOAN DUE FOR 2016</t>
  </si>
  <si>
    <t>July 2015</t>
  </si>
  <si>
    <t>(assumed date)</t>
  </si>
  <si>
    <t>Unreleased Loans (DBP)</t>
  </si>
  <si>
    <t>SPECIAL EDUCATION FUND</t>
  </si>
  <si>
    <t>GENERAL FUND</t>
  </si>
  <si>
    <t>September 2015</t>
  </si>
  <si>
    <t>Financial Expenses</t>
  </si>
  <si>
    <t>Interest Expenses</t>
  </si>
  <si>
    <t>Loans Payable</t>
  </si>
  <si>
    <t>Annual Budget 2015</t>
  </si>
  <si>
    <t>Loans Due for 2016</t>
  </si>
  <si>
    <t>Code</t>
  </si>
  <si>
    <t>Total</t>
  </si>
  <si>
    <t>Increase/(Decrease)</t>
  </si>
  <si>
    <t>Comparative Presentation</t>
  </si>
  <si>
    <t>PAYMENTS MADE AS OF APRIL  2015</t>
  </si>
  <si>
    <t>AS OF APRIL 2015</t>
  </si>
  <si>
    <t>AS OF MAY 2015</t>
  </si>
  <si>
    <t>PAYMENTS MADE AS OF MAY  2015</t>
  </si>
  <si>
    <t>AS OF JUNE 2015</t>
  </si>
  <si>
    <t>PAYMENTS MADE AS OF JUNE 2015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</si>
</sst>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3" fontId="6" fillId="0" borderId="14" xfId="1" applyFont="1" applyFill="1" applyBorder="1"/>
    <xf numFmtId="43" fontId="6" fillId="0" borderId="0" xfId="1" applyFont="1" applyFill="1" applyBorder="1"/>
    <xf numFmtId="43" fontId="6" fillId="0" borderId="15" xfId="1" applyFont="1" applyFill="1" applyBorder="1" applyAlignment="1"/>
    <xf numFmtId="43" fontId="6" fillId="0" borderId="2" xfId="1" applyFont="1" applyFill="1" applyBorder="1"/>
    <xf numFmtId="43" fontId="6" fillId="0" borderId="16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7" xfId="0" applyFont="1" applyFill="1" applyBorder="1"/>
    <xf numFmtId="0" fontId="3" fillId="0" borderId="14" xfId="0" applyFont="1" applyFill="1" applyBorder="1" applyAlignment="1">
      <alignment horizontal="left" indent="1"/>
    </xf>
    <xf numFmtId="0" fontId="6" fillId="0" borderId="14" xfId="0" applyFont="1" applyFill="1" applyBorder="1"/>
    <xf numFmtId="0" fontId="6" fillId="0" borderId="18" xfId="0" applyFont="1" applyFill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indent="1"/>
    </xf>
    <xf numFmtId="43" fontId="6" fillId="0" borderId="19" xfId="1" applyFont="1" applyFill="1" applyBorder="1"/>
    <xf numFmtId="43" fontId="6" fillId="0" borderId="20" xfId="1" applyFont="1" applyFill="1" applyBorder="1" applyAlignment="1"/>
    <xf numFmtId="0" fontId="5" fillId="0" borderId="21" xfId="0" applyFont="1" applyFill="1" applyBorder="1" applyAlignment="1">
      <alignment horizontal="center"/>
    </xf>
    <xf numFmtId="43" fontId="5" fillId="0" borderId="19" xfId="1" applyFont="1" applyFill="1" applyBorder="1"/>
    <xf numFmtId="43" fontId="5" fillId="0" borderId="19" xfId="1" applyFont="1" applyFill="1" applyBorder="1" applyAlignment="1"/>
    <xf numFmtId="43" fontId="5" fillId="0" borderId="22" xfId="0" applyNumberFormat="1" applyFont="1" applyFill="1" applyBorder="1"/>
    <xf numFmtId="0" fontId="5" fillId="0" borderId="18" xfId="0" applyFont="1" applyFill="1" applyBorder="1"/>
    <xf numFmtId="0" fontId="6" fillId="0" borderId="16" xfId="0" applyFont="1" applyFill="1" applyBorder="1"/>
    <xf numFmtId="0" fontId="5" fillId="0" borderId="23" xfId="0" applyFont="1" applyFill="1" applyBorder="1"/>
    <xf numFmtId="43" fontId="6" fillId="0" borderId="14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14" xfId="1" applyFont="1" applyFill="1" applyBorder="1" applyAlignment="1">
      <alignment vertical="center"/>
    </xf>
    <xf numFmtId="43" fontId="6" fillId="0" borderId="16" xfId="1" applyFont="1" applyFill="1" applyBorder="1" applyAlignment="1">
      <alignment horizontal="center"/>
    </xf>
    <xf numFmtId="0" fontId="5" fillId="0" borderId="17" xfId="0" applyFont="1" applyFill="1" applyBorder="1"/>
    <xf numFmtId="0" fontId="6" fillId="0" borderId="14" xfId="0" applyFont="1" applyFill="1" applyBorder="1" applyAlignment="1">
      <alignment horizontal="left" indent="1"/>
    </xf>
    <xf numFmtId="0" fontId="5" fillId="0" borderId="24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5" xfId="0" applyFont="1" applyFill="1" applyBorder="1"/>
    <xf numFmtId="43" fontId="6" fillId="0" borderId="0" xfId="0" applyNumberFormat="1" applyFont="1" applyFill="1" applyBorder="1"/>
    <xf numFmtId="0" fontId="5" fillId="0" borderId="26" xfId="0" applyFont="1" applyFill="1" applyBorder="1"/>
    <xf numFmtId="43" fontId="6" fillId="0" borderId="14" xfId="1" applyFont="1" applyFill="1" applyBorder="1" applyAlignment="1"/>
    <xf numFmtId="15" fontId="6" fillId="0" borderId="14" xfId="0" applyNumberFormat="1" applyFont="1" applyFill="1" applyBorder="1" applyAlignment="1">
      <alignment horizontal="center"/>
    </xf>
    <xf numFmtId="43" fontId="6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vertical="center"/>
    </xf>
    <xf numFmtId="0" fontId="6" fillId="0" borderId="24" xfId="0" applyFont="1" applyFill="1" applyBorder="1"/>
    <xf numFmtId="15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vertical="center"/>
    </xf>
    <xf numFmtId="43" fontId="6" fillId="0" borderId="19" xfId="1" applyFont="1" applyFill="1" applyBorder="1" applyAlignment="1">
      <alignment vertical="center"/>
    </xf>
    <xf numFmtId="43" fontId="6" fillId="0" borderId="25" xfId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28" xfId="0" applyFont="1" applyFill="1" applyBorder="1" applyAlignment="1">
      <alignment horizontal="left" indent="1"/>
    </xf>
    <xf numFmtId="43" fontId="5" fillId="0" borderId="29" xfId="1" applyFont="1" applyFill="1" applyBorder="1"/>
    <xf numFmtId="43" fontId="5" fillId="0" borderId="28" xfId="1" applyFont="1" applyFill="1" applyBorder="1"/>
    <xf numFmtId="43" fontId="5" fillId="0" borderId="29" xfId="1" applyFont="1" applyFill="1" applyBorder="1" applyAlignment="1"/>
    <xf numFmtId="43" fontId="5" fillId="0" borderId="30" xfId="0" applyNumberFormat="1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3" fontId="6" fillId="0" borderId="15" xfId="1" applyFont="1" applyFill="1" applyBorder="1"/>
    <xf numFmtId="43" fontId="5" fillId="0" borderId="14" xfId="1" applyFont="1" applyFill="1" applyBorder="1"/>
    <xf numFmtId="15" fontId="6" fillId="0" borderId="31" xfId="0" quotePrefix="1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3" fontId="6" fillId="0" borderId="20" xfId="1" applyFont="1" applyFill="1" applyBorder="1"/>
    <xf numFmtId="43" fontId="6" fillId="0" borderId="33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indent="1"/>
    </xf>
    <xf numFmtId="43" fontId="5" fillId="0" borderId="34" xfId="1" applyFont="1" applyFill="1" applyBorder="1"/>
    <xf numFmtId="43" fontId="5" fillId="0" borderId="34" xfId="1" applyFont="1" applyFill="1" applyBorder="1" applyAlignment="1"/>
    <xf numFmtId="43" fontId="5" fillId="0" borderId="35" xfId="0" applyNumberFormat="1" applyFont="1" applyFill="1" applyBorder="1"/>
    <xf numFmtId="0" fontId="5" fillId="0" borderId="34" xfId="0" applyFont="1" applyFill="1" applyBorder="1" applyAlignment="1">
      <alignment horizontal="center"/>
    </xf>
    <xf numFmtId="43" fontId="5" fillId="0" borderId="36" xfId="1" applyFont="1" applyFill="1" applyBorder="1"/>
    <xf numFmtId="0" fontId="5" fillId="0" borderId="3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3" fontId="5" fillId="0" borderId="39" xfId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 indent="4"/>
    </xf>
    <xf numFmtId="43" fontId="6" fillId="0" borderId="0" xfId="1" applyFont="1" applyFill="1" applyAlignment="1">
      <alignment horizontal="left"/>
    </xf>
    <xf numFmtId="0" fontId="6" fillId="0" borderId="0" xfId="0" applyFont="1" applyFill="1" applyAlignment="1">
      <alignment horizontal="left"/>
    </xf>
    <xf numFmtId="43" fontId="6" fillId="0" borderId="0" xfId="1" applyFont="1" applyFill="1"/>
    <xf numFmtId="43" fontId="6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5" fillId="0" borderId="25" xfId="1" applyFont="1" applyFill="1" applyBorder="1"/>
    <xf numFmtId="43" fontId="5" fillId="0" borderId="36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5" fontId="6" fillId="0" borderId="32" xfId="0" quotePrefix="1" applyNumberFormat="1" applyFont="1" applyFill="1" applyBorder="1" applyAlignment="1">
      <alignment horizontal="center"/>
    </xf>
    <xf numFmtId="43" fontId="6" fillId="0" borderId="33" xfId="0" applyNumberFormat="1" applyFont="1" applyFill="1" applyBorder="1" applyAlignment="1">
      <alignment horizontal="center"/>
    </xf>
    <xf numFmtId="0" fontId="6" fillId="0" borderId="26" xfId="0" applyFont="1" applyFill="1" applyBorder="1"/>
    <xf numFmtId="15" fontId="6" fillId="0" borderId="3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2" xfId="1" applyFont="1" applyFill="1" applyBorder="1"/>
    <xf numFmtId="43" fontId="5" fillId="0" borderId="40" xfId="1" applyFont="1" applyFill="1" applyBorder="1"/>
    <xf numFmtId="0" fontId="5" fillId="0" borderId="14" xfId="0" applyFont="1" applyFill="1" applyBorder="1" applyAlignment="1">
      <alignment horizontal="center"/>
    </xf>
    <xf numFmtId="43" fontId="5" fillId="0" borderId="41" xfId="1" applyFont="1" applyFill="1" applyBorder="1"/>
    <xf numFmtId="43" fontId="5" fillId="0" borderId="8" xfId="1" applyFont="1" applyFill="1" applyBorder="1"/>
    <xf numFmtId="43" fontId="5" fillId="0" borderId="42" xfId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43" fontId="6" fillId="0" borderId="41" xfId="1" applyFont="1" applyFill="1" applyBorder="1"/>
    <xf numFmtId="0" fontId="6" fillId="0" borderId="8" xfId="0" applyFont="1" applyFill="1" applyBorder="1" applyAlignment="1">
      <alignment horizontal="center"/>
    </xf>
    <xf numFmtId="17" fontId="6" fillId="0" borderId="14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3" fontId="0" fillId="0" borderId="0" xfId="1" applyFont="1"/>
    <xf numFmtId="43" fontId="0" fillId="0" borderId="43" xfId="1" applyFont="1" applyBorder="1"/>
    <xf numFmtId="43" fontId="0" fillId="0" borderId="0" xfId="0" applyNumberFormat="1"/>
    <xf numFmtId="43" fontId="0" fillId="0" borderId="43" xfId="0" applyNumberFormat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Schedule%20of%20Loan%20Payments/Loan%20Pay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162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8.3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115.5M%20(231M%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80M%20(sef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26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B 162M"/>
      <sheetName val="NEW CITY HALL (231M)"/>
      <sheetName val="NEW CITY HALL (200M)"/>
      <sheetName val="CONSOL NEW CITY HALL (264)"/>
      <sheetName val="LAND (8.3M)"/>
      <sheetName val="BALANCES"/>
      <sheetName val="INTEREST"/>
    </sheetNames>
    <sheetDataSet>
      <sheetData sheetId="0">
        <row r="63">
          <cell r="F63">
            <v>42677126.714246564</v>
          </cell>
          <cell r="G63">
            <v>51000000</v>
          </cell>
        </row>
      </sheetData>
      <sheetData sheetId="1">
        <row r="19">
          <cell r="F19">
            <v>15269262.260000002</v>
          </cell>
          <cell r="G19">
            <v>0</v>
          </cell>
        </row>
      </sheetData>
      <sheetData sheetId="2">
        <row r="108">
          <cell r="F108">
            <v>53316189.390000001</v>
          </cell>
          <cell r="G108">
            <v>199999999.98999998</v>
          </cell>
        </row>
      </sheetData>
      <sheetData sheetId="3">
        <row r="207">
          <cell r="E207">
            <v>1054090.03</v>
          </cell>
        </row>
        <row r="208">
          <cell r="E208">
            <v>879329.69</v>
          </cell>
        </row>
        <row r="213">
          <cell r="E213">
            <v>69488567.719999999</v>
          </cell>
          <cell r="F213">
            <v>220000000</v>
          </cell>
        </row>
      </sheetData>
      <sheetData sheetId="4">
        <row r="53">
          <cell r="E53">
            <v>1997439.7800000003</v>
          </cell>
          <cell r="F53">
            <v>4545666.71</v>
          </cell>
        </row>
        <row r="62">
          <cell r="E62">
            <v>2115690.2500000005</v>
          </cell>
          <cell r="F62">
            <v>5245000.05</v>
          </cell>
        </row>
      </sheetData>
      <sheetData sheetId="5" refreshError="1"/>
      <sheetData sheetId="6">
        <row r="6">
          <cell r="D6">
            <v>31376295.03166667</v>
          </cell>
        </row>
        <row r="9">
          <cell r="D9">
            <v>587961.53757605562</v>
          </cell>
        </row>
        <row r="16">
          <cell r="D16">
            <v>26963948.628219195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62M"/>
    </sheetNames>
    <sheetDataSet>
      <sheetData sheetId="0"/>
      <sheetData sheetId="1">
        <row r="15">
          <cell r="D15">
            <v>1066315.0684931506</v>
          </cell>
        </row>
        <row r="55">
          <cell r="C55">
            <v>1500000</v>
          </cell>
          <cell r="D55">
            <v>726164.38356164389</v>
          </cell>
        </row>
        <row r="56">
          <cell r="C56">
            <v>1500000</v>
          </cell>
          <cell r="D56">
            <v>740496.57534246577</v>
          </cell>
        </row>
        <row r="57">
          <cell r="C57">
            <v>1500000</v>
          </cell>
          <cell r="D57">
            <v>707054.79452054796</v>
          </cell>
        </row>
        <row r="58">
          <cell r="C58">
            <v>1500000</v>
          </cell>
          <cell r="D58">
            <v>720750</v>
          </cell>
        </row>
        <row r="59">
          <cell r="C59">
            <v>1500000</v>
          </cell>
          <cell r="D59">
            <v>710876.71232876717</v>
          </cell>
        </row>
        <row r="60">
          <cell r="C60">
            <v>1500000</v>
          </cell>
          <cell r="D60">
            <v>678390.41095890407</v>
          </cell>
        </row>
        <row r="61">
          <cell r="C61">
            <v>1500000</v>
          </cell>
          <cell r="D61">
            <v>691130.1369863014</v>
          </cell>
        </row>
        <row r="62">
          <cell r="C62">
            <v>1500000</v>
          </cell>
          <cell r="D62">
            <v>659280.82191780827</v>
          </cell>
          <cell r="G62">
            <v>18000000</v>
          </cell>
          <cell r="H62">
            <v>8659828.7671232875</v>
          </cell>
        </row>
        <row r="63">
          <cell r="C63">
            <v>1500000</v>
          </cell>
        </row>
        <row r="64">
          <cell r="C64">
            <v>1500000</v>
          </cell>
        </row>
        <row r="65">
          <cell r="C65">
            <v>1500000</v>
          </cell>
        </row>
        <row r="66">
          <cell r="C66">
            <v>1500000</v>
          </cell>
        </row>
        <row r="67">
          <cell r="C67">
            <v>1500000</v>
          </cell>
        </row>
        <row r="68">
          <cell r="C68">
            <v>1500000</v>
          </cell>
        </row>
        <row r="69">
          <cell r="C69">
            <v>1500000</v>
          </cell>
        </row>
        <row r="70">
          <cell r="C70">
            <v>1500000</v>
          </cell>
        </row>
        <row r="71">
          <cell r="C71">
            <v>1500000</v>
          </cell>
        </row>
        <row r="72">
          <cell r="C72">
            <v>1500000</v>
          </cell>
        </row>
        <row r="73">
          <cell r="C73">
            <v>1500000</v>
          </cell>
        </row>
        <row r="74">
          <cell r="C74">
            <v>1500000</v>
          </cell>
          <cell r="H74">
            <v>7285849.3150684927</v>
          </cell>
        </row>
        <row r="131">
          <cell r="D131">
            <v>69641075.342465758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8.3M"/>
    </sheetNames>
    <sheetDataSet>
      <sheetData sheetId="0"/>
      <sheetData sheetId="1">
        <row r="30">
          <cell r="C30">
            <v>349666.67</v>
          </cell>
          <cell r="D30">
            <v>61925.965682777794</v>
          </cell>
        </row>
        <row r="31">
          <cell r="C31">
            <v>349666.67</v>
          </cell>
          <cell r="D31">
            <v>54446.984147111129</v>
          </cell>
          <cell r="G31">
            <v>1398666.68</v>
          </cell>
          <cell r="H31">
            <v>259221.49437372229</v>
          </cell>
        </row>
        <row r="32">
          <cell r="C32">
            <v>349666.67</v>
          </cell>
          <cell r="D32">
            <v>47641.110934083357</v>
          </cell>
        </row>
        <row r="33">
          <cell r="C33">
            <v>349666.67</v>
          </cell>
          <cell r="D33">
            <v>41283.976597111134</v>
          </cell>
        </row>
        <row r="34">
          <cell r="C34">
            <v>349666.67</v>
          </cell>
          <cell r="D34">
            <v>34403.313568555583</v>
          </cell>
        </row>
        <row r="35">
          <cell r="C35">
            <v>349666.67</v>
          </cell>
          <cell r="D35">
            <v>27223.491295000033</v>
          </cell>
        </row>
        <row r="39">
          <cell r="D39">
            <v>2703651.7875760561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231M"/>
      <sheetName val="Sheet1"/>
    </sheetNames>
    <sheetDataSet>
      <sheetData sheetId="0" refreshError="1"/>
      <sheetData sheetId="1">
        <row r="17">
          <cell r="C17">
            <v>0</v>
          </cell>
        </row>
        <row r="18">
          <cell r="C18">
            <v>0</v>
          </cell>
        </row>
        <row r="19">
          <cell r="C19">
            <v>3609375</v>
          </cell>
          <cell r="D19">
            <v>1918583.3333333333</v>
          </cell>
        </row>
        <row r="20">
          <cell r="C20">
            <v>3609375</v>
          </cell>
          <cell r="D20">
            <v>1858627.6041666667</v>
          </cell>
          <cell r="G20">
            <v>7218750</v>
          </cell>
          <cell r="H20">
            <v>7551815.104166667</v>
          </cell>
        </row>
        <row r="21">
          <cell r="C21">
            <v>3609375</v>
          </cell>
          <cell r="D21">
            <v>1798671.875</v>
          </cell>
        </row>
        <row r="22">
          <cell r="C22">
            <v>3609375</v>
          </cell>
          <cell r="D22">
            <v>1682018.8802083333</v>
          </cell>
        </row>
        <row r="23">
          <cell r="C23">
            <v>3609375</v>
          </cell>
          <cell r="D23">
            <v>1678760.4166666667</v>
          </cell>
        </row>
        <row r="24">
          <cell r="C24">
            <v>3609375</v>
          </cell>
          <cell r="D24">
            <v>1618804.6875</v>
          </cell>
        </row>
        <row r="51">
          <cell r="D51">
            <v>46645557.291666672</v>
          </cell>
        </row>
      </sheetData>
      <sheetData sheetId="2">
        <row r="11">
          <cell r="H11">
            <v>1876875</v>
          </cell>
        </row>
        <row r="15">
          <cell r="H15">
            <v>7632625</v>
          </cell>
        </row>
        <row r="51">
          <cell r="D51">
            <v>46108562.5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0</v>
          </cell>
        </row>
        <row r="13">
          <cell r="C13">
            <v>0</v>
          </cell>
        </row>
        <row r="14">
          <cell r="C14">
            <v>2222222.222222222</v>
          </cell>
        </row>
        <row r="15">
          <cell r="C15">
            <v>2222222.222222222</v>
          </cell>
          <cell r="H15">
            <v>3972222.222222222</v>
          </cell>
        </row>
        <row r="50">
          <cell r="D50">
            <v>21499999.999999989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32M"/>
    </sheetNames>
    <sheetDataSet>
      <sheetData sheetId="0"/>
      <sheetData sheetId="1">
        <row r="19">
          <cell r="D19">
            <v>730888.88888888888</v>
          </cell>
        </row>
        <row r="20">
          <cell r="D20">
            <v>548166.66666666663</v>
          </cell>
        </row>
        <row r="21">
          <cell r="D21">
            <v>365444.44444444444</v>
          </cell>
        </row>
        <row r="22">
          <cell r="D22">
            <v>178750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opLeftCell="E4" workbookViewId="0">
      <selection activeCell="L16" sqref="L16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63.7109375" style="3" bestFit="1" customWidth="1"/>
    <col min="4" max="4" width="15" style="4" bestFit="1" customWidth="1"/>
    <col min="5" max="7" width="15" style="2" bestFit="1" customWidth="1"/>
    <col min="8" max="8" width="16.140625" style="2" bestFit="1" customWidth="1"/>
    <col min="9" max="9" width="9.28515625" style="2" bestFit="1" customWidth="1"/>
    <col min="10" max="10" width="6.42578125" style="5" bestFit="1" customWidth="1"/>
    <col min="11" max="11" width="15" style="2" bestFit="1" customWidth="1"/>
    <col min="12" max="12" width="14" style="2" bestFit="1" customWidth="1"/>
    <col min="13" max="13" width="15" style="1" bestFit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151" t="s">
        <v>50</v>
      </c>
      <c r="F5" s="152"/>
      <c r="G5" s="153"/>
      <c r="H5" s="151" t="s">
        <v>7</v>
      </c>
      <c r="I5" s="152"/>
      <c r="J5" s="153"/>
      <c r="K5" s="151" t="s">
        <v>8</v>
      </c>
      <c r="L5" s="152"/>
      <c r="M5" s="154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f>34500000+1500000+1500000+1500000+1500000+1500000</f>
        <v>42000000</v>
      </c>
      <c r="F7" s="22">
        <f>34187693.46+839229.45+829356.16+793047.95+809609.59+773938.36</f>
        <v>38232874.970000006</v>
      </c>
      <c r="G7" s="21">
        <f>SUM(E7:F7)</f>
        <v>80232874.969999999</v>
      </c>
      <c r="H7" s="21">
        <f>7500000-1500000-1500000-1500000-1500000-1500000</f>
        <v>0</v>
      </c>
      <c r="I7" s="21">
        <f>4045181.51-839229.45-829356.16-793047.95-809609.59-773938.36</f>
        <v>0</v>
      </c>
      <c r="J7" s="23">
        <f>SUM(H7:I7)</f>
        <v>0</v>
      </c>
      <c r="K7" s="21">
        <f>D7-E7</f>
        <v>120000000</v>
      </c>
      <c r="L7" s="24">
        <f>35453702.05-839229.45-829356.16-793047.95-809609.59-773938.36</f>
        <v>31408520.539999999</v>
      </c>
      <c r="M7" s="25">
        <f>SUM(K7:L7)</f>
        <v>151408520.53999999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16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18</v>
      </c>
      <c r="D10" s="37">
        <f>SUM(D7:D9)</f>
        <v>162000000</v>
      </c>
      <c r="E10" s="37">
        <f t="shared" ref="E10:K10" si="0">SUM(E7:E9)</f>
        <v>42000000</v>
      </c>
      <c r="F10" s="37">
        <f>SUM(F7:F9)</f>
        <v>38232874.970000006</v>
      </c>
      <c r="G10" s="37">
        <f t="shared" si="0"/>
        <v>80232874.969999999</v>
      </c>
      <c r="H10" s="37">
        <f t="shared" si="0"/>
        <v>0</v>
      </c>
      <c r="I10" s="37">
        <f t="shared" si="0"/>
        <v>0</v>
      </c>
      <c r="J10" s="38">
        <f t="shared" si="0"/>
        <v>0</v>
      </c>
      <c r="K10" s="37">
        <f t="shared" si="0"/>
        <v>120000000</v>
      </c>
      <c r="L10" s="37">
        <f>SUM(L7:L9)</f>
        <v>31408520.539999999</v>
      </c>
      <c r="M10" s="39">
        <f>SUM(K10:L10)</f>
        <v>151408520.53999999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f>175000000.02+8333333.34+8333333.34</f>
        <v>191666666.70000002</v>
      </c>
      <c r="F12" s="44">
        <f>52394314.4+468750+305555.55</f>
        <v>53168619.949999996</v>
      </c>
      <c r="G12" s="21">
        <f>SUM(E12:F12)</f>
        <v>244835286.65000001</v>
      </c>
      <c r="H12" s="21">
        <v>0</v>
      </c>
      <c r="I12" s="21">
        <v>0</v>
      </c>
      <c r="J12" s="23">
        <f>SUM(H12:I12)</f>
        <v>0</v>
      </c>
      <c r="K12" s="45">
        <f>D12-E12</f>
        <v>8333333.2999999821</v>
      </c>
      <c r="L12" s="21">
        <f>2375000.01-592013.89-468750-305555.55</f>
        <v>1008680.5699999996</v>
      </c>
      <c r="M12" s="46">
        <f>K12+L12</f>
        <v>9342013.8699999824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f>176000000+11000000+11000000</f>
        <v>198000000</v>
      </c>
      <c r="F16" s="45">
        <f>63312933.55+1544676.91+1460725.28+1236812.26</f>
        <v>67555148</v>
      </c>
      <c r="G16" s="45">
        <f>SUM(E16:F16)</f>
        <v>265555148</v>
      </c>
      <c r="H16" s="45">
        <f>44000000-11000000-11000000-11000000-11000000</f>
        <v>0</v>
      </c>
      <c r="I16" s="45">
        <v>0</v>
      </c>
      <c r="J16" s="45">
        <f>SUM(H16:I16)</f>
        <v>0</v>
      </c>
      <c r="K16" s="45">
        <f>D16-E16</f>
        <v>66000000</v>
      </c>
      <c r="L16" s="45">
        <f>9957030.15-1786965.03-1544676.91-1460725.28-1236812.26</f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48"/>
      <c r="D20" s="64"/>
      <c r="E20" s="64"/>
      <c r="F20" s="65"/>
      <c r="G20" s="64"/>
      <c r="H20" s="66"/>
      <c r="I20" s="66"/>
      <c r="J20" s="45"/>
      <c r="K20" s="64"/>
      <c r="L20" s="66"/>
      <c r="M20" s="4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31</v>
      </c>
      <c r="B21" s="55" t="s">
        <v>28</v>
      </c>
      <c r="C21" s="20" t="s">
        <v>32</v>
      </c>
      <c r="D21" s="21">
        <v>68635400</v>
      </c>
      <c r="E21" s="43">
        <v>68635400</v>
      </c>
      <c r="F21" s="44">
        <v>13747914.300000001</v>
      </c>
      <c r="G21" s="21">
        <f>SUM(E21:F21)</f>
        <v>82383314.299999997</v>
      </c>
      <c r="H21" s="45">
        <f>3911911.15-3911911.15</f>
        <v>0</v>
      </c>
      <c r="I21" s="45">
        <v>0</v>
      </c>
      <c r="J21" s="45">
        <f>SUM(H21:I21)</f>
        <v>0</v>
      </c>
      <c r="K21" s="21">
        <f>D21-E21</f>
        <v>0</v>
      </c>
      <c r="L21" s="45">
        <v>0</v>
      </c>
      <c r="M21" s="56">
        <f>SUM(K21:L21)</f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55"/>
      <c r="C22" s="48" t="s">
        <v>30</v>
      </c>
      <c r="D22" s="21"/>
      <c r="E22" s="43"/>
      <c r="F22" s="44"/>
      <c r="G22" s="21"/>
      <c r="H22" s="45"/>
      <c r="I22" s="58"/>
      <c r="J22" s="58"/>
      <c r="K22" s="21"/>
      <c r="L22" s="58"/>
      <c r="M22" s="4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59"/>
      <c r="B23" s="60"/>
      <c r="C23" s="33" t="s">
        <v>24</v>
      </c>
      <c r="D23" s="34"/>
      <c r="E23" s="34"/>
      <c r="F23" s="34"/>
      <c r="G23" s="34"/>
      <c r="H23" s="62"/>
      <c r="I23" s="61"/>
      <c r="J23" s="61"/>
      <c r="K23" s="34"/>
      <c r="L23" s="61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55"/>
      <c r="C24" s="20"/>
      <c r="D24" s="21"/>
      <c r="E24" s="21"/>
      <c r="F24" s="21"/>
      <c r="G24" s="21"/>
      <c r="H24" s="45"/>
      <c r="I24" s="58"/>
      <c r="J24" s="68"/>
      <c r="K24" s="21"/>
      <c r="L24" s="58"/>
      <c r="M24" s="6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28" t="s">
        <v>33</v>
      </c>
      <c r="B25" s="55"/>
      <c r="C25" s="20" t="s">
        <v>34</v>
      </c>
      <c r="D25" s="21"/>
      <c r="E25" s="43"/>
      <c r="F25" s="44"/>
      <c r="G25" s="21"/>
      <c r="H25" s="45"/>
      <c r="I25" s="58"/>
      <c r="J25" s="68"/>
      <c r="K25" s="21"/>
      <c r="L25" s="58"/>
      <c r="M25" s="6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28"/>
      <c r="B26" s="19" t="s">
        <v>35</v>
      </c>
      <c r="C26" s="48" t="s">
        <v>36</v>
      </c>
      <c r="D26" s="21">
        <v>17170000</v>
      </c>
      <c r="E26" s="43">
        <f>16216111.1+953888.9</f>
        <v>17170000</v>
      </c>
      <c r="F26" s="44">
        <f>3668036.6+14639.54</f>
        <v>3682676.14</v>
      </c>
      <c r="G26" s="21">
        <f>SUM(E26:F26)</f>
        <v>20852676.140000001</v>
      </c>
      <c r="H26" s="21">
        <f>2861666.66-953888.88-953888.88-953888.9</f>
        <v>0</v>
      </c>
      <c r="I26" s="21">
        <v>0</v>
      </c>
      <c r="J26" s="23">
        <f>SUM(H26:I26)</f>
        <v>0</v>
      </c>
      <c r="K26" s="21">
        <f>D26-E26</f>
        <v>0</v>
      </c>
      <c r="L26" s="21">
        <v>0</v>
      </c>
      <c r="M26" s="56">
        <f>SUM(K26:L26)</f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28"/>
      <c r="B27" s="19" t="s">
        <v>37</v>
      </c>
      <c r="C27" s="48" t="s">
        <v>30</v>
      </c>
      <c r="D27" s="21">
        <v>8392000</v>
      </c>
      <c r="E27" s="21">
        <f>3846333.37+349666.67+349666.67</f>
        <v>4545666.71</v>
      </c>
      <c r="F27" s="21">
        <f>1857660.53+72083.78</f>
        <v>1929744.31</v>
      </c>
      <c r="G27" s="21">
        <f>SUM(E27:F27)</f>
        <v>6475411.0199999996</v>
      </c>
      <c r="H27" s="21">
        <f>1398666.68-349666.67-349666.67-349666.67-349666.67</f>
        <v>0</v>
      </c>
      <c r="I27" s="21">
        <v>0</v>
      </c>
      <c r="J27" s="54">
        <f>SUM(H27:I27)</f>
        <v>0</v>
      </c>
      <c r="K27" s="21">
        <f>D27-E27</f>
        <v>3846333.29</v>
      </c>
      <c r="L27" s="21">
        <f>819023.25-81140.15-77896.99-72083.78-67695.47</f>
        <v>520206.86</v>
      </c>
      <c r="M27" s="56">
        <f>SUM(K27:L27)</f>
        <v>4366540.1500000004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28"/>
      <c r="B28" s="19"/>
      <c r="C28" s="48"/>
      <c r="D28" s="21"/>
      <c r="E28" s="21"/>
      <c r="F28" s="21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70" t="s">
        <v>38</v>
      </c>
      <c r="B29" s="71"/>
      <c r="C29" s="72" t="s">
        <v>26</v>
      </c>
      <c r="D29" s="73"/>
      <c r="E29" s="74"/>
      <c r="F29" s="74"/>
      <c r="G29" s="74"/>
      <c r="H29" s="74"/>
      <c r="I29" s="74"/>
      <c r="J29" s="75"/>
      <c r="K29" s="74"/>
      <c r="L29" s="74"/>
      <c r="M29" s="76"/>
      <c r="N29" s="26"/>
      <c r="O29" s="5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77" t="s">
        <v>39</v>
      </c>
      <c r="B30" s="78"/>
      <c r="C30" s="48" t="s">
        <v>40</v>
      </c>
      <c r="D30" s="79">
        <v>115500000</v>
      </c>
      <c r="E30" s="80">
        <v>0</v>
      </c>
      <c r="F30" s="21">
        <v>11496744.390000001</v>
      </c>
      <c r="G30" s="21">
        <f>SUM(E30:F30)</f>
        <v>11496744.390000001</v>
      </c>
      <c r="H30" s="21">
        <v>0</v>
      </c>
      <c r="I30" s="21">
        <v>0</v>
      </c>
      <c r="J30" s="23">
        <f>SUM(H30:I30)</f>
        <v>0</v>
      </c>
      <c r="K30" s="21">
        <f>D30-E30</f>
        <v>115500000</v>
      </c>
      <c r="L30" s="21">
        <f>46672928.37-11496744.39</f>
        <v>35176183.979999997</v>
      </c>
      <c r="M30" s="56">
        <f>SUM(K30:L30)</f>
        <v>150676183.97999999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53"/>
      <c r="B31" s="81" t="s">
        <v>41</v>
      </c>
      <c r="C31" s="48" t="s">
        <v>24</v>
      </c>
      <c r="D31" s="79"/>
      <c r="E31" s="80"/>
      <c r="F31" s="80"/>
      <c r="G31" s="21"/>
      <c r="H31" s="21"/>
      <c r="I31" s="21"/>
      <c r="J31" s="23"/>
      <c r="K31" s="21"/>
      <c r="L31" s="21"/>
      <c r="M31" s="5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59"/>
      <c r="B32" s="82"/>
      <c r="C32" s="33"/>
      <c r="D32" s="83"/>
      <c r="E32" s="34"/>
      <c r="F32" s="34"/>
      <c r="G32" s="34"/>
      <c r="H32" s="34"/>
      <c r="I32" s="34"/>
      <c r="J32" s="35"/>
      <c r="K32" s="34"/>
      <c r="L32" s="34"/>
      <c r="M32" s="84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3.5" thickBot="1">
      <c r="A33" s="85" t="s">
        <v>42</v>
      </c>
      <c r="B33" s="86"/>
      <c r="C33" s="87"/>
      <c r="D33" s="88">
        <f>D12+D16+D21+D26+D27+D30</f>
        <v>673697400</v>
      </c>
      <c r="E33" s="88">
        <f>E12+E16+E21+E26+E27+E30</f>
        <v>480017733.41000003</v>
      </c>
      <c r="F33" s="88">
        <f>F12+F16+F21+F26+F27+F30</f>
        <v>151580847.08999997</v>
      </c>
      <c r="G33" s="88">
        <f>G12+G16+G21+G26+G27+G30</f>
        <v>631598580.49999988</v>
      </c>
      <c r="H33" s="88">
        <f>H12+H16+H21+H26+H27</f>
        <v>0</v>
      </c>
      <c r="I33" s="88">
        <f>I12+I16+I21+I26+I27+I30</f>
        <v>0</v>
      </c>
      <c r="J33" s="89">
        <f>J12+J16+J21+J26+J27+J30</f>
        <v>0</v>
      </c>
      <c r="K33" s="88">
        <f>K12+K16+K21+K26+K27+K30</f>
        <v>193679666.58999997</v>
      </c>
      <c r="L33" s="88">
        <f>L12+L16+L21+L26+L27+L30</f>
        <v>40632922.079999998</v>
      </c>
      <c r="M33" s="90">
        <f>SUM(K33:L33)</f>
        <v>234312588.66999996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18"/>
      <c r="B34" s="86"/>
      <c r="C34" s="91"/>
      <c r="D34" s="88"/>
      <c r="E34" s="88"/>
      <c r="F34" s="88"/>
      <c r="G34" s="88"/>
      <c r="H34" s="88"/>
      <c r="I34" s="88"/>
      <c r="J34" s="89"/>
      <c r="K34" s="88"/>
      <c r="L34" s="88"/>
      <c r="M34" s="9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3.5" thickBot="1">
      <c r="A35" s="93" t="s">
        <v>43</v>
      </c>
      <c r="B35" s="94"/>
      <c r="C35" s="95"/>
      <c r="D35" s="96">
        <f>D10+D33</f>
        <v>835697400</v>
      </c>
      <c r="E35" s="96">
        <f t="shared" ref="E35:M35" si="1">E10+E33</f>
        <v>522017733.41000003</v>
      </c>
      <c r="F35" s="96">
        <f t="shared" si="1"/>
        <v>189813722.05999997</v>
      </c>
      <c r="G35" s="96">
        <f t="shared" si="1"/>
        <v>711831455.46999991</v>
      </c>
      <c r="H35" s="96">
        <f t="shared" si="1"/>
        <v>0</v>
      </c>
      <c r="I35" s="96">
        <f t="shared" si="1"/>
        <v>0</v>
      </c>
      <c r="J35" s="96">
        <f t="shared" si="1"/>
        <v>0</v>
      </c>
      <c r="K35" s="96">
        <f>K10+K33</f>
        <v>313679666.58999997</v>
      </c>
      <c r="L35" s="96">
        <f t="shared" si="1"/>
        <v>72041442.620000005</v>
      </c>
      <c r="M35" s="96">
        <f t="shared" si="1"/>
        <v>385721109.20999992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A36" s="97"/>
      <c r="B36" s="97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97"/>
      <c r="B37" s="9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A38" s="97"/>
      <c r="B38" s="97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99"/>
      <c r="C39" s="99"/>
      <c r="J39" s="100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99"/>
      <c r="C40" s="101" t="s">
        <v>44</v>
      </c>
      <c r="D40" s="99"/>
      <c r="H40" s="102" t="s">
        <v>45</v>
      </c>
      <c r="J40" s="10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99"/>
      <c r="C41" s="103"/>
      <c r="D41" s="99"/>
      <c r="H41" s="102"/>
      <c r="J41" s="100"/>
      <c r="K41" s="10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B42" s="99"/>
      <c r="C42" s="103"/>
      <c r="D42" s="99"/>
      <c r="H42" s="102"/>
      <c r="J42" s="100"/>
      <c r="K42" s="10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99"/>
      <c r="C43" s="106" t="s">
        <v>49</v>
      </c>
      <c r="D43" s="106"/>
      <c r="E43" s="106"/>
      <c r="H43" s="148" t="s">
        <v>46</v>
      </c>
      <c r="I43" s="148"/>
      <c r="J43" s="108"/>
      <c r="K43" s="105"/>
      <c r="L43" s="10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99"/>
      <c r="C44" s="99" t="s">
        <v>47</v>
      </c>
      <c r="D44" s="99"/>
      <c r="E44" s="99"/>
      <c r="H44" s="149" t="s">
        <v>48</v>
      </c>
      <c r="I44" s="149"/>
      <c r="J44" s="100"/>
      <c r="L44" s="9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A45" s="99"/>
      <c r="B45" s="99"/>
      <c r="C45" s="99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99"/>
      <c r="C46" s="99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99"/>
      <c r="C47" s="99"/>
      <c r="D47" s="104"/>
      <c r="J47" s="100"/>
      <c r="K47" s="10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99"/>
      <c r="C48" s="99"/>
      <c r="D48" s="104"/>
      <c r="J48" s="100"/>
      <c r="K48" s="10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99"/>
      <c r="C49" s="99"/>
      <c r="D49" s="104"/>
      <c r="J49" s="100"/>
      <c r="K49" s="10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99"/>
      <c r="C50" s="99"/>
      <c r="D50" s="104"/>
      <c r="E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99"/>
      <c r="C51" s="99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99"/>
      <c r="C52" s="99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99"/>
      <c r="C53" s="99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99"/>
      <c r="C54" s="99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99"/>
      <c r="C55" s="99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99"/>
      <c r="C56" s="99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99"/>
      <c r="C57" s="99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99"/>
      <c r="C58" s="99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99"/>
      <c r="C59" s="99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99"/>
      <c r="C60" s="99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99"/>
      <c r="C61" s="99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99"/>
      <c r="C62" s="99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99"/>
      <c r="C63" s="99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99"/>
      <c r="C64" s="99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99"/>
      <c r="C65" s="99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99"/>
      <c r="C66" s="99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99"/>
      <c r="C67" s="99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99"/>
      <c r="C68" s="99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99"/>
      <c r="C69" s="99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99"/>
      <c r="C70" s="99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</sheetData>
  <mergeCells count="8">
    <mergeCell ref="H43:I43"/>
    <mergeCell ref="H44:I44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6" sqref="E6"/>
    </sheetView>
  </sheetViews>
  <sheetFormatPr defaultRowHeight="15"/>
  <cols>
    <col min="1" max="1" width="7.42578125" customWidth="1"/>
    <col min="5" max="6" width="19.140625" customWidth="1"/>
    <col min="7" max="7" width="19.140625" bestFit="1" customWidth="1"/>
  </cols>
  <sheetData>
    <row r="1" spans="1:7" ht="15.75">
      <c r="A1" s="158" t="s">
        <v>77</v>
      </c>
      <c r="B1" s="158"/>
      <c r="C1" s="158"/>
      <c r="D1" s="158"/>
      <c r="E1" s="158"/>
      <c r="F1" s="158"/>
      <c r="G1" s="158"/>
    </row>
    <row r="3" spans="1:7">
      <c r="A3" s="139" t="s">
        <v>69</v>
      </c>
      <c r="B3" s="139"/>
      <c r="C3" s="139"/>
      <c r="D3" s="138" t="s">
        <v>74</v>
      </c>
      <c r="E3" s="138" t="s">
        <v>72</v>
      </c>
      <c r="F3" s="138" t="s">
        <v>73</v>
      </c>
      <c r="G3" s="138" t="s">
        <v>76</v>
      </c>
    </row>
    <row r="4" spans="1:7">
      <c r="B4" t="s">
        <v>71</v>
      </c>
      <c r="D4" s="137">
        <v>444</v>
      </c>
      <c r="E4" s="140">
        <v>78950751</v>
      </c>
      <c r="F4" s="140">
        <f>'mar (2)'!H38</f>
        <v>55803961.129999995</v>
      </c>
      <c r="G4" s="142">
        <f>F4-E4</f>
        <v>-23146789.870000005</v>
      </c>
    </row>
    <row r="5" spans="1:7">
      <c r="B5" t="s">
        <v>70</v>
      </c>
      <c r="D5" s="137">
        <v>975</v>
      </c>
      <c r="E5" s="141">
        <v>26843385</v>
      </c>
      <c r="F5" s="141">
        <f>'mar (2)'!I38</f>
        <v>22390418.196838245</v>
      </c>
      <c r="G5" s="143">
        <f>F5-E5</f>
        <v>-4452966.8031617552</v>
      </c>
    </row>
    <row r="6" spans="1:7">
      <c r="C6" s="157" t="s">
        <v>75</v>
      </c>
      <c r="D6" s="157"/>
      <c r="E6" s="142">
        <f>E4+E5</f>
        <v>105794136</v>
      </c>
      <c r="F6" s="142">
        <f>F4+F5</f>
        <v>78194379.32683824</v>
      </c>
      <c r="G6" s="142">
        <f>G4+G5</f>
        <v>-27599756.67316176</v>
      </c>
    </row>
  </sheetData>
  <mergeCells count="2">
    <mergeCell ref="C6:D6"/>
    <mergeCell ref="A1:G1"/>
  </mergeCells>
  <pageMargins left="0.7" right="0.7" top="0.75" bottom="0.75" header="0.3" footer="0.3"/>
  <pageSetup paperSize="10000" scale="1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5"/>
  <sheetViews>
    <sheetView topLeftCell="E1" workbookViewId="0">
      <selection activeCell="D16" sqref="D16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63.7109375" style="3" bestFit="1" customWidth="1"/>
    <col min="4" max="4" width="15" style="4" bestFit="1" customWidth="1"/>
    <col min="5" max="7" width="15" style="2" bestFit="1" customWidth="1"/>
    <col min="8" max="8" width="16.140625" style="2" bestFit="1" customWidth="1"/>
    <col min="9" max="9" width="12.28515625" style="2" customWidth="1"/>
    <col min="10" max="10" width="11.85546875" style="5" customWidth="1"/>
    <col min="11" max="11" width="15" style="2" bestFit="1" customWidth="1"/>
    <col min="12" max="12" width="14" style="2" bestFit="1" customWidth="1"/>
    <col min="13" max="13" width="15" style="1" bestFit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151" t="s">
        <v>50</v>
      </c>
      <c r="F5" s="152"/>
      <c r="G5" s="153"/>
      <c r="H5" s="151" t="s">
        <v>51</v>
      </c>
      <c r="I5" s="152"/>
      <c r="J5" s="153"/>
      <c r="K5" s="151" t="s">
        <v>8</v>
      </c>
      <c r="L5" s="152"/>
      <c r="M5" s="154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v>42000000</v>
      </c>
      <c r="F7" s="22">
        <v>38232874.970000006</v>
      </c>
      <c r="G7" s="21">
        <f>SUM(E7:F7)</f>
        <v>80232874.969999999</v>
      </c>
      <c r="H7" s="21">
        <v>0</v>
      </c>
      <c r="I7" s="21">
        <v>0</v>
      </c>
      <c r="J7" s="23">
        <v>0</v>
      </c>
      <c r="K7" s="21">
        <v>120000000</v>
      </c>
      <c r="L7" s="24">
        <v>31408520.539999999</v>
      </c>
      <c r="M7" s="25">
        <f>SUM(K7:L7)</f>
        <v>151408520.53999999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52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18</v>
      </c>
      <c r="D10" s="37">
        <f>SUM(D7:D9)</f>
        <v>162000000</v>
      </c>
      <c r="E10" s="37">
        <f t="shared" ref="E10:K10" si="0">SUM(E7:E9)</f>
        <v>42000000</v>
      </c>
      <c r="F10" s="37">
        <f>SUM(F7:F9)</f>
        <v>38232874.970000006</v>
      </c>
      <c r="G10" s="37">
        <f t="shared" si="0"/>
        <v>80232874.969999999</v>
      </c>
      <c r="H10" s="37">
        <f t="shared" si="0"/>
        <v>0</v>
      </c>
      <c r="I10" s="37">
        <f t="shared" si="0"/>
        <v>0</v>
      </c>
      <c r="J10" s="38">
        <f t="shared" si="0"/>
        <v>0</v>
      </c>
      <c r="K10" s="37">
        <f t="shared" si="0"/>
        <v>120000000</v>
      </c>
      <c r="L10" s="37">
        <f>SUM(L7:L9)</f>
        <v>31408520.539999999</v>
      </c>
      <c r="M10" s="39">
        <f>SUM(K10:L10)</f>
        <v>151408520.53999999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v>191666666.70000002</v>
      </c>
      <c r="F12" s="44">
        <v>53168619.949999996</v>
      </c>
      <c r="G12" s="21">
        <f>SUM(E12:F12)</f>
        <v>244835286.65000001</v>
      </c>
      <c r="H12" s="21">
        <v>0</v>
      </c>
      <c r="I12" s="21">
        <v>0</v>
      </c>
      <c r="J12" s="23">
        <v>0</v>
      </c>
      <c r="K12" s="45">
        <v>8333333.2999999821</v>
      </c>
      <c r="L12" s="21">
        <v>1008680.5699999996</v>
      </c>
      <c r="M12" s="46">
        <f>SUM(K12:L12)</f>
        <v>9342013.8699999824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v>198000000</v>
      </c>
      <c r="F16" s="45">
        <v>67555148</v>
      </c>
      <c r="G16" s="45">
        <f>SUM(E16:F16)</f>
        <v>265555148</v>
      </c>
      <c r="H16" s="45">
        <v>0</v>
      </c>
      <c r="I16" s="45">
        <v>0</v>
      </c>
      <c r="J16" s="45">
        <v>0</v>
      </c>
      <c r="K16" s="45">
        <v>66000000</v>
      </c>
      <c r="L16" s="45"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20"/>
      <c r="D20" s="21"/>
      <c r="E20" s="21"/>
      <c r="F20" s="21"/>
      <c r="G20" s="21"/>
      <c r="H20" s="45"/>
      <c r="I20" s="58"/>
      <c r="J20" s="68"/>
      <c r="K20" s="21"/>
      <c r="L20" s="58"/>
      <c r="M20" s="6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33</v>
      </c>
      <c r="B21" s="55"/>
      <c r="C21" s="20" t="s">
        <v>34</v>
      </c>
      <c r="D21" s="21"/>
      <c r="E21" s="43"/>
      <c r="F21" s="44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19" t="s">
        <v>37</v>
      </c>
      <c r="C22" s="48" t="s">
        <v>30</v>
      </c>
      <c r="D22" s="21">
        <v>8392000</v>
      </c>
      <c r="E22" s="21">
        <v>4545666.71</v>
      </c>
      <c r="F22" s="21">
        <v>1929744.31</v>
      </c>
      <c r="G22" s="21">
        <f>SUM(E22:F22)</f>
        <v>6475411.0199999996</v>
      </c>
      <c r="H22" s="21">
        <v>0</v>
      </c>
      <c r="I22" s="21">
        <v>0</v>
      </c>
      <c r="J22" s="54">
        <v>0</v>
      </c>
      <c r="K22" s="21">
        <v>3846333.29</v>
      </c>
      <c r="L22" s="21">
        <v>520206.86</v>
      </c>
      <c r="M22" s="56">
        <f t="shared" ref="M22" si="1">SUM(K22:L22)</f>
        <v>4366540.1500000004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/>
      <c r="C23" s="48"/>
      <c r="D23" s="21"/>
      <c r="E23" s="21"/>
      <c r="F23" s="21"/>
      <c r="G23" s="21"/>
      <c r="H23" s="21"/>
      <c r="I23" s="21"/>
      <c r="J23" s="23"/>
      <c r="K23" s="21"/>
      <c r="L23" s="21"/>
      <c r="M23" s="5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70" t="s">
        <v>38</v>
      </c>
      <c r="B24" s="71"/>
      <c r="C24" s="72" t="s">
        <v>26</v>
      </c>
      <c r="D24" s="73"/>
      <c r="E24" s="74"/>
      <c r="F24" s="74"/>
      <c r="G24" s="74"/>
      <c r="H24" s="74"/>
      <c r="I24" s="74"/>
      <c r="J24" s="75"/>
      <c r="K24" s="74"/>
      <c r="L24" s="74"/>
      <c r="M24" s="7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7" t="s">
        <v>39</v>
      </c>
      <c r="B25" s="78"/>
      <c r="C25" s="48" t="s">
        <v>40</v>
      </c>
      <c r="D25" s="79">
        <v>115500000</v>
      </c>
      <c r="E25" s="80">
        <v>0</v>
      </c>
      <c r="F25" s="21">
        <v>11496744.390000001</v>
      </c>
      <c r="G25" s="21">
        <f>SUM(E25:F25)</f>
        <v>11496744.390000001</v>
      </c>
      <c r="H25" s="21">
        <v>0</v>
      </c>
      <c r="I25" s="21">
        <v>0</v>
      </c>
      <c r="J25" s="23">
        <v>0</v>
      </c>
      <c r="K25" s="21">
        <v>115500000</v>
      </c>
      <c r="L25" s="21">
        <v>35176183.979999997</v>
      </c>
      <c r="M25" s="56">
        <f>SUM(K25:L25)</f>
        <v>150676183.97999999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53"/>
      <c r="B26" s="81" t="s">
        <v>41</v>
      </c>
      <c r="C26" s="48" t="s">
        <v>24</v>
      </c>
      <c r="D26" s="79"/>
      <c r="E26" s="80"/>
      <c r="F26" s="80"/>
      <c r="G26" s="21"/>
      <c r="H26" s="21"/>
      <c r="I26" s="21"/>
      <c r="J26" s="23"/>
      <c r="K26" s="21"/>
      <c r="L26" s="21"/>
      <c r="M26" s="5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59"/>
      <c r="B27" s="82"/>
      <c r="C27" s="33"/>
      <c r="D27" s="83"/>
      <c r="E27" s="34"/>
      <c r="F27" s="34"/>
      <c r="G27" s="34"/>
      <c r="H27" s="34"/>
      <c r="I27" s="34"/>
      <c r="J27" s="35"/>
      <c r="K27" s="34"/>
      <c r="L27" s="34"/>
      <c r="M27" s="8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3.5" thickBot="1">
      <c r="A28" s="85" t="s">
        <v>42</v>
      </c>
      <c r="B28" s="86"/>
      <c r="C28" s="87"/>
      <c r="D28" s="88">
        <f>D12+D16+D22+D25</f>
        <v>587892000</v>
      </c>
      <c r="E28" s="88">
        <f t="shared" ref="E28:M28" si="2">E12+E16+E22+E25</f>
        <v>394212333.41000003</v>
      </c>
      <c r="F28" s="88">
        <f t="shared" si="2"/>
        <v>134150256.64999999</v>
      </c>
      <c r="G28" s="88">
        <f t="shared" si="2"/>
        <v>528362590.05999994</v>
      </c>
      <c r="H28" s="88">
        <f t="shared" si="2"/>
        <v>0</v>
      </c>
      <c r="I28" s="88">
        <f t="shared" si="2"/>
        <v>0</v>
      </c>
      <c r="J28" s="89">
        <f t="shared" si="2"/>
        <v>0</v>
      </c>
      <c r="K28" s="88">
        <f t="shared" si="2"/>
        <v>193679666.58999997</v>
      </c>
      <c r="L28" s="88">
        <f t="shared" si="2"/>
        <v>40632922.079999998</v>
      </c>
      <c r="M28" s="90">
        <f t="shared" si="2"/>
        <v>234312588.66999999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18"/>
      <c r="B29" s="86"/>
      <c r="C29" s="91"/>
      <c r="D29" s="88"/>
      <c r="E29" s="88"/>
      <c r="F29" s="88"/>
      <c r="G29" s="88"/>
      <c r="H29" s="88"/>
      <c r="I29" s="88"/>
      <c r="J29" s="89"/>
      <c r="K29" s="88"/>
      <c r="L29" s="88"/>
      <c r="M29" s="9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93" t="s">
        <v>43</v>
      </c>
      <c r="B30" s="94"/>
      <c r="C30" s="95"/>
      <c r="D30" s="96">
        <f t="shared" ref="D30:M30" si="3">D10+D28</f>
        <v>749892000</v>
      </c>
      <c r="E30" s="96">
        <f t="shared" si="3"/>
        <v>436212333.41000003</v>
      </c>
      <c r="F30" s="96">
        <f t="shared" si="3"/>
        <v>172383131.62</v>
      </c>
      <c r="G30" s="96">
        <f t="shared" si="3"/>
        <v>608595465.02999997</v>
      </c>
      <c r="H30" s="96">
        <f t="shared" si="3"/>
        <v>0</v>
      </c>
      <c r="I30" s="96">
        <f t="shared" si="3"/>
        <v>0</v>
      </c>
      <c r="J30" s="96">
        <f t="shared" si="3"/>
        <v>0</v>
      </c>
      <c r="K30" s="96">
        <f t="shared" si="3"/>
        <v>313679666.58999997</v>
      </c>
      <c r="L30" s="96">
        <f t="shared" si="3"/>
        <v>72041442.620000005</v>
      </c>
      <c r="M30" s="96">
        <f t="shared" si="3"/>
        <v>385721109.20999998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97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97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B34" s="109"/>
      <c r="C34" s="109"/>
      <c r="J34" s="10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B35" s="109"/>
      <c r="C35" s="101" t="s">
        <v>44</v>
      </c>
      <c r="D35" s="109"/>
      <c r="H35" s="102" t="s">
        <v>45</v>
      </c>
      <c r="J35" s="100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09"/>
      <c r="C36" s="103"/>
      <c r="D36" s="109"/>
      <c r="H36" s="102"/>
      <c r="J36" s="100"/>
      <c r="K36" s="10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09"/>
      <c r="C37" s="103"/>
      <c r="D37" s="109"/>
      <c r="H37" s="102"/>
      <c r="J37" s="100"/>
      <c r="K37" s="10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09"/>
      <c r="C38" s="107" t="s">
        <v>49</v>
      </c>
      <c r="D38" s="107"/>
      <c r="E38" s="107"/>
      <c r="H38" s="148" t="s">
        <v>46</v>
      </c>
      <c r="I38" s="148"/>
      <c r="J38" s="108"/>
      <c r="K38" s="105"/>
      <c r="L38" s="10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09"/>
      <c r="C39" s="109" t="s">
        <v>47</v>
      </c>
      <c r="D39" s="109"/>
      <c r="E39" s="109"/>
      <c r="H39" s="149" t="s">
        <v>48</v>
      </c>
      <c r="I39" s="149"/>
      <c r="J39" s="100"/>
      <c r="L39" s="10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109"/>
      <c r="B40" s="109"/>
      <c r="C40" s="109"/>
      <c r="J40" s="10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09"/>
      <c r="C41" s="109"/>
      <c r="D41" s="104"/>
      <c r="J41" s="100"/>
      <c r="K41" s="10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B42" s="109"/>
      <c r="C42" s="109"/>
      <c r="D42" s="104"/>
      <c r="J42" s="100"/>
      <c r="K42" s="10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09"/>
      <c r="C43" s="109"/>
      <c r="D43" s="104"/>
      <c r="J43" s="100"/>
      <c r="K43" s="10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09"/>
      <c r="C44" s="109"/>
      <c r="D44" s="104"/>
      <c r="J44" s="100"/>
      <c r="K44" s="10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09"/>
      <c r="C45" s="109"/>
      <c r="D45" s="104"/>
      <c r="E45" s="104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09"/>
      <c r="C46" s="109"/>
      <c r="D46" s="104"/>
      <c r="J46" s="10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09"/>
      <c r="C47" s="109"/>
      <c r="D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09"/>
      <c r="C48" s="109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09"/>
      <c r="C49" s="109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09"/>
      <c r="C50" s="109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09"/>
      <c r="C51" s="109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09"/>
      <c r="C52" s="109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09"/>
      <c r="C53" s="109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09"/>
      <c r="C54" s="109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09"/>
      <c r="C55" s="109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09"/>
      <c r="C56" s="109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09"/>
      <c r="C57" s="109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09"/>
      <c r="C58" s="109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09"/>
      <c r="C59" s="109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09"/>
      <c r="C60" s="109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09"/>
      <c r="C61" s="109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09"/>
      <c r="C62" s="109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09"/>
      <c r="C63" s="109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09"/>
      <c r="C64" s="109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09"/>
      <c r="C65" s="109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</sheetData>
  <mergeCells count="8">
    <mergeCell ref="H38:I38"/>
    <mergeCell ref="H39:I39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5"/>
  <sheetViews>
    <sheetView topLeftCell="A4" workbookViewId="0">
      <selection activeCell="L38" sqref="L38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59.42578125" style="3" customWidth="1"/>
    <col min="4" max="4" width="15" style="4" bestFit="1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151" t="s">
        <v>55</v>
      </c>
      <c r="F5" s="152"/>
      <c r="G5" s="153"/>
      <c r="H5" s="151" t="s">
        <v>51</v>
      </c>
      <c r="I5" s="152"/>
      <c r="J5" s="153"/>
      <c r="K5" s="151" t="s">
        <v>8</v>
      </c>
      <c r="L5" s="152"/>
      <c r="M5" s="154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f>'[1]PNB 162M'!$G$63</f>
        <v>51000000</v>
      </c>
      <c r="F7" s="22">
        <f>'[1]PNB 162M'!$F$63</f>
        <v>42677126.714246564</v>
      </c>
      <c r="G7" s="21">
        <f>SUM(E7:F7)</f>
        <v>93677126.714246571</v>
      </c>
      <c r="H7" s="21">
        <f>'[2]NEW 162M'!$G$62</f>
        <v>18000000</v>
      </c>
      <c r="I7" s="21">
        <f>'[2]NEW 162M'!$H$62</f>
        <v>8659828.7671232875</v>
      </c>
      <c r="J7" s="23">
        <f>H7+I7</f>
        <v>26659828.767123289</v>
      </c>
      <c r="K7" s="21">
        <f>D7-E7</f>
        <v>111000000</v>
      </c>
      <c r="L7" s="24">
        <f>[1]INTEREST!$D$16</f>
        <v>26963948.628219195</v>
      </c>
      <c r="M7" s="25">
        <f>SUM(K7:L7)</f>
        <v>137963948.62821919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52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56</v>
      </c>
      <c r="D10" s="37">
        <f>SUM(D7:D9)</f>
        <v>162000000</v>
      </c>
      <c r="E10" s="37">
        <f t="shared" ref="E10:K10" si="0">SUM(E7:E9)</f>
        <v>51000000</v>
      </c>
      <c r="F10" s="37">
        <f>SUM(F7:F9)</f>
        <v>42677126.714246564</v>
      </c>
      <c r="G10" s="37">
        <f t="shared" si="0"/>
        <v>93677126.714246571</v>
      </c>
      <c r="H10" s="37">
        <f t="shared" si="0"/>
        <v>18000000</v>
      </c>
      <c r="I10" s="37">
        <f t="shared" si="0"/>
        <v>8659828.7671232875</v>
      </c>
      <c r="J10" s="38">
        <f t="shared" si="0"/>
        <v>26659828.767123289</v>
      </c>
      <c r="K10" s="37">
        <f t="shared" si="0"/>
        <v>111000000</v>
      </c>
      <c r="L10" s="37">
        <f>SUM(L7:L9)</f>
        <v>26963948.628219195</v>
      </c>
      <c r="M10" s="39">
        <f>SUM(K10:L10)</f>
        <v>137963948.62821919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f>'[1]NEW CITY HALL (200M)'!$G$108</f>
        <v>199999999.98999998</v>
      </c>
      <c r="F12" s="44">
        <f>'[1]NEW CITY HALL (200M)'!$F$108</f>
        <v>53316189.390000001</v>
      </c>
      <c r="G12" s="21">
        <f>SUM(E12:F12)</f>
        <v>253316189.38</v>
      </c>
      <c r="H12" s="21">
        <v>0</v>
      </c>
      <c r="I12" s="21">
        <v>0</v>
      </c>
      <c r="J12" s="23">
        <v>0</v>
      </c>
      <c r="K12" s="45">
        <f>D12-E12</f>
        <v>1.0000020265579224E-2</v>
      </c>
      <c r="L12" s="21">
        <v>0</v>
      </c>
      <c r="M12" s="46">
        <f>SUM(K12:L12)</f>
        <v>1.0000020265579224E-2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f>'[1]CONSOL NEW CITY HALL (264)'!$F$213</f>
        <v>220000000</v>
      </c>
      <c r="F16" s="45">
        <v>67555148</v>
      </c>
      <c r="G16" s="45">
        <f>SUM(E16:F16)</f>
        <v>287555148</v>
      </c>
      <c r="H16" s="45">
        <v>0</v>
      </c>
      <c r="I16" s="45">
        <v>0</v>
      </c>
      <c r="J16" s="45">
        <v>0</v>
      </c>
      <c r="K16" s="45">
        <v>66000000</v>
      </c>
      <c r="L16" s="45"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20"/>
      <c r="D20" s="21"/>
      <c r="E20" s="21"/>
      <c r="F20" s="21"/>
      <c r="G20" s="21"/>
      <c r="H20" s="45"/>
      <c r="I20" s="58"/>
      <c r="J20" s="68"/>
      <c r="K20" s="21"/>
      <c r="L20" s="58"/>
      <c r="M20" s="6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33</v>
      </c>
      <c r="B21" s="55"/>
      <c r="C21" s="20" t="s">
        <v>34</v>
      </c>
      <c r="D21" s="21"/>
      <c r="E21" s="43"/>
      <c r="F21" s="44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19" t="s">
        <v>37</v>
      </c>
      <c r="C22" s="48" t="s">
        <v>30</v>
      </c>
      <c r="D22" s="21">
        <v>8392000</v>
      </c>
      <c r="E22" s="21">
        <f>'[1]LAND (8.3M)'!$F$53</f>
        <v>4545666.71</v>
      </c>
      <c r="F22" s="21">
        <f>'[1]LAND (8.3M)'!$E$53</f>
        <v>1997439.7800000003</v>
      </c>
      <c r="G22" s="21">
        <f>SUM(E22:F22)</f>
        <v>6543106.4900000002</v>
      </c>
      <c r="H22" s="21">
        <f>'[3]8.3M'!$G$31</f>
        <v>1398666.68</v>
      </c>
      <c r="I22" s="21">
        <f>'[3]8.3M'!$H$31</f>
        <v>259221.49437372229</v>
      </c>
      <c r="J22" s="54">
        <f>H22+I22</f>
        <v>1657888.1743737222</v>
      </c>
      <c r="K22" s="21">
        <f>D22-E22</f>
        <v>3846333.29</v>
      </c>
      <c r="L22" s="21">
        <f>[1]INTEREST!$D$9</f>
        <v>587961.53757605562</v>
      </c>
      <c r="M22" s="56">
        <f t="shared" ref="M22" si="1">SUM(K22:L22)</f>
        <v>4434294.8275760561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/>
      <c r="C23" s="48"/>
      <c r="D23" s="21"/>
      <c r="E23" s="21"/>
      <c r="F23" s="21"/>
      <c r="G23" s="21"/>
      <c r="H23" s="21"/>
      <c r="I23" s="21"/>
      <c r="J23" s="23"/>
      <c r="K23" s="21"/>
      <c r="L23" s="21"/>
      <c r="M23" s="5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70" t="s">
        <v>38</v>
      </c>
      <c r="B24" s="71"/>
      <c r="C24" s="72" t="s">
        <v>26</v>
      </c>
      <c r="D24" s="73"/>
      <c r="E24" s="74"/>
      <c r="F24" s="74"/>
      <c r="G24" s="74"/>
      <c r="H24" s="74"/>
      <c r="I24" s="74"/>
      <c r="J24" s="75"/>
      <c r="K24" s="74"/>
      <c r="L24" s="74"/>
      <c r="M24" s="7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7" t="s">
        <v>39</v>
      </c>
      <c r="B25" s="78"/>
      <c r="C25" s="48" t="s">
        <v>40</v>
      </c>
      <c r="D25" s="79">
        <v>115500000</v>
      </c>
      <c r="E25" s="80">
        <v>0</v>
      </c>
      <c r="F25" s="21">
        <f>'[1]NEW CITY HALL (231M)'!$F$19</f>
        <v>15269262.260000002</v>
      </c>
      <c r="G25" s="21">
        <f>SUM(E25:F25)</f>
        <v>15269262.260000002</v>
      </c>
      <c r="H25" s="21">
        <f>'[4]231M'!$G$20</f>
        <v>7218750</v>
      </c>
      <c r="I25" s="21">
        <f>'[4]231M'!$H$20</f>
        <v>7551815.104166667</v>
      </c>
      <c r="J25" s="23">
        <f>H25+I25</f>
        <v>14770565.104166668</v>
      </c>
      <c r="K25" s="21">
        <f>D25-E25</f>
        <v>115500000</v>
      </c>
      <c r="L25" s="21">
        <f>[1]INTEREST!$D$6</f>
        <v>31376295.03166667</v>
      </c>
      <c r="M25" s="56">
        <f>SUM(K25:L25)</f>
        <v>146876295.03166667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53"/>
      <c r="B26" s="81" t="s">
        <v>41</v>
      </c>
      <c r="C26" s="48" t="s">
        <v>24</v>
      </c>
      <c r="D26" s="79"/>
      <c r="E26" s="80"/>
      <c r="F26" s="80"/>
      <c r="G26" s="21"/>
      <c r="H26" s="21"/>
      <c r="I26" s="21"/>
      <c r="J26" s="23"/>
      <c r="K26" s="21"/>
      <c r="L26" s="21"/>
      <c r="M26" s="5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59"/>
      <c r="B27" s="82"/>
      <c r="C27" s="33"/>
      <c r="D27" s="83"/>
      <c r="E27" s="34"/>
      <c r="F27" s="34"/>
      <c r="G27" s="34"/>
      <c r="H27" s="34"/>
      <c r="I27" s="34"/>
      <c r="J27" s="35"/>
      <c r="K27" s="34"/>
      <c r="L27" s="34"/>
      <c r="M27" s="8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85"/>
      <c r="B28" s="86"/>
      <c r="C28" s="91" t="s">
        <v>56</v>
      </c>
      <c r="D28" s="88">
        <f>D12+D16+D22+D25</f>
        <v>587892000</v>
      </c>
      <c r="E28" s="88">
        <f t="shared" ref="E28:G28" si="2">E12+E16+E22+E25</f>
        <v>424545666.69999999</v>
      </c>
      <c r="F28" s="88">
        <f t="shared" si="2"/>
        <v>138138039.43000001</v>
      </c>
      <c r="G28" s="88">
        <f t="shared" si="2"/>
        <v>562683706.13</v>
      </c>
      <c r="H28" s="88">
        <f t="shared" ref="H28:M28" si="3">H12+H16+H22+H25</f>
        <v>8617416.6799999997</v>
      </c>
      <c r="I28" s="88">
        <f t="shared" si="3"/>
        <v>7811036.598540389</v>
      </c>
      <c r="J28" s="89">
        <f t="shared" si="3"/>
        <v>16428453.27854039</v>
      </c>
      <c r="K28" s="88">
        <f t="shared" si="3"/>
        <v>185346333.30000001</v>
      </c>
      <c r="L28" s="88">
        <f t="shared" si="3"/>
        <v>35892107.239242725</v>
      </c>
      <c r="M28" s="113">
        <f t="shared" si="3"/>
        <v>221238440.53924274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18"/>
      <c r="B29" s="86"/>
      <c r="C29" s="91"/>
      <c r="D29" s="88"/>
      <c r="E29" s="88"/>
      <c r="F29" s="88"/>
      <c r="G29" s="88"/>
      <c r="H29" s="88"/>
      <c r="I29" s="88"/>
      <c r="J29" s="89"/>
      <c r="K29" s="88"/>
      <c r="L29" s="88"/>
      <c r="M29" s="11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93"/>
      <c r="B30" s="94"/>
      <c r="C30" s="95" t="s">
        <v>43</v>
      </c>
      <c r="D30" s="96">
        <f t="shared" ref="D30:M30" si="4">D10+D28</f>
        <v>749892000</v>
      </c>
      <c r="E30" s="96">
        <f t="shared" si="4"/>
        <v>475545666.69999999</v>
      </c>
      <c r="F30" s="96">
        <f t="shared" si="4"/>
        <v>180815166.14424658</v>
      </c>
      <c r="G30" s="96">
        <f t="shared" si="4"/>
        <v>656360832.84424663</v>
      </c>
      <c r="H30" s="96">
        <f t="shared" si="4"/>
        <v>26617416.68</v>
      </c>
      <c r="I30" s="96">
        <f t="shared" si="4"/>
        <v>16470865.365663677</v>
      </c>
      <c r="J30" s="96">
        <f t="shared" si="4"/>
        <v>43088282.045663677</v>
      </c>
      <c r="K30" s="96">
        <f t="shared" si="4"/>
        <v>296346333.30000001</v>
      </c>
      <c r="L30" s="96">
        <f t="shared" si="4"/>
        <v>62856055.86746192</v>
      </c>
      <c r="M30" s="96">
        <f t="shared" si="4"/>
        <v>359202389.16746193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97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97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B34" s="111"/>
      <c r="C34" s="111"/>
      <c r="J34" s="10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B35" s="111"/>
      <c r="C35" s="101" t="s">
        <v>44</v>
      </c>
      <c r="D35" s="111"/>
      <c r="H35" s="102" t="s">
        <v>45</v>
      </c>
      <c r="J35" s="100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11"/>
      <c r="C36" s="103"/>
      <c r="D36" s="111"/>
      <c r="H36" s="102"/>
      <c r="J36" s="100"/>
      <c r="K36" s="10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11"/>
      <c r="C37" s="103"/>
      <c r="D37" s="111"/>
      <c r="H37" s="102"/>
      <c r="J37" s="100"/>
      <c r="K37" s="10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11"/>
      <c r="C38" s="110" t="s">
        <v>49</v>
      </c>
      <c r="D38" s="110"/>
      <c r="E38" s="110"/>
      <c r="H38" s="148" t="s">
        <v>46</v>
      </c>
      <c r="I38" s="148"/>
      <c r="J38" s="108"/>
      <c r="K38" s="105"/>
      <c r="L38" s="11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11"/>
      <c r="C39" s="111" t="s">
        <v>47</v>
      </c>
      <c r="D39" s="111"/>
      <c r="E39" s="111"/>
      <c r="H39" s="149" t="s">
        <v>48</v>
      </c>
      <c r="I39" s="149"/>
      <c r="J39" s="100"/>
      <c r="L39" s="11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111"/>
      <c r="B40" s="111"/>
      <c r="C40" s="111"/>
      <c r="J40" s="10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11"/>
      <c r="C41" s="111"/>
      <c r="D41" s="104"/>
      <c r="J41" s="100"/>
      <c r="K41" s="10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B42" s="111"/>
      <c r="C42" s="111"/>
      <c r="D42" s="104"/>
      <c r="J42" s="100"/>
      <c r="K42" s="10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11"/>
      <c r="C43" s="111"/>
      <c r="D43" s="104"/>
      <c r="J43" s="100"/>
      <c r="K43" s="10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11"/>
      <c r="C44" s="111"/>
      <c r="D44" s="104"/>
      <c r="J44" s="100"/>
      <c r="K44" s="10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11"/>
      <c r="C45" s="111"/>
      <c r="D45" s="104"/>
      <c r="E45" s="104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11"/>
      <c r="C46" s="111"/>
      <c r="D46" s="104"/>
      <c r="J46" s="10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11"/>
      <c r="C47" s="111"/>
      <c r="D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11"/>
      <c r="C48" s="111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11"/>
      <c r="C49" s="111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11"/>
      <c r="C50" s="111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11"/>
      <c r="C51" s="111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11"/>
      <c r="C52" s="111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11"/>
      <c r="C53" s="111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11"/>
      <c r="C54" s="111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11"/>
      <c r="C55" s="111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11"/>
      <c r="C56" s="111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11"/>
      <c r="C57" s="111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11"/>
      <c r="C58" s="111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11"/>
      <c r="C59" s="111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11"/>
      <c r="C60" s="111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11"/>
      <c r="C61" s="111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11"/>
      <c r="C62" s="111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11"/>
      <c r="C63" s="111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11"/>
      <c r="C64" s="111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11"/>
      <c r="C65" s="111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</sheetData>
  <mergeCells count="8">
    <mergeCell ref="H38:I38"/>
    <mergeCell ref="H39:I39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76"/>
  <sheetViews>
    <sheetView topLeftCell="A19" workbookViewId="0">
      <selection activeCell="B17" sqref="B17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63.7109375" style="3" bestFit="1" customWidth="1"/>
    <col min="4" max="4" width="15" style="4" bestFit="1" customWidth="1"/>
    <col min="5" max="7" width="15" style="2" bestFit="1" customWidth="1"/>
    <col min="8" max="8" width="16.140625" style="2" bestFit="1" customWidth="1"/>
    <col min="9" max="9" width="14" style="2" bestFit="1" customWidth="1"/>
    <col min="10" max="10" width="14" style="5" bestFit="1" customWidth="1"/>
    <col min="11" max="11" width="15" style="2" bestFit="1" customWidth="1"/>
    <col min="12" max="12" width="14" style="2" bestFit="1" customWidth="1"/>
    <col min="13" max="13" width="15" style="1" bestFit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151" t="s">
        <v>55</v>
      </c>
      <c r="F5" s="152"/>
      <c r="G5" s="153"/>
      <c r="H5" s="151" t="s">
        <v>51</v>
      </c>
      <c r="I5" s="152"/>
      <c r="J5" s="153"/>
      <c r="K5" s="151" t="s">
        <v>8</v>
      </c>
      <c r="L5" s="152"/>
      <c r="M5" s="154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f>'[1]PNB 162M'!$G$63</f>
        <v>51000000</v>
      </c>
      <c r="F7" s="22">
        <f>'[1]PNB 162M'!$F$63</f>
        <v>42677126.714246564</v>
      </c>
      <c r="G7" s="21">
        <f>SUM(E7:F7)</f>
        <v>93677126.714246571</v>
      </c>
      <c r="H7" s="21">
        <f>'[2]NEW 162M'!$G$62</f>
        <v>18000000</v>
      </c>
      <c r="I7" s="21">
        <f>'[2]NEW 162M'!$H$62</f>
        <v>8659828.7671232875</v>
      </c>
      <c r="J7" s="23">
        <f>H7+I7</f>
        <v>26659828.767123289</v>
      </c>
      <c r="K7" s="21">
        <f>D7-E7</f>
        <v>111000000</v>
      </c>
      <c r="L7" s="24">
        <f>[1]INTEREST!$D$16</f>
        <v>26963948.628219195</v>
      </c>
      <c r="M7" s="25">
        <f>SUM(K7:L7)</f>
        <v>137963948.62821919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52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56</v>
      </c>
      <c r="D10" s="37">
        <f>SUM(D7:D9)</f>
        <v>162000000</v>
      </c>
      <c r="E10" s="37">
        <f t="shared" ref="E10:K10" si="0">SUM(E7:E9)</f>
        <v>51000000</v>
      </c>
      <c r="F10" s="37">
        <f>SUM(F7:F9)</f>
        <v>42677126.714246564</v>
      </c>
      <c r="G10" s="37">
        <f t="shared" si="0"/>
        <v>93677126.714246571</v>
      </c>
      <c r="H10" s="37">
        <f t="shared" si="0"/>
        <v>18000000</v>
      </c>
      <c r="I10" s="37">
        <f t="shared" si="0"/>
        <v>8659828.7671232875</v>
      </c>
      <c r="J10" s="38">
        <f t="shared" si="0"/>
        <v>26659828.767123289</v>
      </c>
      <c r="K10" s="37">
        <f t="shared" si="0"/>
        <v>111000000</v>
      </c>
      <c r="L10" s="37">
        <f>SUM(L7:L9)</f>
        <v>26963948.628219195</v>
      </c>
      <c r="M10" s="39">
        <f>SUM(K10:L10)</f>
        <v>137963948.62821919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f>'[1]NEW CITY HALL (200M)'!$G$108</f>
        <v>199999999.98999998</v>
      </c>
      <c r="F12" s="44">
        <f>'[1]NEW CITY HALL (200M)'!$F$108</f>
        <v>53316189.390000001</v>
      </c>
      <c r="G12" s="21">
        <f>SUM(E12:F12)</f>
        <v>253316189.38</v>
      </c>
      <c r="H12" s="21">
        <v>0</v>
      </c>
      <c r="I12" s="21">
        <v>0</v>
      </c>
      <c r="J12" s="23">
        <v>0</v>
      </c>
      <c r="K12" s="45">
        <f>D12-E12</f>
        <v>1.0000020265579224E-2</v>
      </c>
      <c r="L12" s="21">
        <v>0</v>
      </c>
      <c r="M12" s="46">
        <f>SUM(K12:L12)</f>
        <v>1.0000020265579224E-2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f>'[1]CONSOL NEW CITY HALL (264)'!$F$213</f>
        <v>220000000</v>
      </c>
      <c r="F16" s="45">
        <v>67555148</v>
      </c>
      <c r="G16" s="45">
        <f>SUM(E16:F16)</f>
        <v>287555148</v>
      </c>
      <c r="H16" s="45">
        <v>0</v>
      </c>
      <c r="I16" s="45">
        <v>0</v>
      </c>
      <c r="J16" s="45">
        <v>0</v>
      </c>
      <c r="K16" s="45">
        <v>66000000</v>
      </c>
      <c r="L16" s="45"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20"/>
      <c r="D20" s="21"/>
      <c r="E20" s="21"/>
      <c r="F20" s="21"/>
      <c r="G20" s="21"/>
      <c r="H20" s="45"/>
      <c r="I20" s="58"/>
      <c r="J20" s="68"/>
      <c r="K20" s="21"/>
      <c r="L20" s="58"/>
      <c r="M20" s="6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33</v>
      </c>
      <c r="B21" s="55"/>
      <c r="C21" s="20" t="s">
        <v>34</v>
      </c>
      <c r="D21" s="21"/>
      <c r="E21" s="43"/>
      <c r="F21" s="44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19" t="s">
        <v>37</v>
      </c>
      <c r="C22" s="48" t="s">
        <v>30</v>
      </c>
      <c r="D22" s="21">
        <v>8392000</v>
      </c>
      <c r="E22" s="21">
        <f>'[1]LAND (8.3M)'!$F$53</f>
        <v>4545666.71</v>
      </c>
      <c r="F22" s="21">
        <f>'[1]LAND (8.3M)'!$E$53</f>
        <v>1997439.7800000003</v>
      </c>
      <c r="G22" s="21">
        <f>SUM(E22:F22)</f>
        <v>6543106.4900000002</v>
      </c>
      <c r="H22" s="21">
        <f>'[3]8.3M'!$G$31</f>
        <v>1398666.68</v>
      </c>
      <c r="I22" s="21">
        <f>'[3]8.3M'!$H$31</f>
        <v>259221.49437372229</v>
      </c>
      <c r="J22" s="54">
        <f>H22+I22</f>
        <v>1657888.1743737222</v>
      </c>
      <c r="K22" s="21">
        <f>D22-E22</f>
        <v>3846333.29</v>
      </c>
      <c r="L22" s="21">
        <f>[1]INTEREST!$D$9</f>
        <v>587961.53757605562</v>
      </c>
      <c r="M22" s="56">
        <f t="shared" ref="M22" si="1">SUM(K22:L22)</f>
        <v>4434294.8275760561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/>
      <c r="C23" s="48"/>
      <c r="D23" s="21"/>
      <c r="E23" s="21"/>
      <c r="F23" s="21"/>
      <c r="G23" s="21"/>
      <c r="H23" s="21"/>
      <c r="I23" s="21"/>
      <c r="J23" s="23"/>
      <c r="K23" s="21"/>
      <c r="L23" s="21"/>
      <c r="M23" s="5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70" t="s">
        <v>38</v>
      </c>
      <c r="B24" s="71"/>
      <c r="C24" s="72" t="s">
        <v>26</v>
      </c>
      <c r="D24" s="73"/>
      <c r="E24" s="74"/>
      <c r="F24" s="74"/>
      <c r="G24" s="74"/>
      <c r="H24" s="74"/>
      <c r="I24" s="74"/>
      <c r="J24" s="75"/>
      <c r="K24" s="74"/>
      <c r="L24" s="74"/>
      <c r="M24" s="7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7" t="s">
        <v>39</v>
      </c>
      <c r="B25" s="78"/>
      <c r="C25" s="48" t="s">
        <v>40</v>
      </c>
      <c r="D25" s="79">
        <v>115500000</v>
      </c>
      <c r="E25" s="80">
        <v>0</v>
      </c>
      <c r="F25" s="21">
        <f>'[1]NEW CITY HALL (231M)'!$F$19</f>
        <v>15269262.260000002</v>
      </c>
      <c r="G25" s="21">
        <f>SUM(E25:F25)</f>
        <v>15269262.260000002</v>
      </c>
      <c r="H25" s="21">
        <f>'[4]231M'!$G$20</f>
        <v>7218750</v>
      </c>
      <c r="I25" s="21">
        <f>'[4]231M'!$H$20</f>
        <v>7551815.104166667</v>
      </c>
      <c r="J25" s="23">
        <f>H25+I25</f>
        <v>14770565.104166668</v>
      </c>
      <c r="K25" s="21">
        <f>D25-E25</f>
        <v>115500000</v>
      </c>
      <c r="L25" s="21">
        <f>[1]INTEREST!$D$6</f>
        <v>31376295.03166667</v>
      </c>
      <c r="M25" s="56">
        <f>SUM(K25:L25)</f>
        <v>146876295.03166667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49"/>
      <c r="B26" s="117" t="s">
        <v>41</v>
      </c>
      <c r="C26" s="33" t="s">
        <v>24</v>
      </c>
      <c r="D26" s="83"/>
      <c r="E26" s="37"/>
      <c r="F26" s="37"/>
      <c r="G26" s="34"/>
      <c r="H26" s="34"/>
      <c r="I26" s="34"/>
      <c r="J26" s="35"/>
      <c r="K26" s="34"/>
      <c r="L26" s="34"/>
      <c r="M26" s="118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53"/>
      <c r="B27" s="81"/>
      <c r="C27" s="48"/>
      <c r="D27" s="79"/>
      <c r="E27" s="80"/>
      <c r="F27" s="80"/>
      <c r="G27" s="21"/>
      <c r="H27" s="21"/>
      <c r="I27" s="21"/>
      <c r="J27" s="23"/>
      <c r="K27" s="21"/>
      <c r="L27" s="21"/>
      <c r="M27" s="5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 t="s">
        <v>57</v>
      </c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3"/>
      <c r="B29" s="81"/>
      <c r="C29" s="48"/>
      <c r="D29" s="79"/>
      <c r="E29" s="80"/>
      <c r="F29" s="80"/>
      <c r="G29" s="21"/>
      <c r="H29" s="21"/>
      <c r="I29" s="21"/>
      <c r="J29" s="23"/>
      <c r="K29" s="21"/>
      <c r="L29" s="21"/>
      <c r="M29" s="5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119" t="s">
        <v>38</v>
      </c>
      <c r="B30" s="81"/>
      <c r="C30" s="48" t="s">
        <v>26</v>
      </c>
      <c r="D30" s="79"/>
      <c r="E30" s="80"/>
      <c r="F30" s="80"/>
      <c r="G30" s="21"/>
      <c r="H30" s="21"/>
      <c r="I30" s="21"/>
      <c r="J30" s="23"/>
      <c r="K30" s="21"/>
      <c r="L30" s="21"/>
      <c r="M30" s="5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19" t="s">
        <v>39</v>
      </c>
      <c r="B31" s="81"/>
      <c r="C31" s="48" t="s">
        <v>40</v>
      </c>
      <c r="D31" s="79">
        <v>115500000</v>
      </c>
      <c r="E31" s="80"/>
      <c r="F31" s="80"/>
      <c r="G31" s="21"/>
      <c r="H31" s="21"/>
      <c r="I31" s="21"/>
      <c r="J31" s="23"/>
      <c r="K31" s="21"/>
      <c r="L31" s="21"/>
      <c r="M31" s="5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53"/>
      <c r="B32" s="81"/>
      <c r="C32" s="48" t="s">
        <v>24</v>
      </c>
      <c r="D32" s="79"/>
      <c r="E32" s="80"/>
      <c r="F32" s="80"/>
      <c r="G32" s="21"/>
      <c r="H32" s="21"/>
      <c r="I32" s="21"/>
      <c r="J32" s="23"/>
      <c r="K32" s="21"/>
      <c r="L32" s="21"/>
      <c r="M32" s="5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53"/>
      <c r="B33" s="81"/>
      <c r="C33" s="48"/>
      <c r="D33" s="79"/>
      <c r="E33" s="80"/>
      <c r="F33" s="80"/>
      <c r="G33" s="21"/>
      <c r="H33" s="21"/>
      <c r="I33" s="21"/>
      <c r="J33" s="23"/>
      <c r="K33" s="21"/>
      <c r="L33" s="21"/>
      <c r="M33" s="5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119" t="s">
        <v>58</v>
      </c>
      <c r="B34" s="81"/>
      <c r="C34" s="48" t="s">
        <v>59</v>
      </c>
      <c r="D34" s="79"/>
      <c r="E34" s="80"/>
      <c r="F34" s="80"/>
      <c r="G34" s="21"/>
      <c r="H34" s="21"/>
      <c r="I34" s="21"/>
      <c r="J34" s="23"/>
      <c r="K34" s="21"/>
      <c r="L34" s="21"/>
      <c r="M34" s="5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53"/>
      <c r="B35" s="81"/>
      <c r="C35" s="48" t="s">
        <v>60</v>
      </c>
      <c r="D35" s="79">
        <v>80000000</v>
      </c>
      <c r="E35" s="80"/>
      <c r="F35" s="80"/>
      <c r="G35" s="21"/>
      <c r="H35" s="21"/>
      <c r="I35" s="21"/>
      <c r="J35" s="23"/>
      <c r="K35" s="21"/>
      <c r="L35" s="21"/>
      <c r="M35" s="5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A36" s="53"/>
      <c r="B36" s="81"/>
      <c r="C36" s="48" t="s">
        <v>24</v>
      </c>
      <c r="D36" s="79"/>
      <c r="E36" s="80"/>
      <c r="F36" s="80"/>
      <c r="G36" s="21"/>
      <c r="H36" s="21"/>
      <c r="I36" s="21"/>
      <c r="J36" s="23"/>
      <c r="K36" s="21"/>
      <c r="L36" s="21"/>
      <c r="M36" s="5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53"/>
      <c r="B37" s="81"/>
      <c r="C37" s="48"/>
      <c r="D37" s="79"/>
      <c r="E37" s="80"/>
      <c r="F37" s="80"/>
      <c r="G37" s="21"/>
      <c r="H37" s="21"/>
      <c r="I37" s="21"/>
      <c r="J37" s="23"/>
      <c r="K37" s="21"/>
      <c r="L37" s="21"/>
      <c r="M37" s="5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A38" s="59"/>
      <c r="B38" s="82"/>
      <c r="C38" s="33"/>
      <c r="D38" s="83"/>
      <c r="E38" s="34"/>
      <c r="F38" s="34"/>
      <c r="G38" s="34"/>
      <c r="H38" s="34"/>
      <c r="I38" s="34"/>
      <c r="J38" s="35"/>
      <c r="K38" s="34"/>
      <c r="L38" s="34"/>
      <c r="M38" s="8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3.5" thickBot="1">
      <c r="A39" s="85" t="s">
        <v>42</v>
      </c>
      <c r="B39" s="86"/>
      <c r="C39" s="87"/>
      <c r="D39" s="88">
        <f>D12+D16+D22+D25</f>
        <v>587892000</v>
      </c>
      <c r="E39" s="88">
        <f>E12+E16+E22+E25</f>
        <v>424545666.69999999</v>
      </c>
      <c r="F39" s="88">
        <f t="shared" ref="F39:M39" si="2">F12+F16+F22+F25</f>
        <v>138138039.43000001</v>
      </c>
      <c r="G39" s="88">
        <f t="shared" si="2"/>
        <v>562683706.13</v>
      </c>
      <c r="H39" s="88">
        <f t="shared" si="2"/>
        <v>8617416.6799999997</v>
      </c>
      <c r="I39" s="88">
        <f t="shared" si="2"/>
        <v>7811036.598540389</v>
      </c>
      <c r="J39" s="89">
        <f t="shared" si="2"/>
        <v>16428453.27854039</v>
      </c>
      <c r="K39" s="88">
        <f t="shared" si="2"/>
        <v>185346333.30000001</v>
      </c>
      <c r="L39" s="88">
        <f t="shared" si="2"/>
        <v>35892107.239242725</v>
      </c>
      <c r="M39" s="90">
        <f t="shared" si="2"/>
        <v>221238440.53924274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18"/>
      <c r="B40" s="86"/>
      <c r="C40" s="91"/>
      <c r="D40" s="88"/>
      <c r="E40" s="88"/>
      <c r="F40" s="88"/>
      <c r="G40" s="88"/>
      <c r="H40" s="88"/>
      <c r="I40" s="88"/>
      <c r="J40" s="89"/>
      <c r="K40" s="88"/>
      <c r="L40" s="88"/>
      <c r="M40" s="9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3.5" thickBot="1">
      <c r="A41" s="93" t="s">
        <v>43</v>
      </c>
      <c r="B41" s="94"/>
      <c r="C41" s="95"/>
      <c r="D41" s="96">
        <f t="shared" ref="D41:M41" si="3">D10+D39</f>
        <v>749892000</v>
      </c>
      <c r="E41" s="96">
        <f t="shared" si="3"/>
        <v>475545666.69999999</v>
      </c>
      <c r="F41" s="96">
        <f t="shared" si="3"/>
        <v>180815166.14424658</v>
      </c>
      <c r="G41" s="96">
        <f t="shared" si="3"/>
        <v>656360832.84424663</v>
      </c>
      <c r="H41" s="96">
        <f t="shared" si="3"/>
        <v>26617416.68</v>
      </c>
      <c r="I41" s="96">
        <f t="shared" si="3"/>
        <v>16470865.365663677</v>
      </c>
      <c r="J41" s="96">
        <f t="shared" si="3"/>
        <v>43088282.045663677</v>
      </c>
      <c r="K41" s="96">
        <f t="shared" si="3"/>
        <v>296346333.30000001</v>
      </c>
      <c r="L41" s="96">
        <f t="shared" si="3"/>
        <v>62856055.86746192</v>
      </c>
      <c r="M41" s="96">
        <f t="shared" si="3"/>
        <v>359202389.16746193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97"/>
      <c r="B42" s="9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A43" s="97"/>
      <c r="B43" s="97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A44" s="97"/>
      <c r="B44" s="97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11"/>
      <c r="C45" s="111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11"/>
      <c r="C46" s="101" t="s">
        <v>44</v>
      </c>
      <c r="D46" s="111"/>
      <c r="H46" s="102" t="s">
        <v>45</v>
      </c>
      <c r="J46" s="10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11"/>
      <c r="C47" s="103"/>
      <c r="D47" s="111"/>
      <c r="H47" s="102"/>
      <c r="J47" s="100"/>
      <c r="K47" s="10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11"/>
      <c r="C48" s="103"/>
      <c r="D48" s="111"/>
      <c r="H48" s="102"/>
      <c r="J48" s="100"/>
      <c r="K48" s="10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s="27" customFormat="1" ht="12.75">
      <c r="B49" s="111"/>
      <c r="C49" s="110" t="s">
        <v>49</v>
      </c>
      <c r="D49" s="110"/>
      <c r="E49" s="110"/>
      <c r="H49" s="148" t="s">
        <v>46</v>
      </c>
      <c r="I49" s="148"/>
      <c r="J49" s="108"/>
      <c r="K49" s="105"/>
      <c r="L49" s="11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s="27" customFormat="1" ht="12.75">
      <c r="B50" s="111"/>
      <c r="C50" s="111" t="s">
        <v>47</v>
      </c>
      <c r="D50" s="111"/>
      <c r="E50" s="111"/>
      <c r="H50" s="149" t="s">
        <v>48</v>
      </c>
      <c r="I50" s="149"/>
      <c r="J50" s="100"/>
      <c r="L50" s="111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s="27" customFormat="1" ht="12.75">
      <c r="A51" s="111"/>
      <c r="B51" s="111"/>
      <c r="C51" s="111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s="27" customFormat="1" ht="12.75">
      <c r="B52" s="111"/>
      <c r="C52" s="111"/>
      <c r="D52" s="104"/>
      <c r="J52" s="100"/>
      <c r="K52" s="10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s="27" customFormat="1" ht="12.75">
      <c r="B53" s="111"/>
      <c r="C53" s="111"/>
      <c r="D53" s="104"/>
      <c r="J53" s="100"/>
      <c r="K53" s="10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s="27" customFormat="1" ht="12.75">
      <c r="B54" s="111"/>
      <c r="C54" s="111"/>
      <c r="D54" s="104"/>
      <c r="J54" s="100"/>
      <c r="K54" s="10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s="27" customFormat="1" ht="12.75">
      <c r="B55" s="111"/>
      <c r="C55" s="111"/>
      <c r="D55" s="104"/>
      <c r="J55" s="100"/>
      <c r="K55" s="10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s="27" customFormat="1" ht="12.75">
      <c r="B56" s="111"/>
      <c r="C56" s="111"/>
      <c r="D56" s="104"/>
      <c r="E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27" customFormat="1" ht="12.75">
      <c r="B57" s="111"/>
      <c r="C57" s="111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27" customFormat="1" ht="12.75">
      <c r="B58" s="111"/>
      <c r="C58" s="111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27" customFormat="1" ht="12.75">
      <c r="B59" s="111"/>
      <c r="C59" s="111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s="27" customFormat="1" ht="12.75">
      <c r="B60" s="111"/>
      <c r="C60" s="111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27" customFormat="1" ht="12.75">
      <c r="B61" s="111"/>
      <c r="C61" s="111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s="27" customFormat="1" ht="12.75">
      <c r="B62" s="111"/>
      <c r="C62" s="111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s="27" customFormat="1" ht="12.75">
      <c r="B63" s="111"/>
      <c r="C63" s="111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s="27" customFormat="1" ht="12.75">
      <c r="B64" s="111"/>
      <c r="C64" s="111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11"/>
      <c r="C65" s="111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11"/>
      <c r="C66" s="111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11"/>
      <c r="C67" s="111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111"/>
      <c r="C68" s="111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111"/>
      <c r="C69" s="111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111"/>
      <c r="C70" s="111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s="27" customFormat="1" ht="12.75">
      <c r="B71" s="111"/>
      <c r="C71" s="111"/>
      <c r="D71" s="104"/>
      <c r="J71" s="100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2:47" s="27" customFormat="1" ht="12.75">
      <c r="B72" s="111"/>
      <c r="C72" s="111"/>
      <c r="D72" s="104"/>
      <c r="J72" s="10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2:47" s="27" customFormat="1" ht="12.75">
      <c r="B73" s="111"/>
      <c r="C73" s="111"/>
      <c r="D73" s="104"/>
      <c r="J73" s="10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s="27" customFormat="1" ht="12.75">
      <c r="B74" s="111"/>
      <c r="C74" s="111"/>
      <c r="D74" s="104"/>
      <c r="J74" s="10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s="27" customFormat="1" ht="12.75">
      <c r="B75" s="111"/>
      <c r="C75" s="111"/>
      <c r="D75" s="104"/>
      <c r="J75" s="1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2:47" s="27" customFormat="1" ht="12.75">
      <c r="B76" s="111"/>
      <c r="C76" s="111"/>
      <c r="D76" s="104"/>
      <c r="J76" s="100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</sheetData>
  <mergeCells count="8">
    <mergeCell ref="H49:I49"/>
    <mergeCell ref="H50:I50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7"/>
  <sheetViews>
    <sheetView workbookViewId="0">
      <selection sqref="A1:M1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79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5.75">
      <c r="A4" s="155" t="s">
        <v>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151" t="s">
        <v>78</v>
      </c>
      <c r="F6" s="152"/>
      <c r="G6" s="153"/>
      <c r="H6" s="151" t="s">
        <v>51</v>
      </c>
      <c r="I6" s="152"/>
      <c r="J6" s="153"/>
      <c r="K6" s="151" t="s">
        <v>8</v>
      </c>
      <c r="L6" s="152"/>
      <c r="M6" s="154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</f>
        <v>51000000</v>
      </c>
      <c r="F8" s="22">
        <f>'[1]PNB 162M'!$F$63</f>
        <v>42677126.714246564</v>
      </c>
      <c r="G8" s="21">
        <f>SUM(E8:F8)</f>
        <v>93677126.714246571</v>
      </c>
      <c r="H8" s="21">
        <f>SUM('[2]NEW 162M'!$C$55:$C$62)</f>
        <v>12000000</v>
      </c>
      <c r="I8" s="21">
        <f>SUM('[2]NEW 162M'!$D$55:$D$62)</f>
        <v>5634143.8356164386</v>
      </c>
      <c r="J8" s="23">
        <f>H8+I8</f>
        <v>17634143.83561644</v>
      </c>
      <c r="K8" s="21">
        <f>D8-E8</f>
        <v>111000000</v>
      </c>
      <c r="L8" s="24">
        <f>'[2]NEW 162M'!$D$131-F8</f>
        <v>26963948.628219195</v>
      </c>
      <c r="M8" s="25">
        <f>SUM(K8:L8)</f>
        <v>137963948.62821919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51000000</v>
      </c>
      <c r="F11" s="37">
        <f>SUM(F8:F10)</f>
        <v>42677126.714246564</v>
      </c>
      <c r="G11" s="37">
        <f t="shared" si="0"/>
        <v>93677126.714246571</v>
      </c>
      <c r="H11" s="37">
        <f t="shared" si="0"/>
        <v>12000000</v>
      </c>
      <c r="I11" s="37">
        <f t="shared" si="0"/>
        <v>5634143.8356164386</v>
      </c>
      <c r="J11" s="38">
        <f t="shared" si="0"/>
        <v>17634143.83561644</v>
      </c>
      <c r="K11" s="37">
        <f t="shared" si="0"/>
        <v>111000000</v>
      </c>
      <c r="L11" s="37">
        <f>SUM(L8:L10)</f>
        <v>26963948.628219195</v>
      </c>
      <c r="M11" s="39">
        <f>SUM(K11:L11)</f>
        <v>137963948.62821919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(200M)'!$G$108+0.01</f>
        <v>199999999.99999997</v>
      </c>
      <c r="F13" s="44">
        <f>'[1]NEW CITY HALL (200M)'!$F$108</f>
        <v>53316189.390000001</v>
      </c>
      <c r="G13" s="21">
        <f>SUM(E13:F13)</f>
        <v>253316189.38999999</v>
      </c>
      <c r="H13" s="21">
        <v>0</v>
      </c>
      <c r="I13" s="21">
        <v>0</v>
      </c>
      <c r="J13" s="23">
        <v>0</v>
      </c>
      <c r="K13" s="45">
        <f>D13-E13</f>
        <v>0</v>
      </c>
      <c r="L13" s="21">
        <v>0</v>
      </c>
      <c r="M13" s="46">
        <f>SUM(K13:L13)</f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220000000</v>
      </c>
      <c r="F17" s="45">
        <f>'[1]CONSOL NEW CITY HALL (264)'!$E$213</f>
        <v>69488567.719999999</v>
      </c>
      <c r="G17" s="45">
        <f>SUM(E17:F17)</f>
        <v>289488567.72000003</v>
      </c>
      <c r="H17" s="45">
        <f>11000000*3</f>
        <v>33000000</v>
      </c>
      <c r="I17" s="45">
        <f>730353.92+547631.7+883301.92</f>
        <v>2161287.54</v>
      </c>
      <c r="J17" s="45">
        <f>SUM(H17:I17)</f>
        <v>35161287.539999999</v>
      </c>
      <c r="K17" s="45">
        <f>D17-E17</f>
        <v>44000000</v>
      </c>
      <c r="L17" s="45">
        <f>9957030.15-1786965.03-1544676.91-1460725.28-1236812.26-'[1]CONSOL NEW CITY HALL (264)'!$E$207-'[1]CONSOL NEW CITY HALL (264)'!$E$208</f>
        <v>1994430.9499999997</v>
      </c>
      <c r="M17" s="56">
        <f>SUM(K17:L17)</f>
        <v>45994430.950000003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5245000.05</v>
      </c>
      <c r="F23" s="21">
        <f>'[1]LAND (8.3M)'!$E$62</f>
        <v>2115690.2500000005</v>
      </c>
      <c r="G23" s="21">
        <f>SUM(E23:F23)</f>
        <v>7360690.3000000007</v>
      </c>
      <c r="H23" s="21">
        <f>SUM('[3]8.3M'!$C$30:$C$31)</f>
        <v>699333.34</v>
      </c>
      <c r="I23" s="21">
        <f>SUM('[3]8.3M'!$D$30:$D$31)</f>
        <v>116372.94982988892</v>
      </c>
      <c r="J23" s="54">
        <f>H23+I23</f>
        <v>815706.28982988885</v>
      </c>
      <c r="K23" s="21">
        <f>D23-E23</f>
        <v>3146999.95</v>
      </c>
      <c r="L23" s="21">
        <f>'[3]8.3M'!$D$39-F23</f>
        <v>587961.53757605562</v>
      </c>
      <c r="M23" s="56">
        <f>SUM(K23:L23)</f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0</v>
      </c>
      <c r="F26" s="21">
        <f>'[1]NEW CITY HALL (231M)'!$F$19</f>
        <v>15269262.260000002</v>
      </c>
      <c r="G26" s="21">
        <f>SUM(E26:F26)</f>
        <v>15269262.260000002</v>
      </c>
      <c r="H26" s="21">
        <f>SUM('[4]231M'!$C$17:$C$20)</f>
        <v>7218750</v>
      </c>
      <c r="I26" s="21">
        <f>SUM('[4]231M'!$D$19:$D$20)</f>
        <v>3777210.9375</v>
      </c>
      <c r="J26" s="23">
        <f>H26+I26</f>
        <v>10995960.9375</v>
      </c>
      <c r="K26" s="21">
        <f>D26-E26</f>
        <v>115500000</v>
      </c>
      <c r="L26" s="21">
        <f>'[4]231M'!$D$51-F26</f>
        <v>31376295.03166667</v>
      </c>
      <c r="M26" s="56">
        <f>SUM(K26:L26)</f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f>D13+D17+D23+D26</f>
        <v>587892000</v>
      </c>
      <c r="E30" s="88">
        <f t="shared" ref="E30:M30" si="1">E13+E17+E23+E26</f>
        <v>425245000.05000001</v>
      </c>
      <c r="F30" s="88">
        <f t="shared" si="1"/>
        <v>140189709.62</v>
      </c>
      <c r="G30" s="88">
        <f t="shared" si="1"/>
        <v>565434709.66999996</v>
      </c>
      <c r="H30" s="88">
        <f t="shared" si="1"/>
        <v>40918083.340000004</v>
      </c>
      <c r="I30" s="88">
        <f t="shared" si="1"/>
        <v>6054871.4273298886</v>
      </c>
      <c r="J30" s="89">
        <f t="shared" si="1"/>
        <v>46972954.767329887</v>
      </c>
      <c r="K30" s="88">
        <f t="shared" si="1"/>
        <v>162646999.94999999</v>
      </c>
      <c r="L30" s="88">
        <f t="shared" si="1"/>
        <v>33958687.519242726</v>
      </c>
      <c r="M30" s="90">
        <f t="shared" si="1"/>
        <v>196605687.46924272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f t="shared" ref="D32:M32" si="2">D11+D30</f>
        <v>749892000</v>
      </c>
      <c r="E32" s="96">
        <f t="shared" si="2"/>
        <v>476245000.05000001</v>
      </c>
      <c r="F32" s="96">
        <f t="shared" si="2"/>
        <v>182866836.33424658</v>
      </c>
      <c r="G32" s="96">
        <f t="shared" si="2"/>
        <v>659111836.38424659</v>
      </c>
      <c r="H32" s="96">
        <f t="shared" si="2"/>
        <v>52918083.340000004</v>
      </c>
      <c r="I32" s="96">
        <f t="shared" si="2"/>
        <v>11689015.262946326</v>
      </c>
      <c r="J32" s="96">
        <f t="shared" si="2"/>
        <v>64607098.602946326</v>
      </c>
      <c r="K32" s="96">
        <f t="shared" si="2"/>
        <v>273646999.94999999</v>
      </c>
      <c r="L32" s="96">
        <f t="shared" si="2"/>
        <v>60922636.147461921</v>
      </c>
      <c r="M32" s="96">
        <f t="shared" si="2"/>
        <v>334569636.09746194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32"/>
      <c r="C36" s="132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32"/>
      <c r="C37" s="101" t="s">
        <v>44</v>
      </c>
      <c r="D37" s="132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32"/>
      <c r="C38" s="103"/>
      <c r="D38" s="132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32"/>
      <c r="C39" s="103"/>
      <c r="D39" s="132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32"/>
      <c r="C40" s="131" t="s">
        <v>49</v>
      </c>
      <c r="D40" s="131"/>
      <c r="E40" s="131"/>
      <c r="H40" s="148" t="s">
        <v>46</v>
      </c>
      <c r="I40" s="148"/>
      <c r="J40" s="108"/>
      <c r="K40" s="105"/>
      <c r="L40" s="13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32"/>
      <c r="C41" s="132" t="s">
        <v>47</v>
      </c>
      <c r="D41" s="132"/>
      <c r="E41" s="132"/>
      <c r="H41" s="149" t="s">
        <v>48</v>
      </c>
      <c r="I41" s="149"/>
      <c r="J41" s="100"/>
      <c r="L41" s="132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32"/>
      <c r="B42" s="132"/>
      <c r="C42" s="132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32"/>
      <c r="C43" s="132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32"/>
      <c r="C44" s="132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32"/>
      <c r="C45" s="132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32"/>
      <c r="C46" s="132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32"/>
      <c r="C47" s="132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32"/>
      <c r="C48" s="132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32"/>
      <c r="C49" s="132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32"/>
      <c r="C50" s="132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32"/>
      <c r="C51" s="132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32"/>
      <c r="C52" s="132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32"/>
      <c r="C53" s="132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32"/>
      <c r="C54" s="132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32"/>
      <c r="C55" s="132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32"/>
      <c r="C56" s="132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32"/>
      <c r="C57" s="132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32"/>
      <c r="C58" s="132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32"/>
      <c r="C59" s="132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32"/>
      <c r="C60" s="132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32"/>
      <c r="C61" s="132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32"/>
      <c r="C62" s="132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32"/>
      <c r="C63" s="132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32"/>
      <c r="C64" s="132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32"/>
      <c r="C65" s="132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32"/>
      <c r="C66" s="132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32"/>
      <c r="C67" s="132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4:M4"/>
    <mergeCell ref="E6:G6"/>
    <mergeCell ref="H6:J6"/>
    <mergeCell ref="K6:M6"/>
    <mergeCell ref="A3:M3"/>
  </mergeCells>
  <pageMargins left="0.45" right="0.45" top="0.75" bottom="0.25" header="0.3" footer="0.3"/>
  <pageSetup paperSize="10000"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7"/>
  <sheetViews>
    <sheetView workbookViewId="0">
      <selection activeCell="F11" sqref="F11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5.75">
      <c r="A4" s="155" t="s">
        <v>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151" t="s">
        <v>81</v>
      </c>
      <c r="F6" s="152"/>
      <c r="G6" s="153"/>
      <c r="H6" s="151" t="s">
        <v>51</v>
      </c>
      <c r="I6" s="152"/>
      <c r="J6" s="153"/>
      <c r="K6" s="151" t="s">
        <v>8</v>
      </c>
      <c r="L6" s="152"/>
      <c r="M6" s="154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v>49500000</v>
      </c>
      <c r="F8" s="22">
        <v>41984404.104246564</v>
      </c>
      <c r="G8" s="21">
        <v>91484404.104246557</v>
      </c>
      <c r="H8" s="21">
        <v>10500000</v>
      </c>
      <c r="I8" s="21">
        <v>4907979.4520547949</v>
      </c>
      <c r="J8" s="23">
        <v>15407979.452054795</v>
      </c>
      <c r="K8" s="21">
        <v>112500000</v>
      </c>
      <c r="L8" s="24">
        <v>27656671.238219194</v>
      </c>
      <c r="M8" s="25">
        <v>140156671.2382192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v>162000000</v>
      </c>
      <c r="E11" s="37">
        <v>49500000</v>
      </c>
      <c r="F11" s="37">
        <v>41984404.104246564</v>
      </c>
      <c r="G11" s="37">
        <v>91484404.104246557</v>
      </c>
      <c r="H11" s="37">
        <v>10500000</v>
      </c>
      <c r="I11" s="37">
        <v>4907979.4520547949</v>
      </c>
      <c r="J11" s="38">
        <v>15407979.452054795</v>
      </c>
      <c r="K11" s="37">
        <v>112500000</v>
      </c>
      <c r="L11" s="37">
        <v>27656671.238219194</v>
      </c>
      <c r="M11" s="39">
        <v>140156671.2382192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v>199999999.99999997</v>
      </c>
      <c r="F13" s="44">
        <v>53316189.390000001</v>
      </c>
      <c r="G13" s="21">
        <v>253316189.38999999</v>
      </c>
      <c r="H13" s="21">
        <v>0</v>
      </c>
      <c r="I13" s="21">
        <v>0</v>
      </c>
      <c r="J13" s="23">
        <v>0</v>
      </c>
      <c r="K13" s="45">
        <v>0</v>
      </c>
      <c r="L13" s="21">
        <v>0</v>
      </c>
      <c r="M13" s="46"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v>220000000</v>
      </c>
      <c r="F17" s="45">
        <v>69488567.719999999</v>
      </c>
      <c r="G17" s="45">
        <v>289488567.72000003</v>
      </c>
      <c r="H17" s="45">
        <v>22000000</v>
      </c>
      <c r="I17" s="45">
        <v>1277985.6200000001</v>
      </c>
      <c r="J17" s="45">
        <v>23277985.620000001</v>
      </c>
      <c r="K17" s="45">
        <v>44000000</v>
      </c>
      <c r="L17" s="45">
        <v>1994430.9499999997</v>
      </c>
      <c r="M17" s="56">
        <v>45994430.950000003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v>5245000.05</v>
      </c>
      <c r="F23" s="21">
        <v>2115690.2500000005</v>
      </c>
      <c r="G23" s="21">
        <v>7360690.3000000007</v>
      </c>
      <c r="H23" s="21">
        <v>699333.34</v>
      </c>
      <c r="I23" s="21">
        <v>116372.94982988892</v>
      </c>
      <c r="J23" s="54">
        <v>815706.28982988885</v>
      </c>
      <c r="K23" s="21">
        <v>3146999.95</v>
      </c>
      <c r="L23" s="21">
        <v>587961.53757605562</v>
      </c>
      <c r="M23" s="56"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v>0</v>
      </c>
      <c r="F26" s="21">
        <v>15269262.260000002</v>
      </c>
      <c r="G26" s="21">
        <v>15269262.260000002</v>
      </c>
      <c r="H26" s="21">
        <v>7218750</v>
      </c>
      <c r="I26" s="21">
        <v>3777210.9375</v>
      </c>
      <c r="J26" s="23">
        <v>10995960.9375</v>
      </c>
      <c r="K26" s="21">
        <v>115500000</v>
      </c>
      <c r="L26" s="21">
        <v>31376295.03166667</v>
      </c>
      <c r="M26" s="56"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v>587892000</v>
      </c>
      <c r="E30" s="88">
        <v>425245000.05000001</v>
      </c>
      <c r="F30" s="88">
        <v>140189709.62</v>
      </c>
      <c r="G30" s="88">
        <v>565434709.66999996</v>
      </c>
      <c r="H30" s="88">
        <v>29918083.34</v>
      </c>
      <c r="I30" s="88">
        <v>5171569.5073298886</v>
      </c>
      <c r="J30" s="89">
        <v>35089652.847329885</v>
      </c>
      <c r="K30" s="88">
        <v>162646999.94999999</v>
      </c>
      <c r="L30" s="88">
        <v>33958687.519242726</v>
      </c>
      <c r="M30" s="90">
        <v>196605687.46924272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v>749892000</v>
      </c>
      <c r="E32" s="96">
        <v>474745000.05000001</v>
      </c>
      <c r="F32" s="96">
        <v>182174113.72424656</v>
      </c>
      <c r="G32" s="96">
        <v>656919113.77424645</v>
      </c>
      <c r="H32" s="96">
        <v>40418083.340000004</v>
      </c>
      <c r="I32" s="96">
        <v>10079548.959384684</v>
      </c>
      <c r="J32" s="96">
        <v>50497632.299384683</v>
      </c>
      <c r="K32" s="96">
        <v>275146999.94999999</v>
      </c>
      <c r="L32" s="96">
        <v>61615358.75746192</v>
      </c>
      <c r="M32" s="96">
        <v>336762358.70746195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45"/>
      <c r="C36" s="145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45"/>
      <c r="C37" s="101" t="s">
        <v>44</v>
      </c>
      <c r="D37" s="145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45"/>
      <c r="C38" s="103"/>
      <c r="D38" s="145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45"/>
      <c r="C39" s="103"/>
      <c r="D39" s="145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45"/>
      <c r="C40" s="144" t="s">
        <v>49</v>
      </c>
      <c r="D40" s="144"/>
      <c r="E40" s="144"/>
      <c r="H40" s="148" t="s">
        <v>46</v>
      </c>
      <c r="I40" s="148"/>
      <c r="J40" s="108"/>
      <c r="K40" s="105"/>
      <c r="L40" s="14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45"/>
      <c r="C41" s="145" t="s">
        <v>47</v>
      </c>
      <c r="D41" s="145"/>
      <c r="E41" s="145"/>
      <c r="H41" s="149" t="s">
        <v>48</v>
      </c>
      <c r="I41" s="149"/>
      <c r="J41" s="100"/>
      <c r="L41" s="14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45"/>
      <c r="B42" s="145"/>
      <c r="C42" s="145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45"/>
      <c r="C43" s="145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45"/>
      <c r="C44" s="145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45"/>
      <c r="C45" s="145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45"/>
      <c r="C46" s="145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45"/>
      <c r="C47" s="145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45"/>
      <c r="C48" s="145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45"/>
      <c r="C49" s="145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45"/>
      <c r="C50" s="145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45"/>
      <c r="C51" s="145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45"/>
      <c r="C52" s="145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45"/>
      <c r="C53" s="145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45"/>
      <c r="C54" s="145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45"/>
      <c r="C55" s="145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45"/>
      <c r="C56" s="145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45"/>
      <c r="C57" s="145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45"/>
      <c r="C58" s="145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45"/>
      <c r="C59" s="145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45"/>
      <c r="C60" s="145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45"/>
      <c r="C61" s="145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45"/>
      <c r="C62" s="145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45"/>
      <c r="C63" s="145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45"/>
      <c r="C64" s="145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45"/>
      <c r="C65" s="145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45"/>
      <c r="C66" s="145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45"/>
      <c r="C67" s="145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45" right="0.45" top="0.75" bottom="0.25" header="0.3" footer="0.3"/>
  <pageSetup paperSize="258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7"/>
  <sheetViews>
    <sheetView workbookViewId="0">
      <selection activeCell="E13" sqref="E13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5.75">
      <c r="A4" s="155" t="s">
        <v>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151" t="s">
        <v>83</v>
      </c>
      <c r="F6" s="152"/>
      <c r="G6" s="153"/>
      <c r="H6" s="151" t="s">
        <v>51</v>
      </c>
      <c r="I6" s="152"/>
      <c r="J6" s="153"/>
      <c r="K6" s="151" t="s">
        <v>8</v>
      </c>
      <c r="L6" s="152"/>
      <c r="M6" s="154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v>51000000</v>
      </c>
      <c r="F8" s="22">
        <v>42677126.714246564</v>
      </c>
      <c r="G8" s="21">
        <v>93677126.714246571</v>
      </c>
      <c r="H8" s="21">
        <v>9000000</v>
      </c>
      <c r="I8" s="21">
        <v>4167482.8767123283</v>
      </c>
      <c r="J8" s="23">
        <v>13167482.876712328</v>
      </c>
      <c r="K8" s="21">
        <v>111000000</v>
      </c>
      <c r="L8" s="24">
        <v>26963948.628219195</v>
      </c>
      <c r="M8" s="25">
        <v>137963948.62821919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v>162000000</v>
      </c>
      <c r="E11" s="37">
        <v>51000000</v>
      </c>
      <c r="F11" s="37">
        <v>42677126.714246564</v>
      </c>
      <c r="G11" s="37">
        <v>93677126.714246571</v>
      </c>
      <c r="H11" s="37">
        <v>9000000</v>
      </c>
      <c r="I11" s="37">
        <v>4167482.8767123283</v>
      </c>
      <c r="J11" s="38">
        <v>13167482.876712328</v>
      </c>
      <c r="K11" s="37">
        <v>111000000</v>
      </c>
      <c r="L11" s="37">
        <v>26963948.628219195</v>
      </c>
      <c r="M11" s="39">
        <v>137963948.62821919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v>199999999.99999997</v>
      </c>
      <c r="F13" s="44">
        <v>53316189.390000001</v>
      </c>
      <c r="G13" s="21">
        <v>253316189.38999999</v>
      </c>
      <c r="H13" s="21">
        <v>0</v>
      </c>
      <c r="I13" s="21">
        <v>0</v>
      </c>
      <c r="J13" s="23">
        <v>0</v>
      </c>
      <c r="K13" s="45">
        <v>0</v>
      </c>
      <c r="L13" s="21">
        <v>0</v>
      </c>
      <c r="M13" s="46"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v>220000000</v>
      </c>
      <c r="F17" s="45">
        <v>69488567.719999999</v>
      </c>
      <c r="G17" s="45">
        <v>289488567.72000003</v>
      </c>
      <c r="H17" s="45">
        <v>22000000</v>
      </c>
      <c r="I17" s="45">
        <v>1277985.6200000001</v>
      </c>
      <c r="J17" s="45">
        <v>23277985.620000001</v>
      </c>
      <c r="K17" s="45">
        <v>44000000</v>
      </c>
      <c r="L17" s="45">
        <v>1823250</v>
      </c>
      <c r="M17" s="56">
        <v>45823250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v>5245000.05</v>
      </c>
      <c r="F23" s="21">
        <v>2115690.2500000005</v>
      </c>
      <c r="G23" s="21">
        <v>7360690.3000000007</v>
      </c>
      <c r="H23" s="21">
        <v>699333.34</v>
      </c>
      <c r="I23" s="21">
        <v>116372.94982988892</v>
      </c>
      <c r="J23" s="54">
        <v>815706.28982988885</v>
      </c>
      <c r="K23" s="21">
        <v>3146999.95</v>
      </c>
      <c r="L23" s="21">
        <v>587961.53757605562</v>
      </c>
      <c r="M23" s="56"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v>0</v>
      </c>
      <c r="F26" s="21">
        <v>15269262.260000002</v>
      </c>
      <c r="G26" s="21">
        <v>15269262.260000002</v>
      </c>
      <c r="H26" s="21">
        <v>7218750</v>
      </c>
      <c r="I26" s="21">
        <v>3777210.9375</v>
      </c>
      <c r="J26" s="23">
        <v>10995960.9375</v>
      </c>
      <c r="K26" s="21">
        <v>115500000</v>
      </c>
      <c r="L26" s="21">
        <v>31376295.03166667</v>
      </c>
      <c r="M26" s="56"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v>587892000</v>
      </c>
      <c r="E30" s="88">
        <v>425245000.05000001</v>
      </c>
      <c r="F30" s="88">
        <v>140189709.62</v>
      </c>
      <c r="G30" s="88">
        <v>565434709.66999996</v>
      </c>
      <c r="H30" s="88">
        <v>29918083.34</v>
      </c>
      <c r="I30" s="88">
        <v>5171569.5073298886</v>
      </c>
      <c r="J30" s="89">
        <v>35089652.847329885</v>
      </c>
      <c r="K30" s="88">
        <v>162646999.94999999</v>
      </c>
      <c r="L30" s="88">
        <v>33787506.569242723</v>
      </c>
      <c r="M30" s="90">
        <v>196434506.5192427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v>749892000</v>
      </c>
      <c r="E32" s="96">
        <v>476245000.05000001</v>
      </c>
      <c r="F32" s="96">
        <v>182866836.33424658</v>
      </c>
      <c r="G32" s="96">
        <v>659111836.38424659</v>
      </c>
      <c r="H32" s="96">
        <v>38918083.340000004</v>
      </c>
      <c r="I32" s="96">
        <v>9339052.3840422165</v>
      </c>
      <c r="J32" s="96">
        <v>48257135.724042214</v>
      </c>
      <c r="K32" s="96">
        <v>273646999.94999999</v>
      </c>
      <c r="L32" s="96">
        <v>60751455.197461918</v>
      </c>
      <c r="M32" s="96">
        <v>334398455.14746189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45"/>
      <c r="C36" s="145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45"/>
      <c r="C37" s="101" t="s">
        <v>44</v>
      </c>
      <c r="D37" s="145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45"/>
      <c r="C38" s="103"/>
      <c r="D38" s="145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45"/>
      <c r="C39" s="103"/>
      <c r="D39" s="145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45"/>
      <c r="C40" s="144" t="s">
        <v>49</v>
      </c>
      <c r="D40" s="144"/>
      <c r="E40" s="144"/>
      <c r="H40" s="148" t="s">
        <v>46</v>
      </c>
      <c r="I40" s="148"/>
      <c r="J40" s="108"/>
      <c r="K40" s="105"/>
      <c r="L40" s="14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45"/>
      <c r="C41" s="145" t="s">
        <v>47</v>
      </c>
      <c r="D41" s="145"/>
      <c r="E41" s="145"/>
      <c r="H41" s="149" t="s">
        <v>48</v>
      </c>
      <c r="I41" s="149"/>
      <c r="J41" s="100"/>
      <c r="L41" s="14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45"/>
      <c r="B42" s="145"/>
      <c r="C42" s="145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45"/>
      <c r="C43" s="145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45"/>
      <c r="C44" s="145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45"/>
      <c r="C45" s="145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45"/>
      <c r="C46" s="145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45"/>
      <c r="C47" s="145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45"/>
      <c r="C48" s="145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45"/>
      <c r="C49" s="145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45"/>
      <c r="C50" s="145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45"/>
      <c r="C51" s="145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45"/>
      <c r="C52" s="145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45"/>
      <c r="C53" s="145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45"/>
      <c r="C54" s="145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45"/>
      <c r="C55" s="145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45"/>
      <c r="C56" s="145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45"/>
      <c r="C57" s="145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45"/>
      <c r="C58" s="145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45"/>
      <c r="C59" s="145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45"/>
      <c r="C60" s="145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45"/>
      <c r="C61" s="145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45"/>
      <c r="C62" s="145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45"/>
      <c r="C63" s="145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45"/>
      <c r="C64" s="145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45"/>
      <c r="C65" s="145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45"/>
      <c r="C66" s="145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45"/>
      <c r="C67" s="145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2" right="0.2" top="0.75" bottom="0.25" header="0.3" footer="0.3"/>
  <pageSetup paperSize="10000" scale="5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7"/>
  <sheetViews>
    <sheetView tabSelected="1" workbookViewId="0">
      <selection activeCell="B17" sqref="B17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50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47" ht="15.75">
      <c r="A4" s="155" t="s">
        <v>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151" t="s">
        <v>83</v>
      </c>
      <c r="F6" s="152"/>
      <c r="G6" s="153"/>
      <c r="H6" s="151" t="s">
        <v>51</v>
      </c>
      <c r="I6" s="152"/>
      <c r="J6" s="153"/>
      <c r="K6" s="151" t="s">
        <v>8</v>
      </c>
      <c r="L6" s="152"/>
      <c r="M6" s="154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</f>
        <v>51000000</v>
      </c>
      <c r="F8" s="22">
        <f>'[1]PNB 162M'!$F$63</f>
        <v>42677126.714246564</v>
      </c>
      <c r="G8" s="21">
        <f>SUM(E8:F8)</f>
        <v>93677126.714246571</v>
      </c>
      <c r="H8" s="21">
        <f>SUM('[2]NEW 162M'!$C$57:$C$62)</f>
        <v>9000000</v>
      </c>
      <c r="I8" s="21">
        <f>SUM('[2]NEW 162M'!$D$57:$D$62)</f>
        <v>4167482.8767123283</v>
      </c>
      <c r="J8" s="23">
        <f>H8+I8</f>
        <v>13167482.876712328</v>
      </c>
      <c r="K8" s="21">
        <f>D8-E8</f>
        <v>111000000</v>
      </c>
      <c r="L8" s="24">
        <f>'[2]NEW 162M'!$D$131-F8</f>
        <v>26963948.628219195</v>
      </c>
      <c r="M8" s="25">
        <f>SUM(K8:L8)</f>
        <v>137963948.62821919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51000000</v>
      </c>
      <c r="F11" s="37">
        <f>SUM(F8:F10)</f>
        <v>42677126.714246564</v>
      </c>
      <c r="G11" s="37">
        <f t="shared" si="0"/>
        <v>93677126.714246571</v>
      </c>
      <c r="H11" s="37">
        <f t="shared" si="0"/>
        <v>9000000</v>
      </c>
      <c r="I11" s="37">
        <f t="shared" si="0"/>
        <v>4167482.8767123283</v>
      </c>
      <c r="J11" s="38">
        <f t="shared" si="0"/>
        <v>13167482.876712328</v>
      </c>
      <c r="K11" s="37">
        <f t="shared" si="0"/>
        <v>111000000</v>
      </c>
      <c r="L11" s="37">
        <f>SUM(L8:L10)</f>
        <v>26963948.628219195</v>
      </c>
      <c r="M11" s="39">
        <f>SUM(K11:L11)</f>
        <v>137963948.62821919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</f>
        <v>199999999.98999998</v>
      </c>
      <c r="F13" s="44">
        <f>'[1]NEW CITY HALL (200M)'!$F$108</f>
        <v>53316189.390000001</v>
      </c>
      <c r="G13" s="21">
        <f>SUM(E13:F13)</f>
        <v>253316189.38</v>
      </c>
      <c r="H13" s="21">
        <v>0</v>
      </c>
      <c r="I13" s="21">
        <v>0</v>
      </c>
      <c r="J13" s="23">
        <v>0</v>
      </c>
      <c r="K13" s="45">
        <f>D13-E13</f>
        <v>1.0000020265579224E-2</v>
      </c>
      <c r="L13" s="21">
        <v>0</v>
      </c>
      <c r="M13" s="46">
        <f>SUM(K13:L13)</f>
        <v>1.0000020265579224E-2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220000000</v>
      </c>
      <c r="F17" s="45">
        <f>'[1]CONSOL NEW CITY HALL (264)'!$E$213</f>
        <v>69488567.719999999</v>
      </c>
      <c r="G17" s="45">
        <f>SUM(E17:F17)</f>
        <v>289488567.72000003</v>
      </c>
      <c r="H17" s="45">
        <f>11000000*2</f>
        <v>22000000</v>
      </c>
      <c r="I17" s="45">
        <f>730353.92+547631.7</f>
        <v>1277985.6200000001</v>
      </c>
      <c r="J17" s="45">
        <f>SUM(H17:I17)</f>
        <v>23277985.620000001</v>
      </c>
      <c r="K17" s="45">
        <f>D17-E17</f>
        <v>44000000</v>
      </c>
      <c r="L17" s="45">
        <f>SUM('[6]NEW 132M'!$D$19:$D$22)</f>
        <v>1823250</v>
      </c>
      <c r="M17" s="56">
        <f>SUM(K17:L17)</f>
        <v>45823250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5245000.05</v>
      </c>
      <c r="F23" s="21">
        <f>'[1]LAND (8.3M)'!$E$62</f>
        <v>2115690.2500000005</v>
      </c>
      <c r="G23" s="21">
        <f>SUM(E23:F23)</f>
        <v>7360690.3000000007</v>
      </c>
      <c r="H23" s="21">
        <f>SUM('[3]8.3M'!$C$30:$C$31)</f>
        <v>699333.34</v>
      </c>
      <c r="I23" s="21">
        <f>SUM('[3]8.3M'!$D$30:$D$31)</f>
        <v>116372.94982988892</v>
      </c>
      <c r="J23" s="54">
        <f>H23+I23</f>
        <v>815706.28982988885</v>
      </c>
      <c r="K23" s="21">
        <f>D23-E23</f>
        <v>3146999.95</v>
      </c>
      <c r="L23" s="21">
        <f>'[3]8.3M'!$D$39-F23</f>
        <v>587961.53757605562</v>
      </c>
      <c r="M23" s="56">
        <f>SUM(K23:L23)</f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0</v>
      </c>
      <c r="F26" s="21">
        <f>'[1]NEW CITY HALL (231M)'!$F$19</f>
        <v>15269262.260000002</v>
      </c>
      <c r="G26" s="21">
        <f>SUM(E26:F26)</f>
        <v>15269262.260000002</v>
      </c>
      <c r="H26" s="21">
        <f>SUM('[4]231M'!$C$19:$C$20)</f>
        <v>7218750</v>
      </c>
      <c r="I26" s="21">
        <f>SUM('[4]231M'!$D$19:$D$20)</f>
        <v>3777210.9375</v>
      </c>
      <c r="J26" s="23">
        <f>H26+I26</f>
        <v>10995960.9375</v>
      </c>
      <c r="K26" s="21">
        <f>D26-E26</f>
        <v>115500000</v>
      </c>
      <c r="L26" s="21">
        <f>'[4]231M'!$D$51-F26</f>
        <v>31376295.03166667</v>
      </c>
      <c r="M26" s="56">
        <f>SUM(K26:L26)</f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f>D13+D17+D23+D26</f>
        <v>587892000</v>
      </c>
      <c r="E30" s="88">
        <f t="shared" ref="E30:M30" si="1">E13+E17+E23+E26</f>
        <v>425245000.04000002</v>
      </c>
      <c r="F30" s="88">
        <f t="shared" si="1"/>
        <v>140189709.62</v>
      </c>
      <c r="G30" s="88">
        <f t="shared" si="1"/>
        <v>565434709.65999997</v>
      </c>
      <c r="H30" s="88">
        <f t="shared" si="1"/>
        <v>29918083.34</v>
      </c>
      <c r="I30" s="88">
        <f t="shared" si="1"/>
        <v>5171569.5073298886</v>
      </c>
      <c r="J30" s="89">
        <f t="shared" si="1"/>
        <v>35089652.847329885</v>
      </c>
      <c r="K30" s="88">
        <f t="shared" si="1"/>
        <v>162646999.96000004</v>
      </c>
      <c r="L30" s="88">
        <f t="shared" si="1"/>
        <v>33787506.569242723</v>
      </c>
      <c r="M30" s="90">
        <f t="shared" si="1"/>
        <v>196434506.52924275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f t="shared" ref="D32:M32" si="2">D11+D30</f>
        <v>749892000</v>
      </c>
      <c r="E32" s="96">
        <f t="shared" si="2"/>
        <v>476245000.04000002</v>
      </c>
      <c r="F32" s="96">
        <f t="shared" si="2"/>
        <v>182866836.33424658</v>
      </c>
      <c r="G32" s="96">
        <f t="shared" si="2"/>
        <v>659111836.3742466</v>
      </c>
      <c r="H32" s="96">
        <f t="shared" si="2"/>
        <v>38918083.340000004</v>
      </c>
      <c r="I32" s="96">
        <f t="shared" si="2"/>
        <v>9339052.3840422165</v>
      </c>
      <c r="J32" s="96">
        <f t="shared" si="2"/>
        <v>48257135.724042214</v>
      </c>
      <c r="K32" s="96">
        <f t="shared" si="2"/>
        <v>273646999.96000004</v>
      </c>
      <c r="L32" s="96">
        <f t="shared" si="2"/>
        <v>60751455.197461918</v>
      </c>
      <c r="M32" s="96">
        <f t="shared" si="2"/>
        <v>334398455.15746194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47"/>
      <c r="C36" s="147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47"/>
      <c r="C37" s="101" t="s">
        <v>44</v>
      </c>
      <c r="D37" s="147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47"/>
      <c r="C38" s="103"/>
      <c r="D38" s="147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47"/>
      <c r="C39" s="103"/>
      <c r="D39" s="147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47"/>
      <c r="C40" s="146" t="s">
        <v>49</v>
      </c>
      <c r="D40" s="146"/>
      <c r="E40" s="146"/>
      <c r="H40" s="148" t="s">
        <v>46</v>
      </c>
      <c r="I40" s="148"/>
      <c r="J40" s="108"/>
      <c r="K40" s="105"/>
      <c r="L40" s="14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47"/>
      <c r="C41" s="147" t="s">
        <v>47</v>
      </c>
      <c r="D41" s="147"/>
      <c r="E41" s="147"/>
      <c r="H41" s="149" t="s">
        <v>48</v>
      </c>
      <c r="I41" s="149"/>
      <c r="J41" s="100"/>
      <c r="L41" s="147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47"/>
      <c r="B42" s="147"/>
      <c r="C42" s="147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47"/>
      <c r="C43" s="147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47"/>
      <c r="C44" s="147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47"/>
      <c r="C45" s="147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47"/>
      <c r="C46" s="147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47"/>
      <c r="C47" s="147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47"/>
      <c r="C48" s="147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47"/>
      <c r="C49" s="147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47"/>
      <c r="C50" s="147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47"/>
      <c r="C51" s="147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47"/>
      <c r="C52" s="147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47"/>
      <c r="C53" s="147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47"/>
      <c r="C54" s="147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47"/>
      <c r="C55" s="147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47"/>
      <c r="C56" s="147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47"/>
      <c r="C57" s="147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47"/>
      <c r="C58" s="147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47"/>
      <c r="C59" s="147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47"/>
      <c r="C60" s="147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47"/>
      <c r="C61" s="147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47"/>
      <c r="C62" s="147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47"/>
      <c r="C63" s="147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47"/>
      <c r="C64" s="147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47"/>
      <c r="C65" s="147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47"/>
      <c r="C66" s="147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47"/>
      <c r="C67" s="147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45" right="0.45" top="0.75" bottom="0.25" header="0.3" footer="0.3"/>
  <pageSetup paperSize="258" scale="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86"/>
  <sheetViews>
    <sheetView workbookViewId="0">
      <selection activeCell="C36" sqref="C36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47" ht="1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47" ht="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47" ht="15.75">
      <c r="A4" s="155" t="s">
        <v>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151" t="s">
        <v>61</v>
      </c>
      <c r="F6" s="152"/>
      <c r="G6" s="153"/>
      <c r="H6" s="151" t="s">
        <v>62</v>
      </c>
      <c r="I6" s="152"/>
      <c r="J6" s="153"/>
      <c r="K6" s="151" t="s">
        <v>8</v>
      </c>
      <c r="L6" s="152"/>
      <c r="M6" s="154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</f>
        <v>51000000</v>
      </c>
      <c r="F8" s="22">
        <f>'[1]PNB 162M'!$F$63</f>
        <v>42677126.714246564</v>
      </c>
      <c r="G8" s="21">
        <f>SUM(E8:F8)</f>
        <v>93677126.714246571</v>
      </c>
      <c r="H8" s="21">
        <f>SUM('[2]NEW 162M'!$C$63:$C$74)</f>
        <v>18000000</v>
      </c>
      <c r="I8" s="21">
        <f>'[2]NEW 162M'!$H$74</f>
        <v>7285849.3150684927</v>
      </c>
      <c r="J8" s="23">
        <f>H8+I8</f>
        <v>25285849.315068491</v>
      </c>
      <c r="K8" s="21">
        <f>D8-E8</f>
        <v>111000000</v>
      </c>
      <c r="L8" s="24">
        <f>SUM('[2]NEW 162M'!$D$131-F8)</f>
        <v>26963948.628219195</v>
      </c>
      <c r="M8" s="25">
        <f>SUM(K8:L8)</f>
        <v>137963948.62821919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51000000</v>
      </c>
      <c r="F11" s="37">
        <f>SUM(F8:F10)</f>
        <v>42677126.714246564</v>
      </c>
      <c r="G11" s="37">
        <f t="shared" si="0"/>
        <v>93677126.714246571</v>
      </c>
      <c r="H11" s="37">
        <f t="shared" si="0"/>
        <v>18000000</v>
      </c>
      <c r="I11" s="37">
        <f t="shared" si="0"/>
        <v>7285849.3150684927</v>
      </c>
      <c r="J11" s="38">
        <f t="shared" si="0"/>
        <v>25285849.315068491</v>
      </c>
      <c r="K11" s="37">
        <f t="shared" si="0"/>
        <v>111000000</v>
      </c>
      <c r="L11" s="37">
        <f>SUM(L8:L10)</f>
        <v>26963948.628219195</v>
      </c>
      <c r="M11" s="39">
        <f>SUM(K11:L11)</f>
        <v>137963948.62821919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(200M)'!$G$108+0.01</f>
        <v>199999999.99999997</v>
      </c>
      <c r="F13" s="44">
        <f>'[1]NEW CITY HALL (200M)'!$F$108</f>
        <v>53316189.390000001</v>
      </c>
      <c r="G13" s="21">
        <f>SUM(E13:F13)</f>
        <v>253316189.38999999</v>
      </c>
      <c r="H13" s="21">
        <v>0</v>
      </c>
      <c r="I13" s="21">
        <v>0</v>
      </c>
      <c r="J13" s="23">
        <v>0</v>
      </c>
      <c r="K13" s="45">
        <f>D13-E13</f>
        <v>0</v>
      </c>
      <c r="L13" s="21">
        <v>0</v>
      </c>
      <c r="M13" s="46">
        <f>SUM(K13:L13)</f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220000000</v>
      </c>
      <c r="F17" s="45">
        <f>'[1]CONSOL NEW CITY HALL (264)'!$E$213</f>
        <v>69488567.719999999</v>
      </c>
      <c r="G17" s="45">
        <f>SUM(E17:F17)</f>
        <v>289488567.72000003</v>
      </c>
      <c r="H17" s="45">
        <v>21967794.449999999</v>
      </c>
      <c r="I17" s="45">
        <v>543136.13</v>
      </c>
      <c r="J17" s="45">
        <f>SUM(H17:I17)</f>
        <v>22510930.579999998</v>
      </c>
      <c r="K17" s="45">
        <v>21967794.449999999</v>
      </c>
      <c r="L17" s="45">
        <v>543136.13</v>
      </c>
      <c r="M17" s="56">
        <f>SUM(K17:L17)</f>
        <v>22510930.579999998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5245000.05</v>
      </c>
      <c r="F23" s="21">
        <f>'[1]LAND (8.3M)'!$E$62</f>
        <v>2115690.2500000005</v>
      </c>
      <c r="G23" s="21">
        <f>SUM(E23:F23)</f>
        <v>7360690.3000000007</v>
      </c>
      <c r="H23" s="21">
        <f>SUM('[3]8.3M'!$C$32:$C$35)</f>
        <v>1398666.68</v>
      </c>
      <c r="I23" s="21">
        <f>SUM('[3]8.3M'!$D$32:$D$35)</f>
        <v>150551.89239475012</v>
      </c>
      <c r="J23" s="54">
        <f>H23+I23</f>
        <v>1549218.5723947501</v>
      </c>
      <c r="K23" s="21">
        <f>D23-E23</f>
        <v>3146999.95</v>
      </c>
      <c r="L23" s="21">
        <f>[1]INTEREST!$D$9</f>
        <v>587961.53757605562</v>
      </c>
      <c r="M23" s="56">
        <f>SUM(K23:L23)</f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0</v>
      </c>
      <c r="F26" s="21">
        <f>'[1]NEW CITY HALL (231M)'!$F$19</f>
        <v>15269262.260000002</v>
      </c>
      <c r="G26" s="21">
        <f>SUM(E26:F26)</f>
        <v>15269262.260000002</v>
      </c>
      <c r="H26" s="21">
        <f>SUM('[4]231M'!$C$21:$C$24)</f>
        <v>14437500</v>
      </c>
      <c r="I26" s="21">
        <f>SUM('[4]231M'!$D$21:$D$24)</f>
        <v>6778255.859375</v>
      </c>
      <c r="J26" s="23">
        <f>H26+I26</f>
        <v>21215755.859375</v>
      </c>
      <c r="K26" s="21">
        <f>D26-E26</f>
        <v>115500000</v>
      </c>
      <c r="L26" s="21">
        <f>[1]INTEREST!$D$6</f>
        <v>31376295.03166667</v>
      </c>
      <c r="M26" s="56">
        <f>SUM(K26:L26)</f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3" t="s">
        <v>65</v>
      </c>
      <c r="B29" s="81"/>
      <c r="C29" s="48"/>
      <c r="D29" s="79"/>
      <c r="E29" s="80"/>
      <c r="F29" s="80"/>
      <c r="G29" s="21"/>
      <c r="H29" s="21"/>
      <c r="I29" s="21"/>
      <c r="J29" s="23"/>
      <c r="K29" s="21"/>
      <c r="L29" s="21"/>
      <c r="M29" s="5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53"/>
      <c r="B30" s="81"/>
      <c r="C30" s="48"/>
      <c r="D30" s="79"/>
      <c r="E30" s="80"/>
      <c r="F30" s="80"/>
      <c r="G30" s="21"/>
      <c r="H30" s="21"/>
      <c r="I30" s="21"/>
      <c r="J30" s="23"/>
      <c r="K30" s="21"/>
      <c r="L30" s="21"/>
      <c r="M30" s="5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19" t="s">
        <v>38</v>
      </c>
      <c r="B31" s="81" t="s">
        <v>68</v>
      </c>
      <c r="C31" s="48" t="s">
        <v>26</v>
      </c>
      <c r="D31" s="79"/>
      <c r="E31" s="80"/>
      <c r="F31" s="80"/>
      <c r="G31" s="21"/>
      <c r="H31" s="21"/>
      <c r="I31" s="21"/>
      <c r="J31" s="23"/>
      <c r="K31" s="21"/>
      <c r="L31" s="21"/>
      <c r="M31" s="5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119" t="s">
        <v>39</v>
      </c>
      <c r="B32" s="120" t="s">
        <v>64</v>
      </c>
      <c r="C32" s="48" t="s">
        <v>40</v>
      </c>
      <c r="D32" s="79">
        <v>115500000</v>
      </c>
      <c r="E32" s="80">
        <v>0</v>
      </c>
      <c r="F32" s="21">
        <f>[4]Sheet1!$H$11</f>
        <v>1876875</v>
      </c>
      <c r="G32" s="21">
        <f>SUM(E32:F32)</f>
        <v>1876875</v>
      </c>
      <c r="H32" s="21">
        <v>0</v>
      </c>
      <c r="I32" s="21">
        <f>[4]Sheet1!$H$15</f>
        <v>7632625</v>
      </c>
      <c r="J32" s="23">
        <f>H32+I32</f>
        <v>7632625</v>
      </c>
      <c r="K32" s="21">
        <f>D32-E32</f>
        <v>115500000</v>
      </c>
      <c r="L32" s="21">
        <f>[4]Sheet1!$D$51-F32</f>
        <v>44231687.5</v>
      </c>
      <c r="M32" s="56">
        <f>SUM(K32:L32)</f>
        <v>159731687.5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53"/>
      <c r="B33" s="81"/>
      <c r="C33" s="48" t="s">
        <v>24</v>
      </c>
      <c r="D33" s="79"/>
      <c r="E33" s="80"/>
      <c r="F33" s="80"/>
      <c r="G33" s="21"/>
      <c r="H33" s="21"/>
      <c r="I33" s="21"/>
      <c r="J33" s="23"/>
      <c r="K33" s="21"/>
      <c r="L33" s="21"/>
      <c r="M33" s="5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53"/>
      <c r="B34" s="81"/>
      <c r="C34" s="48"/>
      <c r="D34" s="79"/>
      <c r="E34" s="80"/>
      <c r="F34" s="80"/>
      <c r="G34" s="21"/>
      <c r="H34" s="21"/>
      <c r="I34" s="21"/>
      <c r="J34" s="23"/>
      <c r="K34" s="21"/>
      <c r="L34" s="21"/>
      <c r="M34" s="5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59"/>
      <c r="B35" s="82"/>
      <c r="C35" s="33"/>
      <c r="D35" s="83"/>
      <c r="E35" s="34"/>
      <c r="F35" s="34"/>
      <c r="G35" s="34"/>
      <c r="H35" s="34"/>
      <c r="I35" s="34"/>
      <c r="J35" s="35"/>
      <c r="K35" s="34"/>
      <c r="L35" s="34"/>
      <c r="M35" s="8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3.5" thickBot="1">
      <c r="A36" s="85" t="s">
        <v>42</v>
      </c>
      <c r="B36" s="86"/>
      <c r="C36" s="87"/>
      <c r="D36" s="88">
        <f t="shared" ref="D36:M36" si="1">D13+D17+D23+D26+D32</f>
        <v>703392000</v>
      </c>
      <c r="E36" s="88">
        <f t="shared" si="1"/>
        <v>425245000.05000001</v>
      </c>
      <c r="F36" s="88">
        <f t="shared" si="1"/>
        <v>142066584.62</v>
      </c>
      <c r="G36" s="88">
        <f t="shared" si="1"/>
        <v>567311584.66999996</v>
      </c>
      <c r="H36" s="88">
        <f t="shared" si="1"/>
        <v>37803961.129999995</v>
      </c>
      <c r="I36" s="88">
        <f t="shared" si="1"/>
        <v>15104568.88176975</v>
      </c>
      <c r="J36" s="89">
        <f t="shared" si="1"/>
        <v>52908530.011769749</v>
      </c>
      <c r="K36" s="88">
        <f t="shared" si="1"/>
        <v>256114794.40000001</v>
      </c>
      <c r="L36" s="88">
        <f t="shared" si="1"/>
        <v>76739080.199242726</v>
      </c>
      <c r="M36" s="90">
        <f t="shared" si="1"/>
        <v>332853874.59924269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18"/>
      <c r="B37" s="86"/>
      <c r="C37" s="91"/>
      <c r="D37" s="88"/>
      <c r="E37" s="88"/>
      <c r="F37" s="88"/>
      <c r="G37" s="88"/>
      <c r="H37" s="88"/>
      <c r="I37" s="88"/>
      <c r="J37" s="89"/>
      <c r="K37" s="88"/>
      <c r="L37" s="88"/>
      <c r="M37" s="9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3.5" thickBot="1">
      <c r="A38" s="93" t="s">
        <v>43</v>
      </c>
      <c r="B38" s="94"/>
      <c r="C38" s="95"/>
      <c r="D38" s="96">
        <f t="shared" ref="D38:M38" si="2">D11+D36</f>
        <v>865392000</v>
      </c>
      <c r="E38" s="96">
        <f t="shared" si="2"/>
        <v>476245000.05000001</v>
      </c>
      <c r="F38" s="96">
        <f t="shared" si="2"/>
        <v>184743711.33424658</v>
      </c>
      <c r="G38" s="96">
        <f t="shared" si="2"/>
        <v>660988711.38424659</v>
      </c>
      <c r="H38" s="96">
        <f t="shared" si="2"/>
        <v>55803961.129999995</v>
      </c>
      <c r="I38" s="96">
        <f t="shared" si="2"/>
        <v>22390418.196838245</v>
      </c>
      <c r="J38" s="96">
        <f t="shared" si="2"/>
        <v>78194379.32683824</v>
      </c>
      <c r="K38" s="96">
        <f t="shared" si="2"/>
        <v>367114794.39999998</v>
      </c>
      <c r="L38" s="96">
        <f t="shared" si="2"/>
        <v>103703028.82746193</v>
      </c>
      <c r="M38" s="96">
        <f t="shared" si="2"/>
        <v>470817823.22746187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A39" s="97"/>
      <c r="B39" s="97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97"/>
      <c r="B40" s="97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5.75">
      <c r="A41" s="156" t="s">
        <v>66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3.5" thickBot="1">
      <c r="A42" s="97"/>
      <c r="B42" s="9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>
      <c r="A43" s="6" t="s">
        <v>3</v>
      </c>
      <c r="B43" s="7" t="s">
        <v>4</v>
      </c>
      <c r="C43" s="7" t="s">
        <v>5</v>
      </c>
      <c r="D43" s="8" t="s">
        <v>6</v>
      </c>
      <c r="E43" s="151" t="s">
        <v>61</v>
      </c>
      <c r="F43" s="152"/>
      <c r="G43" s="153"/>
      <c r="H43" s="151" t="s">
        <v>62</v>
      </c>
      <c r="I43" s="152"/>
      <c r="J43" s="153"/>
      <c r="K43" s="151" t="s">
        <v>8</v>
      </c>
      <c r="L43" s="152"/>
      <c r="M43" s="154"/>
    </row>
    <row r="44" spans="1:47" ht="12.75" thickBot="1">
      <c r="A44" s="9"/>
      <c r="B44" s="10"/>
      <c r="C44" s="10"/>
      <c r="D44" s="11" t="s">
        <v>9</v>
      </c>
      <c r="E44" s="12" t="s">
        <v>10</v>
      </c>
      <c r="F44" s="13" t="s">
        <v>11</v>
      </c>
      <c r="G44" s="14" t="s">
        <v>12</v>
      </c>
      <c r="H44" s="15" t="s">
        <v>10</v>
      </c>
      <c r="I44" s="10" t="s">
        <v>11</v>
      </c>
      <c r="J44" s="14" t="s">
        <v>12</v>
      </c>
      <c r="K44" s="13" t="s">
        <v>10</v>
      </c>
      <c r="L44" s="16" t="s">
        <v>11</v>
      </c>
      <c r="M44" s="17" t="s">
        <v>12</v>
      </c>
    </row>
    <row r="45" spans="1:47" s="27" customFormat="1" ht="12.75">
      <c r="A45" s="121"/>
      <c r="B45" s="124"/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A46" s="122" t="s">
        <v>65</v>
      </c>
      <c r="B46" s="127"/>
      <c r="C46" s="127"/>
      <c r="D46" s="80"/>
      <c r="E46" s="80"/>
      <c r="F46" s="80"/>
      <c r="G46" s="80"/>
      <c r="H46" s="80"/>
      <c r="I46" s="80"/>
      <c r="J46" s="80"/>
      <c r="K46" s="80"/>
      <c r="L46" s="80"/>
      <c r="M46" s="128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A47" s="122"/>
      <c r="B47" s="127"/>
      <c r="C47" s="127"/>
      <c r="D47" s="80"/>
      <c r="E47" s="80"/>
      <c r="F47" s="80"/>
      <c r="G47" s="80"/>
      <c r="H47" s="80"/>
      <c r="I47" s="80"/>
      <c r="J47" s="80"/>
      <c r="K47" s="80"/>
      <c r="L47" s="80"/>
      <c r="M47" s="128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A48" s="133" t="s">
        <v>58</v>
      </c>
      <c r="B48" s="136" t="s">
        <v>63</v>
      </c>
      <c r="C48" s="19" t="s">
        <v>59</v>
      </c>
      <c r="D48" s="21"/>
      <c r="E48" s="21"/>
      <c r="F48" s="21"/>
      <c r="G48" s="21"/>
      <c r="H48" s="21"/>
      <c r="I48" s="21"/>
      <c r="J48" s="21"/>
      <c r="K48" s="21"/>
      <c r="L48" s="21"/>
      <c r="M48" s="13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s="27" customFormat="1" ht="12.75">
      <c r="A49" s="133"/>
      <c r="B49" s="19" t="s">
        <v>64</v>
      </c>
      <c r="C49" s="19" t="s">
        <v>60</v>
      </c>
      <c r="D49" s="21">
        <v>80000000</v>
      </c>
      <c r="E49" s="21">
        <v>0</v>
      </c>
      <c r="F49" s="21">
        <v>2000000</v>
      </c>
      <c r="G49" s="21">
        <v>2000000</v>
      </c>
      <c r="H49" s="21">
        <f>SUM([5]Sheet1!$C$12:$C$15)</f>
        <v>4444444.444444444</v>
      </c>
      <c r="I49" s="21">
        <f>[5]Sheet1!$H$15</f>
        <v>3972222.222222222</v>
      </c>
      <c r="J49" s="21">
        <v>10583333.333333332</v>
      </c>
      <c r="K49" s="21">
        <v>80000000</v>
      </c>
      <c r="L49" s="21">
        <f>[5]Sheet1!$D$50-F49</f>
        <v>19499999.999999989</v>
      </c>
      <c r="M49" s="134">
        <f>K49+L49</f>
        <v>99499999.999999985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s="27" customFormat="1" ht="13.5" thickBot="1">
      <c r="A50" s="123"/>
      <c r="B50" s="94"/>
      <c r="C50" s="135" t="s">
        <v>24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30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s="27" customFormat="1" ht="13.5" thickBot="1">
      <c r="A51" s="93" t="s">
        <v>12</v>
      </c>
      <c r="B51" s="94"/>
      <c r="C51" s="95"/>
      <c r="D51" s="96">
        <f>D49</f>
        <v>80000000</v>
      </c>
      <c r="E51" s="96">
        <f t="shared" ref="E51" si="3">E49</f>
        <v>0</v>
      </c>
      <c r="F51" s="96">
        <f t="shared" ref="F51:M51" si="4">F49</f>
        <v>2000000</v>
      </c>
      <c r="G51" s="96">
        <f t="shared" si="4"/>
        <v>2000000</v>
      </c>
      <c r="H51" s="96">
        <f t="shared" si="4"/>
        <v>4444444.444444444</v>
      </c>
      <c r="I51" s="96">
        <f t="shared" si="4"/>
        <v>3972222.222222222</v>
      </c>
      <c r="J51" s="96">
        <f t="shared" si="4"/>
        <v>10583333.333333332</v>
      </c>
      <c r="K51" s="96">
        <f t="shared" si="4"/>
        <v>80000000</v>
      </c>
      <c r="L51" s="96">
        <f t="shared" si="4"/>
        <v>19499999.999999989</v>
      </c>
      <c r="M51" s="96">
        <f t="shared" si="4"/>
        <v>99499999.999999985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s="27" customFormat="1" ht="12.75">
      <c r="A52" s="97"/>
      <c r="B52" s="97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s="27" customFormat="1" ht="12.75">
      <c r="A53" s="97"/>
      <c r="B53" s="97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s="27" customFormat="1" ht="12.75">
      <c r="A54" s="97"/>
      <c r="B54" s="97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s="27" customFormat="1" ht="12.75">
      <c r="B55" s="115"/>
      <c r="C55" s="115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s="27" customFormat="1" ht="12.75">
      <c r="B56" s="115"/>
      <c r="C56" s="101" t="s">
        <v>44</v>
      </c>
      <c r="D56" s="115"/>
      <c r="H56" s="102" t="s">
        <v>45</v>
      </c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27" customFormat="1" ht="12.75">
      <c r="B57" s="115"/>
      <c r="C57" s="103"/>
      <c r="D57" s="115"/>
      <c r="H57" s="102"/>
      <c r="J57" s="100"/>
      <c r="K57" s="10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27" customFormat="1" ht="12.75">
      <c r="B58" s="115"/>
      <c r="C58" s="103"/>
      <c r="D58" s="115"/>
      <c r="H58" s="102"/>
      <c r="J58" s="100"/>
      <c r="K58" s="10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27" customFormat="1" ht="12.75">
      <c r="B59" s="115"/>
      <c r="C59" s="114" t="s">
        <v>49</v>
      </c>
      <c r="D59" s="114"/>
      <c r="E59" s="114"/>
      <c r="H59" s="148" t="s">
        <v>46</v>
      </c>
      <c r="I59" s="148"/>
      <c r="J59" s="108"/>
      <c r="K59" s="105"/>
      <c r="L59" s="11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s="27" customFormat="1" ht="12.75">
      <c r="B60" s="115"/>
      <c r="C60" s="115" t="s">
        <v>47</v>
      </c>
      <c r="D60" s="115"/>
      <c r="E60" s="115"/>
      <c r="H60" s="149" t="s">
        <v>48</v>
      </c>
      <c r="I60" s="149"/>
      <c r="J60" s="100"/>
      <c r="L60" s="11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27" customFormat="1" ht="12.75">
      <c r="A61" s="115"/>
      <c r="B61" s="115"/>
      <c r="C61" s="115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s="27" customFormat="1" ht="12.75">
      <c r="B62" s="115"/>
      <c r="C62" s="115"/>
      <c r="D62" s="104"/>
      <c r="J62" s="100"/>
      <c r="K62" s="105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s="27" customFormat="1" ht="12.75">
      <c r="B63" s="115"/>
      <c r="C63" s="115"/>
      <c r="D63" s="104"/>
      <c r="J63" s="100"/>
      <c r="K63" s="10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s="27" customFormat="1" ht="12.75">
      <c r="B64" s="115"/>
      <c r="C64" s="115"/>
      <c r="D64" s="104"/>
      <c r="J64" s="100"/>
      <c r="K64" s="10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15"/>
      <c r="C65" s="115"/>
      <c r="D65" s="104"/>
      <c r="J65" s="100"/>
      <c r="K65" s="10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15"/>
      <c r="C66" s="115"/>
      <c r="D66" s="104"/>
      <c r="E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15"/>
      <c r="C67" s="115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115"/>
      <c r="C68" s="115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115"/>
      <c r="C69" s="115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115"/>
      <c r="C70" s="115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s="27" customFormat="1" ht="12.75">
      <c r="B71" s="115"/>
      <c r="C71" s="115"/>
      <c r="D71" s="104"/>
      <c r="J71" s="100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2:47" s="27" customFormat="1" ht="12.75">
      <c r="B72" s="115"/>
      <c r="C72" s="115"/>
      <c r="D72" s="104"/>
      <c r="J72" s="10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2:47" s="27" customFormat="1" ht="12.75">
      <c r="B73" s="115"/>
      <c r="C73" s="115"/>
      <c r="D73" s="104"/>
      <c r="J73" s="10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s="27" customFormat="1" ht="12.75">
      <c r="B74" s="115"/>
      <c r="C74" s="115"/>
      <c r="D74" s="104"/>
      <c r="J74" s="10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s="27" customFormat="1" ht="12.75">
      <c r="B75" s="115"/>
      <c r="C75" s="115"/>
      <c r="D75" s="104"/>
      <c r="J75" s="1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2:47" s="27" customFormat="1" ht="12.75">
      <c r="B76" s="115"/>
      <c r="C76" s="115"/>
      <c r="D76" s="104"/>
      <c r="J76" s="100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2:47" s="27" customFormat="1" ht="12.75">
      <c r="B77" s="115"/>
      <c r="C77" s="115"/>
      <c r="D77" s="104"/>
      <c r="J77" s="100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2:47" s="27" customFormat="1" ht="12.75">
      <c r="B78" s="115"/>
      <c r="C78" s="115"/>
      <c r="D78" s="104"/>
      <c r="J78" s="100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spans="2:47" s="27" customFormat="1" ht="12.75">
      <c r="B79" s="115"/>
      <c r="C79" s="115"/>
      <c r="D79" s="104"/>
      <c r="J79" s="100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2:47" s="27" customFormat="1" ht="12.75">
      <c r="B80" s="115"/>
      <c r="C80" s="115"/>
      <c r="D80" s="104"/>
      <c r="J80" s="100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2:47" s="27" customFormat="1" ht="12.75">
      <c r="B81" s="115"/>
      <c r="C81" s="115"/>
      <c r="D81" s="104"/>
      <c r="J81" s="100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2:47" s="27" customFormat="1" ht="12.75">
      <c r="B82" s="115"/>
      <c r="C82" s="115"/>
      <c r="D82" s="104"/>
      <c r="J82" s="100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2:47" s="27" customFormat="1" ht="12.75">
      <c r="B83" s="115"/>
      <c r="C83" s="115"/>
      <c r="D83" s="104"/>
      <c r="J83" s="100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</row>
    <row r="84" spans="2:47" s="27" customFormat="1" ht="12.75">
      <c r="B84" s="115"/>
      <c r="C84" s="115"/>
      <c r="D84" s="104"/>
      <c r="J84" s="100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s="27" customFormat="1" ht="12.75">
      <c r="B85" s="115"/>
      <c r="C85" s="115"/>
      <c r="D85" s="104"/>
      <c r="J85" s="100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s="27" customFormat="1" ht="12.75">
      <c r="B86" s="115"/>
      <c r="C86" s="115"/>
      <c r="D86" s="104"/>
      <c r="J86" s="100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</sheetData>
  <mergeCells count="12">
    <mergeCell ref="H59:I59"/>
    <mergeCell ref="H60:I60"/>
    <mergeCell ref="A1:M1"/>
    <mergeCell ref="A2:M2"/>
    <mergeCell ref="E6:G6"/>
    <mergeCell ref="H6:J6"/>
    <mergeCell ref="K6:M6"/>
    <mergeCell ref="E43:G43"/>
    <mergeCell ref="H43:J43"/>
    <mergeCell ref="K43:M43"/>
    <mergeCell ref="A41:M41"/>
    <mergeCell ref="A4:M4"/>
  </mergeCells>
  <pageMargins left="0.7" right="0.7" top="0.5" bottom="0.5" header="0.3" footer="0.3"/>
  <pageSetup paperSize="10000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dec</vt:lpstr>
      <vt:lpstr>jan</vt:lpstr>
      <vt:lpstr>feb</vt:lpstr>
      <vt:lpstr>mar</vt:lpstr>
      <vt:lpstr>apr</vt:lpstr>
      <vt:lpstr>may</vt:lpstr>
      <vt:lpstr>june</vt:lpstr>
      <vt:lpstr>july</vt:lpstr>
      <vt:lpstr>mar (2)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2002-01-01T09:53:29Z</cp:lastPrinted>
  <dcterms:created xsi:type="dcterms:W3CDTF">2002-01-01T08:16:18Z</dcterms:created>
  <dcterms:modified xsi:type="dcterms:W3CDTF">2015-07-21T16:45:25Z</dcterms:modified>
</cp:coreProperties>
</file>