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120" windowHeight="8190" tabRatio="838" activeTab="3"/>
  </bookViews>
  <sheets>
    <sheet name="INGRESOS" sheetId="1" r:id="rId1"/>
    <sheet name="OBJETO DEL GASTO" sheetId="2" r:id="rId2"/>
    <sheet name="PROGRAMA 1" sheetId="3" r:id="rId3"/>
    <sheet name="PROGRAMA 2" sheetId="4" r:id="rId4"/>
    <sheet name="PROGRAMA 3" sheetId="5" r:id="rId5"/>
    <sheet name="Gastos Administracion" sheetId="6" r:id="rId6"/>
    <sheet name="CUADRO 5 TC" sheetId="7" r:id="rId7"/>
    <sheet name="CUADRO 4 D" sheetId="8" r:id="rId8"/>
    <sheet name="CUADRO 3 SAL. ALC." sheetId="9" r:id="rId9"/>
    <sheet name="CUADRO 1 DOAR" sheetId="10" r:id="rId10"/>
    <sheet name="Anexo 2" sheetId="11" r:id="rId11"/>
    <sheet name="Anexo 3" sheetId="12" r:id="rId12"/>
    <sheet name="Anexo 4" sheetId="13" r:id="rId13"/>
    <sheet name="Cuadro 2 RH" sheetId="14" r:id="rId14"/>
    <sheet name="Egr.X part" sheetId="15" r:id="rId15"/>
    <sheet name="Anexo 5" sheetId="16" r:id="rId16"/>
    <sheet name="Anexo 7" sheetId="17" r:id="rId17"/>
    <sheet name="Anexo 8" sheetId="18" r:id="rId18"/>
    <sheet name="Anexo 1" sheetId="19" r:id="rId19"/>
    <sheet name="X DISTRIB.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comments11.xml><?xml version="1.0" encoding="utf-8"?>
<comments xmlns="http://schemas.openxmlformats.org/spreadsheetml/2006/main">
  <authors>
    <author>Flor de Mar?a Alfaro</author>
  </authors>
  <commentList>
    <comment ref="A51" authorId="0">
      <text>
        <r>
          <rPr>
            <sz val="8"/>
            <rFont val="Tahoma"/>
            <family val="2"/>
          </rPr>
          <t xml:space="preserve">
Indicar el nombre del proyecto.</t>
        </r>
      </text>
    </comment>
  </commentList>
</comments>
</file>

<file path=xl/comments13.xml><?xml version="1.0" encoding="utf-8"?>
<comments xmlns="http://schemas.openxmlformats.org/spreadsheetml/2006/main">
  <authors>
    <author>Roberto Sanchez</author>
  </authors>
  <commentList>
    <comment ref="A11" authorId="0">
      <text>
        <r>
          <rPr>
            <b/>
            <sz val="8"/>
            <rFont val="Tahoma"/>
            <family val="2"/>
          </rPr>
          <t>Roberto Sanchez:</t>
        </r>
        <r>
          <rPr>
            <sz val="8"/>
            <rFont val="Tahoma"/>
            <family val="2"/>
          </rPr>
          <t xml:space="preserve">
Este monto debe corresponder a la suma de las subpartidas que deben ser objeto de pago de Contribuciones Patronales.
</t>
        </r>
      </text>
    </comment>
    <comment ref="I21" authorId="0">
      <text>
        <r>
          <rPr>
            <b/>
            <sz val="8"/>
            <rFont val="Tahoma"/>
            <family val="2"/>
          </rPr>
          <t>Roberto Sanchez:</t>
        </r>
        <r>
          <rPr>
            <sz val="8"/>
            <rFont val="Tahoma"/>
            <family val="2"/>
          </rPr>
          <t xml:space="preserve">
La municipaliad debe de determinar  con el Instituto Nacional de Seguros la cuota que le corresponde pagar en el próximo periodo.</t>
        </r>
      </text>
    </comment>
    <comment ref="D24" authorId="0">
      <text>
        <r>
          <rPr>
            <b/>
            <sz val="8"/>
            <rFont val="Tahoma"/>
            <family val="2"/>
          </rPr>
          <t>Roberto Sanchez:</t>
        </r>
        <r>
          <rPr>
            <sz val="8"/>
            <rFont val="Tahoma"/>
            <family val="2"/>
          </rPr>
          <t xml:space="preserve">
Este monto debe corresponder a la suma de las subpartidas que deben ser objeto de pago del Incentivo Salarial de Décimotercer mes.</t>
        </r>
      </text>
    </comment>
  </commentList>
</comments>
</file>

<file path=xl/comments14.xml><?xml version="1.0" encoding="utf-8"?>
<comments xmlns="http://schemas.openxmlformats.org/spreadsheetml/2006/main">
  <authors>
    <author>Flor de Mar?a Alfaro</author>
  </authors>
  <commentList>
    <comment ref="A5" authorId="0">
      <text>
        <r>
          <rPr>
            <b/>
            <sz val="10"/>
            <color indexed="9"/>
            <rFont val="Tahoma"/>
            <family val="2"/>
          </rPr>
          <t xml:space="preserve">ESTA INFORMACIÓN ES LA MISMA QUE ESTÁ EN EL MODELO ELECTRÓNICO DEL PLAN OPERATIVO ANUAL
</t>
        </r>
      </text>
    </comment>
    <comment ref="B7" authorId="0">
      <text>
        <r>
          <rPr>
            <b/>
            <sz val="8"/>
            <rFont val="Tahoma"/>
            <family val="2"/>
          </rPr>
          <t>Número de plazas</t>
        </r>
      </text>
    </comment>
    <comment ref="C7" authorId="0">
      <text>
        <r>
          <rPr>
            <b/>
            <sz val="8"/>
            <rFont val="Tahoma"/>
            <family val="2"/>
          </rPr>
          <t>Número de plazas</t>
        </r>
      </text>
    </comment>
    <comment ref="D7" authorId="0">
      <text>
        <r>
          <rPr>
            <b/>
            <sz val="8"/>
            <rFont val="Tahoma"/>
            <family val="2"/>
          </rPr>
          <t>Tiene que ser "0"</t>
        </r>
      </text>
    </comment>
    <comment ref="E7" authorId="0">
      <text>
        <r>
          <rPr>
            <b/>
            <sz val="8"/>
            <rFont val="Tahoma"/>
            <family val="2"/>
          </rPr>
          <t>Número de plazas</t>
        </r>
      </text>
    </comment>
    <comment ref="F7" authorId="0">
      <text>
        <r>
          <rPr>
            <b/>
            <sz val="8"/>
            <rFont val="Tahoma"/>
            <family val="2"/>
          </rPr>
          <t>Número de plazas</t>
        </r>
      </text>
    </comment>
    <comment ref="G7" authorId="0">
      <text>
        <r>
          <rPr>
            <b/>
            <sz val="8"/>
            <rFont val="Tahoma"/>
            <family val="2"/>
          </rPr>
          <t>Número de plazas</t>
        </r>
      </text>
    </comment>
    <comment ref="H7" authorId="0">
      <text>
        <r>
          <rPr>
            <b/>
            <sz val="8"/>
            <rFont val="Tahoma"/>
            <family val="2"/>
          </rPr>
          <t>Número de plazas</t>
        </r>
      </text>
    </comment>
    <comment ref="J7" authorId="0">
      <text>
        <r>
          <rPr>
            <b/>
            <sz val="8"/>
            <rFont val="Tahoma"/>
            <family val="2"/>
          </rPr>
          <t>Número de plazas</t>
        </r>
      </text>
    </comment>
    <comment ref="K7" authorId="0">
      <text>
        <r>
          <rPr>
            <b/>
            <sz val="8"/>
            <rFont val="Tahoma"/>
            <family val="2"/>
          </rPr>
          <t>Número de plazas</t>
        </r>
      </text>
    </comment>
    <comment ref="M7" authorId="0">
      <text>
        <r>
          <rPr>
            <b/>
            <sz val="8"/>
            <rFont val="Tahoma"/>
            <family val="2"/>
          </rPr>
          <t>Tiene que ser "0"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2"/>
          </rPr>
          <t>Número de plazas</t>
        </r>
      </text>
    </comment>
    <comment ref="O7" authorId="0">
      <text>
        <r>
          <rPr>
            <b/>
            <sz val="8"/>
            <rFont val="Tahoma"/>
            <family val="2"/>
          </rPr>
          <t>Número de plazas</t>
        </r>
      </text>
    </comment>
    <comment ref="P7" authorId="0">
      <text>
        <r>
          <rPr>
            <b/>
            <sz val="8"/>
            <rFont val="Tahoma"/>
            <family val="2"/>
          </rPr>
          <t>Número de plazas</t>
        </r>
      </text>
    </comment>
    <comment ref="Q7" authorId="0">
      <text>
        <r>
          <rPr>
            <b/>
            <sz val="8"/>
            <rFont val="Tahoma"/>
            <family val="2"/>
          </rPr>
          <t>Número de plazas</t>
        </r>
      </text>
    </comment>
    <comment ref="K8" authorId="0">
      <text>
        <r>
          <rPr>
            <b/>
            <sz val="8"/>
            <rFont val="Tahoma"/>
            <family val="2"/>
          </rPr>
          <t>ARTÍCULO 118 DEL CÓDIGO MUNICIPAL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Flor de Mar?a Alfaro</author>
  </authors>
  <commentList>
    <comment ref="A7" authorId="0">
      <text>
        <r>
          <rPr>
            <sz val="8"/>
            <rFont val="Tahoma"/>
            <family val="2"/>
          </rPr>
          <t>Incluir el nombre del incentivo:  Prohibición, Dedicación exclusiva, anualidad, etc.</t>
        </r>
      </text>
    </comment>
    <comment ref="B7" authorId="0">
      <text>
        <r>
          <rPr>
            <sz val="8"/>
            <rFont val="Tahoma"/>
            <family val="2"/>
          </rPr>
          <t>Incluir la base legal, si existen varias, señalar cada una de las normas. Ejemplo para el incentivo "Prohibición" Código de Normas y Procedimientos Tributarios, Ley de Control Interno y Ley de Enriquecimiento Ilícito.</t>
        </r>
      </text>
    </comment>
    <comment ref="C7" authorId="0">
      <text>
        <r>
          <rPr>
            <sz val="8"/>
            <rFont val="Tahoma"/>
            <family val="2"/>
          </rPr>
          <t>Fórmula y explicación del cálculo. Ejemplo:  Dedicación exclusiva: Salario base *45%.  Explicación 45% si son bachilleres y  55% si son licenciados, sobre el salario base. Si son anualidades, el % de la anualidad sobre el salario base, etc.</t>
        </r>
      </text>
    </comment>
    <comment ref="D7" authorId="0">
      <text>
        <r>
          <rPr>
            <sz val="8"/>
            <rFont val="Tahoma"/>
            <family val="2"/>
          </rPr>
          <t>Información de carácter general o específica que tenga relevancia en relación con el incentivo, su base legal o procedimiento de cálculo.</t>
        </r>
      </text>
    </comment>
  </commentList>
</comments>
</file>

<file path=xl/sharedStrings.xml><?xml version="1.0" encoding="utf-8"?>
<sst xmlns="http://schemas.openxmlformats.org/spreadsheetml/2006/main" count="2543" uniqueCount="1700">
  <si>
    <t>2.3.2.03.99</t>
  </si>
  <si>
    <t>Otros materiales y prod. De uso en la construcción</t>
  </si>
  <si>
    <t>2.2.03.99</t>
  </si>
  <si>
    <t>Otros Materiales y product. De uso en construcción</t>
  </si>
  <si>
    <t>Servicios médicos y de laboratorio</t>
  </si>
  <si>
    <t>2.6.2.01.04</t>
  </si>
  <si>
    <t>2.6.2.01.99</t>
  </si>
  <si>
    <t>2.6.2.99.03</t>
  </si>
  <si>
    <t>2.6.2.99.06</t>
  </si>
  <si>
    <t>Utiles y materiales de resguardo y seguridad</t>
  </si>
  <si>
    <t>2.6.5.02</t>
  </si>
  <si>
    <t>2.6.5.02.07</t>
  </si>
  <si>
    <t>Instalaciones</t>
  </si>
  <si>
    <t>Otras construcciones adiciones y mejoras</t>
  </si>
  <si>
    <t>2.5.02</t>
  </si>
  <si>
    <t>2.5.02.07</t>
  </si>
  <si>
    <t>2.6.0.03.03</t>
  </si>
  <si>
    <t>2.6.0.04</t>
  </si>
  <si>
    <t>2.6.0.04.01</t>
  </si>
  <si>
    <t>2.6.0.04.05</t>
  </si>
  <si>
    <t>2.6.0.05</t>
  </si>
  <si>
    <t>2.6.0.05.03</t>
  </si>
  <si>
    <t>2.6.1</t>
  </si>
  <si>
    <t>2.6.1.01</t>
  </si>
  <si>
    <t>2.6.1.01.02</t>
  </si>
  <si>
    <t>2.6.1.02</t>
  </si>
  <si>
    <t>2.6.1.02.02</t>
  </si>
  <si>
    <t>2.6.1.06</t>
  </si>
  <si>
    <t>2.6.1.06.01</t>
  </si>
  <si>
    <t>2.6.1.08</t>
  </si>
  <si>
    <t>2.6.1.08.03</t>
  </si>
  <si>
    <t>2.6.1.08.05</t>
  </si>
  <si>
    <t>2.6.1.99</t>
  </si>
  <si>
    <t>2.6.1.99.01</t>
  </si>
  <si>
    <t>2.6.2</t>
  </si>
  <si>
    <t>2.6.2.01</t>
  </si>
  <si>
    <t>2.6.2.01.01</t>
  </si>
  <si>
    <t>2.6.2.03</t>
  </si>
  <si>
    <t>1.4.6.06</t>
  </si>
  <si>
    <t>OTRAS TRANSF. CORRIENTES AL SECT. EXTERNO</t>
  </si>
  <si>
    <t>OTRAS TRANSF. CORRIENTES SECTOR PRIVADO</t>
  </si>
  <si>
    <t>Servicios Especiales</t>
  </si>
  <si>
    <t>2.6.2.03.06</t>
  </si>
  <si>
    <t>2.6.2.04</t>
  </si>
  <si>
    <t>2.6.2.04.01</t>
  </si>
  <si>
    <t>2.6.2.04.02</t>
  </si>
  <si>
    <t>TOTAL SERVICIO 6</t>
  </si>
  <si>
    <t>ANEXO 5</t>
  </si>
  <si>
    <t>Transporte dentro del pais</t>
  </si>
  <si>
    <t>Gastos de información y publicidad por radio y televisión</t>
  </si>
  <si>
    <t>Ley No. 4325</t>
  </si>
  <si>
    <t xml:space="preserve">    Por radio y televisión</t>
  </si>
  <si>
    <t xml:space="preserve">        Programas de producción nacional (Mínimo un 30%)</t>
  </si>
  <si>
    <t xml:space="preserve">        Cuñas, avisos o comerciales. (Máximo un 70%)</t>
  </si>
  <si>
    <t>Fecha:</t>
  </si>
  <si>
    <t>PRESUPUESTO DE EGRESOS SERVICIO 25 - PROTECCION DEL MEDIO AMBIENTE</t>
  </si>
  <si>
    <t>TOTAL SERVICIO 25</t>
  </si>
  <si>
    <t>PRESUPUESTO DE EGRESOS PROGRAMA III -  VIAS DE COMUNICACIÓN TERRESTRE</t>
  </si>
  <si>
    <t>TOTAL PROYECTO 2</t>
  </si>
  <si>
    <t>TOTAL PROYECTO 7</t>
  </si>
  <si>
    <t>PRESUPUESTO DE EGRESOS PROGRAMA III -  OTROS FONDOS E INVERSIONES</t>
  </si>
  <si>
    <t>ACTUAL</t>
  </si>
  <si>
    <t>CUADRO N° 3</t>
  </si>
  <si>
    <t>SALARIO DEL ALCALDE</t>
  </si>
  <si>
    <t>A) SALARIO MAYOR PAGADO</t>
  </si>
  <si>
    <t>CON LAS ANUALI-</t>
  </si>
  <si>
    <t>MAS LA ANUALIDAD</t>
  </si>
  <si>
    <t>DADES APROBADAS</t>
  </si>
  <si>
    <t>DEL PERIODO</t>
  </si>
  <si>
    <t>PROPUESTA</t>
  </si>
  <si>
    <t>Jornada Diaria</t>
  </si>
  <si>
    <t>Fecha de Ingreso</t>
  </si>
  <si>
    <t>Salario Base</t>
  </si>
  <si>
    <t>Anualidades</t>
  </si>
  <si>
    <t>Transporte en el exterior</t>
  </si>
  <si>
    <t>Restricción del ejercicio liberal de la profeción Ley 8292</t>
  </si>
  <si>
    <t>Total salario mayor pagado</t>
  </si>
  <si>
    <t>MÁS</t>
  </si>
  <si>
    <t>10% Artículo 20 Código Municipal</t>
  </si>
  <si>
    <t>Salario Base del Alcalde</t>
  </si>
  <si>
    <t>CUADRO N° 4</t>
  </si>
  <si>
    <t>DETALLE DE LA DEUDA</t>
  </si>
  <si>
    <t>ENTIDAD</t>
  </si>
  <si>
    <t>N° DE OPERACIÓN</t>
  </si>
  <si>
    <t>INTERESES</t>
  </si>
  <si>
    <t xml:space="preserve">OBJETIVO DEL </t>
  </si>
  <si>
    <t>PRESTAMO</t>
  </si>
  <si>
    <t>TOTALES</t>
  </si>
  <si>
    <t>PRESUPUESTO</t>
  </si>
  <si>
    <t>DIFERENCIA</t>
  </si>
  <si>
    <t>ELABORADO POR : ALLEN BARRANTES NUÑEZ</t>
  </si>
  <si>
    <t>ELABORADO POR: ALLEN BARRANTES NUÑEZ</t>
  </si>
  <si>
    <t>INGRESO ESPECIFICO</t>
  </si>
  <si>
    <t>MA</t>
  </si>
  <si>
    <t>GRUP</t>
  </si>
  <si>
    <t>TO</t>
  </si>
  <si>
    <t>APLICACIÓN</t>
  </si>
  <si>
    <t>04</t>
  </si>
  <si>
    <t>Jtas Educación 10%</t>
  </si>
  <si>
    <t>01</t>
  </si>
  <si>
    <t>Administración General</t>
  </si>
  <si>
    <t>Organo Normal. Técnica</t>
  </si>
  <si>
    <t>CUADRO N° 1</t>
  </si>
  <si>
    <t>03</t>
  </si>
  <si>
    <t>02</t>
  </si>
  <si>
    <t>Auditoria Interna</t>
  </si>
  <si>
    <t>Cementerio</t>
  </si>
  <si>
    <t>Timbre Pro Parques Nac.</t>
  </si>
  <si>
    <t>CONAGEBIO 10%</t>
  </si>
  <si>
    <t>Fondo Parques Nacion.</t>
  </si>
  <si>
    <t>25</t>
  </si>
  <si>
    <t>Protec.del Medio Amb.</t>
  </si>
  <si>
    <t>06</t>
  </si>
  <si>
    <t>Acueductos</t>
  </si>
  <si>
    <t>Servicio de cementerio</t>
  </si>
  <si>
    <t>Aporte IFAM Lic. Nac.</t>
  </si>
  <si>
    <t>y Extranjeros</t>
  </si>
  <si>
    <t>Aporte Gob. Ley 8114</t>
  </si>
  <si>
    <t>DETALLE DE ORIGEN Y APLICACIÓN DE RECURSOS ESPECIFICOS</t>
  </si>
  <si>
    <t>1.3.1.2.05.04.0.0.000</t>
  </si>
  <si>
    <t>1.1.3.3.01.02.0.0.000</t>
  </si>
  <si>
    <t>1.3.1.1.05.00.0.0.000</t>
  </si>
  <si>
    <t>DEL GASTO</t>
  </si>
  <si>
    <t>NOMBRE DEL BENEFICIARIO CLASIFICADO</t>
  </si>
  <si>
    <t>SEGÚN GRUPO Y SUBGRUPO DE EGRESOS</t>
  </si>
  <si>
    <t>CEDULA</t>
  </si>
  <si>
    <t>JURIDICA</t>
  </si>
  <si>
    <t>FUNDAMENTO</t>
  </si>
  <si>
    <t>LEGAL</t>
  </si>
  <si>
    <t xml:space="preserve">FINALIDAD DEL </t>
  </si>
  <si>
    <t>GASTO</t>
  </si>
  <si>
    <t>CUADRO N° 5</t>
  </si>
  <si>
    <t>TRANSFERENCIAS CORRIENTES Y DE CAPITAL A FABOR DE ENTIDADES PRIVADAS SIN FINES DE LUCRO</t>
  </si>
  <si>
    <t>1.1.0.01.03</t>
  </si>
  <si>
    <t>1.0.01.03</t>
  </si>
  <si>
    <t>Impuesto sobre la propiedad de Bienes Inmuebles Ley 7729</t>
  </si>
  <si>
    <t>1.0.0.0.00.00.0.0.000</t>
  </si>
  <si>
    <t>1.1.0.0.00.00.0.0.000</t>
  </si>
  <si>
    <t xml:space="preserve">1.1.2.0.00.00.0.0.000  </t>
  </si>
  <si>
    <t>1.1.2.1.01.00.0.0.000</t>
  </si>
  <si>
    <t>1.1.3.0.00.00.0.0.000</t>
  </si>
  <si>
    <t>1.1.3.2.00.00.0.0.000</t>
  </si>
  <si>
    <t>1.1.3.2.01.00.0.0.000</t>
  </si>
  <si>
    <t>1.1.3.2.01.05.0.0.000</t>
  </si>
  <si>
    <t>1.1.3.3.00.00.0.0.000</t>
  </si>
  <si>
    <t>1.1.3.3.01.00.0.0.000</t>
  </si>
  <si>
    <t>1.1.9.0.00-00.0.0.000</t>
  </si>
  <si>
    <t>1.1.9.1.00.00.0.0.000</t>
  </si>
  <si>
    <t>1.1.9.1.01.00.0.0.000</t>
  </si>
  <si>
    <t>1.1.9.1.02.00.0.0.000</t>
  </si>
  <si>
    <t>1.3.0.0.00.00.0.0.000</t>
  </si>
  <si>
    <t>1.3.1.0.00.00.0.0.000</t>
  </si>
  <si>
    <t>1.3.1.1.00.00.0.0.000</t>
  </si>
  <si>
    <t>1.3.1.2.00.00.0.0.000</t>
  </si>
  <si>
    <t>1.3.1.2.05.00.0.0.000</t>
  </si>
  <si>
    <t>1.3.1.2.05.02.0.0.000</t>
  </si>
  <si>
    <t>1.3.1.2.05.03.0.0.000</t>
  </si>
  <si>
    <t>1.3.1.2.05.04.1.0.000</t>
  </si>
  <si>
    <t>1.3.4.0.00.00.0.0.000</t>
  </si>
  <si>
    <t>1.3.4.2.00.00.0.0.000</t>
  </si>
  <si>
    <t>1.4.0.0.00.00.0.0.000</t>
  </si>
  <si>
    <t>1.4.1.0.00.00.0.0.000</t>
  </si>
  <si>
    <t>1.4.1.3.00.00.0.0.000</t>
  </si>
  <si>
    <t>1.4.1.3.01.00.0.0.000</t>
  </si>
  <si>
    <t>1.1.3.3.01.03.0.0.000</t>
  </si>
  <si>
    <t>1.1.0.03.02</t>
  </si>
  <si>
    <t>Actividades de Capacitación</t>
  </si>
  <si>
    <t>3.7.9</t>
  </si>
  <si>
    <t>CUENTAS ESPECIALES</t>
  </si>
  <si>
    <t>3.7.9.02</t>
  </si>
  <si>
    <t>SUMAS SIN ASIGNACION PRESUPUESTARIA</t>
  </si>
  <si>
    <t>3.7.9.02.02</t>
  </si>
  <si>
    <t>1.1.1.01</t>
  </si>
  <si>
    <t>1.1.1.01.01</t>
  </si>
  <si>
    <t>1.1.01</t>
  </si>
  <si>
    <t>1.1.01.01</t>
  </si>
  <si>
    <t>1.1.07</t>
  </si>
  <si>
    <t>MAQUINARIA, EQUIPO Y MOBILIARIO</t>
  </si>
  <si>
    <t>3.9</t>
  </si>
  <si>
    <t>3.9.02</t>
  </si>
  <si>
    <t>3.9.02.02</t>
  </si>
  <si>
    <t>Federación Municipalidades de Heredia</t>
  </si>
  <si>
    <t>Venta de Agua</t>
  </si>
  <si>
    <t>1.4.1.2.00.00.0.0.000</t>
  </si>
  <si>
    <t>TRANSFERENCIAS CORRIENTES DE ORGANOS DESC.</t>
  </si>
  <si>
    <t>1.4.1.2.01.00.0.0.000</t>
  </si>
  <si>
    <t>Aporte Comité Cantonal de la Persona Jóven</t>
  </si>
  <si>
    <t>1.1.1.03.06</t>
  </si>
  <si>
    <t>Comisiónes y gastos por servicios Financieros y Com.</t>
  </si>
  <si>
    <t>1.1.03.06</t>
  </si>
  <si>
    <t>1.1.1.04.02</t>
  </si>
  <si>
    <t>Servicios Jurídicos</t>
  </si>
  <si>
    <t>1.1.04.02</t>
  </si>
  <si>
    <t>Viaticos dentro del pais</t>
  </si>
  <si>
    <t>1.1.1.07</t>
  </si>
  <si>
    <t>1.1.1.07.01</t>
  </si>
  <si>
    <t>Actividades de capacitación</t>
  </si>
  <si>
    <t>1.1.07.01</t>
  </si>
  <si>
    <t>3.2.5.02.02.03</t>
  </si>
  <si>
    <t>1.1.2.03</t>
  </si>
  <si>
    <t>MATER. Y PRODUC. USO CONSTRUC. MANTEN.</t>
  </si>
  <si>
    <t>1.2.03</t>
  </si>
  <si>
    <t>1.1.2.99.04</t>
  </si>
  <si>
    <t>Textiles y Vestuario</t>
  </si>
  <si>
    <t>1.2.99.04</t>
  </si>
  <si>
    <t>Utiles y materiales de limpieza</t>
  </si>
  <si>
    <t>2.0.01.05</t>
  </si>
  <si>
    <t>2.2.01.99</t>
  </si>
  <si>
    <t>Materiales y productos metálicos</t>
  </si>
  <si>
    <t>Madera y sus derivados</t>
  </si>
  <si>
    <t>2.2.99</t>
  </si>
  <si>
    <t>2.2.99.04</t>
  </si>
  <si>
    <t>2.3.0.01.05</t>
  </si>
  <si>
    <t>2.3.2.03.03</t>
  </si>
  <si>
    <t>2.3.2.04.01</t>
  </si>
  <si>
    <t>Herramientas e instrumentos</t>
  </si>
  <si>
    <t>2.3.2.99</t>
  </si>
  <si>
    <t>2.3.2.99.04</t>
  </si>
  <si>
    <t>1.4.6.01.02.03</t>
  </si>
  <si>
    <t>1.6.01.02.03</t>
  </si>
  <si>
    <t>SUMAS CON DESTINO ESPECIF. SIN ASIG. PRES.</t>
  </si>
  <si>
    <t>3.7.9.02.02.02</t>
  </si>
  <si>
    <t>SUMAS CON DESTINO ESPEC. SIN ASIG. PRESUP.</t>
  </si>
  <si>
    <t>3.9.02.02.02</t>
  </si>
  <si>
    <t>PRESUPUESTO DE EGRESOS SERVICIO 28 - ATENCION DE EMERGENCIAS CANTONALES</t>
  </si>
  <si>
    <t>2.28.1</t>
  </si>
  <si>
    <t>2.28.1.04</t>
  </si>
  <si>
    <t>2.28.1.04.06</t>
  </si>
  <si>
    <t>028</t>
  </si>
  <si>
    <t>ATENCION DE EMERGENCIAS CANTONAL</t>
  </si>
  <si>
    <t>28</t>
  </si>
  <si>
    <t>2.5.01</t>
  </si>
  <si>
    <t>2.5.01.99</t>
  </si>
  <si>
    <t>2.6.02</t>
  </si>
  <si>
    <t>2.6.02.02</t>
  </si>
  <si>
    <t>2.6.0.03.02</t>
  </si>
  <si>
    <t>Retribución al ejercicio liberal de la profeción</t>
  </si>
  <si>
    <t>2.0.03.02</t>
  </si>
  <si>
    <t>Otros productos quimicos</t>
  </si>
  <si>
    <t>textiles y vestuario</t>
  </si>
  <si>
    <t>2.25.2</t>
  </si>
  <si>
    <t>2.25.2.02</t>
  </si>
  <si>
    <t>2.25.2.02.02</t>
  </si>
  <si>
    <t>Productos agroforestales</t>
  </si>
  <si>
    <t>2.2.02.02</t>
  </si>
  <si>
    <t>2.3.3</t>
  </si>
  <si>
    <t>2.3.3.02</t>
  </si>
  <si>
    <t>2.3.3-02.03</t>
  </si>
  <si>
    <t>Intereses sobre préstamos a instituiciones desentraliz.</t>
  </si>
  <si>
    <t>no empresariales</t>
  </si>
  <si>
    <t>2.3.02</t>
  </si>
  <si>
    <t>2.3.02.03</t>
  </si>
  <si>
    <t>Intereses s/ préstamos a instituciones desentralizadas</t>
  </si>
  <si>
    <t>BIENES DURADEROS DIVERSOS</t>
  </si>
  <si>
    <t>Otros bienes duraderos</t>
  </si>
  <si>
    <t>Vias de comunicación terrestre</t>
  </si>
  <si>
    <t>Equipo y mobiliario de oficina</t>
  </si>
  <si>
    <t>2.5.01.04</t>
  </si>
  <si>
    <t>2.10.2</t>
  </si>
  <si>
    <t>2.10.2.02</t>
  </si>
  <si>
    <t>2.10.2.02.03</t>
  </si>
  <si>
    <t>3.2.5.02.02.01</t>
  </si>
  <si>
    <t>Unidad técnica de gestión vial cantonal (8114)</t>
  </si>
  <si>
    <t>FINES DE LUCRO</t>
  </si>
  <si>
    <t>IFAM</t>
  </si>
  <si>
    <t>Compra de Back Hoe</t>
  </si>
  <si>
    <t>ANEXO Nº 1</t>
  </si>
  <si>
    <t>RELACIÓN INGRESO GASTO EN SERVICIOS PÚBLICOS</t>
  </si>
  <si>
    <t xml:space="preserve">Detalle </t>
  </si>
  <si>
    <t>Aseo de vías</t>
  </si>
  <si>
    <t>Recolección</t>
  </si>
  <si>
    <t>Acueducto</t>
  </si>
  <si>
    <t>Parques</t>
  </si>
  <si>
    <t>Alumbrado</t>
  </si>
  <si>
    <t>Tratamiento</t>
  </si>
  <si>
    <t xml:space="preserve">Otro </t>
  </si>
  <si>
    <t>Otro</t>
  </si>
  <si>
    <t>Servicio</t>
  </si>
  <si>
    <t>y sitios públicos</t>
  </si>
  <si>
    <t>de basura</t>
  </si>
  <si>
    <t>Ingreso estimado según tasa</t>
  </si>
  <si>
    <t>Egresos de operación del servicio</t>
  </si>
  <si>
    <t>(Renglón 7 cuadro siguiente)</t>
  </si>
  <si>
    <t>Sobrante de ingreso por tasa,</t>
  </si>
  <si>
    <t>una vez financiado el servicio</t>
  </si>
  <si>
    <t>(1-2)</t>
  </si>
  <si>
    <t>Alquileres de edificios, locales y terrenos</t>
  </si>
  <si>
    <t>1.1.1.03.02</t>
  </si>
  <si>
    <t>1.1.03.02</t>
  </si>
  <si>
    <t>Viaticos en el exterior</t>
  </si>
  <si>
    <t>Otros utiles, materiales y suministros</t>
  </si>
  <si>
    <t>2.6.1.04.06</t>
  </si>
  <si>
    <t>2.6.2.03.01</t>
  </si>
  <si>
    <t>2.6.2.03.02</t>
  </si>
  <si>
    <t>Materiales y productos minerales y asfalticos</t>
  </si>
  <si>
    <t>2.6.2.99.01</t>
  </si>
  <si>
    <t>2.2.99.01</t>
  </si>
  <si>
    <t>Utiles  y materiales de oficina y computo</t>
  </si>
  <si>
    <t>Otros ingresos relacionados</t>
  </si>
  <si>
    <t>con el servicio</t>
  </si>
  <si>
    <t>Instalación Cañerias</t>
  </si>
  <si>
    <t>Otro...</t>
  </si>
  <si>
    <t>Total de ingresos disponibles</t>
  </si>
  <si>
    <t>para inversión (3+4)</t>
  </si>
  <si>
    <t>Menos: Inversiones y servicio de la deuda del servicio</t>
  </si>
  <si>
    <t>Amortización deuda</t>
  </si>
  <si>
    <t>Maquinaria y equipo</t>
  </si>
  <si>
    <t>Proyectos (Prog. III)</t>
  </si>
  <si>
    <t>Superávit o déficit total del</t>
  </si>
  <si>
    <t>servicio (5-6)</t>
  </si>
  <si>
    <t>% de gastos cubiertos por</t>
  </si>
  <si>
    <t>los ingresos del servicio (1+4)</t>
  </si>
  <si>
    <t>(2+6)</t>
  </si>
  <si>
    <t>EGRESOS DE OPERACION DEL SERVICIO</t>
  </si>
  <si>
    <t>Detalle</t>
  </si>
  <si>
    <t>Aseo de vías y</t>
  </si>
  <si>
    <t>Cementerios</t>
  </si>
  <si>
    <t>Mataderos</t>
  </si>
  <si>
    <t>sitios públicos</t>
  </si>
  <si>
    <t>basura</t>
  </si>
  <si>
    <t>Gasto del servicio</t>
  </si>
  <si>
    <t>Menos: Maquinaria y equipo y Amortización de la deuda.</t>
  </si>
  <si>
    <t>Maquinaria y equipo cargada al servicio</t>
  </si>
  <si>
    <t>Amortización de la deuda del Servicio</t>
  </si>
  <si>
    <t>Subtotal (2)</t>
  </si>
  <si>
    <t>% gastos de administración (A)</t>
  </si>
  <si>
    <t>Egresos de operación del servi-</t>
  </si>
  <si>
    <t>cio (subtotal + gastos de admi-</t>
  </si>
  <si>
    <t>nistración  (B)</t>
  </si>
  <si>
    <t xml:space="preserve">(A)  El porcentaje se calculará sobre el ingreso del servicio ) y será el que haya determinado, en los respectivos estudios, la Autoridad  </t>
  </si>
  <si>
    <t xml:space="preserve">       Reguladora de los Servicios Públicos, si la tasa o tarifa fue autorizada después del 5 de setiembre de 1996.</t>
  </si>
  <si>
    <t xml:space="preserve">       Antes de dicha fecha, para el caso de Acueducto, se tomará el porcentaje fijado en los estudios del SNE y en el caso de</t>
  </si>
  <si>
    <t xml:space="preserve">       las tasas que fueron aprobadas por la Dirección General de Estudios Económicos de esta Contraloría General, se consi-</t>
  </si>
  <si>
    <t xml:space="preserve">       derará un 10%.</t>
  </si>
  <si>
    <t>(B)  Este resultado debe trasladarse al renglón 2 del cuadro "Relación Ingreso-gasto en los servicios públicos".</t>
  </si>
  <si>
    <t>ANEXO Nº 2</t>
  </si>
  <si>
    <t>DETALLE DEL 20% DE LOS INGRESOS DESTINADOS A GASTOS DE SANIDAD</t>
  </si>
  <si>
    <t>Gastos de sanidad (20%  (Artículo 47 Ley No. 5412-73)</t>
  </si>
  <si>
    <t xml:space="preserve">       MONTO TOTAL DEL PRESUPUESTO</t>
  </si>
  <si>
    <t xml:space="preserve">       Menos ingresos de aplicación específica:</t>
  </si>
  <si>
    <t xml:space="preserve">       24% impuesto sobre bienes inmuebles Ley Nº 7509</t>
  </si>
  <si>
    <t xml:space="preserve">       14% impuesto sobre bienes inmuebles Ley Nº 7729</t>
  </si>
  <si>
    <t xml:space="preserve">       10% impuesto territorial</t>
  </si>
  <si>
    <t xml:space="preserve">       Detalle de caminos y calles V.A.</t>
  </si>
  <si>
    <t xml:space="preserve">       Impuesto destace de ganado </t>
  </si>
  <si>
    <t xml:space="preserve">       Impuesto del cemento destinado a obras (Libre para guanacaste)</t>
  </si>
  <si>
    <t xml:space="preserve">       51% patentes licores nacionales y extranjeros</t>
  </si>
  <si>
    <t xml:space="preserve">       Espectáculos públicos (6%)</t>
  </si>
  <si>
    <t xml:space="preserve">       Timbre parques nacionales</t>
  </si>
  <si>
    <t xml:space="preserve">       Cánones nuevas concesiones milla marítima</t>
  </si>
  <si>
    <t xml:space="preserve">       Utilidad comisión fiestas (ejercicio)</t>
  </si>
  <si>
    <t xml:space="preserve">       Multas aprehensión animales</t>
  </si>
  <si>
    <t xml:space="preserve">       Compensación zonas verdes</t>
  </si>
  <si>
    <t xml:space="preserve">       Aporte I.F.A.M. Ley No. 6909 </t>
  </si>
  <si>
    <t xml:space="preserve">       Ventas terrenos plan lotificación</t>
  </si>
  <si>
    <t xml:space="preserve">       Transferencias corrientes</t>
  </si>
  <si>
    <t xml:space="preserve">       Transferencias de capital</t>
  </si>
  <si>
    <t xml:space="preserve">       Recursos del crédito </t>
  </si>
  <si>
    <t xml:space="preserve">       Aportes corrientes sector privado para fines específicos</t>
  </si>
  <si>
    <t xml:space="preserve">       Aporte de capital sector privado</t>
  </si>
  <si>
    <t xml:space="preserve">       Aporte de Municipalidades</t>
  </si>
  <si>
    <t>ASEO DE VIAS Y SITIOS PUBLICOS</t>
  </si>
  <si>
    <t>013</t>
  </si>
  <si>
    <t>ALCANTARILLADO SANITARIO</t>
  </si>
  <si>
    <t>7</t>
  </si>
  <si>
    <t>6</t>
  </si>
  <si>
    <t>TRANSFERENCIAS DE CAPITAL A ENTIDADES</t>
  </si>
  <si>
    <t>PRIVADAS SIN FINES DE LUCRO</t>
  </si>
  <si>
    <t>I-04</t>
  </si>
  <si>
    <t>III-07-03</t>
  </si>
  <si>
    <t>Alcantarillado</t>
  </si>
  <si>
    <t>Sanitario</t>
  </si>
  <si>
    <t>Impuesto de bienes inmuebles Ley 7729</t>
  </si>
  <si>
    <t>CODIGO SEGÚN</t>
  </si>
  <si>
    <t>CLASIFICADO DE</t>
  </si>
  <si>
    <t>INGRESOS</t>
  </si>
  <si>
    <t>PROGRA</t>
  </si>
  <si>
    <t>ACT/SER</t>
  </si>
  <si>
    <t>PROYEC</t>
  </si>
  <si>
    <t>Jta. Administ. Reg. Nacional</t>
  </si>
  <si>
    <t>Comité Cantonal Deportes</t>
  </si>
  <si>
    <t>Cons. Nac. Reh.Educ.Espec.</t>
  </si>
  <si>
    <t>Feder.Municipalidades Heredia</t>
  </si>
  <si>
    <t>Impuesto Específico sobre la construccion</t>
  </si>
  <si>
    <t>Amortización a préstamos</t>
  </si>
  <si>
    <t>Mantenim. Caminos y calles</t>
  </si>
  <si>
    <t>Vias de Comunicación terrest.</t>
  </si>
  <si>
    <t>Sociales y Complementarios</t>
  </si>
  <si>
    <t>13</t>
  </si>
  <si>
    <t>Alcantarillado sanitario</t>
  </si>
  <si>
    <t>Instalación. y derivación de agua</t>
  </si>
  <si>
    <t>Servicio Recolección de Basura</t>
  </si>
  <si>
    <t>Aseo de Vias y sitios públicos</t>
  </si>
  <si>
    <t xml:space="preserve">Interéses moratorios por atraso en pago </t>
  </si>
  <si>
    <t>Fondo plan de lotificación</t>
  </si>
  <si>
    <t>Uidad técnica Gestión Vial</t>
  </si>
  <si>
    <t>Yo Allen Roberto Barrantes Núñez, Costarricense, casado, Cédula N° 4-112-213 hago constar que los datos suministrados anterirormente corresponden a las</t>
  </si>
  <si>
    <t>Firma del funcionario responsable:_______________________________</t>
  </si>
  <si>
    <t xml:space="preserve">       Derechos de estacionamiento (parquímetros)</t>
  </si>
  <si>
    <t xml:space="preserve">       Seguridad Vial - multas</t>
  </si>
  <si>
    <t xml:space="preserve">        otro ingreso específico </t>
  </si>
  <si>
    <t xml:space="preserve">        Recursos de Vigencias Anteriores (libre y específico)</t>
  </si>
  <si>
    <t xml:space="preserve">       TOTAL INGRESOS ESPECIFICOS</t>
  </si>
  <si>
    <t xml:space="preserve">       Saldo para calcular el 20% para gastos de sanidad</t>
  </si>
  <si>
    <t xml:space="preserve">       Suma que se debe de aplicar a gastos de sanidad ( 20% de recursos propios)</t>
  </si>
  <si>
    <t xml:space="preserve">       Suma aplicada según siguiente de Detalle</t>
  </si>
  <si>
    <t xml:space="preserve">Servicio, proyecto </t>
  </si>
  <si>
    <t>Código</t>
  </si>
  <si>
    <t>Monto</t>
  </si>
  <si>
    <t>relacionado con sanidad</t>
  </si>
  <si>
    <t>presupuestario</t>
  </si>
  <si>
    <t>Presupuestado</t>
  </si>
  <si>
    <t>Servicio aseo vias</t>
  </si>
  <si>
    <t>II-01</t>
  </si>
  <si>
    <t>Servicio basura</t>
  </si>
  <si>
    <t>II-02</t>
  </si>
  <si>
    <t>II-06</t>
  </si>
  <si>
    <t>II-04</t>
  </si>
  <si>
    <t>Matadero</t>
  </si>
  <si>
    <t>II-08</t>
  </si>
  <si>
    <t>III-</t>
  </si>
  <si>
    <t>Otro proyecto relacionado con sanidad</t>
  </si>
  <si>
    <t>Aporte al Comité de Deportes</t>
  </si>
  <si>
    <t>Aporte a la Cruz Roja</t>
  </si>
  <si>
    <t>Aporte Consejo Nacional de Rehabilitación</t>
  </si>
  <si>
    <t>Otro aporte relacionado con sanidad</t>
  </si>
  <si>
    <t>Total Gastos destinados a sanidad</t>
  </si>
  <si>
    <t>Diferencia</t>
  </si>
  <si>
    <t>(1)</t>
  </si>
  <si>
    <r>
      <t xml:space="preserve">(1) En el caso de ser este monto </t>
    </r>
    <r>
      <rPr>
        <b/>
        <sz val="10"/>
        <rFont val="Arial"/>
        <family val="2"/>
      </rPr>
      <t>POSITIVO</t>
    </r>
    <r>
      <rPr>
        <sz val="10"/>
        <rFont val="Arial"/>
        <family val="0"/>
      </rPr>
      <t xml:space="preserve">, indica que la municipalidad no está cumpliendo con lo estipulado </t>
    </r>
  </si>
  <si>
    <t xml:space="preserve"> en el artículo 47 de la Ley del Ministerio de Salud Nº5412. Caso contrario si cumple.</t>
  </si>
  <si>
    <t>Elaborado por Allen Barrantes Núñez</t>
  </si>
  <si>
    <t>Visto bueno del Alcalde, Intendente o Director Ejecutivo ________________________________</t>
  </si>
  <si>
    <t>Fecha:__________________________________</t>
  </si>
  <si>
    <t>ANEXO 3</t>
  </si>
  <si>
    <t>CALCULO DE LAS DIETAS A REGIDORES</t>
  </si>
  <si>
    <t>PRESUPUESTO PRECEDENTE:</t>
  </si>
  <si>
    <t>PRESUPUESTO EN ESTUDIO:</t>
  </si>
  <si>
    <t>PORCENTAJE DE AUMENTO DEL PRESUPUESTO</t>
  </si>
  <si>
    <t>PORCENTAJE QUE APRUEBA EL CONCEJO: (1)</t>
  </si>
  <si>
    <t xml:space="preserve">NUMERO DE </t>
  </si>
  <si>
    <t xml:space="preserve">VALOR </t>
  </si>
  <si>
    <t>VALOR</t>
  </si>
  <si>
    <t>+</t>
  </si>
  <si>
    <t>MENSUAL</t>
  </si>
  <si>
    <t>ANUAL</t>
  </si>
  <si>
    <t>REGIDORES</t>
  </si>
  <si>
    <t>DIETA ACTUAL</t>
  </si>
  <si>
    <t>DIETA PROPUESTA</t>
  </si>
  <si>
    <t>ORDI-EXTRA</t>
  </si>
  <si>
    <t>DIETAS POR COMISIÓN (ADJUNTAR DETALLE)</t>
  </si>
  <si>
    <t>(1) El aumento de las dietas debe ser con base en el artículo 30 del Código Municipal</t>
  </si>
  <si>
    <t>Elaborado por ALLEN BARRANTES NUÑEZ</t>
  </si>
  <si>
    <t>ANEXO 4</t>
  </si>
  <si>
    <t>CONTRIBUCIONES PATRONALES, DECIMOTERCER MES Y SEGUROS</t>
  </si>
  <si>
    <t>CONTRIBUCIONES PATRONALES</t>
  </si>
  <si>
    <t>MONTO                           DE                    CALCULO</t>
  </si>
  <si>
    <t>Caja Costarricense de Seguro Social</t>
  </si>
  <si>
    <t>Ahorro         Obligatorio al Banco Popular</t>
  </si>
  <si>
    <t>Régimen         Obligatorio de Pensiones</t>
  </si>
  <si>
    <t>Fondo de Capitalización Laboral</t>
  </si>
  <si>
    <t>Invalidez Vejez y Muerte</t>
  </si>
  <si>
    <t>Enfermedad y Maternidad</t>
  </si>
  <si>
    <t>(3)</t>
  </si>
  <si>
    <t>(2)</t>
  </si>
  <si>
    <t>(5)</t>
  </si>
  <si>
    <t>(4)</t>
  </si>
  <si>
    <t>(1) Clasificado como Contribución Patronal al Seguro Salud de la Caja Costarricense de Seguro Social (0.04.01)</t>
  </si>
  <si>
    <t>(2) Clasificado como Contribución Patronal al Banco Popular y Desarrollo Comunal (0.04.05)</t>
  </si>
  <si>
    <t>(3) Clasificarlo como Contribución Patronal al Seguro de Pensiones de la Caja Costarricense del Seguro Social (0.05.01)</t>
  </si>
  <si>
    <t>(4) Clasificarlo como Contribución Patronal al Fondo de Capitalización Laboral (0.05.04)</t>
  </si>
  <si>
    <t>(5) Clasficarlo como Aporte Patronal al Régimen Obligatorio de Pensiones Complementarias (0.05.02)</t>
  </si>
  <si>
    <t>DECIMOTERCER MES</t>
  </si>
  <si>
    <t>DE CALCULO</t>
  </si>
  <si>
    <t>(6)</t>
  </si>
  <si>
    <t>(6) Clasificado como Seguros (1.06.01)</t>
  </si>
  <si>
    <t>(5) Clasificado como Decimotercer mes (0.03.03)</t>
  </si>
  <si>
    <t>2.10.2.01</t>
  </si>
  <si>
    <t>2.10.2.01.04</t>
  </si>
  <si>
    <t>2.10.2.99</t>
  </si>
  <si>
    <t>2.10.2.99.03</t>
  </si>
  <si>
    <t>Productos de papel cartón e impresos</t>
  </si>
  <si>
    <t>2.2.99.03</t>
  </si>
  <si>
    <t>Productos de papel carton e impresos</t>
  </si>
  <si>
    <t>1.4.3</t>
  </si>
  <si>
    <t>1.4.3.02</t>
  </si>
  <si>
    <t>1.4.3.02.03</t>
  </si>
  <si>
    <t>Intereses sobre prestamos de instituciones desen-</t>
  </si>
  <si>
    <t>tralizadas no empresariales</t>
  </si>
  <si>
    <t>1.4.8</t>
  </si>
  <si>
    <t>1.4.8.02</t>
  </si>
  <si>
    <t>1.4.8.02.03</t>
  </si>
  <si>
    <t>Amortizacion de prestamos de instituciones desen-</t>
  </si>
  <si>
    <t>1.3.02</t>
  </si>
  <si>
    <t>1.3.02.03</t>
  </si>
  <si>
    <t>1.8.02.03</t>
  </si>
  <si>
    <t>1.8.02</t>
  </si>
  <si>
    <t>Amortizacion a prestamos de instituciones desentral.</t>
  </si>
  <si>
    <t>Tiempo extraordinario</t>
  </si>
  <si>
    <t>1.1.1.03.01</t>
  </si>
  <si>
    <t>Información</t>
  </si>
  <si>
    <t>1.1.03.01</t>
  </si>
  <si>
    <t>PROGRAMA 1</t>
  </si>
  <si>
    <t>PROGRAMA 2</t>
  </si>
  <si>
    <t>PROGRAMA 3</t>
  </si>
  <si>
    <t>POR DISTRIBUIR</t>
  </si>
  <si>
    <t>PRESUPUESTO DE EGRESOS SERVICIO 1 - ASEO DE VIAS Y SITIOS PUBLICOS</t>
  </si>
  <si>
    <t>TOTAL SERVICIO 1</t>
  </si>
  <si>
    <t>1.3.1.2.05.04.2.0.000</t>
  </si>
  <si>
    <t>Aseo de Vías y Sitios públicos</t>
  </si>
  <si>
    <t>AUDITOR MUNICIPAL</t>
  </si>
  <si>
    <t>TOTALES POR OBJETO DEL GASTO</t>
  </si>
  <si>
    <t>2.25.2.99</t>
  </si>
  <si>
    <t>Construcción y reparación de aceras del Cantón</t>
  </si>
  <si>
    <t>3.2.5.02.02.06</t>
  </si>
  <si>
    <t>Reparacion caminos y calles del cantón</t>
  </si>
  <si>
    <t>PROGRAMA I: DIRECCION Y</t>
  </si>
  <si>
    <t>PROGRAMA II:SERVICIOS</t>
  </si>
  <si>
    <t>COMUNALES</t>
  </si>
  <si>
    <t>PROGRAMA III:</t>
  </si>
  <si>
    <t>INVERSIONES</t>
  </si>
  <si>
    <t>SECCION DE EGRESOS POR PARTIDA</t>
  </si>
  <si>
    <t>GENERAL Y POR PROGRAMA</t>
  </si>
  <si>
    <t>TOTALES POR EL OBJETO DEL GASTO</t>
  </si>
  <si>
    <t>PROGRAMA II: SERVICIOS</t>
  </si>
  <si>
    <t>0.01.01</t>
  </si>
  <si>
    <t>Sueldo para cargos fijos</t>
  </si>
  <si>
    <t>0.01.05</t>
  </si>
  <si>
    <t>0.02.01</t>
  </si>
  <si>
    <t>Tiempo Extraordinario</t>
  </si>
  <si>
    <t>0.02.05</t>
  </si>
  <si>
    <t>0.03.01</t>
  </si>
  <si>
    <t>Retribucion por años servidos</t>
  </si>
  <si>
    <t>0.03.02</t>
  </si>
  <si>
    <t>Retribucion al ejercicio liberal de la profec.</t>
  </si>
  <si>
    <t>0.03.03</t>
  </si>
  <si>
    <t>Décimo tercer mes</t>
  </si>
  <si>
    <t>CONTRIB. PATR. AL DES. SEG. SOC.</t>
  </si>
  <si>
    <t>0.04.01</t>
  </si>
  <si>
    <t>Contr. Patr. Al seg. Salud de la C.C.S.S</t>
  </si>
  <si>
    <t>0.04.05</t>
  </si>
  <si>
    <t>Contr. Patr. Al banco popular t des. Com.</t>
  </si>
  <si>
    <t>CONTRIB. PATR. A FONDOS PENS. Y O.</t>
  </si>
  <si>
    <t>0.05.02</t>
  </si>
  <si>
    <t>Aporte patr. Al R.O.P.C.</t>
  </si>
  <si>
    <t>0.05.03</t>
  </si>
  <si>
    <t>Aporte patr. Al F.C.L.</t>
  </si>
  <si>
    <t>1.01.01</t>
  </si>
  <si>
    <t>Alquiler de Edificios y locales</t>
  </si>
  <si>
    <t>1.02.02</t>
  </si>
  <si>
    <t>Servicio de energía electrica</t>
  </si>
  <si>
    <t>1.02.04</t>
  </si>
  <si>
    <t>Servicio de telecomunicaciones</t>
  </si>
  <si>
    <t>1.02.99</t>
  </si>
  <si>
    <t>Otros servicios basicos</t>
  </si>
  <si>
    <t>SERVICIOS COMERCIALES Y FINANC.</t>
  </si>
  <si>
    <t>1.03.02</t>
  </si>
  <si>
    <t>Publicidad y propaganda</t>
  </si>
  <si>
    <t>1.03.03</t>
  </si>
  <si>
    <t>Impresión encuadernación y otros</t>
  </si>
  <si>
    <t>1.03.06</t>
  </si>
  <si>
    <t>Comisiones y gastos por serv. Financ. Comerc</t>
  </si>
  <si>
    <t>1.04.02</t>
  </si>
  <si>
    <t>Servicios jurídicos</t>
  </si>
  <si>
    <t>1.04.04</t>
  </si>
  <si>
    <t>Servicios en ciencias económicas y soc.</t>
  </si>
  <si>
    <t>1.04.06</t>
  </si>
  <si>
    <t>Servicios generales</t>
  </si>
  <si>
    <t>1.04.99</t>
  </si>
  <si>
    <t>Otros servicios de gestion apoyo</t>
  </si>
  <si>
    <t>GASTOS DE VIAJES Y DE TRANSPORTE</t>
  </si>
  <si>
    <t>1.05.02</t>
  </si>
  <si>
    <t>SEGUROS, REASEGUROS Y OTRAS OB</t>
  </si>
  <si>
    <t>1.06.01</t>
  </si>
  <si>
    <t>Seguros.</t>
  </si>
  <si>
    <t>1.07.01</t>
  </si>
  <si>
    <t>Actividades de capacitacion</t>
  </si>
  <si>
    <t>1.07.02</t>
  </si>
  <si>
    <t>1.08.01</t>
  </si>
  <si>
    <t>Mantenimiento de edificios y locales</t>
  </si>
  <si>
    <t>1.08.02</t>
  </si>
  <si>
    <t>Mantenimiento de Vias de comunicación</t>
  </si>
  <si>
    <t>1.08.03</t>
  </si>
  <si>
    <t>Manten. De instalaciones y otras obras</t>
  </si>
  <si>
    <t>1.08.08</t>
  </si>
  <si>
    <t>1.08.05</t>
  </si>
  <si>
    <t>Manten. Y reparación equipo de transporte</t>
  </si>
  <si>
    <t>1.08.06</t>
  </si>
  <si>
    <t>Manten. Y reparación equipo comunicac.</t>
  </si>
  <si>
    <t>4-Eq-1319-0708</t>
  </si>
  <si>
    <t>1.08.07</t>
  </si>
  <si>
    <t>2.0.0.0.00.00.0.0.000</t>
  </si>
  <si>
    <t>INGRESOS DE CAPITAL</t>
  </si>
  <si>
    <t>2.4.0.0.00.00.0.0.000</t>
  </si>
  <si>
    <t>2.4.1.0.00.00.0.0.000</t>
  </si>
  <si>
    <t>TRANSFERENCIAS DE CAPITAL DEL SECTOR PUBLICO</t>
  </si>
  <si>
    <t>2.4.1.1.00.00.0.0.000</t>
  </si>
  <si>
    <t>TRANSFERENCIAS DE CAPITAL DEL GOB. CENTRAL</t>
  </si>
  <si>
    <t>2.4.1.1.01.00.0.0.000</t>
  </si>
  <si>
    <t>2.4.1.3.00.00.0.0.000</t>
  </si>
  <si>
    <t>TRANSFERENCIAS DE CAPITAL DE INSTITUCIONES</t>
  </si>
  <si>
    <t>2.4.1.3.01.00.0.0.000</t>
  </si>
  <si>
    <t>Manten. Y reparac. Equipo y mob. Oficina</t>
  </si>
  <si>
    <t>Manten. Y rep. Equipo computo y sist. Inf.</t>
  </si>
  <si>
    <t>1.99.01</t>
  </si>
  <si>
    <t>Servicios de regulacion</t>
  </si>
  <si>
    <t>2.01.01</t>
  </si>
  <si>
    <t>Combustibles y lubricantes</t>
  </si>
  <si>
    <t>2.01.04</t>
  </si>
  <si>
    <t>Tintas, pinturas y diluyentes</t>
  </si>
  <si>
    <t>2.01.99</t>
  </si>
  <si>
    <t>ALIMENTOS Y PRODUCTOS AGROPEC.</t>
  </si>
  <si>
    <t>2.02.02</t>
  </si>
  <si>
    <t>2.02.03</t>
  </si>
  <si>
    <t>MATER. PROD. USO CONST. MANTEN.</t>
  </si>
  <si>
    <t>2.03.01</t>
  </si>
  <si>
    <t>2.03.02</t>
  </si>
  <si>
    <t>Materiales y productos minerales y asfalt.</t>
  </si>
  <si>
    <t>2.03.03</t>
  </si>
  <si>
    <t>2.03.04</t>
  </si>
  <si>
    <t>Mater. Prod. Electric. Telef. Y computo</t>
  </si>
  <si>
    <t>2.03.06</t>
  </si>
  <si>
    <t>HERRAMIENTAS REPUESTOS Y ACCES</t>
  </si>
  <si>
    <t>2.04.01</t>
  </si>
  <si>
    <t>2.04.02</t>
  </si>
  <si>
    <t>UTILES, MATERIALES Y SUM. DIVERS.</t>
  </si>
  <si>
    <t>2.99.01</t>
  </si>
  <si>
    <t>Utiles y materiales de oficina y computo</t>
  </si>
  <si>
    <t>2.99.03</t>
  </si>
  <si>
    <t>Administracion General</t>
  </si>
  <si>
    <t>2.99.04</t>
  </si>
  <si>
    <t>2.99.05</t>
  </si>
  <si>
    <t>2.99.99</t>
  </si>
  <si>
    <t>Otros utiles materiales y suministros</t>
  </si>
  <si>
    <t>3.02.03</t>
  </si>
  <si>
    <t>Intereses sobre prest. Inst. desent. No emp.</t>
  </si>
  <si>
    <t>5.01.04</t>
  </si>
  <si>
    <t>5.01.05</t>
  </si>
  <si>
    <t>CONSTRUCCIONES ADICIONES Y MEJ.</t>
  </si>
  <si>
    <t>5.02.01</t>
  </si>
  <si>
    <t>5.02.02</t>
  </si>
  <si>
    <t>5.01.99</t>
  </si>
  <si>
    <t>Maquinaria y Equipo diverso</t>
  </si>
  <si>
    <t>5.99.99</t>
  </si>
  <si>
    <t>TRANSFERENC. CORRIEN.AL SEC. PUB</t>
  </si>
  <si>
    <t>6.01.01</t>
  </si>
  <si>
    <t>Trnasferencias corrientes al Gob. Central</t>
  </si>
  <si>
    <t>6.01.02</t>
  </si>
  <si>
    <t>Transf. Corrient. A organos desconcentrad.</t>
  </si>
  <si>
    <t>6.01.03</t>
  </si>
  <si>
    <t>Transf. Corrient. A instit. Desent. No emp.</t>
  </si>
  <si>
    <t>Transf. Corrient. A Gobiernos Locales</t>
  </si>
  <si>
    <t>1.03.01</t>
  </si>
  <si>
    <t>1.03.04</t>
  </si>
  <si>
    <t>Transporte de Bienes</t>
  </si>
  <si>
    <t>1.05.03</t>
  </si>
  <si>
    <t>1.05.04</t>
  </si>
  <si>
    <t>1.05.01</t>
  </si>
  <si>
    <t>1.08.99</t>
  </si>
  <si>
    <t>Manten. Y rep. De otros equipos</t>
  </si>
  <si>
    <t>TRANSFERENCIAS CORRIENT.A PERS.</t>
  </si>
  <si>
    <t>6.02.02</t>
  </si>
  <si>
    <t>TRASFERENCIAS DE CAPITAL</t>
  </si>
  <si>
    <t>TRANSF. DE CAPITAL A INST. PRIV. SIN</t>
  </si>
  <si>
    <t>7.03.01</t>
  </si>
  <si>
    <t>Transf. De capital a asociaciones</t>
  </si>
  <si>
    <t>8.02.03</t>
  </si>
  <si>
    <t>Amortiz. Prestamos a inst. desent. No emp</t>
  </si>
  <si>
    <t>SUMAS SIN ASIGNACION PRESUPUES.</t>
  </si>
  <si>
    <t>9.02.02</t>
  </si>
  <si>
    <t>Sumas con destino espec. Sin asig. Pres.</t>
  </si>
  <si>
    <t>SECCION DE EGRESOS DETALLADOS</t>
  </si>
  <si>
    <t>1.04.05</t>
  </si>
  <si>
    <t>Servicios de desarrollo Sistemas inform.</t>
  </si>
  <si>
    <t>III</t>
  </si>
  <si>
    <t>CUADRO No. 2</t>
  </si>
  <si>
    <t>Estructura organizacional (Recursos Humanos)</t>
  </si>
  <si>
    <t>Procesos sustantivos</t>
  </si>
  <si>
    <t>Por programa</t>
  </si>
  <si>
    <t>Apoyo</t>
  </si>
  <si>
    <t xml:space="preserve">Nivel </t>
  </si>
  <si>
    <t>Servicios especiales</t>
  </si>
  <si>
    <t>IV</t>
  </si>
  <si>
    <t>Nivel superior ejecutivo</t>
  </si>
  <si>
    <t>Profesional</t>
  </si>
  <si>
    <t>Técnico</t>
  </si>
  <si>
    <t>Administrativo</t>
  </si>
  <si>
    <t>De servicio</t>
  </si>
  <si>
    <t>Total</t>
  </si>
  <si>
    <t>RESUMEN:</t>
  </si>
  <si>
    <t>RESUMEN POR PROGRAMA:</t>
  </si>
  <si>
    <t>Plazas en sueldos para cargos fijos</t>
  </si>
  <si>
    <t>Programa I: Dirección y Administración General</t>
  </si>
  <si>
    <t>Plazas en servicios especiales</t>
  </si>
  <si>
    <t>Programa II: Servicios Comunitarios</t>
  </si>
  <si>
    <t>Plazas en procesos sustantivos</t>
  </si>
  <si>
    <t>Programa III: Inversiones</t>
  </si>
  <si>
    <t>Plazas en procesos de apoyo</t>
  </si>
  <si>
    <t>Programa IV: Partidas específicas</t>
  </si>
  <si>
    <t>Total de plazas</t>
  </si>
  <si>
    <t>3. Observaciones.</t>
  </si>
  <si>
    <t>Funcionario responsable:</t>
  </si>
  <si>
    <t>Puestos de confianza</t>
  </si>
  <si>
    <t>Otros</t>
  </si>
  <si>
    <t>ALLEN BARRANTES NUÑEZ</t>
  </si>
  <si>
    <t>2.2.99.99</t>
  </si>
  <si>
    <t>Textiles y vestuario</t>
  </si>
  <si>
    <t>Alquiler de maquinaria equipo y mobiliario</t>
  </si>
  <si>
    <t>PRODUCTOS QUIMICOS CONEXOS</t>
  </si>
  <si>
    <t>Tintas pinturas y diluyentes</t>
  </si>
  <si>
    <t>2.6.0.01.05</t>
  </si>
  <si>
    <t>2.6.1.04</t>
  </si>
  <si>
    <t>2.6.1.04.99</t>
  </si>
  <si>
    <t>Otros servicios de gestión y apoyo</t>
  </si>
  <si>
    <t>2.1.04.99</t>
  </si>
  <si>
    <t>Otros servicios de Gestión y apoyo</t>
  </si>
  <si>
    <t>2.6.2.99</t>
  </si>
  <si>
    <t>2.6.2.99.04</t>
  </si>
  <si>
    <t>2.6.5</t>
  </si>
  <si>
    <t>2.6.5.01</t>
  </si>
  <si>
    <t>2.6.5.01.99</t>
  </si>
  <si>
    <t>Maquinaria y equipo diverso</t>
  </si>
  <si>
    <t>PRESUPUESTO DE EGRESOS SERVICIO 10 - SOCIALES Y COMPLEMENTARIOS</t>
  </si>
  <si>
    <t>2.10.0</t>
  </si>
  <si>
    <t>2.10.0.01</t>
  </si>
  <si>
    <t>2.10.0.01.01</t>
  </si>
  <si>
    <t>2.10.0.03</t>
  </si>
  <si>
    <t>2.10.0.03.01</t>
  </si>
  <si>
    <t>2.10.0.03.03</t>
  </si>
  <si>
    <t>2.10.0.04</t>
  </si>
  <si>
    <t>2.10.0.04.01</t>
  </si>
  <si>
    <t>2.10.0.04.05</t>
  </si>
  <si>
    <t>2.10.0.05</t>
  </si>
  <si>
    <t>2.10.0.05.03</t>
  </si>
  <si>
    <t>2.10.1</t>
  </si>
  <si>
    <t>2.10.1.04</t>
  </si>
  <si>
    <t>SERVICIOS DE GESTION APOYO</t>
  </si>
  <si>
    <t>2.10.1.04.06</t>
  </si>
  <si>
    <t>2.10.1.06</t>
  </si>
  <si>
    <t>SEGUROS REASEGUROS OTRAS OBLIGACIONES</t>
  </si>
  <si>
    <t>2.10.1.06.01</t>
  </si>
  <si>
    <t>2.10.1.07</t>
  </si>
  <si>
    <t>2.10.1.07.02</t>
  </si>
  <si>
    <t>2.10.6</t>
  </si>
  <si>
    <t>2.10.6.02</t>
  </si>
  <si>
    <t>2.10.6.02.02</t>
  </si>
  <si>
    <t>Becas a terceras personas</t>
  </si>
  <si>
    <t>TOTAL SERVICIO 10</t>
  </si>
  <si>
    <t>2.1.03</t>
  </si>
  <si>
    <t>PRESUPUESTO DE EGRESOS SERVICIO 22 - SEGURIDAD VIAL</t>
  </si>
  <si>
    <t>TOTAL SERVICIO 22</t>
  </si>
  <si>
    <t>010</t>
  </si>
  <si>
    <t>SOCIALES Y COMPLEMENTARIOS</t>
  </si>
  <si>
    <t>022</t>
  </si>
  <si>
    <t>SEGURIDAD VIAL</t>
  </si>
  <si>
    <t>3.2.5</t>
  </si>
  <si>
    <t>3.2.5.02</t>
  </si>
  <si>
    <t>CONSTRUCCIONES ADICIONES Y MEJORAS</t>
  </si>
  <si>
    <t>3.2.5.02.02</t>
  </si>
  <si>
    <t>Vias de Comunicación Terrestre</t>
  </si>
  <si>
    <t>3.5</t>
  </si>
  <si>
    <t>3.5.02</t>
  </si>
  <si>
    <t>3.5.02.02</t>
  </si>
  <si>
    <t>22</t>
  </si>
  <si>
    <t>Seguridad Vial</t>
  </si>
  <si>
    <t>Aporte Comité Cantonal</t>
  </si>
  <si>
    <t>de la persona jóven</t>
  </si>
  <si>
    <t>10</t>
  </si>
  <si>
    <t>Edificios</t>
  </si>
  <si>
    <t>Federación de Municipalidades de Heredia</t>
  </si>
  <si>
    <t>1.4.6.01.03.02</t>
  </si>
  <si>
    <t>CODIGO</t>
  </si>
  <si>
    <t>DETALLE</t>
  </si>
  <si>
    <t>MONTO</t>
  </si>
  <si>
    <t>PORCENTA-</t>
  </si>
  <si>
    <t>JE RELATIVO</t>
  </si>
  <si>
    <t xml:space="preserve"> </t>
  </si>
  <si>
    <t>INGRESOS TOTALES</t>
  </si>
  <si>
    <t>INGRESOS CORRIENTES</t>
  </si>
  <si>
    <t>1.1</t>
  </si>
  <si>
    <t>INGRESOS TRIBUTARIOS</t>
  </si>
  <si>
    <t>IMPUESTOS SOBRE LA PROPIEDAD</t>
  </si>
  <si>
    <t>IMPUESTOS SOBRE BIENES Y SERVICIOS</t>
  </si>
  <si>
    <t>IMPUESTOS ESPECIFICOS SOBRE LA PRODUCCION Y</t>
  </si>
  <si>
    <t>CONSUMO DE BIENES Y SERVICIOS.</t>
  </si>
  <si>
    <t>CONSUMO DE BIENES .</t>
  </si>
  <si>
    <t>Impuesto Específico sobre la construcción</t>
  </si>
  <si>
    <t>OTROS IMPUESTOS A LOS BIENES Y SERVICIOS</t>
  </si>
  <si>
    <t>ANEXO 7</t>
  </si>
  <si>
    <t>PARTIDAS</t>
  </si>
  <si>
    <t>1  SERVICIOS</t>
  </si>
  <si>
    <t>2  MATERIALES Y SUMINISTROS</t>
  </si>
  <si>
    <t>5  BIENES DURADEROS</t>
  </si>
  <si>
    <t>LICENCIAS PROFECIONALES Y COMERCIALES Y OTROS</t>
  </si>
  <si>
    <t>PERMISOS</t>
  </si>
  <si>
    <t>Patentes Municipales</t>
  </si>
  <si>
    <t>OTROS INGRESOS TRIBUTARIOS</t>
  </si>
  <si>
    <t>IMPUESTO DE TIMBRES</t>
  </si>
  <si>
    <t>Timbres Municipales</t>
  </si>
  <si>
    <t>Timbre Pro-Parques Nacionales</t>
  </si>
  <si>
    <t>INGRESOS NO TRIBUTARIOS</t>
  </si>
  <si>
    <t>VENTA DE BIENES Y SERVICIOS</t>
  </si>
  <si>
    <t>VENTA DE BIENES .</t>
  </si>
  <si>
    <t>Venta de agua</t>
  </si>
  <si>
    <t>VENTA DE SERVICIOS</t>
  </si>
  <si>
    <t>SERVICIOS COMUNITARIOS</t>
  </si>
  <si>
    <t>Servicio de Instalación y Derivación de agua</t>
  </si>
  <si>
    <t>Servicio de Cementerio</t>
  </si>
  <si>
    <t>Servicios de saneamiento ambiental</t>
  </si>
  <si>
    <t>Servicio de Recolección de basura</t>
  </si>
  <si>
    <t>INTERESES MORATORIOS</t>
  </si>
  <si>
    <t>Intereses moratorios por atraso en pago de bienes y servicios</t>
  </si>
  <si>
    <t>TRANSFERENCIAS CORRIENTES</t>
  </si>
  <si>
    <t>TRANSFERENCIAS CORRIENTES DEL SECTOR PUBLICO</t>
  </si>
  <si>
    <t>TRANSFERENCIAS CORRIENTES DE INSTITUCIONES</t>
  </si>
  <si>
    <t>DESENTRALIZADAS NO EMPRESARIALES</t>
  </si>
  <si>
    <t>Aporte IFAM Licores Nacionales y Extranjeros</t>
  </si>
  <si>
    <t>2.1</t>
  </si>
  <si>
    <t>Patentes de Licores</t>
  </si>
  <si>
    <t>TRANSFERENCIAS DE CAPITAL</t>
  </si>
  <si>
    <t>2.4.1</t>
  </si>
  <si>
    <t>Aporte del Gobierno Ley 8114</t>
  </si>
  <si>
    <t>Aporte IFAM Ley 6909</t>
  </si>
  <si>
    <t>MUNICIPALIDAD DE FLORES</t>
  </si>
  <si>
    <t>SECCION DE INGRESOS</t>
  </si>
  <si>
    <t>INS</t>
  </si>
  <si>
    <t>TOTAL</t>
  </si>
  <si>
    <t>I</t>
  </si>
  <si>
    <t>II</t>
  </si>
  <si>
    <t>Parques y obras de ornato</t>
  </si>
  <si>
    <t>II-05</t>
  </si>
  <si>
    <t>Medio ambiente</t>
  </si>
  <si>
    <t>II-25</t>
  </si>
  <si>
    <t>REMUNERACIONES</t>
  </si>
  <si>
    <t>REMUNERACIONES BASICAS</t>
  </si>
  <si>
    <t>Sueldos para cargos fijos</t>
  </si>
  <si>
    <t>Suplencias</t>
  </si>
  <si>
    <t>REMUNERACIONES EVENTUALES</t>
  </si>
  <si>
    <t>1.0.02.01</t>
  </si>
  <si>
    <t>Tiempo extraordinaria</t>
  </si>
  <si>
    <t>1.0.02</t>
  </si>
  <si>
    <t>1.0.01.05</t>
  </si>
  <si>
    <t>1.0.01.01</t>
  </si>
  <si>
    <t>1.0.01</t>
  </si>
  <si>
    <t>1.0</t>
  </si>
  <si>
    <t>1.0.02.05</t>
  </si>
  <si>
    <t>Dietas</t>
  </si>
  <si>
    <t>1.0.03</t>
  </si>
  <si>
    <t>INCENTIVOS SALARIALES</t>
  </si>
  <si>
    <t>1.0.03.01</t>
  </si>
  <si>
    <t>Retribución por años servidos</t>
  </si>
  <si>
    <t>1.0.03.02</t>
  </si>
  <si>
    <t>Retribución al Ejercicio Liberal de la Profeción</t>
  </si>
  <si>
    <t>1.0.03.03</t>
  </si>
  <si>
    <t>Décimo Tercer mes</t>
  </si>
  <si>
    <t>1.0.04</t>
  </si>
  <si>
    <t>CONTRIBUCIONES PATRONALES AL DESA-</t>
  </si>
  <si>
    <t>RROLLO Y LA SEGURIDAD SOCIAL</t>
  </si>
  <si>
    <t>1.0.04.01</t>
  </si>
  <si>
    <t>Contribución Patronal al seguro de salud CCSS</t>
  </si>
  <si>
    <t>1.0.04.05</t>
  </si>
  <si>
    <t>Contribucion patronal al Banco Popular y D.C.</t>
  </si>
  <si>
    <t>1.0.05</t>
  </si>
  <si>
    <t>CONTRIBUCIONES PATRONALES A FONDOS</t>
  </si>
  <si>
    <t>DE PENSIONES Y OTROS FONDOS DE CAP.</t>
  </si>
  <si>
    <t>1.0.05.03</t>
  </si>
  <si>
    <t>Aporte Patronal al Fondo Capitalización Laboral</t>
  </si>
  <si>
    <t>SERVICIOS</t>
  </si>
  <si>
    <t>1.1.02</t>
  </si>
  <si>
    <t>SERVICIOS BASICOS</t>
  </si>
  <si>
    <t>1.1.02.02</t>
  </si>
  <si>
    <t>Servicio de Energía Electrica</t>
  </si>
  <si>
    <t>1.1.02.04</t>
  </si>
  <si>
    <t>Servicio de Telecomunicaciones</t>
  </si>
  <si>
    <t>1.1.03</t>
  </si>
  <si>
    <t>SERVICIOS COMERCIALES Y FINANCIEROS</t>
  </si>
  <si>
    <t>1.1.03.03</t>
  </si>
  <si>
    <t>Impresión, Encuadernación y otros</t>
  </si>
  <si>
    <t>1.1.04</t>
  </si>
  <si>
    <t>SERVICIOS DE GESTION Y APOYO</t>
  </si>
  <si>
    <t>1.1.06</t>
  </si>
  <si>
    <t>SEGUROS, REASEGUROS Y OTRAS OBLIGACIONES</t>
  </si>
  <si>
    <t>1.1.06.01</t>
  </si>
  <si>
    <t>Seguros</t>
  </si>
  <si>
    <t>1.1.08</t>
  </si>
  <si>
    <t>MANTENIMIENTO Y REPARACION</t>
  </si>
  <si>
    <t>1.1.08.05</t>
  </si>
  <si>
    <t>Mantenimiento y Reparación Equipo de Transporte</t>
  </si>
  <si>
    <t>1.2</t>
  </si>
  <si>
    <t>MATERIALES Y SUMINISTROS</t>
  </si>
  <si>
    <t>1.2.01</t>
  </si>
  <si>
    <t>PRODUCTOS QUIMICOS Y CONEXOS</t>
  </si>
  <si>
    <t>1.2.01.01</t>
  </si>
  <si>
    <t>2.3.8</t>
  </si>
  <si>
    <t>2.3.8.02</t>
  </si>
  <si>
    <t>2.3.8.02.03</t>
  </si>
  <si>
    <t>Amortizacion de préstamos de instituiciones desentra-</t>
  </si>
  <si>
    <t>lizadas no empresariales</t>
  </si>
  <si>
    <t>2.8</t>
  </si>
  <si>
    <t>2.8.02</t>
  </si>
  <si>
    <t>2.8.02.03</t>
  </si>
  <si>
    <t>Amortización de prestamos de instituciones desentra-</t>
  </si>
  <si>
    <t>Combustibles y Lubricantes</t>
  </si>
  <si>
    <t>1.2.01.04</t>
  </si>
  <si>
    <t>Tintas Pinturas y diluyentes</t>
  </si>
  <si>
    <t>1.2.99</t>
  </si>
  <si>
    <t>UTILES MATERIALES Y SUMINISTROS DIVERSOS</t>
  </si>
  <si>
    <t>1.2.99.01</t>
  </si>
  <si>
    <t>Utiles y materiales de Oficina y Computo</t>
  </si>
  <si>
    <t>1.2.99.05</t>
  </si>
  <si>
    <t>Utiles y Materiales de Limpieza</t>
  </si>
  <si>
    <t>INTERESES Y COMISIONES</t>
  </si>
  <si>
    <t>INTERESES SOBRE PRESTAMOS</t>
  </si>
  <si>
    <t>1.5</t>
  </si>
  <si>
    <t>BIENES DURADEROS</t>
  </si>
  <si>
    <t>1.5.01</t>
  </si>
  <si>
    <t>MAQUINARIA EQUIPO Y MOBILIARIO</t>
  </si>
  <si>
    <t>Equipo y mobiliario de Oficina</t>
  </si>
  <si>
    <t>Equipo y programas de computo</t>
  </si>
  <si>
    <t>1.6</t>
  </si>
  <si>
    <t>1.6.01</t>
  </si>
  <si>
    <t>1.5.01.04</t>
  </si>
  <si>
    <t>1.5.01.05</t>
  </si>
  <si>
    <t>TRANSFERENCIAS CORRIENTES DE SECTOR PUBL</t>
  </si>
  <si>
    <t>1.6.01.01</t>
  </si>
  <si>
    <t>TRANSFERENCIAS CORRIENTES DEL GOB. CENTRAL</t>
  </si>
  <si>
    <t>1.6.01.01.01</t>
  </si>
  <si>
    <t>Organo de Normalización Técnica 1% IBI</t>
  </si>
  <si>
    <t>1.6.01.02</t>
  </si>
  <si>
    <t>TRANSF. CORRIENTES A ORG. DESCONCENTRADOS</t>
  </si>
  <si>
    <t>1.6.01.02.01</t>
  </si>
  <si>
    <t>Junta Administrativa del Registro Nacional</t>
  </si>
  <si>
    <t>1.6.01.02.02</t>
  </si>
  <si>
    <t>Aporte CONAGEBIO 10% Timbre parques nacionales</t>
  </si>
  <si>
    <t>1.6.01.03</t>
  </si>
  <si>
    <t>TRANSF. CORRIENTES A INST. DESENT. NO EMP.</t>
  </si>
  <si>
    <t>1.6.01.03.01</t>
  </si>
  <si>
    <t>Juntas de Educación 10% IBI</t>
  </si>
  <si>
    <t>1.6.01.03.02</t>
  </si>
  <si>
    <t>Consejo Nacional de Rehab. Y Educacion Especial</t>
  </si>
  <si>
    <t>1.6.01.04</t>
  </si>
  <si>
    <t>TRANSFERENCIAS CORRIENTES A GOB. LOCALES</t>
  </si>
  <si>
    <t>1.6.01.04.02</t>
  </si>
  <si>
    <t>Comité Cantonal de Deportes</t>
  </si>
  <si>
    <t>1.6.01.04.03</t>
  </si>
  <si>
    <t>3.2.0</t>
  </si>
  <si>
    <t>3.2.0.01</t>
  </si>
  <si>
    <t>3.2.0.01.01</t>
  </si>
  <si>
    <t>3.2.0.03</t>
  </si>
  <si>
    <t>3.2.0.03.03</t>
  </si>
  <si>
    <t>3.2.0.04</t>
  </si>
  <si>
    <t>3.2.0.04.01</t>
  </si>
  <si>
    <t>3.2.0.04.05</t>
  </si>
  <si>
    <t>3.2.0.05</t>
  </si>
  <si>
    <t>3.2.0.05.03</t>
  </si>
  <si>
    <t>3.0</t>
  </si>
  <si>
    <t>3.0.01</t>
  </si>
  <si>
    <t>3.0.01.01</t>
  </si>
  <si>
    <t>3.0.03</t>
  </si>
  <si>
    <t>3.0.03.03</t>
  </si>
  <si>
    <t>3.0.04</t>
  </si>
  <si>
    <t>3.0.04.01</t>
  </si>
  <si>
    <t>3.0.04.05</t>
  </si>
  <si>
    <t>3.0.05</t>
  </si>
  <si>
    <t>3.0.05.03</t>
  </si>
  <si>
    <t>TRANSFERENCIAS CORRIENTES A PERSONAS</t>
  </si>
  <si>
    <t>Fondo Parques Nacionales</t>
  </si>
  <si>
    <t>AMORTIZACION DE PRESTAMOS</t>
  </si>
  <si>
    <t>2.0.01.01</t>
  </si>
  <si>
    <t>2.0.01</t>
  </si>
  <si>
    <t>2.0</t>
  </si>
  <si>
    <t>2.0.02</t>
  </si>
  <si>
    <t>2.0.02.01</t>
  </si>
  <si>
    <t>2.0.03</t>
  </si>
  <si>
    <t>2.0.03.01</t>
  </si>
  <si>
    <t>2.0.03.03</t>
  </si>
  <si>
    <t>2.0.04</t>
  </si>
  <si>
    <t>2.0.04.01</t>
  </si>
  <si>
    <t>2.0.04.05</t>
  </si>
  <si>
    <t>2.0.05</t>
  </si>
  <si>
    <t>2.0.05.03</t>
  </si>
  <si>
    <t>2.1.01</t>
  </si>
  <si>
    <t>ALQUILERES</t>
  </si>
  <si>
    <t>2.1.01.02</t>
  </si>
  <si>
    <t>Alquiler de maquinaria, Equipo y mobiliario</t>
  </si>
  <si>
    <t>2.1.04</t>
  </si>
  <si>
    <t>2.1.04.06</t>
  </si>
  <si>
    <t>Servicios Generales</t>
  </si>
  <si>
    <t>2.1.02</t>
  </si>
  <si>
    <t>2.1.02.02</t>
  </si>
  <si>
    <t>Servicio de Energia Electrica</t>
  </si>
  <si>
    <t>2.1.06</t>
  </si>
  <si>
    <t>2.1.06.01</t>
  </si>
  <si>
    <t>2.1.07</t>
  </si>
  <si>
    <t>CAPACITACION Y PROTOCOLO</t>
  </si>
  <si>
    <t>2.1.07.02</t>
  </si>
  <si>
    <t>Actividades protocolarias y sociales</t>
  </si>
  <si>
    <t>2.1.08</t>
  </si>
  <si>
    <t>2.1.08.05</t>
  </si>
  <si>
    <t>2.1.08.03</t>
  </si>
  <si>
    <t>Mantenimiento de Instalaciones y otras Obras</t>
  </si>
  <si>
    <t>2.1.99</t>
  </si>
  <si>
    <t>SERVICIOS DIVERSOS</t>
  </si>
  <si>
    <t>2.1.99.01</t>
  </si>
  <si>
    <t>Servicios de regulación</t>
  </si>
  <si>
    <t>2.2</t>
  </si>
  <si>
    <t>2.2.01</t>
  </si>
  <si>
    <t>2.2.01.01</t>
  </si>
  <si>
    <t>2.2.01.04</t>
  </si>
  <si>
    <t>2.2.03</t>
  </si>
  <si>
    <t>MATERIALES Y PRODUCTOS DE USO EN LA CONS</t>
  </si>
  <si>
    <t>TRUCCION Y MANTENIMIENTO</t>
  </si>
  <si>
    <t>2.2.03.01</t>
  </si>
  <si>
    <t>Materiales y productos Metálicos</t>
  </si>
  <si>
    <t>2.2.03.02</t>
  </si>
  <si>
    <t>Materiales y productos Minerales y asfalticos</t>
  </si>
  <si>
    <t>2.2.03.03</t>
  </si>
  <si>
    <t>Maderas y sus derivados</t>
  </si>
  <si>
    <t>2.2.03.06</t>
  </si>
  <si>
    <t>Materiales y productos de plástico</t>
  </si>
  <si>
    <t>2.2.04</t>
  </si>
  <si>
    <t>HERRAMIENTAS REPUESTOS Y ACCESORIOS</t>
  </si>
  <si>
    <t>2.2.04.01</t>
  </si>
  <si>
    <t>Herramientas e Instrumentos</t>
  </si>
  <si>
    <t>2.2.04.02</t>
  </si>
  <si>
    <t>Repuestos y accesorios</t>
  </si>
  <si>
    <t>2.2.02</t>
  </si>
  <si>
    <t>ALIMENTOS Y PRODUCTOS AGROPECUARIOS</t>
  </si>
  <si>
    <t>2.2.02.03</t>
  </si>
  <si>
    <t>Alimentos y bebidas</t>
  </si>
  <si>
    <t>Fondo Plan de Lotificación</t>
  </si>
  <si>
    <t>AMORTIZACION</t>
  </si>
  <si>
    <t>EGRESOS TOTALES</t>
  </si>
  <si>
    <t>SECCION DE EGRESOS</t>
  </si>
  <si>
    <t>DETALLE GENERAL DEL OBJETO DEL GASTO</t>
  </si>
  <si>
    <t>DETALLE DEL OBJETO DEL GASTO PROGRAMA I</t>
  </si>
  <si>
    <t>EGRESOS PROGRAMA I</t>
  </si>
  <si>
    <t>DETALLE DEL OBJETO DEL GASTO PROGRAMA II</t>
  </si>
  <si>
    <t>EGRESOS PROGRAMA II</t>
  </si>
  <si>
    <t>DETALLE DEL OBJETO DEL GASTO PROGRAMA III</t>
  </si>
  <si>
    <t>EGRESOS PROGRAMA III</t>
  </si>
  <si>
    <t>PRESUPUESTO DE EGRESOS PROGRAMA I -  ADMINISTRACION GENERAL</t>
  </si>
  <si>
    <t>TOTAL PROGRAMA I</t>
  </si>
  <si>
    <t>PRESUPUESTO DE EGRESOS PROGRAMA II - SERVICIOS COMUNALES</t>
  </si>
  <si>
    <t>TOTAL PROGRAMA II</t>
  </si>
  <si>
    <t>PRESUPUESTO DE EGRESOS PROGRAMA III -  INVERSIONES</t>
  </si>
  <si>
    <t>TOTAL PROGRAMA III</t>
  </si>
  <si>
    <t>PROGRAMA I: DIRECCION Y ADMINISTRACION GENERALES</t>
  </si>
  <si>
    <t>CLASIFICACION DE EGRESOS</t>
  </si>
  <si>
    <t>ASIGNACION</t>
  </si>
  <si>
    <t>%</t>
  </si>
  <si>
    <t>001</t>
  </si>
  <si>
    <t>ADMINISTRACION GENERAL</t>
  </si>
  <si>
    <t>002</t>
  </si>
  <si>
    <t>AUDITORIA INTERNA</t>
  </si>
  <si>
    <t>004</t>
  </si>
  <si>
    <t>PRESUPUESTO DE EGRESOS SERVICIO 13 - ALCANTARILLADO SANITARIO</t>
  </si>
  <si>
    <t>2.13.1</t>
  </si>
  <si>
    <t>TOTAL SERVICIO 13</t>
  </si>
  <si>
    <t>REGISTRO DE DEUDAS FONDOS Y TRANSFERENC</t>
  </si>
  <si>
    <t>PROGRAMA II: SERVICIOS COMUNALES</t>
  </si>
  <si>
    <t>0.01.03</t>
  </si>
  <si>
    <t>1.04.03</t>
  </si>
  <si>
    <t>Servicios de ingeniería</t>
  </si>
  <si>
    <t>6.01.04</t>
  </si>
  <si>
    <t>1.07.03</t>
  </si>
  <si>
    <t>Gastos de representacion institucional</t>
  </si>
  <si>
    <t>1.04.01</t>
  </si>
  <si>
    <t>1.08.04</t>
  </si>
  <si>
    <t>Manten. Reparac. Maquin. Equipo produc.</t>
  </si>
  <si>
    <t>2.03.99</t>
  </si>
  <si>
    <t>Otros mater. Y product. De uso construc.</t>
  </si>
  <si>
    <t>2.99.08</t>
  </si>
  <si>
    <t>Utiles y materiales de resguardo y segurid.</t>
  </si>
  <si>
    <t>5.02.07</t>
  </si>
  <si>
    <t>5.02.99</t>
  </si>
  <si>
    <t>7.03</t>
  </si>
  <si>
    <t>7.01</t>
  </si>
  <si>
    <t>TRANSF. DE CAPITAL SECTOR PUBL.</t>
  </si>
  <si>
    <t>7.01.03</t>
  </si>
  <si>
    <t>Transf. cap. Inst. desent. No empresariales</t>
  </si>
  <si>
    <t>AMORTIZACION A PRESTAMOS</t>
  </si>
  <si>
    <t>6.01.06</t>
  </si>
  <si>
    <t>Otras transf. corrient. Del sector privado</t>
  </si>
  <si>
    <t>RECOLECCION DE BASURA</t>
  </si>
  <si>
    <t>003</t>
  </si>
  <si>
    <t>MANTENIMIENTO DE CAMINOS Y CALLES</t>
  </si>
  <si>
    <t>CEMENTERIO</t>
  </si>
  <si>
    <t>006</t>
  </si>
  <si>
    <t>ACUEDUCTOS</t>
  </si>
  <si>
    <t>025</t>
  </si>
  <si>
    <t>PROTECCION DEL MEDIO AMBIENTE</t>
  </si>
  <si>
    <t>PROGRAMA III: INVERSIONES</t>
  </si>
  <si>
    <t>VIAS DE COMUNICACIÓN TERRESTRE</t>
  </si>
  <si>
    <t>007</t>
  </si>
  <si>
    <t>OTROS FONDOS E INVERSIONES</t>
  </si>
  <si>
    <t>1.1.0</t>
  </si>
  <si>
    <t>1.1.0.01</t>
  </si>
  <si>
    <t>1.1.0.01.01</t>
  </si>
  <si>
    <t>11.0.01.05</t>
  </si>
  <si>
    <t>1.1.0.02</t>
  </si>
  <si>
    <t>1.1.0.02.01</t>
  </si>
  <si>
    <t>1.1.0.02.05</t>
  </si>
  <si>
    <t>TOTAL ADMINISTRACION GENERAL</t>
  </si>
  <si>
    <t>1.1.0.03</t>
  </si>
  <si>
    <t>1.1.0.03.01</t>
  </si>
  <si>
    <t>1.1.0.03.03</t>
  </si>
  <si>
    <t>1.1.0.04</t>
  </si>
  <si>
    <t>1.1.0.04.01</t>
  </si>
  <si>
    <t>1.1.0.04.05</t>
  </si>
  <si>
    <t>1.1.0.05</t>
  </si>
  <si>
    <t>1.1.1</t>
  </si>
  <si>
    <t>1.1.1.02</t>
  </si>
  <si>
    <t>1.1.1.02.02</t>
  </si>
  <si>
    <t>1.1.1.02.04</t>
  </si>
  <si>
    <t>1.1.1.03</t>
  </si>
  <si>
    <t>1.1.1.03.03</t>
  </si>
  <si>
    <t>1.1.1.04</t>
  </si>
  <si>
    <t>1.1.1.06</t>
  </si>
  <si>
    <t>1.1.1.06.01</t>
  </si>
  <si>
    <t>1.1.1.08</t>
  </si>
  <si>
    <t>1.1.1.08.05</t>
  </si>
  <si>
    <t>1.1.2.01</t>
  </si>
  <si>
    <t>1.1.2</t>
  </si>
  <si>
    <t>1.1.2.01.01</t>
  </si>
  <si>
    <t>1.1.2.01.04</t>
  </si>
  <si>
    <t>1.1.2.99</t>
  </si>
  <si>
    <t>1.1.2.99.01</t>
  </si>
  <si>
    <t>1.1.2.99.05</t>
  </si>
  <si>
    <t>1.1.5</t>
  </si>
  <si>
    <t>1.1.5.01</t>
  </si>
  <si>
    <t>1.1.5.01.04</t>
  </si>
  <si>
    <t>1.1.5.01.05</t>
  </si>
  <si>
    <t>PRESUPUESTO DE EGRESOS PROGRAMA I -  AUDITORIA INTERNA</t>
  </si>
  <si>
    <t>1.2.0</t>
  </si>
  <si>
    <t>1.2.0.01</t>
  </si>
  <si>
    <t>1.2.0.01.01</t>
  </si>
  <si>
    <t>1.2.0.03.02</t>
  </si>
  <si>
    <t>TOTAL AUDITORIA INTERNA</t>
  </si>
  <si>
    <t>1.2.0.03</t>
  </si>
  <si>
    <t>1.2.0.03.01</t>
  </si>
  <si>
    <t>1.2.0.03.03</t>
  </si>
  <si>
    <t>1.2.0.04</t>
  </si>
  <si>
    <t>1.2.0.04.01</t>
  </si>
  <si>
    <t>1.2.0.04.05</t>
  </si>
  <si>
    <t>1.2.0.05</t>
  </si>
  <si>
    <t>1.2.0.05.03</t>
  </si>
  <si>
    <t>1.2.1</t>
  </si>
  <si>
    <t>1.2.1.06</t>
  </si>
  <si>
    <t>1.2.1.06.01</t>
  </si>
  <si>
    <t>1.2.2</t>
  </si>
  <si>
    <t>1.2.2.99</t>
  </si>
  <si>
    <t>1.2.2.99.01</t>
  </si>
  <si>
    <t>PRESUPUESTO DE EGRESOS PROGRAMA I -  REGISTRO DE DEUDAS FONDOS Y TRANSFERENCIAS</t>
  </si>
  <si>
    <t>TOTAL REGISTRO DE DEUDAS FONDOS Y TRANSFERENCIAS</t>
  </si>
  <si>
    <t>1.4.6</t>
  </si>
  <si>
    <t>1.4.6.01</t>
  </si>
  <si>
    <t>1.4.6.01.01</t>
  </si>
  <si>
    <t>1.4.6.01.01.01</t>
  </si>
  <si>
    <t>1.4.6.01.02</t>
  </si>
  <si>
    <t>1.4.6.01.02.01</t>
  </si>
  <si>
    <t>1.4.6.01.02.02</t>
  </si>
  <si>
    <t>1.4.6.01.03</t>
  </si>
  <si>
    <t>1.4.6.01.03.01</t>
  </si>
  <si>
    <t>1.4.6.01.04</t>
  </si>
  <si>
    <t>1.4.6.01.04.02</t>
  </si>
  <si>
    <t>1.4.6.01.04.03</t>
  </si>
  <si>
    <t>2.2.1</t>
  </si>
  <si>
    <t>TOTAL SERVICIO 2</t>
  </si>
  <si>
    <t>2.3.0</t>
  </si>
  <si>
    <t>2.3.0.01</t>
  </si>
  <si>
    <t>2.3.0.01.01</t>
  </si>
  <si>
    <t>2.3.0.02</t>
  </si>
  <si>
    <t>2.3.0.02.01</t>
  </si>
  <si>
    <t>2.3.0.03</t>
  </si>
  <si>
    <t>2.3.0.03.01</t>
  </si>
  <si>
    <t>2.3.0.03.03</t>
  </si>
  <si>
    <t>2.3.0.04</t>
  </si>
  <si>
    <t>2.3.0.04.01</t>
  </si>
  <si>
    <t>2.3.0.04.05</t>
  </si>
  <si>
    <t>2.3.0.05</t>
  </si>
  <si>
    <t>2.3.0.05.03</t>
  </si>
  <si>
    <t>2.3.1</t>
  </si>
  <si>
    <t>2.3.1.06</t>
  </si>
  <si>
    <t>2.3.1.06.01</t>
  </si>
  <si>
    <t>2.3.1.08</t>
  </si>
  <si>
    <t>2.3.2</t>
  </si>
  <si>
    <t>2.3.2.01</t>
  </si>
  <si>
    <t>2.3.2.01.01</t>
  </si>
  <si>
    <t>2.3.2.03</t>
  </si>
  <si>
    <t>2.3.2.03.02</t>
  </si>
  <si>
    <t>2.3.2.04</t>
  </si>
  <si>
    <t>TOTAL SERVICIO 3</t>
  </si>
  <si>
    <t>2.4.0.01</t>
  </si>
  <si>
    <t>2.4.0.01.01</t>
  </si>
  <si>
    <t>2.4.0.02</t>
  </si>
  <si>
    <t>2.4.0.02.01</t>
  </si>
  <si>
    <t>2.4.0.03</t>
  </si>
  <si>
    <t>2.4.0.03.01</t>
  </si>
  <si>
    <t>2.4.0.03.03</t>
  </si>
  <si>
    <t>2.4.0.04</t>
  </si>
  <si>
    <t>2.4.0.04.01</t>
  </si>
  <si>
    <t>2.4.0.04.05</t>
  </si>
  <si>
    <t>2.4.0.05</t>
  </si>
  <si>
    <t>2.4.0.05.03</t>
  </si>
  <si>
    <t>2.4.1.06</t>
  </si>
  <si>
    <t>2.4.1.06.01</t>
  </si>
  <si>
    <t>TOTAL SERVICIO 4</t>
  </si>
  <si>
    <t>2.6.0</t>
  </si>
  <si>
    <t>PRESUPUESTO DE EGRESOS SERVICIO 2 - RECOLECCION DE BASURA</t>
  </si>
  <si>
    <t>PRESUPUESTO DE EGRESOS SERVICIO 3 - MANTENIMIENTO CAMINOS Y CALLES</t>
  </si>
  <si>
    <t>PRESUPUESTO DE EGRESOS SERVICIO 4 - CEMENTERIO</t>
  </si>
  <si>
    <t>PRESUPUESTO DE EGRESOS SERVICIO 6 - ACUEDUCTO</t>
  </si>
  <si>
    <t>2.6.0.01</t>
  </si>
  <si>
    <t>2.6.0.01.01</t>
  </si>
  <si>
    <t>2.6.0.02</t>
  </si>
  <si>
    <t>2.6.0.02.01</t>
  </si>
  <si>
    <t>2.6.0.03</t>
  </si>
  <si>
    <t>2.6.0.03.01</t>
  </si>
  <si>
    <t>2.3.1.08.04</t>
  </si>
  <si>
    <t>Manten. Y Reparac. Maqu. Equipo Producción</t>
  </si>
  <si>
    <t>2.1.08.04</t>
  </si>
  <si>
    <t>Manten. Repar. Maquinaria Equipo Producción</t>
  </si>
  <si>
    <t>2.1.2</t>
  </si>
  <si>
    <t>HERRAMIENTAS REPUESTOS ACCESORIOS</t>
  </si>
  <si>
    <t>2.3.2.03.06</t>
  </si>
  <si>
    <t>2.3.2.99.06</t>
  </si>
  <si>
    <t>2.6.1.03</t>
  </si>
  <si>
    <t>2.6.1.03.02</t>
  </si>
  <si>
    <t>2.1.03.02</t>
  </si>
  <si>
    <t>2.10.2.99.99</t>
  </si>
  <si>
    <t>Otros útiles, materiales y suministros</t>
  </si>
  <si>
    <t>2.25.2.99.04</t>
  </si>
  <si>
    <t>Textiles y vestuarios</t>
  </si>
  <si>
    <t>3.2.1</t>
  </si>
  <si>
    <t>INGRESOS DE LA PROPIEDAD</t>
  </si>
  <si>
    <t>RENTA DE ACTIVOS FINANCIEROS</t>
  </si>
  <si>
    <t>OTRAS RENTAS DE ACTIVOS FINANCIEROS</t>
  </si>
  <si>
    <t>Intereses sobre cuentas corrientes y otros dep. Bancos Est.</t>
  </si>
  <si>
    <t>1.3.2.0.00.00.0.0.000</t>
  </si>
  <si>
    <t>1.3.2.3.00.00.0.0.000</t>
  </si>
  <si>
    <t>1.3.2.3.03.00.0.0.000</t>
  </si>
  <si>
    <t>1.3.2.3.03.01.0.0.000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</si>
  <si>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</si>
  <si>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</si>
  <si>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</si>
  <si>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</si>
  <si>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</si>
  <si>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</si>
  <si>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1.3.3.1.09.01.0.0.000</t>
  </si>
  <si>
    <t>Otras multas sobre permisos de construcción</t>
  </si>
  <si>
    <t>PRESTACIONES</t>
  </si>
  <si>
    <t>Prestaciones legales</t>
  </si>
  <si>
    <t>MATER. Y PRODUC. DE USO EN LA CONS. MANT.</t>
  </si>
  <si>
    <t>6.03.01</t>
  </si>
  <si>
    <t>ADQUISICIÓN DE BIENES Y SERVICIOS (ARTÍCULO 3 DEL REGLAMENTO SOBRE</t>
  </si>
  <si>
    <t>REFRENDO DE LAS CONTRATACIONES DE LA ADMINISTRACION PUBLICA)</t>
  </si>
  <si>
    <t>TOTAL SERVICIO 28</t>
  </si>
  <si>
    <t>Intereses s/ cuentas corientes y otros dep.</t>
  </si>
  <si>
    <t>1.3.3..09.01.0.0.000</t>
  </si>
  <si>
    <t>Otras multas s/permisos de construcción</t>
  </si>
  <si>
    <t>Recoleccion de basura</t>
  </si>
  <si>
    <t>Sumas libres sin asignación presupuestaria</t>
  </si>
  <si>
    <t>2.2.1.04</t>
  </si>
  <si>
    <t>2.2.1.04.06</t>
  </si>
  <si>
    <t>9.02.01</t>
  </si>
  <si>
    <t>3.2.0.03.01</t>
  </si>
  <si>
    <t>3.0.03.01</t>
  </si>
  <si>
    <t>SEGUROS REASEGUROS Y OTRAS OBLIGACIONES</t>
  </si>
  <si>
    <t>3.2.1.06</t>
  </si>
  <si>
    <t>3.2.1.06.01</t>
  </si>
  <si>
    <t>3.1.06</t>
  </si>
  <si>
    <t>3.1.06.01</t>
  </si>
  <si>
    <t xml:space="preserve">Seguros. </t>
  </si>
  <si>
    <t>MONTO DEL PRESUPUESTO ORDINARIO</t>
  </si>
  <si>
    <t>Límite para gastos administración 40%</t>
  </si>
  <si>
    <t>de los ingresos ordinarios (art.93 del C.M.)</t>
  </si>
  <si>
    <t>Gastos de administración aplicados</t>
  </si>
  <si>
    <t>GASTOS DE ADMINISTRACION</t>
  </si>
  <si>
    <t>Remuneraciones, servicios,materiales y suministros, intereses y comisiones.</t>
  </si>
  <si>
    <t>1.1.1.01.03</t>
  </si>
  <si>
    <t>Alquiler de equipo de computo</t>
  </si>
  <si>
    <t>1.1.01.03</t>
  </si>
  <si>
    <t>1.1.1.02.03</t>
  </si>
  <si>
    <t>Servicios de correo</t>
  </si>
  <si>
    <t>1.1.02.03</t>
  </si>
  <si>
    <t>1.1.1.04.99</t>
  </si>
  <si>
    <t>Otros servicios de gestion y apoyo</t>
  </si>
  <si>
    <t>Servicios de Ingeniería</t>
  </si>
  <si>
    <t>1.1.04.99</t>
  </si>
  <si>
    <t>1.1.1.05</t>
  </si>
  <si>
    <t>GASTOS DE VIAJE Y DE TRANSPORTE</t>
  </si>
  <si>
    <t>1.1.1.05.01</t>
  </si>
  <si>
    <t>1.1.1.05.02</t>
  </si>
  <si>
    <t>1.1.05</t>
  </si>
  <si>
    <t>1.1.05.01</t>
  </si>
  <si>
    <t>1.1.05.02</t>
  </si>
  <si>
    <t>1.1.1.09</t>
  </si>
  <si>
    <t>IMPUESTOS</t>
  </si>
  <si>
    <t>1.1.1.09.99</t>
  </si>
  <si>
    <t>Otros impuestos</t>
  </si>
  <si>
    <t>1.1.09</t>
  </si>
  <si>
    <t>1.1.09.99</t>
  </si>
  <si>
    <t>1.1.2.01.02</t>
  </si>
  <si>
    <t>Productos farmaceuticos y medicinales</t>
  </si>
  <si>
    <t>1.2.01.02</t>
  </si>
  <si>
    <t>1.1.2.03.04</t>
  </si>
  <si>
    <t>Materiales y prod. Electr. Telef. Y de computo</t>
  </si>
  <si>
    <t>1.2.03.04</t>
  </si>
  <si>
    <t>Materiales y produc. Electr. Telf. Y de computo</t>
  </si>
  <si>
    <t>1.1.2.04</t>
  </si>
  <si>
    <t>1.1.2.04.01</t>
  </si>
  <si>
    <t>1.1.2.04.02</t>
  </si>
  <si>
    <t>1.2.04</t>
  </si>
  <si>
    <t>1.2.04.01</t>
  </si>
  <si>
    <t>1.2.04.02</t>
  </si>
  <si>
    <t>Equipo sanitario de laboratorio e investigación</t>
  </si>
  <si>
    <t>2.2.99.05</t>
  </si>
  <si>
    <t>2.3.1.01</t>
  </si>
  <si>
    <t>2.3.1.01.02</t>
  </si>
  <si>
    <t>2.3.1.04</t>
  </si>
  <si>
    <t>2.3.1.04.99</t>
  </si>
  <si>
    <t>2.3.1.08.99</t>
  </si>
  <si>
    <t>Mantenimiento y reparación de otros equipos</t>
  </si>
  <si>
    <t>2.1.04.03</t>
  </si>
  <si>
    <t>Servicios de ingenieria</t>
  </si>
  <si>
    <t>2.1.08.99</t>
  </si>
  <si>
    <t>2.3.1.09</t>
  </si>
  <si>
    <t>2.3.1.09.99</t>
  </si>
  <si>
    <t>2.1.09</t>
  </si>
  <si>
    <t>2.1.09.99</t>
  </si>
  <si>
    <t>2.2.99.06</t>
  </si>
  <si>
    <t>2.6.1.04.03</t>
  </si>
  <si>
    <t>2.6.1.07</t>
  </si>
  <si>
    <t>2.6.1.07.01</t>
  </si>
  <si>
    <t>2.1.07.01</t>
  </si>
  <si>
    <t>2.3.2.01.99</t>
  </si>
  <si>
    <t>2.6.2.03.04</t>
  </si>
  <si>
    <t>Materiles y productos, telefonicos y de computo</t>
  </si>
  <si>
    <t>2.2.03.04</t>
  </si>
  <si>
    <t>Materiales y productos electricos, telefonicos y comp.</t>
  </si>
  <si>
    <t>Servicios Generales (persona jóven)</t>
  </si>
  <si>
    <t>2.1.05</t>
  </si>
  <si>
    <t>2.1.05.01</t>
  </si>
  <si>
    <t>2.13.2</t>
  </si>
  <si>
    <t>2.13.2.04.</t>
  </si>
  <si>
    <t>2.13.2.04.01</t>
  </si>
  <si>
    <t>2.13.2.99</t>
  </si>
  <si>
    <t>2.13.2.99.05</t>
  </si>
  <si>
    <t>2.13.2.99.06</t>
  </si>
  <si>
    <t>2.22.2</t>
  </si>
  <si>
    <t>2.1.03.01</t>
  </si>
  <si>
    <t>2.25.2.03</t>
  </si>
  <si>
    <t>MATERIALES Y PRODUCT. DE USO CONTRUC.</t>
  </si>
  <si>
    <t>2.25.2.03.03</t>
  </si>
  <si>
    <t>3.1.04</t>
  </si>
  <si>
    <t>1.1.2.99.99</t>
  </si>
  <si>
    <t>1.2.99.99</t>
  </si>
  <si>
    <t>2.3.2.99.05</t>
  </si>
  <si>
    <t>1.3.1.2.05.01.0.0.000</t>
  </si>
  <si>
    <t>Servicios de alcantarillado sanitario y pluvial</t>
  </si>
  <si>
    <t>2.13.1.08</t>
  </si>
  <si>
    <t>2.13.1.08.03</t>
  </si>
  <si>
    <t>Mantenimiento de instalaciones y otras obras</t>
  </si>
  <si>
    <t>3.2.0.03.02</t>
  </si>
  <si>
    <t>3.0.03.02</t>
  </si>
  <si>
    <t>Retribución al ejercicio liberal de la profecion</t>
  </si>
  <si>
    <t>Impresión encuadernacion y otros</t>
  </si>
  <si>
    <t>Alcantarillado sanitario y pluvial</t>
  </si>
  <si>
    <t>07</t>
  </si>
  <si>
    <t>1.01.03</t>
  </si>
  <si>
    <t>1.09.99</t>
  </si>
  <si>
    <t>1.02.03</t>
  </si>
  <si>
    <t>2.01.02</t>
  </si>
  <si>
    <t>Productos medicinales y farmaceuticos</t>
  </si>
  <si>
    <t>5.10.06</t>
  </si>
  <si>
    <t>Equipo sanitario de laboratorio e investigac.</t>
  </si>
  <si>
    <t>4-Pr-1354-0112</t>
  </si>
  <si>
    <t>Plan regulador</t>
  </si>
  <si>
    <t>SALARIO DEL ALCALDE Y VICE-ALCALDESA</t>
  </si>
  <si>
    <t>Salario base Vice-Alcaldesa 80% salario base del</t>
  </si>
  <si>
    <t>Alcalde artículo 20 del Código Municipal</t>
  </si>
  <si>
    <t>SALARIO DE LA VICE-ALCALDESA</t>
  </si>
  <si>
    <t>MAS</t>
  </si>
  <si>
    <t>ELABORADO POR: ALLEN BARRANTES NÚÑEZ</t>
  </si>
  <si>
    <t>2.4.0</t>
  </si>
  <si>
    <t>GERARDO ROJAS BARRANTES</t>
  </si>
  <si>
    <t>ALCALDE MUNICIPAL</t>
  </si>
  <si>
    <t>ANEXO 8</t>
  </si>
  <si>
    <t>INCENTIVOS SALARIALES QUE SE RECONOCEN EN LA ENTIDAD</t>
  </si>
  <si>
    <t>INCENTIVO SALARIAL</t>
  </si>
  <si>
    <t>BASE LEGAL</t>
  </si>
  <si>
    <t>PROCEDIMIENTO DE CÁLCULO</t>
  </si>
  <si>
    <t>OTRA INFORMACIÓN IMPORTANTE</t>
  </si>
  <si>
    <t>La Administración debe contar con los expedientes correspondientes para los casos donde otorgue incentivos salariales, estableciendo el fundamento jurídico y el estudio técnico realizado y estar disponibles como parte del Componente Sistemas de Información que establece el artículo 16 de la Ley General de Control Interno.</t>
  </si>
  <si>
    <t>Anualidad</t>
  </si>
  <si>
    <t>Prohibición del ejercicio liberal de la profeción</t>
  </si>
  <si>
    <t>Dedicación exclusiva</t>
  </si>
  <si>
    <t>Ley 8422</t>
  </si>
  <si>
    <t>Ley 6835</t>
  </si>
  <si>
    <t>Ley 6008</t>
  </si>
  <si>
    <t>3% sobre el salario base</t>
  </si>
  <si>
    <t>65% sobre el salario base</t>
  </si>
  <si>
    <t>55% sobre el salario base</t>
  </si>
  <si>
    <t>1.1.0.05.03</t>
  </si>
  <si>
    <t>1.1.0.05.01</t>
  </si>
  <si>
    <t>Contrib.Patronal al seguro de pensiones de la C.C.S.S.</t>
  </si>
  <si>
    <t>1.0.05.01</t>
  </si>
  <si>
    <t>2.0.05.01</t>
  </si>
  <si>
    <t>2.3.0.05.01</t>
  </si>
  <si>
    <t>2.4.0.05.01</t>
  </si>
  <si>
    <t>2.6.0.05.01</t>
  </si>
  <si>
    <t>2.10.0.05.01</t>
  </si>
  <si>
    <t>3.2.0.05.01</t>
  </si>
  <si>
    <t>3.0.05.01</t>
  </si>
  <si>
    <t>1.01.02</t>
  </si>
  <si>
    <t>Alquiler de maquinaria equipo y mob.</t>
  </si>
  <si>
    <t>2.10.0.03.02</t>
  </si>
  <si>
    <t>2.4.1.2.00.00.0.0.000</t>
  </si>
  <si>
    <t>TRANSFERENCIAS DE CAP. DE ORGANOS DESCONC.</t>
  </si>
  <si>
    <t>2.4.1.2.02.00.0.0.000</t>
  </si>
  <si>
    <t>Aporte FODESAF PARA CECUDI</t>
  </si>
  <si>
    <t>1.3.1.2.09.00.0.0.000</t>
  </si>
  <si>
    <t>OTROS SERVICIOS</t>
  </si>
  <si>
    <t>1.3.1.2.09.09.0.0.000</t>
  </si>
  <si>
    <t>Servicio de Certificaciones</t>
  </si>
  <si>
    <t>1.2.1.07</t>
  </si>
  <si>
    <t>1.2.1.07.01</t>
  </si>
  <si>
    <t>2.1.1</t>
  </si>
  <si>
    <t>2.1.1.08</t>
  </si>
  <si>
    <t>2.1.1.08.99</t>
  </si>
  <si>
    <t>2.1.2.</t>
  </si>
  <si>
    <t>2.1.2.99</t>
  </si>
  <si>
    <t>2.1.2.03</t>
  </si>
  <si>
    <t>MATERIALES Y PROD. USO CONSTRUC. MANTEN.</t>
  </si>
  <si>
    <t>2.1.2.03.03</t>
  </si>
  <si>
    <t>2.3.2.04.02</t>
  </si>
  <si>
    <t>2.3.5</t>
  </si>
  <si>
    <t>2.3.5.01</t>
  </si>
  <si>
    <t>2.3.5.01.99</t>
  </si>
  <si>
    <t>2.6.1.02.99</t>
  </si>
  <si>
    <t>2.1.02.99</t>
  </si>
  <si>
    <t>2.6.1.05</t>
  </si>
  <si>
    <t>2.6.1.05.01</t>
  </si>
  <si>
    <t>2.6.1.08.08</t>
  </si>
  <si>
    <t>Mantenim. y reparac. equipo de computo y sist. Informac.</t>
  </si>
  <si>
    <t>2.1.08.08</t>
  </si>
  <si>
    <t>Manten. Repar. Equipo de computo y sistemas inform.</t>
  </si>
  <si>
    <t>2.6.5.01.04</t>
  </si>
  <si>
    <t>2.6.5.01.05</t>
  </si>
  <si>
    <t>2.5.01.05</t>
  </si>
  <si>
    <t>2.6.5.02.99</t>
  </si>
  <si>
    <t>2.5.02.99</t>
  </si>
  <si>
    <t>2.22.1</t>
  </si>
  <si>
    <t>2.22.1.01</t>
  </si>
  <si>
    <t>2.22.1.01.02</t>
  </si>
  <si>
    <t>2.22.1.07</t>
  </si>
  <si>
    <t>2.22.1.07.01</t>
  </si>
  <si>
    <t>2.22.2.04</t>
  </si>
  <si>
    <t>2.22.2.04.01</t>
  </si>
  <si>
    <t>2.22.2.99</t>
  </si>
  <si>
    <t>UTILES MATERIALES Y SUMINIST. DIVERSOS</t>
  </si>
  <si>
    <t>2.22.2.99.06</t>
  </si>
  <si>
    <t>Utiles materiales de resguardo y seguridad</t>
  </si>
  <si>
    <t>PRESUPUESTO DE EGRESOS PROGRAMA III -  OTROS PROYECTOS</t>
  </si>
  <si>
    <t>3.6.1</t>
  </si>
  <si>
    <t>3.6.1.04</t>
  </si>
  <si>
    <t>TOTAL PROYECTO 6</t>
  </si>
  <si>
    <t>Equipo de transporte</t>
  </si>
  <si>
    <t>2.25.2.99.03</t>
  </si>
  <si>
    <t>OTROS PROYECTOS</t>
  </si>
  <si>
    <t>1.3.1.2.09.09.2.0.000</t>
  </si>
  <si>
    <t>2.1.2.1.01.00.0.0.000</t>
  </si>
  <si>
    <t>Otros proyectos</t>
  </si>
  <si>
    <t>Intereses sobre préstamos</t>
  </si>
  <si>
    <t>Mantenimiento Caminos</t>
  </si>
  <si>
    <t>Emergencias cantonales</t>
  </si>
  <si>
    <t>Recolección de basura</t>
  </si>
  <si>
    <t>5.01.02</t>
  </si>
  <si>
    <t>3.6.1.04.06</t>
  </si>
  <si>
    <t>Servicios Generales CECUDI</t>
  </si>
  <si>
    <t>3.1.04.06</t>
  </si>
  <si>
    <t>Aporte FODESAF para CECUDI</t>
  </si>
  <si>
    <t>1.1.1.08.08</t>
  </si>
  <si>
    <t>Mantenim. y reparac. Equipo de comp. Sist.informac</t>
  </si>
  <si>
    <t>1.1.08.08</t>
  </si>
  <si>
    <t>Manten. Y reparac. Equi`po comp. Y sistem. Informac.</t>
  </si>
  <si>
    <t>1.4.6.06.02</t>
  </si>
  <si>
    <t>Reintegros o devoluciones</t>
  </si>
  <si>
    <t>Reintgros y devoluciones</t>
  </si>
  <si>
    <t>Reintegros y devoluciones</t>
  </si>
  <si>
    <t>SERVICIO DE LA DEUDA</t>
  </si>
  <si>
    <t>PRESTATARIA</t>
  </si>
  <si>
    <t>ORDINARIO 2015</t>
  </si>
  <si>
    <t>PRESUPUESTO ORDINARIO 2015</t>
  </si>
  <si>
    <t>1.6.06</t>
  </si>
  <si>
    <t>1.6.06.02</t>
  </si>
  <si>
    <t>2.3.2.01.02</t>
  </si>
  <si>
    <t>2.2.01.02</t>
  </si>
  <si>
    <t>2.3.2.01.04</t>
  </si>
  <si>
    <t>2.6.1.03.01</t>
  </si>
  <si>
    <t>2.6.5.01.06</t>
  </si>
  <si>
    <t>Equipo sanitario, de laboratorio e investigación(Hidrom)</t>
  </si>
  <si>
    <t>2.5.01.06</t>
  </si>
  <si>
    <t>2.13.2.01</t>
  </si>
  <si>
    <t>2.13.2.01.01</t>
  </si>
  <si>
    <t>2.13.2.01.02</t>
  </si>
  <si>
    <t>2.13.2.99.99</t>
  </si>
  <si>
    <t>3.2.1.04</t>
  </si>
  <si>
    <t>3.2.1.04.03</t>
  </si>
  <si>
    <t>3.1.04.03</t>
  </si>
  <si>
    <t>3.2.5.02.02.02</t>
  </si>
  <si>
    <t>Señalamiento de calles</t>
  </si>
  <si>
    <t>3.7.7</t>
  </si>
  <si>
    <t>3.7.7.03</t>
  </si>
  <si>
    <t>TRANSF. CAPITAL A ENTID.PRIV.SIN FINES LUCRO</t>
  </si>
  <si>
    <t>3.7.7.03.01</t>
  </si>
  <si>
    <t>TRANSFERENCIAS DE CAPITAL A ASOCIACIONES</t>
  </si>
  <si>
    <t>3.7.7.03.01.01</t>
  </si>
  <si>
    <t>3.7.7.03.01.02</t>
  </si>
  <si>
    <t>Aporte a la Cruz Roja de Flores</t>
  </si>
  <si>
    <t>3.7.7.03.01.03</t>
  </si>
  <si>
    <t>Aporte CENCINAI de Flores</t>
  </si>
  <si>
    <t>3.7.03</t>
  </si>
  <si>
    <t>3.7.03.01</t>
  </si>
  <si>
    <t>3.7.03.01.01</t>
  </si>
  <si>
    <t>3.7.03.01.02</t>
  </si>
  <si>
    <t>Aporte Cruz Roja de Flores</t>
  </si>
  <si>
    <t>3-002-045433</t>
  </si>
  <si>
    <t>Ley 7136</t>
  </si>
  <si>
    <t>Contratar chofer para ambulancia</t>
  </si>
  <si>
    <t>3-002-351622</t>
  </si>
  <si>
    <t>Ley 8809</t>
  </si>
  <si>
    <t>Mant.Instalac.buseta para traslado de niños</t>
  </si>
  <si>
    <t>2.2.1.06</t>
  </si>
  <si>
    <t>2.2.1.06.01</t>
  </si>
  <si>
    <t>2.2.0</t>
  </si>
  <si>
    <t>2.2.0.01</t>
  </si>
  <si>
    <t>2.2.0.01.01</t>
  </si>
  <si>
    <t>2.2.0.03</t>
  </si>
  <si>
    <t>2.2.0.03.01</t>
  </si>
  <si>
    <t>2.2.0.03.03</t>
  </si>
  <si>
    <t>2.2.0.04</t>
  </si>
  <si>
    <t>2.2.0.04.01</t>
  </si>
  <si>
    <t>2.2.0.04.05</t>
  </si>
  <si>
    <t>2.2.0.05</t>
  </si>
  <si>
    <t>2.2.0.05.01</t>
  </si>
  <si>
    <t>2.2.0.05.03</t>
  </si>
  <si>
    <t>Otros fondos e inversiones</t>
  </si>
  <si>
    <t>1.0.03.04</t>
  </si>
  <si>
    <t>Salario Escolar</t>
  </si>
  <si>
    <t>1.1.0.03.04</t>
  </si>
  <si>
    <t>1.2.0.03.04</t>
  </si>
  <si>
    <t>2.2.0.03.04</t>
  </si>
  <si>
    <t>2.0.03.04</t>
  </si>
  <si>
    <t>2.3.0.03.04</t>
  </si>
  <si>
    <t>2.4.0.03.04</t>
  </si>
  <si>
    <t>2.6.0.03.04</t>
  </si>
  <si>
    <t>2.10.0.03.04</t>
  </si>
  <si>
    <t>3.0.03.04</t>
  </si>
  <si>
    <t>3.2.0.03.04</t>
  </si>
  <si>
    <t>0.03.04</t>
  </si>
  <si>
    <t>2.6.1.02.01</t>
  </si>
  <si>
    <t>Servicio de Agua y Alcantarillado</t>
  </si>
  <si>
    <t>2.1.2.01</t>
  </si>
  <si>
    <t>Servicio de agua y alcantarillado</t>
  </si>
  <si>
    <t>Aporte Escuela de Llorente de Flores</t>
  </si>
  <si>
    <t>3.7.03.01.03</t>
  </si>
  <si>
    <t>3.7.7.03.01.04</t>
  </si>
  <si>
    <t>3-008-084739</t>
  </si>
  <si>
    <t>Ley 6227</t>
  </si>
  <si>
    <t>Mantenimiento Instalaciones Escuela</t>
  </si>
  <si>
    <t>PRESUPUESTO ORDINARIO PARA EL PERIODO 2016</t>
  </si>
  <si>
    <t>PERIODO 2016</t>
  </si>
  <si>
    <t>PRESUPUESTO ORDINARIO 2016</t>
  </si>
  <si>
    <t>2.2.0.02</t>
  </si>
  <si>
    <t>2.2.0.02.01</t>
  </si>
  <si>
    <t>3.2.0.02</t>
  </si>
  <si>
    <t>3.2.0.02.01</t>
  </si>
  <si>
    <t>3.0.02</t>
  </si>
  <si>
    <t>3.0.02.01</t>
  </si>
  <si>
    <t>2.6.1.09</t>
  </si>
  <si>
    <t>2.6.1.09.99</t>
  </si>
  <si>
    <t>3.2.1.09</t>
  </si>
  <si>
    <t>3.2.1.09.99</t>
  </si>
  <si>
    <t>3.1.09</t>
  </si>
  <si>
    <t>3.1.09.99</t>
  </si>
  <si>
    <t>1.1.1.04.06</t>
  </si>
  <si>
    <t>1.1.04.06</t>
  </si>
  <si>
    <t>1.1.2.99.02</t>
  </si>
  <si>
    <t>Utiles y mat. Médico hospit. Y de investigación</t>
  </si>
  <si>
    <t>1.2.99.02</t>
  </si>
  <si>
    <t>1.1.2.99.03</t>
  </si>
  <si>
    <t>1.2.99.03</t>
  </si>
  <si>
    <t>2.13.0</t>
  </si>
  <si>
    <t>2.13.0.01</t>
  </si>
  <si>
    <t>2.13.0.01.01</t>
  </si>
  <si>
    <t>2.13.0.03</t>
  </si>
  <si>
    <t>2.13.0.03.01</t>
  </si>
  <si>
    <t>2.13.0.03.03</t>
  </si>
  <si>
    <t>2.13.0.03.04</t>
  </si>
  <si>
    <t>2.13.0.04</t>
  </si>
  <si>
    <t>2.13.0.04.01</t>
  </si>
  <si>
    <t>2.13.0.04.05</t>
  </si>
  <si>
    <t>2.13.0.05</t>
  </si>
  <si>
    <t>2.13.0.05.01</t>
  </si>
  <si>
    <t>2.13.0.05.03</t>
  </si>
  <si>
    <t>2.13.1.02</t>
  </si>
  <si>
    <t>2.13.1.02.02</t>
  </si>
  <si>
    <t>2.13.1.04</t>
  </si>
  <si>
    <t>2.13.1.04.06</t>
  </si>
  <si>
    <t>2.13.1.99</t>
  </si>
  <si>
    <t>2.13.1.99.01</t>
  </si>
  <si>
    <t>2.13.2.01.99</t>
  </si>
  <si>
    <t>Otros productos químicos</t>
  </si>
  <si>
    <t>2.13.2.04.02</t>
  </si>
  <si>
    <t>2.13.2.99.04</t>
  </si>
  <si>
    <t>2.13.5</t>
  </si>
  <si>
    <t>2.13.5.02</t>
  </si>
  <si>
    <t>2.13.5.02.07</t>
  </si>
  <si>
    <t>2.1.0.0.00.00.0.0.000</t>
  </si>
  <si>
    <t>VENTA DE ACTIVOS</t>
  </si>
  <si>
    <t>2.1.1.0.00.00.0.0.000</t>
  </si>
  <si>
    <t>VENTA DE ACTIVOS FIJOS</t>
  </si>
  <si>
    <t>2.1.1.3.00.00.0.0.000</t>
  </si>
  <si>
    <t>Venta de maquinaria y equipo</t>
  </si>
  <si>
    <t>Fecha: 21 de agosto 2015</t>
  </si>
  <si>
    <t>2.6.1.08.04</t>
  </si>
  <si>
    <t>2.6.2.99.99</t>
  </si>
  <si>
    <t>Otros utiles materiales y suminiustros</t>
  </si>
  <si>
    <t>2.6.5.01.01</t>
  </si>
  <si>
    <t>Maquinaria y equipo para la producción</t>
  </si>
  <si>
    <t>2.5.01.01</t>
  </si>
  <si>
    <t>CCSS</t>
  </si>
  <si>
    <t>FECHA: 21 DE AGOSTO 2015</t>
  </si>
  <si>
    <t>2.4.2</t>
  </si>
  <si>
    <t>2.4.2.01</t>
  </si>
  <si>
    <t>2.4.2.01.01</t>
  </si>
  <si>
    <t>2.4.2.01.04</t>
  </si>
  <si>
    <t>2.4.2.01.99</t>
  </si>
  <si>
    <t>2.4.2.04</t>
  </si>
  <si>
    <t>2.4.2.04.01</t>
  </si>
  <si>
    <t>2.4.2.04.02</t>
  </si>
  <si>
    <t>PRESUPUESTO DE EGRESOS SERVICIO 09 EDUCATIVOS, CULTURALES Y DEPORTIVOS</t>
  </si>
  <si>
    <t>2.9.1</t>
  </si>
  <si>
    <t>2.9.1.07</t>
  </si>
  <si>
    <t>2.9.1.07.02</t>
  </si>
  <si>
    <t>TOTAL SERVICIO 9</t>
  </si>
  <si>
    <t>2.10.2.99.01</t>
  </si>
  <si>
    <t>3.7.7.03.01.05</t>
  </si>
  <si>
    <t>Aporte Junta Educ. Escuela de Llorente de Flores</t>
  </si>
  <si>
    <t>Aporte Junta Educ. Escuela Ramón Barrantes H.</t>
  </si>
  <si>
    <t>Aporte Junta Admin. Liceo Regional de Flores</t>
  </si>
  <si>
    <t>3.7.7.03.01.06</t>
  </si>
  <si>
    <t>Aporte Junta Admin. Colegio Técnico Profecional Flores</t>
  </si>
  <si>
    <t>3.7.03.01.05</t>
  </si>
  <si>
    <t>3.7.03.01.04</t>
  </si>
  <si>
    <t>3.7.03.01.06</t>
  </si>
  <si>
    <t>Aporte Escuela Ramón Barrantes Herrera</t>
  </si>
  <si>
    <t>Aporte Liceo Regional de Flores</t>
  </si>
  <si>
    <t>3-008-087476</t>
  </si>
  <si>
    <t>3-008-084968</t>
  </si>
  <si>
    <t>3-008-261241</t>
  </si>
  <si>
    <t>Aporte Colegio Técnico Profecional de Flores</t>
  </si>
  <si>
    <t>Mantenimiento Instalaciones</t>
  </si>
  <si>
    <t>FECHA: 25 DE AGOSTO DEL 2015</t>
  </si>
  <si>
    <t>Fecha: 25 de agosto 2015</t>
  </si>
  <si>
    <t>Fecha: 25 de agosto del 2015</t>
  </si>
  <si>
    <t>Arreglo de pago</t>
  </si>
  <si>
    <t>2.99.02</t>
  </si>
  <si>
    <t>Utiles Mater. Médico Hosp. E investigación</t>
  </si>
  <si>
    <t>1.02.01</t>
  </si>
  <si>
    <t>5.01.01</t>
  </si>
  <si>
    <t>Maquinaria y equipo para la produccion</t>
  </si>
  <si>
    <t>aplicaciones dadas por la Municipalidad a la totalidad de los recursos con origen específico incorporados en el Presupuesto Ordinario del 2016.</t>
  </si>
  <si>
    <t>2.2.1.01</t>
  </si>
  <si>
    <t>2.1.1.01.01</t>
  </si>
  <si>
    <t>Alquiler de edificios, locales y terrenos</t>
  </si>
  <si>
    <t>2.1.01.01</t>
  </si>
  <si>
    <t>Alquiler de Edificios, locales y terrenos</t>
  </si>
  <si>
    <t>FECHA:  25 DE AGOSTO DEL 2015</t>
  </si>
  <si>
    <t>009</t>
  </si>
  <si>
    <t>EDUCATIVOS, CULTURALES Y DEPORTIVOS</t>
  </si>
  <si>
    <t>9</t>
  </si>
  <si>
    <t>Culturales y deportivos</t>
  </si>
  <si>
    <t>FECHA: 27 DE AGOSTO DEL 2015</t>
  </si>
  <si>
    <t>Aporte Junta Educ. Jardin de Niños Escuela EEUU</t>
  </si>
  <si>
    <t>3.7.03.01.07</t>
  </si>
  <si>
    <t>3.7.7.03.01.07</t>
  </si>
  <si>
    <t>1.1.1.04.04</t>
  </si>
  <si>
    <t>Servicios en ciencias economicas y sociales</t>
  </si>
  <si>
    <t>1.1.04.04</t>
  </si>
  <si>
    <t>Servicios ciencias economicas y sociales</t>
  </si>
  <si>
    <t>2.4.1.08</t>
  </si>
  <si>
    <t>Mantenimiento y Reparación</t>
  </si>
  <si>
    <t>Mantenimiento de instalaciones y otra obras</t>
  </si>
  <si>
    <t>2.4.1.08.03</t>
  </si>
  <si>
    <t>3-008-666878</t>
  </si>
  <si>
    <t>32/33/35</t>
  </si>
  <si>
    <t>32/34/36/37</t>
  </si>
</sst>
</file>

<file path=xl/styles.xml><?xml version="1.0" encoding="utf-8"?>
<styleSheet xmlns="http://schemas.openxmlformats.org/spreadsheetml/2006/main">
  <numFmts count="2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.00"/>
    <numFmt numFmtId="173" formatCode="&quot;C&quot;#,##0.00"/>
    <numFmt numFmtId="174" formatCode="[$₡-140A]#,##0.00"/>
    <numFmt numFmtId="175" formatCode="_-* #,##0.00\ &quot;pta&quot;_-;\-* #,##0.00\ &quot;pta&quot;_-;_-* &quot;-&quot;??\ &quot;pta&quot;_-;_-@_-"/>
    <numFmt numFmtId="176" formatCode="00000"/>
    <numFmt numFmtId="177" formatCode="0.0%"/>
  </numFmts>
  <fonts count="7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8"/>
      <name val="Tahoma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color indexed="9"/>
      <name val="Tahoma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sz val="8.7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9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172" fontId="2" fillId="0" borderId="15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10" fontId="2" fillId="0" borderId="16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5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7" fillId="0" borderId="12" xfId="0" applyFont="1" applyBorder="1" applyAlignment="1">
      <alignment/>
    </xf>
    <xf numFmtId="172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172" fontId="2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/>
    </xf>
    <xf numFmtId="172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10" fontId="9" fillId="0" borderId="0" xfId="0" applyNumberFormat="1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/>
    </xf>
    <xf numFmtId="172" fontId="9" fillId="0" borderId="21" xfId="0" applyNumberFormat="1" applyFont="1" applyBorder="1" applyAlignment="1">
      <alignment/>
    </xf>
    <xf numFmtId="10" fontId="9" fillId="0" borderId="22" xfId="0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172" fontId="9" fillId="0" borderId="25" xfId="0" applyNumberFormat="1" applyFont="1" applyBorder="1" applyAlignment="1">
      <alignment/>
    </xf>
    <xf numFmtId="10" fontId="9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29" xfId="0" applyFont="1" applyBorder="1" applyAlignment="1">
      <alignment horizontal="center"/>
    </xf>
    <xf numFmtId="172" fontId="0" fillId="0" borderId="21" xfId="0" applyNumberFormat="1" applyBorder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9" fillId="0" borderId="26" xfId="0" applyFont="1" applyBorder="1" applyAlignment="1">
      <alignment horizontal="center"/>
    </xf>
    <xf numFmtId="0" fontId="10" fillId="0" borderId="30" xfId="0" applyFont="1" applyBorder="1" applyAlignment="1">
      <alignment/>
    </xf>
    <xf numFmtId="172" fontId="10" fillId="0" borderId="15" xfId="0" applyNumberFormat="1" applyFont="1" applyBorder="1" applyAlignment="1">
      <alignment/>
    </xf>
    <xf numFmtId="10" fontId="10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32" xfId="0" applyFont="1" applyBorder="1" applyAlignment="1">
      <alignment/>
    </xf>
    <xf numFmtId="172" fontId="4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21" xfId="0" applyBorder="1" applyAlignment="1">
      <alignment/>
    </xf>
    <xf numFmtId="0" fontId="9" fillId="0" borderId="21" xfId="0" applyFont="1" applyBorder="1" applyAlignment="1">
      <alignment/>
    </xf>
    <xf numFmtId="10" fontId="9" fillId="0" borderId="3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10" fontId="8" fillId="0" borderId="11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0" fillId="0" borderId="24" xfId="0" applyBorder="1" applyAlignment="1">
      <alignment/>
    </xf>
    <xf numFmtId="0" fontId="9" fillId="0" borderId="25" xfId="0" applyFont="1" applyBorder="1" applyAlignment="1">
      <alignment/>
    </xf>
    <xf numFmtId="49" fontId="9" fillId="0" borderId="28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172" fontId="8" fillId="0" borderId="30" xfId="0" applyNumberFormat="1" applyFont="1" applyBorder="1" applyAlignment="1">
      <alignment/>
    </xf>
    <xf numFmtId="172" fontId="9" fillId="0" borderId="30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10" fontId="9" fillId="0" borderId="10" xfId="0" applyNumberFormat="1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33" xfId="0" applyFont="1" applyBorder="1" applyAlignment="1">
      <alignment/>
    </xf>
    <xf numFmtId="172" fontId="9" fillId="0" borderId="34" xfId="0" applyNumberFormat="1" applyFont="1" applyBorder="1" applyAlignment="1">
      <alignment/>
    </xf>
    <xf numFmtId="172" fontId="9" fillId="0" borderId="19" xfId="0" applyNumberFormat="1" applyFont="1" applyBorder="1" applyAlignment="1">
      <alignment/>
    </xf>
    <xf numFmtId="172" fontId="9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35" xfId="0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9" fillId="0" borderId="12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10" fillId="0" borderId="29" xfId="0" applyFont="1" applyBorder="1" applyAlignment="1">
      <alignment horizontal="left"/>
    </xf>
    <xf numFmtId="14" fontId="9" fillId="0" borderId="12" xfId="0" applyNumberFormat="1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5" xfId="0" applyBorder="1" applyAlignment="1">
      <alignment/>
    </xf>
    <xf numFmtId="172" fontId="9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72" fontId="0" fillId="0" borderId="33" xfId="0" applyNumberFormat="1" applyBorder="1" applyAlignment="1">
      <alignment/>
    </xf>
    <xf numFmtId="0" fontId="0" fillId="0" borderId="38" xfId="0" applyBorder="1" applyAlignment="1">
      <alignment/>
    </xf>
    <xf numFmtId="172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172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40" xfId="0" applyBorder="1" applyAlignment="1">
      <alignment/>
    </xf>
    <xf numFmtId="172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72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172" fontId="0" fillId="0" borderId="22" xfId="0" applyNumberFormat="1" applyBorder="1" applyAlignment="1">
      <alignment/>
    </xf>
    <xf numFmtId="172" fontId="0" fillId="0" borderId="43" xfId="0" applyNumberFormat="1" applyBorder="1" applyAlignment="1">
      <alignment/>
    </xf>
    <xf numFmtId="0" fontId="0" fillId="0" borderId="35" xfId="0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72" fontId="0" fillId="0" borderId="3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34" xfId="0" applyFont="1" applyBorder="1" applyAlignment="1">
      <alignment/>
    </xf>
    <xf numFmtId="172" fontId="6" fillId="0" borderId="33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172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9" fillId="0" borderId="34" xfId="0" applyFont="1" applyBorder="1" applyAlignment="1">
      <alignment/>
    </xf>
    <xf numFmtId="172" fontId="9" fillId="0" borderId="33" xfId="0" applyNumberFormat="1" applyFont="1" applyBorder="1" applyAlignment="1">
      <alignment/>
    </xf>
    <xf numFmtId="174" fontId="9" fillId="0" borderId="12" xfId="0" applyNumberFormat="1" applyFont="1" applyBorder="1" applyAlignment="1">
      <alignment/>
    </xf>
    <xf numFmtId="174" fontId="9" fillId="0" borderId="36" xfId="0" applyNumberFormat="1" applyFont="1" applyBorder="1" applyAlignment="1">
      <alignment/>
    </xf>
    <xf numFmtId="174" fontId="9" fillId="0" borderId="15" xfId="0" applyNumberFormat="1" applyFont="1" applyBorder="1" applyAlignment="1">
      <alignment/>
    </xf>
    <xf numFmtId="174" fontId="9" fillId="0" borderId="31" xfId="0" applyNumberFormat="1" applyFont="1" applyBorder="1" applyAlignment="1">
      <alignment/>
    </xf>
    <xf numFmtId="174" fontId="9" fillId="0" borderId="0" xfId="0" applyNumberFormat="1" applyFont="1" applyAlignment="1">
      <alignment/>
    </xf>
    <xf numFmtId="0" fontId="9" fillId="0" borderId="46" xfId="0" applyFont="1" applyBorder="1" applyAlignment="1">
      <alignment/>
    </xf>
    <xf numFmtId="174" fontId="9" fillId="0" borderId="40" xfId="0" applyNumberFormat="1" applyFont="1" applyBorder="1" applyAlignment="1">
      <alignment/>
    </xf>
    <xf numFmtId="174" fontId="9" fillId="0" borderId="47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172" fontId="0" fillId="0" borderId="41" xfId="0" applyNumberFormat="1" applyFont="1" applyBorder="1" applyAlignment="1">
      <alignment/>
    </xf>
    <xf numFmtId="172" fontId="2" fillId="0" borderId="43" xfId="0" applyNumberFormat="1" applyFont="1" applyBorder="1" applyAlignment="1">
      <alignment/>
    </xf>
    <xf numFmtId="49" fontId="0" fillId="0" borderId="33" xfId="0" applyNumberFormat="1" applyBorder="1" applyAlignment="1">
      <alignment horizontal="center"/>
    </xf>
    <xf numFmtId="172" fontId="0" fillId="0" borderId="48" xfId="0" applyNumberFormat="1" applyBorder="1" applyAlignment="1">
      <alignment/>
    </xf>
    <xf numFmtId="172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172" fontId="2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172" fontId="0" fillId="0" borderId="53" xfId="0" applyNumberFormat="1" applyBorder="1" applyAlignment="1">
      <alignment/>
    </xf>
    <xf numFmtId="0" fontId="0" fillId="0" borderId="46" xfId="0" applyBorder="1" applyAlignment="1">
      <alignment/>
    </xf>
    <xf numFmtId="172" fontId="0" fillId="0" borderId="47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19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7" xfId="0" applyBorder="1" applyAlignment="1">
      <alignment/>
    </xf>
    <xf numFmtId="172" fontId="4" fillId="0" borderId="25" xfId="0" applyNumberFormat="1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2" fillId="0" borderId="17" xfId="0" applyNumberFormat="1" applyFont="1" applyBorder="1" applyAlignment="1">
      <alignment horizontal="right"/>
    </xf>
    <xf numFmtId="0" fontId="2" fillId="33" borderId="35" xfId="0" applyFont="1" applyFill="1" applyBorder="1" applyAlignment="1">
      <alignment horizont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4" borderId="59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62" xfId="0" applyFill="1" applyBorder="1" applyAlignment="1">
      <alignment horizontal="center"/>
    </xf>
    <xf numFmtId="0" fontId="0" fillId="34" borderId="63" xfId="0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64" xfId="0" applyNumberFormat="1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65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49" xfId="0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34" borderId="64" xfId="0" applyNumberFormat="1" applyFill="1" applyBorder="1" applyAlignment="1">
      <alignment/>
    </xf>
    <xf numFmtId="4" fontId="0" fillId="34" borderId="65" xfId="0" applyNumberFormat="1" applyFill="1" applyBorder="1" applyAlignment="1">
      <alignment/>
    </xf>
    <xf numFmtId="4" fontId="0" fillId="34" borderId="49" xfId="0" applyNumberFormat="1" applyFill="1" applyBorder="1" applyAlignment="1">
      <alignment/>
    </xf>
    <xf numFmtId="0" fontId="0" fillId="0" borderId="63" xfId="0" applyFill="1" applyBorder="1" applyAlignment="1" applyProtection="1">
      <alignment/>
      <protection locked="0"/>
    </xf>
    <xf numFmtId="4" fontId="0" fillId="0" borderId="63" xfId="0" applyNumberFormat="1" applyBorder="1" applyAlignment="1" applyProtection="1">
      <alignment/>
      <protection locked="0"/>
    </xf>
    <xf numFmtId="4" fontId="0" fillId="0" borderId="64" xfId="0" applyNumberFormat="1" applyBorder="1" applyAlignment="1" applyProtection="1">
      <alignment/>
      <protection locked="0"/>
    </xf>
    <xf numFmtId="0" fontId="0" fillId="34" borderId="66" xfId="0" applyFill="1" applyBorder="1" applyAlignment="1">
      <alignment horizontal="justify" vertical="top"/>
    </xf>
    <xf numFmtId="4" fontId="0" fillId="34" borderId="12" xfId="0" applyNumberFormat="1" applyFill="1" applyBorder="1" applyAlignment="1">
      <alignment/>
    </xf>
    <xf numFmtId="4" fontId="0" fillId="34" borderId="67" xfId="0" applyNumberFormat="1" applyFill="1" applyBorder="1" applyAlignment="1">
      <alignment/>
    </xf>
    <xf numFmtId="0" fontId="0" fillId="35" borderId="65" xfId="0" applyFill="1" applyBorder="1" applyAlignment="1">
      <alignment/>
    </xf>
    <xf numFmtId="4" fontId="0" fillId="35" borderId="21" xfId="0" applyNumberFormat="1" applyFill="1" applyBorder="1" applyAlignment="1" applyProtection="1">
      <alignment/>
      <protection locked="0"/>
    </xf>
    <xf numFmtId="4" fontId="0" fillId="35" borderId="49" xfId="0" applyNumberFormat="1" applyFill="1" applyBorder="1" applyAlignment="1" applyProtection="1">
      <alignment/>
      <protection locked="0"/>
    </xf>
    <xf numFmtId="0" fontId="0" fillId="35" borderId="63" xfId="0" applyFill="1" applyBorder="1" applyAlignment="1">
      <alignment/>
    </xf>
    <xf numFmtId="4" fontId="0" fillId="0" borderId="13" xfId="0" applyNumberFormat="1" applyBorder="1" applyAlignment="1" applyProtection="1">
      <alignment/>
      <protection locked="0"/>
    </xf>
    <xf numFmtId="0" fontId="0" fillId="34" borderId="23" xfId="0" applyFill="1" applyBorder="1" applyAlignment="1">
      <alignment horizontal="center"/>
    </xf>
    <xf numFmtId="0" fontId="0" fillId="34" borderId="60" xfId="0" applyFill="1" applyBorder="1" applyAlignment="1">
      <alignment/>
    </xf>
    <xf numFmtId="10" fontId="0" fillId="34" borderId="25" xfId="0" applyNumberFormat="1" applyFill="1" applyBorder="1" applyAlignment="1">
      <alignment/>
    </xf>
    <xf numFmtId="10" fontId="0" fillId="34" borderId="61" xfId="0" applyNumberFormat="1" applyFill="1" applyBorder="1" applyAlignment="1">
      <alignment/>
    </xf>
    <xf numFmtId="0" fontId="0" fillId="34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67" xfId="0" applyNumberFormat="1" applyFill="1" applyBorder="1" applyAlignment="1">
      <alignment/>
    </xf>
    <xf numFmtId="0" fontId="0" fillId="34" borderId="68" xfId="0" applyFill="1" applyBorder="1" applyAlignment="1">
      <alignment horizontal="center"/>
    </xf>
    <xf numFmtId="0" fontId="0" fillId="34" borderId="63" xfId="0" applyFill="1" applyBorder="1" applyAlignment="1">
      <alignment horizontal="justify" vertical="top"/>
    </xf>
    <xf numFmtId="0" fontId="0" fillId="35" borderId="63" xfId="0" applyFill="1" applyBorder="1" applyAlignment="1">
      <alignment horizontal="justify" vertical="top"/>
    </xf>
    <xf numFmtId="4" fontId="0" fillId="0" borderId="13" xfId="0" applyNumberFormat="1" applyFill="1" applyBorder="1" applyAlignment="1" applyProtection="1">
      <alignment/>
      <protection locked="0"/>
    </xf>
    <xf numFmtId="4" fontId="0" fillId="0" borderId="64" xfId="0" applyNumberFormat="1" applyFill="1" applyBorder="1" applyAlignment="1" applyProtection="1">
      <alignment/>
      <protection locked="0"/>
    </xf>
    <xf numFmtId="0" fontId="0" fillId="34" borderId="69" xfId="0" applyFill="1" applyBorder="1" applyAlignment="1">
      <alignment horizontal="center"/>
    </xf>
    <xf numFmtId="0" fontId="0" fillId="34" borderId="66" xfId="0" applyFill="1" applyBorder="1" applyAlignment="1">
      <alignment/>
    </xf>
    <xf numFmtId="4" fontId="0" fillId="34" borderId="12" xfId="0" applyNumberFormat="1" applyFill="1" applyBorder="1" applyAlignment="1" applyProtection="1">
      <alignment/>
      <protection locked="0"/>
    </xf>
    <xf numFmtId="4" fontId="0" fillId="34" borderId="67" xfId="0" applyNumberFormat="1" applyFill="1" applyBorder="1" applyAlignment="1" applyProtection="1">
      <alignment/>
      <protection locked="0"/>
    </xf>
    <xf numFmtId="4" fontId="0" fillId="34" borderId="21" xfId="0" applyNumberFormat="1" applyFill="1" applyBorder="1" applyAlignment="1">
      <alignment/>
    </xf>
    <xf numFmtId="4" fontId="0" fillId="34" borderId="25" xfId="0" applyNumberFormat="1" applyFill="1" applyBorder="1" applyAlignment="1">
      <alignment/>
    </xf>
    <xf numFmtId="4" fontId="0" fillId="34" borderId="61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33" borderId="26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4" fontId="2" fillId="33" borderId="32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0" fontId="2" fillId="34" borderId="20" xfId="0" applyFon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0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34" borderId="70" xfId="0" applyFill="1" applyBorder="1" applyAlignment="1">
      <alignment/>
    </xf>
    <xf numFmtId="0" fontId="0" fillId="34" borderId="71" xfId="0" applyFill="1" applyBorder="1" applyAlignment="1">
      <alignment/>
    </xf>
    <xf numFmtId="4" fontId="0" fillId="0" borderId="71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0" fontId="2" fillId="34" borderId="72" xfId="0" applyFont="1" applyFill="1" applyBorder="1" applyAlignment="1">
      <alignment/>
    </xf>
    <xf numFmtId="0" fontId="0" fillId="34" borderId="73" xfId="0" applyFill="1" applyBorder="1" applyAlignment="1">
      <alignment/>
    </xf>
    <xf numFmtId="4" fontId="2" fillId="34" borderId="73" xfId="0" applyNumberFormat="1" applyFont="1" applyFill="1" applyBorder="1" applyAlignment="1">
      <alignment/>
    </xf>
    <xf numFmtId="4" fontId="2" fillId="34" borderId="74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2" fillId="34" borderId="62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4" fontId="2" fillId="34" borderId="75" xfId="0" applyNumberFormat="1" applyFont="1" applyFill="1" applyBorder="1" applyAlignment="1">
      <alignment/>
    </xf>
    <xf numFmtId="0" fontId="2" fillId="34" borderId="69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2" fillId="34" borderId="76" xfId="0" applyNumberFormat="1" applyFont="1" applyFill="1" applyBorder="1" applyAlignment="1">
      <alignment/>
    </xf>
    <xf numFmtId="0" fontId="2" fillId="34" borderId="77" xfId="0" applyFont="1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2" fillId="34" borderId="78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4" fontId="0" fillId="0" borderId="21" xfId="0" applyNumberForma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2" xfId="0" applyFill="1" applyBorder="1" applyAlignment="1">
      <alignment/>
    </xf>
    <xf numFmtId="0" fontId="0" fillId="0" borderId="70" xfId="0" applyFill="1" applyBorder="1" applyAlignment="1">
      <alignment/>
    </xf>
    <xf numFmtId="0" fontId="0" fillId="34" borderId="38" xfId="0" applyFill="1" applyBorder="1" applyAlignment="1">
      <alignment/>
    </xf>
    <xf numFmtId="4" fontId="0" fillId="0" borderId="38" xfId="0" applyNumberFormat="1" applyFill="1" applyBorder="1" applyAlignment="1" applyProtection="1">
      <alignment/>
      <protection locked="0"/>
    </xf>
    <xf numFmtId="0" fontId="0" fillId="34" borderId="62" xfId="0" applyFill="1" applyBorder="1" applyAlignment="1">
      <alignment/>
    </xf>
    <xf numFmtId="0" fontId="0" fillId="34" borderId="17" xfId="0" applyFill="1" applyBorder="1" applyAlignment="1">
      <alignment/>
    </xf>
    <xf numFmtId="4" fontId="0" fillId="34" borderId="17" xfId="0" applyNumberFormat="1" applyFill="1" applyBorder="1" applyAlignment="1">
      <alignment/>
    </xf>
    <xf numFmtId="0" fontId="0" fillId="34" borderId="75" xfId="0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4" fontId="2" fillId="34" borderId="35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0" fontId="2" fillId="0" borderId="58" xfId="0" applyFont="1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4" fontId="2" fillId="0" borderId="10" xfId="0" applyNumberFormat="1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2" fillId="0" borderId="62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10" fontId="2" fillId="0" borderId="17" xfId="0" applyNumberFormat="1" applyFont="1" applyFill="1" applyBorder="1" applyAlignment="1" applyProtection="1">
      <alignment/>
      <protection locked="0"/>
    </xf>
    <xf numFmtId="0" fontId="0" fillId="0" borderId="63" xfId="0" applyFill="1" applyBorder="1" applyAlignment="1" applyProtection="1">
      <alignment/>
      <protection/>
    </xf>
    <xf numFmtId="0" fontId="0" fillId="0" borderId="75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36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6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75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4" fontId="0" fillId="0" borderId="21" xfId="0" applyNumberFormat="1" applyFill="1" applyBorder="1" applyAlignment="1" applyProtection="1">
      <alignment/>
      <protection/>
    </xf>
    <xf numFmtId="4" fontId="0" fillId="34" borderId="21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4" fontId="0" fillId="34" borderId="49" xfId="0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2" fillId="0" borderId="68" xfId="0" applyFont="1" applyFill="1" applyBorder="1" applyAlignment="1" applyProtection="1">
      <alignment/>
      <protection/>
    </xf>
    <xf numFmtId="0" fontId="0" fillId="0" borderId="79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" fontId="0" fillId="0" borderId="67" xfId="0" applyNumberFormat="1" applyFill="1" applyBorder="1" applyAlignment="1" applyProtection="1">
      <alignment/>
      <protection/>
    </xf>
    <xf numFmtId="0" fontId="2" fillId="0" borderId="80" xfId="0" applyFont="1" applyFill="1" applyBorder="1" applyAlignment="1" applyProtection="1">
      <alignment/>
      <protection/>
    </xf>
    <xf numFmtId="0" fontId="0" fillId="0" borderId="81" xfId="0" applyFill="1" applyBorder="1" applyAlignment="1" applyProtection="1">
      <alignment/>
      <protection/>
    </xf>
    <xf numFmtId="4" fontId="0" fillId="34" borderId="37" xfId="0" applyNumberFormat="1" applyFill="1" applyBorder="1" applyAlignment="1" applyProtection="1">
      <alignment/>
      <protection/>
    </xf>
    <xf numFmtId="4" fontId="0" fillId="34" borderId="82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center"/>
      <protection/>
    </xf>
    <xf numFmtId="0" fontId="17" fillId="0" borderId="58" xfId="0" applyFont="1" applyFill="1" applyBorder="1" applyAlignment="1" applyProtection="1">
      <alignment horizontal="center" vertical="justify" wrapText="1"/>
      <protection/>
    </xf>
    <xf numFmtId="0" fontId="2" fillId="34" borderId="75" xfId="0" applyFont="1" applyFill="1" applyBorder="1" applyAlignment="1" applyProtection="1">
      <alignment horizontal="center"/>
      <protection/>
    </xf>
    <xf numFmtId="4" fontId="0" fillId="0" borderId="28" xfId="0" applyNumberFormat="1" applyFill="1" applyBorder="1" applyAlignment="1" applyProtection="1">
      <alignment horizontal="center"/>
      <protection/>
    </xf>
    <xf numFmtId="4" fontId="0" fillId="35" borderId="0" xfId="0" applyNumberFormat="1" applyFill="1" applyBorder="1" applyAlignment="1" applyProtection="1">
      <alignment/>
      <protection/>
    </xf>
    <xf numFmtId="4" fontId="0" fillId="35" borderId="19" xfId="0" applyNumberFormat="1" applyFill="1" applyBorder="1" applyAlignment="1" applyProtection="1">
      <alignment/>
      <protection/>
    </xf>
    <xf numFmtId="4" fontId="0" fillId="35" borderId="65" xfId="0" applyNumberFormat="1" applyFill="1" applyBorder="1" applyAlignment="1" applyProtection="1">
      <alignment/>
      <protection/>
    </xf>
    <xf numFmtId="4" fontId="2" fillId="35" borderId="22" xfId="0" applyNumberFormat="1" applyFont="1" applyFill="1" applyBorder="1" applyAlignment="1" applyProtection="1">
      <alignment/>
      <protection/>
    </xf>
    <xf numFmtId="0" fontId="0" fillId="0" borderId="78" xfId="0" applyFill="1" applyBorder="1" applyAlignment="1" applyProtection="1">
      <alignment/>
      <protection/>
    </xf>
    <xf numFmtId="0" fontId="0" fillId="0" borderId="83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/>
      <protection/>
    </xf>
    <xf numFmtId="4" fontId="2" fillId="34" borderId="60" xfId="0" applyNumberFormat="1" applyFont="1" applyFill="1" applyBorder="1" applyAlignment="1" applyProtection="1">
      <alignment/>
      <protection/>
    </xf>
    <xf numFmtId="49" fontId="0" fillId="34" borderId="24" xfId="0" applyNumberFormat="1" applyFont="1" applyFill="1" applyBorder="1" applyAlignment="1" applyProtection="1">
      <alignment/>
      <protection/>
    </xf>
    <xf numFmtId="4" fontId="2" fillId="34" borderId="35" xfId="0" applyNumberFormat="1" applyFont="1" applyFill="1" applyBorder="1" applyAlignment="1" applyProtection="1">
      <alignment/>
      <protection/>
    </xf>
    <xf numFmtId="4" fontId="2" fillId="34" borderId="1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4" xfId="0" applyNumberFormat="1" applyFont="1" applyFill="1" applyBorder="1" applyAlignment="1" applyProtection="1">
      <alignment/>
      <protection/>
    </xf>
    <xf numFmtId="4" fontId="0" fillId="0" borderId="69" xfId="0" applyNumberFormat="1" applyFill="1" applyBorder="1" applyAlignment="1" applyProtection="1">
      <alignment horizontal="right"/>
      <protection/>
    </xf>
    <xf numFmtId="0" fontId="0" fillId="0" borderId="79" xfId="0" applyBorder="1" applyAlignment="1">
      <alignment/>
    </xf>
    <xf numFmtId="0" fontId="0" fillId="0" borderId="76" xfId="0" applyBorder="1" applyAlignment="1">
      <alignment/>
    </xf>
    <xf numFmtId="4" fontId="0" fillId="0" borderId="0" xfId="0" applyNumberFormat="1" applyFill="1" applyBorder="1" applyAlignment="1" applyProtection="1">
      <alignment horizontal="center"/>
      <protection/>
    </xf>
    <xf numFmtId="49" fontId="0" fillId="0" borderId="11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31" xfId="0" applyFont="1" applyBorder="1" applyAlignment="1">
      <alignment/>
    </xf>
    <xf numFmtId="172" fontId="10" fillId="0" borderId="32" xfId="0" applyNumberFormat="1" applyFont="1" applyBorder="1" applyAlignment="1">
      <alignment/>
    </xf>
    <xf numFmtId="10" fontId="10" fillId="0" borderId="84" xfId="0" applyNumberFormat="1" applyFont="1" applyBorder="1" applyAlignment="1">
      <alignment/>
    </xf>
    <xf numFmtId="10" fontId="9" fillId="0" borderId="45" xfId="0" applyNumberFormat="1" applyFont="1" applyBorder="1" applyAlignment="1">
      <alignment/>
    </xf>
    <xf numFmtId="10" fontId="0" fillId="0" borderId="45" xfId="0" applyNumberFormat="1" applyBorder="1" applyAlignment="1">
      <alignment/>
    </xf>
    <xf numFmtId="0" fontId="9" fillId="0" borderId="58" xfId="0" applyFont="1" applyBorder="1" applyAlignment="1">
      <alignment/>
    </xf>
    <xf numFmtId="0" fontId="0" fillId="0" borderId="20" xfId="0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" fillId="36" borderId="85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justify"/>
      <protection/>
    </xf>
    <xf numFmtId="0" fontId="17" fillId="34" borderId="26" xfId="0" applyFont="1" applyFill="1" applyBorder="1" applyAlignment="1" applyProtection="1">
      <alignment horizontal="center" vertical="justify"/>
      <protection/>
    </xf>
    <xf numFmtId="0" fontId="2" fillId="34" borderId="26" xfId="0" applyFont="1" applyFill="1" applyBorder="1" applyAlignment="1" applyProtection="1">
      <alignment horizontal="center" vertical="justify"/>
      <protection/>
    </xf>
    <xf numFmtId="0" fontId="0" fillId="34" borderId="0" xfId="0" applyFill="1" applyAlignment="1" applyProtection="1">
      <alignment/>
      <protection/>
    </xf>
    <xf numFmtId="0" fontId="0" fillId="0" borderId="12" xfId="0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5" fillId="0" borderId="84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0" fontId="25" fillId="36" borderId="32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5" fillId="36" borderId="84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86" xfId="0" applyBorder="1" applyAlignment="1">
      <alignment horizontal="center"/>
    </xf>
    <xf numFmtId="0" fontId="0" fillId="0" borderId="86" xfId="0" applyBorder="1" applyAlignment="1">
      <alignment/>
    </xf>
    <xf numFmtId="0" fontId="1" fillId="0" borderId="0" xfId="0" applyFont="1" applyAlignment="1">
      <alignment horizontal="left"/>
    </xf>
    <xf numFmtId="174" fontId="4" fillId="0" borderId="31" xfId="0" applyNumberFormat="1" applyFont="1" applyBorder="1" applyAlignment="1">
      <alignment/>
    </xf>
    <xf numFmtId="0" fontId="0" fillId="0" borderId="44" xfId="0" applyBorder="1" applyAlignment="1">
      <alignment/>
    </xf>
    <xf numFmtId="174" fontId="0" fillId="0" borderId="45" xfId="0" applyNumberFormat="1" applyBorder="1" applyAlignment="1">
      <alignment/>
    </xf>
    <xf numFmtId="174" fontId="0" fillId="0" borderId="86" xfId="0" applyNumberFormat="1" applyBorder="1" applyAlignment="1">
      <alignment/>
    </xf>
    <xf numFmtId="0" fontId="4" fillId="0" borderId="84" xfId="0" applyFont="1" applyBorder="1" applyAlignment="1">
      <alignment/>
    </xf>
    <xf numFmtId="174" fontId="4" fillId="0" borderId="84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0" fontId="0" fillId="0" borderId="58" xfId="0" applyBorder="1" applyAlignment="1">
      <alignment/>
    </xf>
    <xf numFmtId="174" fontId="0" fillId="0" borderId="10" xfId="0" applyNumberFormat="1" applyBorder="1" applyAlignment="1">
      <alignment/>
    </xf>
    <xf numFmtId="0" fontId="15" fillId="0" borderId="70" xfId="0" applyFont="1" applyBorder="1" applyAlignment="1">
      <alignment horizontal="left"/>
    </xf>
    <xf numFmtId="174" fontId="4" fillId="0" borderId="43" xfId="0" applyNumberFormat="1" applyFont="1" applyBorder="1" applyAlignment="1">
      <alignment/>
    </xf>
    <xf numFmtId="0" fontId="17" fillId="0" borderId="23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0" fontId="1" fillId="0" borderId="20" xfId="0" applyFont="1" applyBorder="1" applyAlignment="1">
      <alignment/>
    </xf>
    <xf numFmtId="174" fontId="0" fillId="0" borderId="22" xfId="0" applyNumberFormat="1" applyBorder="1" applyAlignment="1">
      <alignment/>
    </xf>
    <xf numFmtId="0" fontId="1" fillId="0" borderId="20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174" fontId="2" fillId="0" borderId="87" xfId="0" applyNumberFormat="1" applyFont="1" applyBorder="1" applyAlignment="1">
      <alignment/>
    </xf>
    <xf numFmtId="0" fontId="1" fillId="0" borderId="23" xfId="0" applyFont="1" applyBorder="1" applyAlignment="1">
      <alignment horizontal="left"/>
    </xf>
    <xf numFmtId="174" fontId="0" fillId="0" borderId="11" xfId="0" applyNumberFormat="1" applyBorder="1" applyAlignment="1">
      <alignment/>
    </xf>
    <xf numFmtId="0" fontId="17" fillId="0" borderId="26" xfId="0" applyFont="1" applyBorder="1" applyAlignment="1">
      <alignment horizontal="left"/>
    </xf>
    <xf numFmtId="174" fontId="2" fillId="0" borderId="31" xfId="0" applyNumberFormat="1" applyFont="1" applyBorder="1" applyAlignment="1">
      <alignment/>
    </xf>
    <xf numFmtId="0" fontId="15" fillId="0" borderId="88" xfId="0" applyFont="1" applyBorder="1" applyAlignment="1">
      <alignment horizontal="left"/>
    </xf>
    <xf numFmtId="174" fontId="4" fillId="0" borderId="41" xfId="0" applyNumberFormat="1" applyFont="1" applyBorder="1" applyAlignment="1">
      <alignment/>
    </xf>
    <xf numFmtId="0" fontId="4" fillId="0" borderId="70" xfId="0" applyFont="1" applyBorder="1" applyAlignment="1">
      <alignment/>
    </xf>
    <xf numFmtId="174" fontId="2" fillId="0" borderId="87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4" fillId="0" borderId="38" xfId="0" applyFont="1" applyBorder="1" applyAlignment="1">
      <alignment/>
    </xf>
    <xf numFmtId="0" fontId="2" fillId="0" borderId="39" xfId="0" applyFont="1" applyBorder="1" applyAlignment="1">
      <alignment/>
    </xf>
    <xf numFmtId="174" fontId="3" fillId="0" borderId="33" xfId="0" applyNumberFormat="1" applyFont="1" applyBorder="1" applyAlignment="1">
      <alignment/>
    </xf>
    <xf numFmtId="174" fontId="0" fillId="0" borderId="33" xfId="0" applyNumberFormat="1" applyBorder="1" applyAlignment="1">
      <alignment/>
    </xf>
    <xf numFmtId="174" fontId="4" fillId="0" borderId="38" xfId="0" applyNumberFormat="1" applyFont="1" applyBorder="1" applyAlignment="1">
      <alignment/>
    </xf>
    <xf numFmtId="174" fontId="2" fillId="0" borderId="25" xfId="0" applyNumberFormat="1" applyFont="1" applyBorder="1" applyAlignment="1">
      <alignment/>
    </xf>
    <xf numFmtId="174" fontId="0" fillId="0" borderId="21" xfId="0" applyNumberFormat="1" applyBorder="1" applyAlignment="1">
      <alignment/>
    </xf>
    <xf numFmtId="174" fontId="2" fillId="0" borderId="39" xfId="0" applyNumberFormat="1" applyFont="1" applyBorder="1" applyAlignment="1">
      <alignment/>
    </xf>
    <xf numFmtId="174" fontId="0" fillId="0" borderId="25" xfId="0" applyNumberForma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74" fontId="2" fillId="0" borderId="15" xfId="0" applyNumberFormat="1" applyFont="1" applyBorder="1" applyAlignment="1">
      <alignment/>
    </xf>
    <xf numFmtId="0" fontId="4" fillId="0" borderId="40" xfId="0" applyFont="1" applyBorder="1" applyAlignment="1">
      <alignment/>
    </xf>
    <xf numFmtId="174" fontId="4" fillId="0" borderId="40" xfId="0" applyNumberFormat="1" applyFont="1" applyBorder="1" applyAlignment="1">
      <alignment/>
    </xf>
    <xf numFmtId="174" fontId="2" fillId="0" borderId="39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172" fontId="8" fillId="0" borderId="24" xfId="0" applyNumberFormat="1" applyFont="1" applyBorder="1" applyAlignment="1">
      <alignment/>
    </xf>
    <xf numFmtId="0" fontId="8" fillId="0" borderId="34" xfId="0" applyFont="1" applyBorder="1" applyAlignment="1">
      <alignment horizontal="center"/>
    </xf>
    <xf numFmtId="172" fontId="8" fillId="0" borderId="33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0" fontId="0" fillId="34" borderId="20" xfId="0" applyFill="1" applyBorder="1" applyAlignment="1" applyProtection="1">
      <alignment/>
      <protection/>
    </xf>
    <xf numFmtId="0" fontId="0" fillId="34" borderId="49" xfId="0" applyFill="1" applyBorder="1" applyAlignment="1" applyProtection="1">
      <alignment/>
      <protection/>
    </xf>
    <xf numFmtId="0" fontId="0" fillId="34" borderId="44" xfId="0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/>
    </xf>
    <xf numFmtId="4" fontId="2" fillId="34" borderId="49" xfId="0" applyNumberFormat="1" applyFont="1" applyFill="1" applyBorder="1" applyAlignment="1" applyProtection="1">
      <alignment/>
      <protection/>
    </xf>
    <xf numFmtId="9" fontId="2" fillId="34" borderId="45" xfId="55" applyFont="1" applyFill="1" applyBorder="1" applyAlignment="1" applyProtection="1">
      <alignment/>
      <protection/>
    </xf>
    <xf numFmtId="4" fontId="0" fillId="0" borderId="49" xfId="0" applyNumberFormat="1" applyFill="1" applyBorder="1" applyAlignment="1" applyProtection="1">
      <alignment/>
      <protection locked="0"/>
    </xf>
    <xf numFmtId="9" fontId="0" fillId="34" borderId="45" xfId="55" applyFont="1" applyFill="1" applyBorder="1" applyAlignment="1" applyProtection="1">
      <alignment/>
      <protection/>
    </xf>
    <xf numFmtId="4" fontId="0" fillId="34" borderId="49" xfId="0" applyNumberFormat="1" applyFill="1" applyBorder="1" applyAlignment="1" applyProtection="1">
      <alignment/>
      <protection locked="0"/>
    </xf>
    <xf numFmtId="4" fontId="0" fillId="34" borderId="45" xfId="0" applyNumberForma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61" xfId="0" applyFill="1" applyBorder="1" applyAlignment="1" applyProtection="1">
      <alignment/>
      <protection/>
    </xf>
    <xf numFmtId="0" fontId="0" fillId="34" borderId="86" xfId="0" applyFill="1" applyBorder="1" applyAlignment="1" applyProtection="1">
      <alignment/>
      <protection/>
    </xf>
    <xf numFmtId="0" fontId="13" fillId="0" borderId="0" xfId="0" applyFont="1" applyBorder="1" applyAlignment="1">
      <alignment horizontal="center"/>
    </xf>
    <xf numFmtId="0" fontId="10" fillId="0" borderId="34" xfId="0" applyFont="1" applyBorder="1" applyAlignment="1">
      <alignment/>
    </xf>
    <xf numFmtId="172" fontId="10" fillId="0" borderId="33" xfId="0" applyNumberFormat="1" applyFont="1" applyBorder="1" applyAlignment="1">
      <alignment/>
    </xf>
    <xf numFmtId="10" fontId="10" fillId="0" borderId="10" xfId="0" applyNumberFormat="1" applyFont="1" applyBorder="1" applyAlignment="1">
      <alignment/>
    </xf>
    <xf numFmtId="0" fontId="2" fillId="0" borderId="21" xfId="0" applyFont="1" applyBorder="1" applyAlignment="1">
      <alignment/>
    </xf>
    <xf numFmtId="174" fontId="2" fillId="0" borderId="21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0" fontId="17" fillId="0" borderId="28" xfId="0" applyFont="1" applyBorder="1" applyAlignment="1">
      <alignment horizontal="left"/>
    </xf>
    <xf numFmtId="174" fontId="2" fillId="0" borderId="49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2" fillId="34" borderId="89" xfId="0" applyFont="1" applyFill="1" applyBorder="1" applyAlignment="1">
      <alignment horizontal="center"/>
    </xf>
    <xf numFmtId="4" fontId="2" fillId="34" borderId="90" xfId="0" applyNumberFormat="1" applyFont="1" applyFill="1" applyBorder="1" applyAlignment="1">
      <alignment horizontal="center"/>
    </xf>
    <xf numFmtId="0" fontId="0" fillId="0" borderId="68" xfId="0" applyBorder="1" applyAlignment="1">
      <alignment/>
    </xf>
    <xf numFmtId="4" fontId="0" fillId="0" borderId="67" xfId="0" applyNumberFormat="1" applyBorder="1" applyAlignment="1">
      <alignment/>
    </xf>
    <xf numFmtId="0" fontId="2" fillId="0" borderId="68" xfId="0" applyFont="1" applyBorder="1" applyAlignment="1">
      <alignment/>
    </xf>
    <xf numFmtId="4" fontId="2" fillId="0" borderId="67" xfId="0" applyNumberFormat="1" applyFont="1" applyBorder="1" applyAlignment="1">
      <alignment/>
    </xf>
    <xf numFmtId="0" fontId="25" fillId="34" borderId="91" xfId="0" applyFont="1" applyFill="1" applyBorder="1" applyAlignment="1">
      <alignment/>
    </xf>
    <xf numFmtId="4" fontId="25" fillId="34" borderId="82" xfId="0" applyNumberFormat="1" applyFont="1" applyFill="1" applyBorder="1" applyAlignment="1">
      <alignment/>
    </xf>
    <xf numFmtId="172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172" fontId="2" fillId="0" borderId="17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6" fillId="0" borderId="71" xfId="0" applyNumberFormat="1" applyFont="1" applyBorder="1" applyAlignment="1">
      <alignment/>
    </xf>
    <xf numFmtId="172" fontId="6" fillId="0" borderId="84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10" fillId="0" borderId="19" xfId="0" applyFont="1" applyBorder="1" applyAlignment="1">
      <alignment/>
    </xf>
    <xf numFmtId="172" fontId="10" fillId="0" borderId="21" xfId="0" applyNumberFormat="1" applyFont="1" applyBorder="1" applyAlignment="1">
      <alignment/>
    </xf>
    <xf numFmtId="10" fontId="10" fillId="0" borderId="22" xfId="0" applyNumberFormat="1" applyFont="1" applyBorder="1" applyAlignment="1">
      <alignment/>
    </xf>
    <xf numFmtId="0" fontId="9" fillId="0" borderId="19" xfId="0" applyFont="1" applyBorder="1" applyAlignment="1">
      <alignment/>
    </xf>
    <xf numFmtId="10" fontId="9" fillId="0" borderId="22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10" fontId="8" fillId="0" borderId="22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172" fontId="9" fillId="0" borderId="21" xfId="0" applyNumberFormat="1" applyFont="1" applyBorder="1" applyAlignment="1">
      <alignment horizontal="right"/>
    </xf>
    <xf numFmtId="10" fontId="9" fillId="0" borderId="22" xfId="0" applyNumberFormat="1" applyFont="1" applyBorder="1" applyAlignment="1">
      <alignment horizontal="right"/>
    </xf>
    <xf numFmtId="0" fontId="0" fillId="36" borderId="44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172" fontId="4" fillId="34" borderId="15" xfId="0" applyNumberFormat="1" applyFont="1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4" borderId="15" xfId="0" applyFill="1" applyBorder="1" applyAlignment="1">
      <alignment/>
    </xf>
    <xf numFmtId="172" fontId="4" fillId="34" borderId="15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4" fillId="37" borderId="21" xfId="0" applyFont="1" applyFill="1" applyBorder="1" applyAlignment="1">
      <alignment horizontal="center"/>
    </xf>
    <xf numFmtId="0" fontId="0" fillId="37" borderId="21" xfId="0" applyFill="1" applyBorder="1" applyAlignment="1">
      <alignment/>
    </xf>
    <xf numFmtId="172" fontId="4" fillId="37" borderId="21" xfId="0" applyNumberFormat="1" applyFont="1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83" xfId="0" applyFill="1" applyBorder="1" applyAlignment="1">
      <alignment/>
    </xf>
    <xf numFmtId="172" fontId="4" fillId="37" borderId="13" xfId="0" applyNumberFormat="1" applyFont="1" applyFill="1" applyBorder="1" applyAlignment="1">
      <alignment/>
    </xf>
    <xf numFmtId="0" fontId="10" fillId="35" borderId="27" xfId="0" applyFont="1" applyFill="1" applyBorder="1" applyAlignment="1">
      <alignment horizontal="center"/>
    </xf>
    <xf numFmtId="0" fontId="10" fillId="35" borderId="34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172" fontId="9" fillId="0" borderId="21" xfId="0" applyNumberFormat="1" applyFont="1" applyFill="1" applyBorder="1" applyAlignment="1">
      <alignment/>
    </xf>
    <xf numFmtId="0" fontId="8" fillId="38" borderId="26" xfId="0" applyFont="1" applyFill="1" applyBorder="1" applyAlignment="1">
      <alignment/>
    </xf>
    <xf numFmtId="0" fontId="8" fillId="38" borderId="14" xfId="0" applyFont="1" applyFill="1" applyBorder="1" applyAlignment="1">
      <alignment horizontal="center"/>
    </xf>
    <xf numFmtId="172" fontId="8" fillId="38" borderId="15" xfId="0" applyNumberFormat="1" applyFont="1" applyFill="1" applyBorder="1" applyAlignment="1">
      <alignment/>
    </xf>
    <xf numFmtId="172" fontId="8" fillId="38" borderId="16" xfId="0" applyNumberFormat="1" applyFont="1" applyFill="1" applyBorder="1" applyAlignment="1">
      <alignment/>
    </xf>
    <xf numFmtId="0" fontId="8" fillId="38" borderId="27" xfId="0" applyFont="1" applyFill="1" applyBorder="1" applyAlignment="1">
      <alignment horizontal="center"/>
    </xf>
    <xf numFmtId="0" fontId="0" fillId="38" borderId="33" xfId="0" applyFill="1" applyBorder="1" applyAlignment="1">
      <alignment/>
    </xf>
    <xf numFmtId="0" fontId="0" fillId="38" borderId="10" xfId="0" applyFill="1" applyBorder="1" applyAlignment="1">
      <alignment/>
    </xf>
    <xf numFmtId="0" fontId="8" fillId="38" borderId="29" xfId="0" applyFont="1" applyFill="1" applyBorder="1" applyAlignment="1">
      <alignment horizontal="center"/>
    </xf>
    <xf numFmtId="0" fontId="0" fillId="38" borderId="25" xfId="0" applyFill="1" applyBorder="1" applyAlignment="1">
      <alignment/>
    </xf>
    <xf numFmtId="172" fontId="8" fillId="38" borderId="25" xfId="0" applyNumberFormat="1" applyFont="1" applyFill="1" applyBorder="1" applyAlignment="1">
      <alignment/>
    </xf>
    <xf numFmtId="172" fontId="8" fillId="38" borderId="11" xfId="0" applyNumberFormat="1" applyFont="1" applyFill="1" applyBorder="1" applyAlignment="1">
      <alignment/>
    </xf>
    <xf numFmtId="0" fontId="8" fillId="38" borderId="15" xfId="0" applyFont="1" applyFill="1" applyBorder="1" applyAlignment="1">
      <alignment/>
    </xf>
    <xf numFmtId="172" fontId="8" fillId="38" borderId="31" xfId="0" applyNumberFormat="1" applyFont="1" applyFill="1" applyBorder="1" applyAlignment="1">
      <alignment/>
    </xf>
    <xf numFmtId="0" fontId="27" fillId="33" borderId="59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84" xfId="0" applyFont="1" applyFill="1" applyBorder="1" applyAlignment="1">
      <alignment horizontal="center"/>
    </xf>
    <xf numFmtId="0" fontId="17" fillId="35" borderId="14" xfId="0" applyFont="1" applyFill="1" applyBorder="1" applyAlignment="1">
      <alignment horizontal="center"/>
    </xf>
    <xf numFmtId="0" fontId="17" fillId="35" borderId="15" xfId="0" applyFont="1" applyFill="1" applyBorder="1" applyAlignment="1">
      <alignment horizontal="center"/>
    </xf>
    <xf numFmtId="0" fontId="17" fillId="35" borderId="16" xfId="0" applyFont="1" applyFill="1" applyBorder="1" applyAlignment="1">
      <alignment horizontal="center"/>
    </xf>
    <xf numFmtId="0" fontId="2" fillId="35" borderId="45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0" fillId="35" borderId="21" xfId="0" applyFill="1" applyBorder="1" applyAlignment="1">
      <alignment/>
    </xf>
    <xf numFmtId="0" fontId="17" fillId="35" borderId="21" xfId="0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2" fillId="35" borderId="86" xfId="0" applyFont="1" applyFill="1" applyBorder="1" applyAlignment="1">
      <alignment horizontal="center"/>
    </xf>
    <xf numFmtId="0" fontId="2" fillId="35" borderId="24" xfId="0" applyFont="1" applyFill="1" applyBorder="1" applyAlignment="1">
      <alignment/>
    </xf>
    <xf numFmtId="0" fontId="2" fillId="35" borderId="25" xfId="0" applyFont="1" applyFill="1" applyBorder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72" fontId="0" fillId="0" borderId="92" xfId="0" applyNumberFormat="1" applyBorder="1" applyAlignment="1">
      <alignment/>
    </xf>
    <xf numFmtId="49" fontId="0" fillId="0" borderId="92" xfId="0" applyNumberFormat="1" applyBorder="1" applyAlignment="1">
      <alignment horizontal="center"/>
    </xf>
    <xf numFmtId="172" fontId="0" fillId="0" borderId="35" xfId="0" applyNumberFormat="1" applyBorder="1" applyAlignment="1">
      <alignment/>
    </xf>
    <xf numFmtId="49" fontId="0" fillId="0" borderId="35" xfId="0" applyNumberFormat="1" applyBorder="1" applyAlignment="1">
      <alignment horizontal="center"/>
    </xf>
    <xf numFmtId="0" fontId="0" fillId="0" borderId="88" xfId="0" applyBorder="1" applyAlignment="1">
      <alignment/>
    </xf>
    <xf numFmtId="0" fontId="0" fillId="36" borderId="58" xfId="0" applyFill="1" applyBorder="1" applyAlignment="1">
      <alignment/>
    </xf>
    <xf numFmtId="0" fontId="0" fillId="36" borderId="54" xfId="0" applyFill="1" applyBorder="1" applyAlignment="1">
      <alignment/>
    </xf>
    <xf numFmtId="172" fontId="0" fillId="36" borderId="54" xfId="0" applyNumberFormat="1" applyFill="1" applyBorder="1" applyAlignment="1">
      <alignment/>
    </xf>
    <xf numFmtId="0" fontId="0" fillId="36" borderId="54" xfId="0" applyFont="1" applyFill="1" applyBorder="1" applyAlignment="1">
      <alignment horizontal="center"/>
    </xf>
    <xf numFmtId="49" fontId="0" fillId="36" borderId="54" xfId="0" applyNumberFormat="1" applyFont="1" applyFill="1" applyBorder="1" applyAlignment="1">
      <alignment horizontal="center"/>
    </xf>
    <xf numFmtId="172" fontId="0" fillId="36" borderId="10" xfId="0" applyNumberFormat="1" applyFill="1" applyBorder="1" applyAlignment="1">
      <alignment/>
    </xf>
    <xf numFmtId="0" fontId="0" fillId="36" borderId="0" xfId="0" applyFill="1" applyBorder="1" applyAlignment="1">
      <alignment/>
    </xf>
    <xf numFmtId="172" fontId="0" fillId="36" borderId="0" xfId="0" applyNumberForma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49" fontId="0" fillId="36" borderId="0" xfId="0" applyNumberFormat="1" applyFont="1" applyFill="1" applyBorder="1" applyAlignment="1">
      <alignment horizontal="center"/>
    </xf>
    <xf numFmtId="172" fontId="0" fillId="36" borderId="22" xfId="0" applyNumberForma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35" xfId="0" applyFill="1" applyBorder="1" applyAlignment="1">
      <alignment/>
    </xf>
    <xf numFmtId="172" fontId="0" fillId="36" borderId="35" xfId="0" applyNumberFormat="1" applyFill="1" applyBorder="1" applyAlignment="1">
      <alignment/>
    </xf>
    <xf numFmtId="49" fontId="0" fillId="36" borderId="35" xfId="0" applyNumberFormat="1" applyFill="1" applyBorder="1" applyAlignment="1">
      <alignment/>
    </xf>
    <xf numFmtId="172" fontId="0" fillId="36" borderId="11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18" fillId="0" borderId="0" xfId="0" applyNumberFormat="1" applyFont="1" applyAlignment="1">
      <alignment/>
    </xf>
    <xf numFmtId="49" fontId="12" fillId="34" borderId="15" xfId="0" applyNumberFormat="1" applyFont="1" applyFill="1" applyBorder="1" applyAlignment="1">
      <alignment horizontal="left"/>
    </xf>
    <xf numFmtId="49" fontId="12" fillId="37" borderId="21" xfId="0" applyNumberFormat="1" applyFont="1" applyFill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45" xfId="0" applyFont="1" applyBorder="1" applyAlignment="1">
      <alignment/>
    </xf>
    <xf numFmtId="172" fontId="9" fillId="0" borderId="0" xfId="0" applyNumberFormat="1" applyFont="1" applyBorder="1" applyAlignment="1">
      <alignment/>
    </xf>
    <xf numFmtId="10" fontId="9" fillId="0" borderId="45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2" fillId="0" borderId="17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65" xfId="0" applyBorder="1" applyAlignment="1">
      <alignment/>
    </xf>
    <xf numFmtId="172" fontId="0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72" fontId="0" fillId="0" borderId="93" xfId="0" applyNumberFormat="1" applyBorder="1" applyAlignment="1">
      <alignment/>
    </xf>
    <xf numFmtId="49" fontId="0" fillId="0" borderId="93" xfId="0" applyNumberFormat="1" applyBorder="1" applyAlignment="1">
      <alignment horizontal="center"/>
    </xf>
    <xf numFmtId="0" fontId="0" fillId="0" borderId="59" xfId="0" applyBorder="1" applyAlignment="1">
      <alignment/>
    </xf>
    <xf numFmtId="172" fontId="0" fillId="0" borderId="59" xfId="0" applyNumberFormat="1" applyBorder="1" applyAlignment="1">
      <alignment/>
    </xf>
    <xf numFmtId="172" fontId="0" fillId="0" borderId="65" xfId="0" applyNumberFormat="1" applyBorder="1" applyAlignment="1">
      <alignment/>
    </xf>
    <xf numFmtId="0" fontId="0" fillId="0" borderId="65" xfId="0" applyBorder="1" applyAlignment="1">
      <alignment horizontal="center"/>
    </xf>
    <xf numFmtId="49" fontId="0" fillId="0" borderId="65" xfId="0" applyNumberFormat="1" applyBorder="1" applyAlignment="1">
      <alignment horizontal="center"/>
    </xf>
    <xf numFmtId="0" fontId="0" fillId="0" borderId="27" xfId="0" applyFont="1" applyBorder="1" applyAlignment="1">
      <alignment/>
    </xf>
    <xf numFmtId="49" fontId="0" fillId="0" borderId="92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2" fontId="4" fillId="0" borderId="31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59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174" fontId="0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0" fillId="0" borderId="78" xfId="0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94" xfId="0" applyBorder="1" applyAlignment="1">
      <alignment/>
    </xf>
    <xf numFmtId="0" fontId="0" fillId="0" borderId="28" xfId="0" applyFont="1" applyBorder="1" applyAlignment="1">
      <alignment/>
    </xf>
    <xf numFmtId="0" fontId="0" fillId="0" borderId="49" xfId="0" applyBorder="1" applyAlignment="1">
      <alignment/>
    </xf>
    <xf numFmtId="0" fontId="0" fillId="0" borderId="64" xfId="0" applyBorder="1" applyAlignment="1">
      <alignment/>
    </xf>
    <xf numFmtId="0" fontId="0" fillId="0" borderId="91" xfId="0" applyFont="1" applyBorder="1" applyAlignment="1">
      <alignment/>
    </xf>
    <xf numFmtId="172" fontId="0" fillId="0" borderId="37" xfId="0" applyNumberForma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86" xfId="0" applyFont="1" applyBorder="1" applyAlignment="1">
      <alignment/>
    </xf>
    <xf numFmtId="172" fontId="9" fillId="0" borderId="35" xfId="0" applyNumberFormat="1" applyFont="1" applyBorder="1" applyAlignment="1">
      <alignment/>
    </xf>
    <xf numFmtId="10" fontId="9" fillId="0" borderId="86" xfId="0" applyNumberFormat="1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35" xfId="0" applyFont="1" applyBorder="1" applyAlignment="1">
      <alignment/>
    </xf>
    <xf numFmtId="49" fontId="9" fillId="0" borderId="28" xfId="0" applyNumberFormat="1" applyFont="1" applyBorder="1" applyAlignment="1">
      <alignment horizontal="center"/>
    </xf>
    <xf numFmtId="174" fontId="9" fillId="0" borderId="95" xfId="0" applyNumberFormat="1" applyFont="1" applyBorder="1" applyAlignment="1">
      <alignment/>
    </xf>
    <xf numFmtId="49" fontId="0" fillId="0" borderId="25" xfId="0" applyNumberFormat="1" applyBorder="1" applyAlignment="1">
      <alignment horizontal="center"/>
    </xf>
    <xf numFmtId="0" fontId="0" fillId="0" borderId="96" xfId="0" applyBorder="1" applyAlignment="1">
      <alignment horizontal="center"/>
    </xf>
    <xf numFmtId="49" fontId="0" fillId="0" borderId="96" xfId="0" applyNumberFormat="1" applyBorder="1" applyAlignment="1">
      <alignment horizontal="center"/>
    </xf>
    <xf numFmtId="172" fontId="0" fillId="0" borderId="97" xfId="0" applyNumberFormat="1" applyBorder="1" applyAlignment="1">
      <alignment/>
    </xf>
    <xf numFmtId="0" fontId="9" fillId="0" borderId="68" xfId="0" applyFont="1" applyBorder="1" applyAlignment="1">
      <alignment/>
    </xf>
    <xf numFmtId="0" fontId="9" fillId="0" borderId="67" xfId="0" applyFont="1" applyBorder="1" applyAlignment="1">
      <alignment horizontal="center"/>
    </xf>
    <xf numFmtId="14" fontId="9" fillId="0" borderId="67" xfId="0" applyNumberFormat="1" applyFont="1" applyBorder="1" applyAlignment="1">
      <alignment horizontal="center"/>
    </xf>
    <xf numFmtId="174" fontId="9" fillId="0" borderId="67" xfId="0" applyNumberFormat="1" applyFont="1" applyBorder="1" applyAlignment="1">
      <alignment/>
    </xf>
    <xf numFmtId="0" fontId="0" fillId="0" borderId="77" xfId="0" applyFont="1" applyBorder="1" applyAlignment="1">
      <alignment/>
    </xf>
    <xf numFmtId="174" fontId="9" fillId="0" borderId="94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0" borderId="27" xfId="0" applyFont="1" applyBorder="1" applyAlignment="1">
      <alignment/>
    </xf>
    <xf numFmtId="174" fontId="9" fillId="0" borderId="33" xfId="0" applyNumberFormat="1" applyFont="1" applyBorder="1" applyAlignment="1">
      <alignment/>
    </xf>
    <xf numFmtId="174" fontId="9" fillId="0" borderId="48" xfId="0" applyNumberFormat="1" applyFont="1" applyBorder="1" applyAlignment="1">
      <alignment/>
    </xf>
    <xf numFmtId="0" fontId="0" fillId="0" borderId="98" xfId="0" applyFont="1" applyFill="1" applyBorder="1" applyAlignment="1">
      <alignment/>
    </xf>
    <xf numFmtId="174" fontId="9" fillId="0" borderId="51" xfId="0" applyNumberFormat="1" applyFont="1" applyBorder="1" applyAlignment="1">
      <alignment/>
    </xf>
    <xf numFmtId="174" fontId="9" fillId="0" borderId="99" xfId="0" applyNumberFormat="1" applyFont="1" applyBorder="1" applyAlignment="1">
      <alignment/>
    </xf>
    <xf numFmtId="174" fontId="9" fillId="0" borderId="100" xfId="0" applyNumberFormat="1" applyFont="1" applyBorder="1" applyAlignment="1">
      <alignment/>
    </xf>
    <xf numFmtId="0" fontId="8" fillId="0" borderId="26" xfId="0" applyFont="1" applyFill="1" applyBorder="1" applyAlignment="1">
      <alignment/>
    </xf>
    <xf numFmtId="174" fontId="8" fillId="0" borderId="101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0" fontId="9" fillId="0" borderId="78" xfId="0" applyFont="1" applyBorder="1" applyAlignment="1">
      <alignment/>
    </xf>
    <xf numFmtId="174" fontId="9" fillId="0" borderId="13" xfId="0" applyNumberFormat="1" applyFont="1" applyBorder="1" applyAlignment="1">
      <alignment/>
    </xf>
    <xf numFmtId="174" fontId="9" fillId="0" borderId="64" xfId="0" applyNumberFormat="1" applyFont="1" applyBorder="1" applyAlignment="1">
      <alignment/>
    </xf>
    <xf numFmtId="0" fontId="9" fillId="0" borderId="27" xfId="0" applyFont="1" applyFill="1" applyBorder="1" applyAlignment="1">
      <alignment/>
    </xf>
    <xf numFmtId="0" fontId="0" fillId="0" borderId="102" xfId="0" applyFont="1" applyBorder="1" applyAlignment="1">
      <alignment/>
    </xf>
    <xf numFmtId="0" fontId="8" fillId="0" borderId="29" xfId="0" applyFont="1" applyFill="1" applyBorder="1" applyAlignment="1">
      <alignment/>
    </xf>
    <xf numFmtId="174" fontId="8" fillId="0" borderId="25" xfId="0" applyNumberFormat="1" applyFont="1" applyBorder="1" applyAlignment="1">
      <alignment/>
    </xf>
    <xf numFmtId="174" fontId="8" fillId="0" borderId="61" xfId="0" applyNumberFormat="1" applyFont="1" applyBorder="1" applyAlignment="1">
      <alignment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27" fillId="0" borderId="3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10" fontId="0" fillId="0" borderId="21" xfId="0" applyNumberFormat="1" applyBorder="1" applyAlignment="1">
      <alignment/>
    </xf>
    <xf numFmtId="0" fontId="2" fillId="0" borderId="14" xfId="0" applyFont="1" applyBorder="1" applyAlignment="1">
      <alignment/>
    </xf>
    <xf numFmtId="10" fontId="0" fillId="0" borderId="36" xfId="0" applyNumberFormat="1" applyBorder="1" applyAlignment="1">
      <alignment/>
    </xf>
    <xf numFmtId="0" fontId="2" fillId="0" borderId="99" xfId="0" applyFont="1" applyBorder="1" applyAlignment="1">
      <alignment/>
    </xf>
    <xf numFmtId="172" fontId="2" fillId="0" borderId="99" xfId="0" applyNumberFormat="1" applyFont="1" applyBorder="1" applyAlignment="1">
      <alignment/>
    </xf>
    <xf numFmtId="10" fontId="2" fillId="0" borderId="99" xfId="0" applyNumberFormat="1" applyFont="1" applyBorder="1" applyAlignment="1">
      <alignment/>
    </xf>
    <xf numFmtId="0" fontId="2" fillId="0" borderId="40" xfId="0" applyFont="1" applyBorder="1" applyAlignment="1">
      <alignment/>
    </xf>
    <xf numFmtId="172" fontId="2" fillId="0" borderId="40" xfId="0" applyNumberFormat="1" applyFont="1" applyBorder="1" applyAlignment="1">
      <alignment/>
    </xf>
    <xf numFmtId="10" fontId="2" fillId="0" borderId="40" xfId="0" applyNumberFormat="1" applyFont="1" applyBorder="1" applyAlignment="1">
      <alignment/>
    </xf>
    <xf numFmtId="172" fontId="2" fillId="0" borderId="39" xfId="0" applyNumberFormat="1" applyFont="1" applyBorder="1" applyAlignment="1">
      <alignment/>
    </xf>
    <xf numFmtId="10" fontId="2" fillId="0" borderId="39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37" xfId="0" applyFont="1" applyBorder="1" applyAlignment="1">
      <alignment/>
    </xf>
    <xf numFmtId="172" fontId="2" fillId="0" borderId="37" xfId="0" applyNumberFormat="1" applyFont="1" applyBorder="1" applyAlignment="1">
      <alignment/>
    </xf>
    <xf numFmtId="10" fontId="2" fillId="0" borderId="37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0" fontId="28" fillId="0" borderId="12" xfId="0" applyFont="1" applyBorder="1" applyAlignment="1">
      <alignment/>
    </xf>
    <xf numFmtId="172" fontId="28" fillId="0" borderId="12" xfId="0" applyNumberFormat="1" applyFont="1" applyBorder="1" applyAlignment="1">
      <alignment/>
    </xf>
    <xf numFmtId="0" fontId="2" fillId="0" borderId="71" xfId="0" applyFont="1" applyBorder="1" applyAlignment="1">
      <alignment/>
    </xf>
    <xf numFmtId="172" fontId="2" fillId="0" borderId="71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32" xfId="0" applyFont="1" applyBorder="1" applyAlignment="1">
      <alignment/>
    </xf>
    <xf numFmtId="172" fontId="2" fillId="0" borderId="31" xfId="0" applyNumberFormat="1" applyFont="1" applyBorder="1" applyAlignment="1">
      <alignment/>
    </xf>
    <xf numFmtId="0" fontId="2" fillId="0" borderId="26" xfId="0" applyFont="1" applyBorder="1" applyAlignment="1">
      <alignment/>
    </xf>
    <xf numFmtId="172" fontId="2" fillId="0" borderId="32" xfId="0" applyNumberFormat="1" applyFont="1" applyBorder="1" applyAlignment="1">
      <alignment/>
    </xf>
    <xf numFmtId="172" fontId="2" fillId="0" borderId="31" xfId="0" applyNumberFormat="1" applyFont="1" applyFill="1" applyBorder="1" applyAlignment="1">
      <alignment/>
    </xf>
    <xf numFmtId="0" fontId="2" fillId="0" borderId="92" xfId="0" applyFont="1" applyBorder="1" applyAlignment="1">
      <alignment horizontal="left"/>
    </xf>
    <xf numFmtId="174" fontId="2" fillId="0" borderId="92" xfId="0" applyNumberFormat="1" applyFont="1" applyBorder="1" applyAlignment="1">
      <alignment horizontal="right"/>
    </xf>
    <xf numFmtId="172" fontId="0" fillId="0" borderId="32" xfId="0" applyNumberFormat="1" applyFont="1" applyBorder="1" applyAlignment="1">
      <alignment/>
    </xf>
    <xf numFmtId="0" fontId="2" fillId="0" borderId="71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172" fontId="2" fillId="0" borderId="92" xfId="0" applyNumberFormat="1" applyFont="1" applyBorder="1" applyAlignment="1">
      <alignment horizontal="right"/>
    </xf>
    <xf numFmtId="172" fontId="2" fillId="0" borderId="92" xfId="0" applyNumberFormat="1" applyFont="1" applyFill="1" applyBorder="1" applyAlignment="1">
      <alignment horizontal="right"/>
    </xf>
    <xf numFmtId="172" fontId="2" fillId="0" borderId="71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 horizontal="justify" vertical="center"/>
    </xf>
    <xf numFmtId="0" fontId="2" fillId="34" borderId="89" xfId="0" applyFont="1" applyFill="1" applyBorder="1" applyAlignment="1">
      <alignment horizontal="center" vertical="center"/>
    </xf>
    <xf numFmtId="0" fontId="2" fillId="34" borderId="97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91" xfId="0" applyBorder="1" applyAlignment="1">
      <alignment/>
    </xf>
    <xf numFmtId="0" fontId="0" fillId="0" borderId="82" xfId="0" applyBorder="1" applyAlignment="1">
      <alignment/>
    </xf>
    <xf numFmtId="0" fontId="0" fillId="0" borderId="68" xfId="0" applyFont="1" applyBorder="1" applyAlignment="1">
      <alignment/>
    </xf>
    <xf numFmtId="9" fontId="0" fillId="0" borderId="12" xfId="0" applyNumberFormat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172" fontId="2" fillId="0" borderId="15" xfId="0" applyNumberFormat="1" applyFont="1" applyFill="1" applyBorder="1" applyAlignment="1">
      <alignment/>
    </xf>
    <xf numFmtId="172" fontId="2" fillId="0" borderId="99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 horizontal="right"/>
    </xf>
    <xf numFmtId="0" fontId="2" fillId="0" borderId="92" xfId="0" applyFont="1" applyBorder="1" applyAlignment="1">
      <alignment/>
    </xf>
    <xf numFmtId="172" fontId="2" fillId="0" borderId="92" xfId="0" applyNumberFormat="1" applyFont="1" applyFill="1" applyBorder="1" applyAlignment="1">
      <alignment/>
    </xf>
    <xf numFmtId="0" fontId="0" fillId="0" borderId="20" xfId="0" applyBorder="1" applyAlignment="1">
      <alignment/>
    </xf>
    <xf numFmtId="172" fontId="0" fillId="0" borderId="25" xfId="0" applyNumberFormat="1" applyBorder="1" applyAlignment="1">
      <alignment/>
    </xf>
    <xf numFmtId="0" fontId="0" fillId="0" borderId="25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0" borderId="55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57" xfId="0" applyFont="1" applyFill="1" applyBorder="1" applyAlignment="1">
      <alignment/>
    </xf>
    <xf numFmtId="49" fontId="0" fillId="0" borderId="65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29" fillId="35" borderId="34" xfId="0" applyFont="1" applyFill="1" applyBorder="1" applyAlignment="1">
      <alignment horizontal="center"/>
    </xf>
    <xf numFmtId="174" fontId="2" fillId="0" borderId="16" xfId="0" applyNumberFormat="1" applyFont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9" fillId="0" borderId="28" xfId="0" applyFont="1" applyBorder="1" applyAlignment="1">
      <alignment/>
    </xf>
    <xf numFmtId="0" fontId="0" fillId="38" borderId="31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172" fontId="0" fillId="0" borderId="18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0" fontId="2" fillId="0" borderId="71" xfId="0" applyFont="1" applyBorder="1" applyAlignment="1">
      <alignment horizontal="left"/>
    </xf>
    <xf numFmtId="172" fontId="0" fillId="0" borderId="17" xfId="0" applyNumberFormat="1" applyBorder="1" applyAlignment="1">
      <alignment/>
    </xf>
    <xf numFmtId="0" fontId="0" fillId="0" borderId="97" xfId="0" applyFont="1" applyBorder="1" applyAlignment="1">
      <alignment/>
    </xf>
    <xf numFmtId="0" fontId="0" fillId="0" borderId="97" xfId="0" applyBorder="1" applyAlignment="1">
      <alignment/>
    </xf>
    <xf numFmtId="0" fontId="18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46" xfId="0" applyFont="1" applyBorder="1" applyAlignment="1">
      <alignment/>
    </xf>
    <xf numFmtId="172" fontId="0" fillId="0" borderId="47" xfId="0" applyNumberFormat="1" applyFont="1" applyBorder="1" applyAlignment="1">
      <alignment/>
    </xf>
    <xf numFmtId="172" fontId="2" fillId="0" borderId="51" xfId="0" applyNumberFormat="1" applyFont="1" applyFill="1" applyBorder="1" applyAlignment="1">
      <alignment/>
    </xf>
    <xf numFmtId="172" fontId="2" fillId="0" borderId="49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2" fillId="0" borderId="61" xfId="0" applyNumberFormat="1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172" fontId="2" fillId="0" borderId="8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172" fontId="0" fillId="39" borderId="12" xfId="0" applyNumberFormat="1" applyFont="1" applyFill="1" applyBorder="1" applyAlignment="1">
      <alignment/>
    </xf>
    <xf numFmtId="0" fontId="30" fillId="0" borderId="0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/>
    </xf>
    <xf numFmtId="172" fontId="2" fillId="0" borderId="33" xfId="0" applyNumberFormat="1" applyFont="1" applyBorder="1" applyAlignment="1">
      <alignment/>
    </xf>
    <xf numFmtId="0" fontId="2" fillId="0" borderId="19" xfId="0" applyFont="1" applyBorder="1" applyAlignment="1">
      <alignment/>
    </xf>
    <xf numFmtId="172" fontId="2" fillId="0" borderId="21" xfId="0" applyNumberFormat="1" applyFont="1" applyBorder="1" applyAlignment="1">
      <alignment/>
    </xf>
    <xf numFmtId="0" fontId="0" fillId="0" borderId="103" xfId="0" applyFont="1" applyBorder="1" applyAlignment="1">
      <alignment/>
    </xf>
    <xf numFmtId="172" fontId="0" fillId="0" borderId="97" xfId="0" applyNumberFormat="1" applyFont="1" applyBorder="1" applyAlignment="1">
      <alignment/>
    </xf>
    <xf numFmtId="10" fontId="2" fillId="0" borderId="33" xfId="0" applyNumberFormat="1" applyFont="1" applyBorder="1" applyAlignment="1">
      <alignment/>
    </xf>
    <xf numFmtId="10" fontId="0" fillId="0" borderId="97" xfId="0" applyNumberFormat="1" applyFont="1" applyBorder="1" applyAlignment="1">
      <alignment/>
    </xf>
    <xf numFmtId="10" fontId="2" fillId="0" borderId="25" xfId="0" applyNumberFormat="1" applyFont="1" applyBorder="1" applyAlignment="1">
      <alignment/>
    </xf>
    <xf numFmtId="172" fontId="0" fillId="0" borderId="12" xfId="0" applyNumberFormat="1" applyFont="1" applyBorder="1" applyAlignment="1">
      <alignment horizontal="right"/>
    </xf>
    <xf numFmtId="0" fontId="0" fillId="36" borderId="20" xfId="0" applyFont="1" applyFill="1" applyBorder="1" applyAlignment="1">
      <alignment/>
    </xf>
    <xf numFmtId="172" fontId="0" fillId="39" borderId="13" xfId="0" applyNumberFormat="1" applyFont="1" applyFill="1" applyBorder="1" applyAlignment="1">
      <alignment/>
    </xf>
    <xf numFmtId="172" fontId="0" fillId="40" borderId="12" xfId="0" applyNumberFormat="1" applyFont="1" applyFill="1" applyBorder="1" applyAlignment="1">
      <alignment/>
    </xf>
    <xf numFmtId="172" fontId="72" fillId="39" borderId="12" xfId="0" applyNumberFormat="1" applyFont="1" applyFill="1" applyBorder="1" applyAlignment="1">
      <alignment/>
    </xf>
    <xf numFmtId="10" fontId="0" fillId="0" borderId="11" xfId="0" applyNumberFormat="1" applyFill="1" applyBorder="1" applyAlignment="1" applyProtection="1">
      <alignment/>
      <protection locked="0"/>
    </xf>
    <xf numFmtId="172" fontId="1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172" fontId="25" fillId="0" borderId="17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0" fillId="0" borderId="49" xfId="0" applyNumberFormat="1" applyBorder="1" applyAlignment="1">
      <alignment/>
    </xf>
    <xf numFmtId="10" fontId="0" fillId="0" borderId="64" xfId="0" applyNumberFormat="1" applyBorder="1" applyAlignment="1">
      <alignment/>
    </xf>
    <xf numFmtId="10" fontId="0" fillId="0" borderId="82" xfId="0" applyNumberFormat="1" applyBorder="1" applyAlignment="1">
      <alignment/>
    </xf>
    <xf numFmtId="0" fontId="0" fillId="0" borderId="38" xfId="0" applyFont="1" applyBorder="1" applyAlignment="1">
      <alignment/>
    </xf>
    <xf numFmtId="0" fontId="0" fillId="0" borderId="104" xfId="0" applyBorder="1" applyAlignment="1">
      <alignment horizontal="center"/>
    </xf>
    <xf numFmtId="49" fontId="0" fillId="0" borderId="104" xfId="0" applyNumberFormat="1" applyBorder="1" applyAlignment="1">
      <alignment horizontal="center"/>
    </xf>
    <xf numFmtId="172" fontId="0" fillId="0" borderId="41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0" fillId="35" borderId="18" xfId="49" applyFont="1" applyFill="1" applyBorder="1" applyAlignment="1">
      <alignment/>
    </xf>
    <xf numFmtId="43" fontId="0" fillId="35" borderId="35" xfId="49" applyFont="1" applyFill="1" applyBorder="1" applyAlignment="1">
      <alignment/>
    </xf>
    <xf numFmtId="0" fontId="2" fillId="34" borderId="97" xfId="0" applyFont="1" applyFill="1" applyBorder="1" applyAlignment="1">
      <alignment horizontal="center" vertical="center" wrapText="1"/>
    </xf>
    <xf numFmtId="0" fontId="2" fillId="34" borderId="90" xfId="0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/>
    </xf>
    <xf numFmtId="172" fontId="0" fillId="0" borderId="18" xfId="0" applyNumberFormat="1" applyFill="1" applyBorder="1" applyAlignment="1">
      <alignment/>
    </xf>
    <xf numFmtId="0" fontId="72" fillId="0" borderId="0" xfId="0" applyFont="1" applyAlignment="1">
      <alignment horizontal="center"/>
    </xf>
    <xf numFmtId="10" fontId="72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172" fontId="0" fillId="39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5" fillId="0" borderId="35" xfId="0" applyFont="1" applyBorder="1" applyAlignment="1">
      <alignment horizontal="center"/>
    </xf>
    <xf numFmtId="0" fontId="2" fillId="39" borderId="26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0" fontId="2" fillId="39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36" borderId="32" xfId="0" applyFont="1" applyFill="1" applyBorder="1" applyAlignment="1">
      <alignment horizontal="center"/>
    </xf>
    <xf numFmtId="0" fontId="8" fillId="36" borderId="3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2" fillId="34" borderId="58" xfId="0" applyFont="1" applyFill="1" applyBorder="1" applyAlignment="1" applyProtection="1">
      <alignment horizontal="center"/>
      <protection/>
    </xf>
    <xf numFmtId="0" fontId="22" fillId="34" borderId="54" xfId="0" applyFont="1" applyFill="1" applyBorder="1" applyAlignment="1" applyProtection="1">
      <alignment horizontal="center"/>
      <protection/>
    </xf>
    <xf numFmtId="0" fontId="22" fillId="34" borderId="10" xfId="0" applyFont="1" applyFill="1" applyBorder="1" applyAlignment="1" applyProtection="1">
      <alignment horizontal="center"/>
      <protection/>
    </xf>
    <xf numFmtId="0" fontId="17" fillId="34" borderId="58" xfId="0" applyFont="1" applyFill="1" applyBorder="1" applyAlignment="1" applyProtection="1">
      <alignment horizontal="center" vertical="justify" wrapText="1"/>
      <protection/>
    </xf>
    <xf numFmtId="0" fontId="0" fillId="34" borderId="62" xfId="0" applyFill="1" applyBorder="1" applyAlignment="1">
      <alignment horizontal="center"/>
    </xf>
    <xf numFmtId="0" fontId="2" fillId="34" borderId="105" xfId="0" applyFont="1" applyFill="1" applyBorder="1" applyAlignment="1" applyProtection="1">
      <alignment horizontal="center"/>
      <protection/>
    </xf>
    <xf numFmtId="0" fontId="2" fillId="34" borderId="106" xfId="0" applyFont="1" applyFill="1" applyBorder="1" applyAlignment="1" applyProtection="1">
      <alignment horizontal="center"/>
      <protection/>
    </xf>
    <xf numFmtId="0" fontId="2" fillId="34" borderId="103" xfId="0" applyFont="1" applyFill="1" applyBorder="1" applyAlignment="1" applyProtection="1">
      <alignment horizontal="center"/>
      <protection/>
    </xf>
    <xf numFmtId="0" fontId="17" fillId="34" borderId="59" xfId="0" applyFont="1" applyFill="1" applyBorder="1" applyAlignment="1" applyProtection="1">
      <alignment horizontal="center" vertical="justify" wrapText="1"/>
      <protection/>
    </xf>
    <xf numFmtId="0" fontId="0" fillId="34" borderId="34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83" xfId="0" applyFill="1" applyBorder="1" applyAlignment="1">
      <alignment horizontal="center"/>
    </xf>
    <xf numFmtId="0" fontId="17" fillId="34" borderId="66" xfId="0" applyFont="1" applyFill="1" applyBorder="1" applyAlignment="1" applyProtection="1">
      <alignment horizontal="center" vertical="justify" wrapText="1"/>
      <protection/>
    </xf>
    <xf numFmtId="0" fontId="17" fillId="34" borderId="79" xfId="0" applyFont="1" applyFill="1" applyBorder="1" applyAlignment="1" applyProtection="1">
      <alignment horizontal="center" vertical="justify" wrapText="1"/>
      <protection/>
    </xf>
    <xf numFmtId="10" fontId="2" fillId="34" borderId="66" xfId="0" applyNumberFormat="1" applyFont="1" applyFill="1" applyBorder="1" applyAlignment="1" applyProtection="1">
      <alignment horizontal="center"/>
      <protection/>
    </xf>
    <xf numFmtId="10" fontId="2" fillId="34" borderId="79" xfId="0" applyNumberFormat="1" applyFont="1" applyFill="1" applyBorder="1" applyAlignment="1" applyProtection="1">
      <alignment horizontal="center"/>
      <protection/>
    </xf>
    <xf numFmtId="9" fontId="2" fillId="34" borderId="66" xfId="0" applyNumberFormat="1" applyFont="1" applyFill="1" applyBorder="1" applyAlignment="1" applyProtection="1">
      <alignment horizontal="center"/>
      <protection/>
    </xf>
    <xf numFmtId="9" fontId="2" fillId="34" borderId="79" xfId="0" applyNumberFormat="1" applyFont="1" applyFill="1" applyBorder="1" applyAlignment="1" applyProtection="1">
      <alignment horizontal="center"/>
      <protection/>
    </xf>
    <xf numFmtId="4" fontId="0" fillId="35" borderId="85" xfId="0" applyNumberFormat="1" applyFill="1" applyBorder="1" applyAlignment="1" applyProtection="1">
      <alignment horizontal="center"/>
      <protection/>
    </xf>
    <xf numFmtId="4" fontId="0" fillId="35" borderId="107" xfId="0" applyNumberFormat="1" applyFill="1" applyBorder="1" applyAlignment="1" applyProtection="1">
      <alignment horizontal="center"/>
      <protection/>
    </xf>
    <xf numFmtId="0" fontId="22" fillId="34" borderId="26" xfId="0" applyFont="1" applyFill="1" applyBorder="1" applyAlignment="1" applyProtection="1">
      <alignment horizontal="center"/>
      <protection/>
    </xf>
    <xf numFmtId="0" fontId="22" fillId="34" borderId="32" xfId="0" applyFont="1" applyFill="1" applyBorder="1" applyAlignment="1" applyProtection="1">
      <alignment horizontal="center"/>
      <protection/>
    </xf>
    <xf numFmtId="0" fontId="22" fillId="34" borderId="31" xfId="0" applyFont="1" applyFill="1" applyBorder="1" applyAlignment="1" applyProtection="1">
      <alignment horizontal="center"/>
      <protection/>
    </xf>
    <xf numFmtId="0" fontId="2" fillId="34" borderId="58" xfId="0" applyFont="1" applyFill="1" applyBorder="1" applyAlignment="1" applyProtection="1">
      <alignment horizontal="center"/>
      <protection/>
    </xf>
    <xf numFmtId="0" fontId="2" fillId="34" borderId="34" xfId="0" applyFont="1" applyFill="1" applyBorder="1" applyAlignment="1" applyProtection="1">
      <alignment horizontal="center"/>
      <protection/>
    </xf>
    <xf numFmtId="10" fontId="17" fillId="34" borderId="59" xfId="0" applyNumberFormat="1" applyFont="1" applyFill="1" applyBorder="1" applyAlignment="1" applyProtection="1">
      <alignment horizontal="center" vertical="justify" wrapText="1"/>
      <protection/>
    </xf>
    <xf numFmtId="0" fontId="2" fillId="0" borderId="58" xfId="0" applyFont="1" applyFill="1" applyBorder="1" applyAlignment="1" applyProtection="1">
      <alignment horizontal="center"/>
      <protection/>
    </xf>
    <xf numFmtId="0" fontId="2" fillId="0" borderId="54" xfId="0" applyFont="1" applyFill="1" applyBorder="1" applyAlignment="1" applyProtection="1">
      <alignment horizontal="center"/>
      <protection/>
    </xf>
    <xf numFmtId="0" fontId="2" fillId="34" borderId="62" xfId="0" applyFont="1" applyFill="1" applyBorder="1" applyAlignment="1" applyProtection="1">
      <alignment horizontal="center"/>
      <protection/>
    </xf>
    <xf numFmtId="0" fontId="2" fillId="34" borderId="83" xfId="0" applyFont="1" applyFill="1" applyBorder="1" applyAlignment="1" applyProtection="1">
      <alignment horizontal="center"/>
      <protection/>
    </xf>
    <xf numFmtId="4" fontId="0" fillId="0" borderId="23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0" fontId="2" fillId="34" borderId="44" xfId="0" applyFont="1" applyFill="1" applyBorder="1" applyAlignment="1" applyProtection="1">
      <alignment horizontal="center" vertical="justify"/>
      <protection/>
    </xf>
    <xf numFmtId="0" fontId="2" fillId="34" borderId="86" xfId="0" applyFont="1" applyFill="1" applyBorder="1" applyAlignment="1" applyProtection="1">
      <alignment horizontal="center" vertical="justify"/>
      <protection/>
    </xf>
    <xf numFmtId="0" fontId="4" fillId="0" borderId="0" xfId="0" applyFont="1" applyAlignment="1" applyProtection="1">
      <alignment horizontal="left"/>
      <protection/>
    </xf>
    <xf numFmtId="0" fontId="17" fillId="36" borderId="44" xfId="0" applyFont="1" applyFill="1" applyBorder="1" applyAlignment="1" applyProtection="1">
      <alignment horizontal="center" vertical="justify"/>
      <protection/>
    </xf>
    <xf numFmtId="0" fontId="17" fillId="36" borderId="86" xfId="0" applyFont="1" applyFill="1" applyBorder="1" applyAlignment="1" applyProtection="1">
      <alignment horizontal="center" vertical="justify"/>
      <protection/>
    </xf>
    <xf numFmtId="0" fontId="2" fillId="34" borderId="32" xfId="0" applyFont="1" applyFill="1" applyBorder="1" applyAlignment="1" applyProtection="1">
      <alignment horizontal="center" vertical="justify"/>
      <protection/>
    </xf>
    <xf numFmtId="14" fontId="0" fillId="0" borderId="26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/>
    </xf>
    <xf numFmtId="0" fontId="2" fillId="36" borderId="36" xfId="0" applyFont="1" applyFill="1" applyBorder="1" applyAlignment="1" applyProtection="1">
      <alignment horizontal="center"/>
      <protection/>
    </xf>
    <xf numFmtId="0" fontId="2" fillId="36" borderId="108" xfId="0" applyFont="1" applyFill="1" applyBorder="1" applyAlignment="1" applyProtection="1">
      <alignment horizontal="center"/>
      <protection/>
    </xf>
    <xf numFmtId="0" fontId="2" fillId="36" borderId="81" xfId="0" applyFont="1" applyFill="1" applyBorder="1" applyAlignment="1" applyProtection="1">
      <alignment horizontal="center"/>
      <protection/>
    </xf>
    <xf numFmtId="0" fontId="2" fillId="36" borderId="109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left" vertical="justify"/>
      <protection locked="0"/>
    </xf>
    <xf numFmtId="0" fontId="0" fillId="0" borderId="32" xfId="0" applyFont="1" applyFill="1" applyBorder="1" applyAlignment="1" applyProtection="1">
      <alignment horizontal="left" vertical="justify"/>
      <protection locked="0"/>
    </xf>
    <xf numFmtId="0" fontId="0" fillId="0" borderId="31" xfId="0" applyFont="1" applyFill="1" applyBorder="1" applyAlignment="1" applyProtection="1">
      <alignment horizontal="left" vertical="justify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2" fillId="34" borderId="86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justify" vertical="center"/>
      <protection/>
    </xf>
    <xf numFmtId="0" fontId="2" fillId="34" borderId="86" xfId="0" applyFont="1" applyFill="1" applyBorder="1" applyAlignment="1" applyProtection="1">
      <alignment horizontal="justify" vertical="center"/>
      <protection/>
    </xf>
    <xf numFmtId="0" fontId="9" fillId="0" borderId="0" xfId="0" applyFont="1" applyAlignment="1">
      <alignment horizontal="center"/>
    </xf>
    <xf numFmtId="0" fontId="8" fillId="33" borderId="58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27" fillId="33" borderId="23" xfId="0" applyFont="1" applyFill="1" applyBorder="1" applyAlignment="1" applyProtection="1">
      <alignment horizontal="center"/>
      <protection/>
    </xf>
    <xf numFmtId="0" fontId="27" fillId="33" borderId="11" xfId="0" applyFont="1" applyFill="1" applyBorder="1" applyAlignment="1" applyProtection="1">
      <alignment horizontal="center"/>
      <protection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justify" vertical="center"/>
    </xf>
    <xf numFmtId="0" fontId="0" fillId="0" borderId="26" xfId="0" applyFont="1" applyBorder="1" applyAlignment="1">
      <alignment horizontal="justify"/>
    </xf>
    <xf numFmtId="0" fontId="0" fillId="0" borderId="32" xfId="0" applyFont="1" applyBorder="1" applyAlignment="1">
      <alignment horizontal="justify"/>
    </xf>
    <xf numFmtId="0" fontId="0" fillId="0" borderId="31" xfId="0" applyFont="1" applyBorder="1" applyAlignment="1">
      <alignment horizontal="justify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fijas y especiales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"/>
          <c:w val="0.940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('[2]CUADRO 2 RH'!$A$24:$A$25,'[2]CUADRO 2 RH'!$A$28)</c:f>
              <c:strCache>
                <c:ptCount val="3"/>
                <c:pt idx="0">
                  <c:v>Plazas en sueldos para cargos fijos</c:v>
                </c:pt>
                <c:pt idx="1">
                  <c:v>Plazas en servicios especiales</c:v>
                </c:pt>
                <c:pt idx="2">
                  <c:v>Total de plazas</c:v>
                </c:pt>
              </c:strCache>
            </c:strRef>
          </c:cat>
          <c:val>
            <c:numRef>
              <c:f>('[2]CUADRO 2 RH'!$C$24:$C$25,'[2]CUADRO 2 RH'!$C$28)</c:f>
              <c:numCache>
                <c:ptCount val="3"/>
                <c:pt idx="0">
                  <c:v>48</c:v>
                </c:pt>
                <c:pt idx="1">
                  <c:v>1</c:v>
                </c:pt>
                <c:pt idx="2">
                  <c:v>49</c:v>
                </c:pt>
              </c:numCache>
            </c:numRef>
          </c:val>
        </c:ser>
        <c:axId val="60250535"/>
        <c:axId val="5383904"/>
      </c:barChart>
      <c:catAx>
        <c:axId val="6025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3904"/>
        <c:crosses val="autoZero"/>
        <c:auto val="1"/>
        <c:lblOffset val="100"/>
        <c:tickLblSkip val="1"/>
        <c:noMultiLvlLbl val="0"/>
      </c:catAx>
      <c:valAx>
        <c:axId val="5383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0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en procesos sustantivos y de apoyo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2125"/>
          <c:w val="0.951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'[2]CUADRO 2 RH'!$A$26:$A$28</c:f>
              <c:strCache>
                <c:ptCount val="3"/>
                <c:pt idx="0">
                  <c:v>Plazas en procesos sustantivos</c:v>
                </c:pt>
                <c:pt idx="1">
                  <c:v>Plazas en procesos de apoyo</c:v>
                </c:pt>
                <c:pt idx="2">
                  <c:v>Total de plazas</c:v>
                </c:pt>
              </c:strCache>
            </c:strRef>
          </c:cat>
          <c:val>
            <c:numRef>
              <c:f>'[2]CUADRO 2 RH'!$C$26:$C$28</c:f>
              <c:numCache>
                <c:ptCount val="3"/>
                <c:pt idx="0">
                  <c:v>20</c:v>
                </c:pt>
                <c:pt idx="1">
                  <c:v>29</c:v>
                </c:pt>
                <c:pt idx="2">
                  <c:v>49</c:v>
                </c:pt>
              </c:numCache>
            </c:numRef>
          </c:val>
        </c:ser>
        <c:axId val="48455137"/>
        <c:axId val="33443050"/>
      </c:barChart>
      <c:catAx>
        <c:axId val="48455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3050"/>
        <c:crosses val="autoZero"/>
        <c:auto val="1"/>
        <c:lblOffset val="100"/>
        <c:tickLblSkip val="1"/>
        <c:noMultiLvlLbl val="0"/>
      </c:catAx>
      <c:valAx>
        <c:axId val="33443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55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según estructura programática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04"/>
          <c:w val="0.953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'[2]CUADRO 2 RH'!$F$24:$F$28</c:f>
              <c:strCache>
                <c:ptCount val="5"/>
                <c:pt idx="0">
                  <c:v>Programa I: Dirección y Administración General</c:v>
                </c:pt>
                <c:pt idx="1">
                  <c:v>Programa II: Servicios Comunitarios</c:v>
                </c:pt>
                <c:pt idx="2">
                  <c:v>Programa III: Inversiones</c:v>
                </c:pt>
                <c:pt idx="3">
                  <c:v>Programa IV: Partidas específicas</c:v>
                </c:pt>
                <c:pt idx="4">
                  <c:v>Total de plazas</c:v>
                </c:pt>
              </c:strCache>
            </c:strRef>
          </c:cat>
          <c:val>
            <c:numRef>
              <c:f>'[2]CUADRO 2 RH'!$M$24:$M$28</c:f>
              <c:numCache>
                <c:ptCount val="5"/>
                <c:pt idx="0">
                  <c:v>29</c:v>
                </c:pt>
                <c:pt idx="1">
                  <c:v>20</c:v>
                </c:pt>
                <c:pt idx="2">
                  <c:v>0</c:v>
                </c:pt>
                <c:pt idx="3">
                  <c:v>0</c:v>
                </c:pt>
                <c:pt idx="4">
                  <c:v>49</c:v>
                </c:pt>
              </c:numCache>
            </c:numRef>
          </c:val>
        </c:ser>
        <c:axId val="32551995"/>
        <c:axId val="24532500"/>
      </c:barChart>
      <c:catAx>
        <c:axId val="3255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32500"/>
        <c:crosses val="autoZero"/>
        <c:auto val="1"/>
        <c:lblOffset val="100"/>
        <c:tickLblSkip val="1"/>
        <c:noMultiLvlLbl val="0"/>
      </c:catAx>
      <c:valAx>
        <c:axId val="24532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1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fijas y especiales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202"/>
          <c:w val="0.940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('[1]CUADRO 2 RH'!$A$24:$A$25,'[1]CUADRO 2 RH'!$A$28)</c:f>
              <c:strCache>
                <c:ptCount val="3"/>
                <c:pt idx="0">
                  <c:v>Plazas en sueldos para cargos fijos</c:v>
                </c:pt>
                <c:pt idx="1">
                  <c:v>Plazas en servicios especiales</c:v>
                </c:pt>
                <c:pt idx="2">
                  <c:v>Total de plazas</c:v>
                </c:pt>
              </c:strCache>
            </c:strRef>
          </c:cat>
          <c:val>
            <c:numRef>
              <c:f>('[1]CUADRO 2 RH'!$C$24:$C$25,'[1]CUADRO 2 RH'!$C$28)</c:f>
              <c:numCache>
                <c:ptCount val="3"/>
                <c:pt idx="0">
                  <c:v>56</c:v>
                </c:pt>
                <c:pt idx="1">
                  <c:v>2</c:v>
                </c:pt>
                <c:pt idx="2">
                  <c:v>58</c:v>
                </c:pt>
              </c:numCache>
            </c:numRef>
          </c:val>
        </c:ser>
        <c:axId val="19465909"/>
        <c:axId val="40975454"/>
      </c:barChart>
      <c:catAx>
        <c:axId val="19465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5454"/>
        <c:crosses val="autoZero"/>
        <c:auto val="1"/>
        <c:lblOffset val="100"/>
        <c:tickLblSkip val="1"/>
        <c:noMultiLvlLbl val="0"/>
      </c:catAx>
      <c:valAx>
        <c:axId val="40975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5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en procesos sustantivos y de apoyo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2125"/>
          <c:w val="0.951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'[1]CUADRO 2 RH'!$A$26:$A$28</c:f>
              <c:strCache>
                <c:ptCount val="3"/>
                <c:pt idx="0">
                  <c:v>Plazas en procesos sustantivos</c:v>
                </c:pt>
                <c:pt idx="1">
                  <c:v>Plazas en procesos de apoyo</c:v>
                </c:pt>
                <c:pt idx="2">
                  <c:v>Total de plazas</c:v>
                </c:pt>
              </c:strCache>
            </c:strRef>
          </c:cat>
          <c:val>
            <c:numRef>
              <c:f>'[1]CUADRO 2 RH'!$C$26:$C$28</c:f>
              <c:numCache>
                <c:ptCount val="3"/>
                <c:pt idx="0">
                  <c:v>40</c:v>
                </c:pt>
                <c:pt idx="1">
                  <c:v>18</c:v>
                </c:pt>
                <c:pt idx="2">
                  <c:v>58</c:v>
                </c:pt>
              </c:numCache>
            </c:numRef>
          </c:val>
        </c:ser>
        <c:axId val="33234767"/>
        <c:axId val="30677448"/>
      </c:barChart>
      <c:catAx>
        <c:axId val="332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7448"/>
        <c:crosses val="autoZero"/>
        <c:auto val="1"/>
        <c:lblOffset val="100"/>
        <c:tickLblSkip val="1"/>
        <c:noMultiLvlLbl val="0"/>
      </c:catAx>
      <c:valAx>
        <c:axId val="30677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Plazas según estructura programática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204"/>
          <c:w val="0.955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'[1]CUADRO 2 RH'!$F$24:$F$28</c:f>
              <c:strCache>
                <c:ptCount val="5"/>
                <c:pt idx="0">
                  <c:v>Programa I: Dirección y Administración General</c:v>
                </c:pt>
                <c:pt idx="1">
                  <c:v>Programa II: Servicios Comunitarios</c:v>
                </c:pt>
                <c:pt idx="2">
                  <c:v>Programa III: Inversiones</c:v>
                </c:pt>
                <c:pt idx="3">
                  <c:v>Programa IV: Partidas específicas</c:v>
                </c:pt>
                <c:pt idx="4">
                  <c:v>Total de plazas</c:v>
                </c:pt>
              </c:strCache>
            </c:strRef>
          </c:cat>
          <c:val>
            <c:numRef>
              <c:f>'[1]CUADRO 2 RH'!$M$24:$M$28</c:f>
              <c:numCache>
                <c:ptCount val="5"/>
                <c:pt idx="0">
                  <c:v>31</c:v>
                </c:pt>
                <c:pt idx="1">
                  <c:v>26</c:v>
                </c:pt>
                <c:pt idx="2">
                  <c:v>1</c:v>
                </c:pt>
                <c:pt idx="3">
                  <c:v>0</c:v>
                </c:pt>
                <c:pt idx="4">
                  <c:v>58</c:v>
                </c:pt>
              </c:numCache>
            </c:numRef>
          </c:val>
        </c:ser>
        <c:axId val="7661577"/>
        <c:axId val="1845330"/>
      </c:barChart>
      <c:catAx>
        <c:axId val="766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330"/>
        <c:crosses val="autoZero"/>
        <c:auto val="1"/>
        <c:lblOffset val="100"/>
        <c:tickLblSkip val="1"/>
        <c:noMultiLvlLbl val="0"/>
      </c:catAx>
      <c:valAx>
        <c:axId val="1845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61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3</xdr:col>
      <xdr:colOff>142875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5495925"/>
        <a:ext cx="32861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29</xdr:row>
      <xdr:rowOff>28575</xdr:rowOff>
    </xdr:from>
    <xdr:to>
      <xdr:col>13</xdr:col>
      <xdr:colOff>28575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3400425" y="5505450"/>
        <a:ext cx="397192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41</xdr:row>
      <xdr:rowOff>47625</xdr:rowOff>
    </xdr:from>
    <xdr:to>
      <xdr:col>9</xdr:col>
      <xdr:colOff>847725</xdr:colOff>
      <xdr:row>53</xdr:row>
      <xdr:rowOff>152400</xdr:rowOff>
    </xdr:to>
    <xdr:graphicFrame>
      <xdr:nvGraphicFramePr>
        <xdr:cNvPr id="3" name="Chart 3"/>
        <xdr:cNvGraphicFramePr/>
      </xdr:nvGraphicFramePr>
      <xdr:xfrm>
        <a:off x="1571625" y="7467600"/>
        <a:ext cx="43148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3</xdr:col>
      <xdr:colOff>142875</xdr:colOff>
      <xdr:row>41</xdr:row>
      <xdr:rowOff>0</xdr:rowOff>
    </xdr:to>
    <xdr:graphicFrame>
      <xdr:nvGraphicFramePr>
        <xdr:cNvPr id="4" name="Chart 20"/>
        <xdr:cNvGraphicFramePr/>
      </xdr:nvGraphicFramePr>
      <xdr:xfrm>
        <a:off x="0" y="5495925"/>
        <a:ext cx="3286125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257175</xdr:colOff>
      <xdr:row>29</xdr:row>
      <xdr:rowOff>28575</xdr:rowOff>
    </xdr:from>
    <xdr:to>
      <xdr:col>13</xdr:col>
      <xdr:colOff>28575</xdr:colOff>
      <xdr:row>41</xdr:row>
      <xdr:rowOff>9525</xdr:rowOff>
    </xdr:to>
    <xdr:graphicFrame>
      <xdr:nvGraphicFramePr>
        <xdr:cNvPr id="5" name="Chart 21"/>
        <xdr:cNvGraphicFramePr/>
      </xdr:nvGraphicFramePr>
      <xdr:xfrm>
        <a:off x="3400425" y="5505450"/>
        <a:ext cx="397192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190500</xdr:colOff>
      <xdr:row>41</xdr:row>
      <xdr:rowOff>47625</xdr:rowOff>
    </xdr:from>
    <xdr:to>
      <xdr:col>9</xdr:col>
      <xdr:colOff>847725</xdr:colOff>
      <xdr:row>53</xdr:row>
      <xdr:rowOff>152400</xdr:rowOff>
    </xdr:to>
    <xdr:graphicFrame>
      <xdr:nvGraphicFramePr>
        <xdr:cNvPr id="6" name="Chart 22"/>
        <xdr:cNvGraphicFramePr/>
      </xdr:nvGraphicFramePr>
      <xdr:xfrm>
        <a:off x="1571625" y="7467600"/>
        <a:ext cx="4314825" cy="2047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barrantes\Escritorio\a&#241;o%202011%20presupuesto\Anexo7%20Cuadros%20Presupuesto%20ordinario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llen\Allen\plan%20presupuesto%202009\guias\Cuadros%20para%20Presupuesto%20ordin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barrantes\Mis%20documentos\Contral\anexos_guia_inter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alculo%20de%20salarios%202016%20D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 OyA"/>
      <sheetName val="CUADRO 2 RH"/>
      <sheetName val="CUADRO 3 SA"/>
      <sheetName val="CUADRO 4 Deudas"/>
      <sheetName val="CUADRO 5 Transf"/>
    </sheetNames>
    <sheetDataSet>
      <sheetData sheetId="1">
        <row r="24">
          <cell r="A24" t="str">
            <v>Plazas en sueldos para cargos fijos</v>
          </cell>
          <cell r="C24">
            <v>56</v>
          </cell>
          <cell r="F24" t="str">
            <v>Programa I: Dirección y Administración General</v>
          </cell>
          <cell r="M24">
            <v>31</v>
          </cell>
        </row>
        <row r="25">
          <cell r="A25" t="str">
            <v>Plazas en servicios especiales</v>
          </cell>
          <cell r="C25">
            <v>2</v>
          </cell>
          <cell r="F25" t="str">
            <v>Programa II: Servicios Comunitarios</v>
          </cell>
          <cell r="M25">
            <v>26</v>
          </cell>
        </row>
        <row r="26">
          <cell r="A26" t="str">
            <v>Plazas en procesos sustantivos</v>
          </cell>
          <cell r="C26">
            <v>40</v>
          </cell>
          <cell r="F26" t="str">
            <v>Programa III: Inversiones</v>
          </cell>
          <cell r="M26">
            <v>1</v>
          </cell>
        </row>
        <row r="27">
          <cell r="A27" t="str">
            <v>Plazas en procesos de apoyo</v>
          </cell>
          <cell r="C27">
            <v>18</v>
          </cell>
          <cell r="F27" t="str">
            <v>Programa IV: Partidas específicas</v>
          </cell>
          <cell r="M27">
            <v>0</v>
          </cell>
        </row>
        <row r="28">
          <cell r="A28" t="str">
            <v>Total de plazas</v>
          </cell>
          <cell r="C28">
            <v>58</v>
          </cell>
          <cell r="F28" t="str">
            <v>Total de plazas</v>
          </cell>
          <cell r="M28">
            <v>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 OyA"/>
      <sheetName val="CUADRO 2 RH"/>
      <sheetName val="CUADRO 3 SA"/>
      <sheetName val="CUADRO 4 Deudas"/>
      <sheetName val="CUADRO 5 Transf"/>
    </sheetNames>
    <sheetDataSet>
      <sheetData sheetId="1">
        <row r="24">
          <cell r="A24" t="str">
            <v>Plazas en sueldos para cargos fijos</v>
          </cell>
          <cell r="C24">
            <v>48</v>
          </cell>
          <cell r="F24" t="str">
            <v>Programa I: Dirección y Administración General</v>
          </cell>
          <cell r="M24">
            <v>29</v>
          </cell>
        </row>
        <row r="25">
          <cell r="A25" t="str">
            <v>Plazas en servicios especiales</v>
          </cell>
          <cell r="C25">
            <v>1</v>
          </cell>
          <cell r="F25" t="str">
            <v>Programa II: Servicios Comunitarios</v>
          </cell>
          <cell r="M25">
            <v>20</v>
          </cell>
        </row>
        <row r="26">
          <cell r="A26" t="str">
            <v>Plazas en procesos sustantivos</v>
          </cell>
          <cell r="C26">
            <v>20</v>
          </cell>
          <cell r="F26" t="str">
            <v>Programa III: Inversiones</v>
          </cell>
          <cell r="M26">
            <v>0</v>
          </cell>
        </row>
        <row r="27">
          <cell r="A27" t="str">
            <v>Plazas en procesos de apoyo</v>
          </cell>
          <cell r="C27">
            <v>29</v>
          </cell>
          <cell r="F27" t="str">
            <v>Programa IV: Partidas específicas</v>
          </cell>
          <cell r="M27">
            <v>0</v>
          </cell>
        </row>
        <row r="28">
          <cell r="A28" t="str">
            <v>Total de plazas</v>
          </cell>
          <cell r="C28">
            <v>49</v>
          </cell>
          <cell r="F28" t="str">
            <v>Total de plazas</v>
          </cell>
          <cell r="M28">
            <v>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ANEXO 2"/>
      <sheetName val="ANEXO 3"/>
      <sheetName val="ANEXO 4"/>
      <sheetName val="ANEXO 5"/>
      <sheetName val="ANEXO 6"/>
      <sheetName val="ANEXO 7"/>
      <sheetName val="ANEXO 8"/>
    </sheetNames>
    <sheetDataSet>
      <sheetData sheetId="0">
        <row r="2">
          <cell r="A2" t="str">
            <v>MUNICIPALIDAD DE FLORES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2 R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deducciones"/>
      <sheetName val="Calculon Sal Alc."/>
      <sheetName val="Relac. Puestos"/>
      <sheetName val="Calculo de Salarios %"/>
      <sheetName val="Hoja1"/>
      <sheetName val="Hoja2"/>
      <sheetName val="Calculon Sal Alc. (2)"/>
      <sheetName val="Relac. Puestos (2)"/>
      <sheetName val="Calculo de Salarios 4% (2)"/>
    </sheetNames>
    <sheetDataSet>
      <sheetData sheetId="3">
        <row r="78">
          <cell r="H78">
            <v>222078050.2772171</v>
          </cell>
          <cell r="I78">
            <v>45275536.47978612</v>
          </cell>
          <cell r="J78">
            <v>17138955.09590586</v>
          </cell>
          <cell r="K78">
            <v>55714705.885814466</v>
          </cell>
        </row>
        <row r="79">
          <cell r="H79">
            <v>8539021.297522798</v>
          </cell>
          <cell r="I79">
            <v>5550363.84338982</v>
          </cell>
          <cell r="K79">
            <v>4098730.2228109436</v>
          </cell>
        </row>
        <row r="80">
          <cell r="H80">
            <v>49687654.378294796</v>
          </cell>
          <cell r="K80">
            <v>17936835.190083563</v>
          </cell>
        </row>
        <row r="81">
          <cell r="H81">
            <v>7482812.0409756005</v>
          </cell>
          <cell r="K81">
            <v>5612109.0307317</v>
          </cell>
        </row>
        <row r="82">
          <cell r="H82">
            <v>37447810.1513964</v>
          </cell>
          <cell r="J82">
            <v>4552844.5013297405</v>
          </cell>
          <cell r="K82">
            <v>18465924.340769723</v>
          </cell>
        </row>
        <row r="83">
          <cell r="H83">
            <v>8025139.1946222</v>
          </cell>
          <cell r="J83">
            <v>4413826.55704221</v>
          </cell>
          <cell r="K83">
            <v>1685279.230870662</v>
          </cell>
        </row>
        <row r="84">
          <cell r="H84">
            <v>7087161.072915</v>
          </cell>
          <cell r="K84">
            <v>2126148.3218745</v>
          </cell>
        </row>
        <row r="85">
          <cell r="H85">
            <v>4227939.648828</v>
          </cell>
          <cell r="K85">
            <v>1141543.70518356</v>
          </cell>
        </row>
        <row r="86">
          <cell r="H86">
            <v>14707072.238783402</v>
          </cell>
          <cell r="J86">
            <v>4413826.55704221</v>
          </cell>
          <cell r="K86">
            <v>1363932.686004336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7"/>
  <sheetViews>
    <sheetView zoomScalePageLayoutView="0" workbookViewId="0" topLeftCell="A64">
      <selection activeCell="B29" sqref="B29"/>
    </sheetView>
  </sheetViews>
  <sheetFormatPr defaultColWidth="11.421875" defaultRowHeight="12.75"/>
  <cols>
    <col min="1" max="1" width="18.7109375" style="0" customWidth="1"/>
    <col min="2" max="2" width="50.7109375" style="0" customWidth="1"/>
    <col min="3" max="3" width="16.7109375" style="0" customWidth="1"/>
    <col min="4" max="4" width="12.7109375" style="0" customWidth="1"/>
  </cols>
  <sheetData>
    <row r="2" spans="1:4" ht="18">
      <c r="A2" s="847" t="s">
        <v>823</v>
      </c>
      <c r="B2" s="847"/>
      <c r="C2" s="847"/>
      <c r="D2" s="847"/>
    </row>
    <row r="3" spans="1:4" ht="18">
      <c r="A3" s="847" t="s">
        <v>1572</v>
      </c>
      <c r="B3" s="847"/>
      <c r="C3" s="847"/>
      <c r="D3" s="847"/>
    </row>
    <row r="4" spans="1:4" ht="12.75">
      <c r="A4" s="18"/>
      <c r="B4" s="18"/>
      <c r="C4" s="18"/>
      <c r="D4" s="18"/>
    </row>
    <row r="5" spans="1:4" ht="18">
      <c r="A5" s="847" t="s">
        <v>824</v>
      </c>
      <c r="B5" s="847"/>
      <c r="C5" s="847"/>
      <c r="D5" s="847"/>
    </row>
    <row r="6" ht="13.5" thickBot="1"/>
    <row r="7" spans="1:4" ht="12.75">
      <c r="A7" s="153" t="s">
        <v>776</v>
      </c>
      <c r="B7" s="155" t="s">
        <v>776</v>
      </c>
      <c r="C7" s="155" t="s">
        <v>776</v>
      </c>
      <c r="D7" s="1" t="s">
        <v>774</v>
      </c>
    </row>
    <row r="8" spans="1:4" ht="13.5" thickBot="1">
      <c r="A8" s="154" t="s">
        <v>771</v>
      </c>
      <c r="B8" s="156" t="s">
        <v>772</v>
      </c>
      <c r="C8" s="156" t="s">
        <v>773</v>
      </c>
      <c r="D8" s="2" t="s">
        <v>775</v>
      </c>
    </row>
    <row r="9" spans="1:4" ht="13.5" thickBot="1">
      <c r="A9" s="8"/>
      <c r="B9" s="9" t="s">
        <v>777</v>
      </c>
      <c r="C9" s="10">
        <f>C11+C71</f>
        <v>1843728241.52</v>
      </c>
      <c r="D9" s="14">
        <f>D11+D71</f>
        <v>1</v>
      </c>
    </row>
    <row r="10" spans="1:4" ht="13.5" thickBot="1">
      <c r="A10" s="79"/>
      <c r="B10" s="79"/>
      <c r="C10" s="59"/>
      <c r="D10" s="710"/>
    </row>
    <row r="11" spans="1:4" ht="13.5" thickBot="1">
      <c r="A11" s="711" t="s">
        <v>136</v>
      </c>
      <c r="B11" s="9" t="s">
        <v>778</v>
      </c>
      <c r="C11" s="754">
        <f>C13+C34+C62</f>
        <v>1694278103.52</v>
      </c>
      <c r="D11" s="14">
        <f>D13+D34+D62</f>
        <v>0.9189413414436877</v>
      </c>
    </row>
    <row r="12" spans="1:4" ht="12.75">
      <c r="A12" s="6"/>
      <c r="B12" s="6"/>
      <c r="C12" s="7"/>
      <c r="D12" s="15"/>
    </row>
    <row r="13" spans="1:5" ht="13.5" thickBot="1">
      <c r="A13" s="713" t="s">
        <v>137</v>
      </c>
      <c r="B13" s="713" t="s">
        <v>780</v>
      </c>
      <c r="C13" s="714">
        <f>C14+C17+C29</f>
        <v>1123448200</v>
      </c>
      <c r="D13" s="715">
        <f>D14+D17+D29</f>
        <v>0.6093350281784536</v>
      </c>
      <c r="E13" s="33"/>
    </row>
    <row r="14" spans="1:5" ht="14.25" thickBot="1" thickTop="1">
      <c r="A14" s="464" t="s">
        <v>138</v>
      </c>
      <c r="B14" s="464" t="s">
        <v>781</v>
      </c>
      <c r="C14" s="719">
        <f>C15</f>
        <v>640000000</v>
      </c>
      <c r="D14" s="720">
        <f>D15</f>
        <v>0.34712274053597697</v>
      </c>
      <c r="E14" s="33"/>
    </row>
    <row r="15" spans="1:5" ht="12.75">
      <c r="A15" s="646" t="s">
        <v>139</v>
      </c>
      <c r="B15" s="646" t="s">
        <v>135</v>
      </c>
      <c r="C15" s="813">
        <v>640000000</v>
      </c>
      <c r="D15" s="726">
        <f>C15/C9</f>
        <v>0.34712274053597697</v>
      </c>
      <c r="E15" s="33"/>
    </row>
    <row r="16" spans="1:4" ht="12.75">
      <c r="A16" s="11"/>
      <c r="B16" s="11"/>
      <c r="C16" s="13"/>
      <c r="D16" s="17"/>
    </row>
    <row r="17" spans="1:5" ht="13.5" thickBot="1">
      <c r="A17" s="722" t="s">
        <v>140</v>
      </c>
      <c r="B17" s="722" t="s">
        <v>782</v>
      </c>
      <c r="C17" s="723">
        <f>C18+C23</f>
        <v>438448200</v>
      </c>
      <c r="D17" s="724">
        <f>D18+D23</f>
        <v>0.23780521994854084</v>
      </c>
      <c r="E17" s="33"/>
    </row>
    <row r="18" spans="1:5" ht="12.75">
      <c r="A18" s="721" t="s">
        <v>141</v>
      </c>
      <c r="B18" s="6" t="s">
        <v>783</v>
      </c>
      <c r="C18" s="7">
        <f>C20</f>
        <v>61000000</v>
      </c>
      <c r="D18" s="15">
        <f>D20</f>
        <v>0.0330851362073353</v>
      </c>
      <c r="E18" s="33"/>
    </row>
    <row r="19" spans="1:4" ht="12.75">
      <c r="A19" s="4"/>
      <c r="B19" s="4" t="s">
        <v>784</v>
      </c>
      <c r="C19" s="5"/>
      <c r="D19" s="16"/>
    </row>
    <row r="20" spans="1:5" ht="12.75">
      <c r="A20" s="4" t="s">
        <v>142</v>
      </c>
      <c r="B20" s="4" t="s">
        <v>783</v>
      </c>
      <c r="C20" s="5">
        <f>C22</f>
        <v>61000000</v>
      </c>
      <c r="D20" s="16">
        <f>D22</f>
        <v>0.0330851362073353</v>
      </c>
      <c r="E20" s="33"/>
    </row>
    <row r="21" spans="1:4" ht="12.75">
      <c r="A21" s="4"/>
      <c r="B21" s="4" t="s">
        <v>785</v>
      </c>
      <c r="C21" s="5"/>
      <c r="D21" s="16"/>
    </row>
    <row r="22" spans="1:5" ht="12.75">
      <c r="A22" s="162" t="s">
        <v>143</v>
      </c>
      <c r="B22" s="162" t="s">
        <v>786</v>
      </c>
      <c r="C22" s="799">
        <v>61000000</v>
      </c>
      <c r="D22" s="164">
        <f>C22/C9</f>
        <v>0.0330851362073353</v>
      </c>
      <c r="E22" s="33"/>
    </row>
    <row r="23" spans="1:5" ht="12.75">
      <c r="A23" s="4" t="s">
        <v>144</v>
      </c>
      <c r="B23" s="4" t="s">
        <v>787</v>
      </c>
      <c r="C23" s="5">
        <f>C24</f>
        <v>377448200</v>
      </c>
      <c r="D23" s="16">
        <f>D24</f>
        <v>0.20472008374120554</v>
      </c>
      <c r="E23" s="33"/>
    </row>
    <row r="24" spans="1:5" ht="12.75">
      <c r="A24" s="4" t="s">
        <v>145</v>
      </c>
      <c r="B24" s="4" t="s">
        <v>793</v>
      </c>
      <c r="C24" s="5">
        <f>SUM(C26:C27)</f>
        <v>377448200</v>
      </c>
      <c r="D24" s="16">
        <f>D26+D27</f>
        <v>0.20472008374120554</v>
      </c>
      <c r="E24" s="33"/>
    </row>
    <row r="25" spans="1:4" ht="12.75">
      <c r="A25" s="4"/>
      <c r="B25" s="4" t="s">
        <v>794</v>
      </c>
      <c r="C25" s="5"/>
      <c r="D25" s="16"/>
    </row>
    <row r="26" spans="1:5" ht="12.75">
      <c r="A26" s="162" t="s">
        <v>120</v>
      </c>
      <c r="B26" s="162" t="s">
        <v>795</v>
      </c>
      <c r="C26" s="799">
        <v>348000000</v>
      </c>
      <c r="D26" s="164">
        <f>C26/C9</f>
        <v>0.18874799016643748</v>
      </c>
      <c r="E26" s="33"/>
    </row>
    <row r="27" spans="1:5" ht="12.75">
      <c r="A27" s="162" t="s">
        <v>164</v>
      </c>
      <c r="B27" s="162" t="s">
        <v>818</v>
      </c>
      <c r="C27" s="799">
        <v>29448200</v>
      </c>
      <c r="D27" s="164">
        <f>C27/C9</f>
        <v>0.015972093574768056</v>
      </c>
      <c r="E27" s="33"/>
    </row>
    <row r="28" spans="1:4" ht="12.75">
      <c r="A28" s="11"/>
      <c r="B28" s="11"/>
      <c r="C28" s="13"/>
      <c r="D28" s="17"/>
    </row>
    <row r="29" spans="1:5" ht="13.5" thickBot="1">
      <c r="A29" s="722" t="s">
        <v>146</v>
      </c>
      <c r="B29" s="722" t="s">
        <v>796</v>
      </c>
      <c r="C29" s="723">
        <f>C30</f>
        <v>45000000</v>
      </c>
      <c r="D29" s="724">
        <f>D30</f>
        <v>0.02440706769393588</v>
      </c>
      <c r="E29" s="33"/>
    </row>
    <row r="30" spans="1:5" ht="12.75">
      <c r="A30" s="6" t="s">
        <v>147</v>
      </c>
      <c r="B30" s="6" t="s">
        <v>797</v>
      </c>
      <c r="C30" s="7">
        <f>C31+C32</f>
        <v>45000000</v>
      </c>
      <c r="D30" s="15">
        <f>D31+D32</f>
        <v>0.02440706769393588</v>
      </c>
      <c r="E30" s="33"/>
    </row>
    <row r="31" spans="1:5" ht="12.75">
      <c r="A31" s="162" t="s">
        <v>148</v>
      </c>
      <c r="B31" s="162" t="s">
        <v>798</v>
      </c>
      <c r="C31" s="799">
        <v>35000000</v>
      </c>
      <c r="D31" s="164">
        <f>C31/C9</f>
        <v>0.01898327487306124</v>
      </c>
      <c r="E31" s="33"/>
    </row>
    <row r="32" spans="1:5" ht="12.75">
      <c r="A32" s="162" t="s">
        <v>149</v>
      </c>
      <c r="B32" s="162" t="s">
        <v>799</v>
      </c>
      <c r="C32" s="799">
        <v>10000000</v>
      </c>
      <c r="D32" s="164">
        <f>C32/C9</f>
        <v>0.00542379282087464</v>
      </c>
      <c r="E32" s="33"/>
    </row>
    <row r="33" spans="1:4" ht="12.75">
      <c r="A33" s="4"/>
      <c r="B33" s="4"/>
      <c r="C33" s="5"/>
      <c r="D33" s="16"/>
    </row>
    <row r="34" spans="1:5" ht="13.5" thickBot="1">
      <c r="A34" s="713" t="s">
        <v>150</v>
      </c>
      <c r="B34" s="713" t="s">
        <v>800</v>
      </c>
      <c r="C34" s="755">
        <f>C35+C59+C49+C54</f>
        <v>560140000</v>
      </c>
      <c r="D34" s="715">
        <f>D35+D59+D49+D54</f>
        <v>0.3038083310684721</v>
      </c>
      <c r="E34" s="33"/>
    </row>
    <row r="35" spans="1:5" ht="14.25" thickBot="1" thickTop="1">
      <c r="A35" s="464" t="s">
        <v>151</v>
      </c>
      <c r="B35" s="464" t="s">
        <v>801</v>
      </c>
      <c r="C35" s="719">
        <f>C36+C38</f>
        <v>496140000</v>
      </c>
      <c r="D35" s="720">
        <f>D38+D36</f>
        <v>0.2690960570148744</v>
      </c>
      <c r="E35" s="33"/>
    </row>
    <row r="36" spans="1:5" ht="12.75">
      <c r="A36" s="6" t="s">
        <v>152</v>
      </c>
      <c r="B36" s="6" t="s">
        <v>802</v>
      </c>
      <c r="C36" s="7">
        <f>C37</f>
        <v>228000000</v>
      </c>
      <c r="D36" s="15">
        <f>D37</f>
        <v>0.1236624763159418</v>
      </c>
      <c r="E36" s="33"/>
    </row>
    <row r="37" spans="1:5" ht="12.75">
      <c r="A37" s="162" t="s">
        <v>121</v>
      </c>
      <c r="B37" s="162" t="s">
        <v>803</v>
      </c>
      <c r="C37" s="163">
        <v>228000000</v>
      </c>
      <c r="D37" s="164">
        <f>C37/C9</f>
        <v>0.1236624763159418</v>
      </c>
      <c r="E37" s="33"/>
    </row>
    <row r="38" spans="1:5" ht="12.75">
      <c r="A38" s="4" t="s">
        <v>153</v>
      </c>
      <c r="B38" s="4" t="s">
        <v>804</v>
      </c>
      <c r="C38" s="5">
        <f>C39+C46</f>
        <v>268140000</v>
      </c>
      <c r="D38" s="16">
        <f>D39+D46</f>
        <v>0.14543358069893259</v>
      </c>
      <c r="E38" s="33"/>
    </row>
    <row r="39" spans="1:5" ht="12.75">
      <c r="A39" s="4" t="s">
        <v>154</v>
      </c>
      <c r="B39" s="4" t="s">
        <v>805</v>
      </c>
      <c r="C39" s="5">
        <f>C40+C41+C42+C43</f>
        <v>255820000</v>
      </c>
      <c r="D39" s="16">
        <f>D40+D41+D42+D43</f>
        <v>0.13875146794361504</v>
      </c>
      <c r="E39" s="33"/>
    </row>
    <row r="40" spans="1:5" ht="12.75">
      <c r="A40" s="162" t="s">
        <v>1359</v>
      </c>
      <c r="B40" s="162" t="s">
        <v>1360</v>
      </c>
      <c r="C40" s="799">
        <v>9500000</v>
      </c>
      <c r="D40" s="164">
        <f>C40/C9</f>
        <v>0.0051526031798309075</v>
      </c>
      <c r="E40" s="33"/>
    </row>
    <row r="41" spans="1:5" ht="12.75">
      <c r="A41" s="162" t="s">
        <v>155</v>
      </c>
      <c r="B41" s="162" t="s">
        <v>806</v>
      </c>
      <c r="C41" s="814">
        <v>820000</v>
      </c>
      <c r="D41" s="164">
        <f>C41/C9</f>
        <v>0.00044475101131172045</v>
      </c>
      <c r="E41" s="33"/>
    </row>
    <row r="42" spans="1:5" ht="12.75">
      <c r="A42" s="162" t="s">
        <v>156</v>
      </c>
      <c r="B42" s="162" t="s">
        <v>807</v>
      </c>
      <c r="C42" s="815">
        <v>37000000</v>
      </c>
      <c r="D42" s="164">
        <f>C42/C9</f>
        <v>0.020068033437236166</v>
      </c>
      <c r="E42" s="33"/>
    </row>
    <row r="43" spans="1:5" ht="12.75">
      <c r="A43" s="708" t="s">
        <v>119</v>
      </c>
      <c r="B43" s="727" t="s">
        <v>808</v>
      </c>
      <c r="C43" s="728">
        <f>C44+C45</f>
        <v>208500000</v>
      </c>
      <c r="D43" s="709">
        <f>D44+D45</f>
        <v>0.11308608031523625</v>
      </c>
      <c r="E43" s="33"/>
    </row>
    <row r="44" spans="1:5" ht="12.75">
      <c r="A44" s="162" t="s">
        <v>157</v>
      </c>
      <c r="B44" s="162" t="s">
        <v>809</v>
      </c>
      <c r="C44" s="799">
        <v>208000000</v>
      </c>
      <c r="D44" s="164">
        <f>C44/C9</f>
        <v>0.11281489067419251</v>
      </c>
      <c r="E44" s="33"/>
    </row>
    <row r="45" spans="1:5" ht="12.75">
      <c r="A45" s="162" t="s">
        <v>508</v>
      </c>
      <c r="B45" s="162" t="s">
        <v>509</v>
      </c>
      <c r="C45" s="799">
        <v>500000</v>
      </c>
      <c r="D45" s="164">
        <f>C45/C9</f>
        <v>0.000271189641043732</v>
      </c>
      <c r="E45" s="33"/>
    </row>
    <row r="46" spans="1:5" ht="12.75">
      <c r="A46" s="162" t="s">
        <v>1422</v>
      </c>
      <c r="B46" s="162" t="s">
        <v>1423</v>
      </c>
      <c r="C46" s="163">
        <f>C47</f>
        <v>12320000</v>
      </c>
      <c r="D46" s="164">
        <f>D47</f>
        <v>0.006682112755317556</v>
      </c>
      <c r="E46" s="33"/>
    </row>
    <row r="47" spans="1:5" ht="12.75">
      <c r="A47" s="162" t="s">
        <v>1424</v>
      </c>
      <c r="B47" s="162" t="s">
        <v>1425</v>
      </c>
      <c r="C47" s="799">
        <v>12320000</v>
      </c>
      <c r="D47" s="164">
        <f>C47/C9</f>
        <v>0.006682112755317556</v>
      </c>
      <c r="E47" s="33"/>
    </row>
    <row r="48" spans="1:4" ht="12.75">
      <c r="A48" s="11"/>
      <c r="B48" s="11"/>
      <c r="C48" s="13"/>
      <c r="D48" s="17"/>
    </row>
    <row r="49" spans="1:5" ht="13.5" thickBot="1">
      <c r="A49" s="722" t="s">
        <v>1239</v>
      </c>
      <c r="B49" s="722" t="s">
        <v>1235</v>
      </c>
      <c r="C49" s="723">
        <f aca="true" t="shared" si="0" ref="C49:D51">C50</f>
        <v>15000000</v>
      </c>
      <c r="D49" s="724">
        <f t="shared" si="0"/>
        <v>0.008135689231311959</v>
      </c>
      <c r="E49" s="33"/>
    </row>
    <row r="50" spans="1:5" ht="12.75">
      <c r="A50" s="646" t="s">
        <v>1240</v>
      </c>
      <c r="B50" s="646" t="s">
        <v>1236</v>
      </c>
      <c r="C50" s="725">
        <f t="shared" si="0"/>
        <v>15000000</v>
      </c>
      <c r="D50" s="726">
        <f t="shared" si="0"/>
        <v>0.008135689231311959</v>
      </c>
      <c r="E50" s="33"/>
    </row>
    <row r="51" spans="1:5" ht="12.75">
      <c r="A51" s="162" t="s">
        <v>1241</v>
      </c>
      <c r="B51" s="162" t="s">
        <v>1237</v>
      </c>
      <c r="C51" s="163">
        <f t="shared" si="0"/>
        <v>15000000</v>
      </c>
      <c r="D51" s="164">
        <f t="shared" si="0"/>
        <v>0.008135689231311959</v>
      </c>
      <c r="E51" s="33"/>
    </row>
    <row r="52" spans="1:5" ht="12.75">
      <c r="A52" s="162" t="s">
        <v>1242</v>
      </c>
      <c r="B52" s="162" t="s">
        <v>1238</v>
      </c>
      <c r="C52" s="799">
        <v>15000000</v>
      </c>
      <c r="D52" s="164">
        <f>C52/C9</f>
        <v>0.008135689231311959</v>
      </c>
      <c r="E52" s="33"/>
    </row>
    <row r="53" spans="1:4" ht="12.75">
      <c r="A53" s="165"/>
      <c r="B53" s="165"/>
      <c r="C53" s="13"/>
      <c r="D53" s="17"/>
    </row>
    <row r="54" spans="1:5" ht="13.5" thickBot="1">
      <c r="A54" s="722" t="s">
        <v>1243</v>
      </c>
      <c r="B54" s="722" t="s">
        <v>1244</v>
      </c>
      <c r="C54" s="723">
        <f>C55</f>
        <v>9000000</v>
      </c>
      <c r="D54" s="724">
        <f>D55</f>
        <v>0.004881413538787176</v>
      </c>
      <c r="E54" s="33"/>
    </row>
    <row r="55" spans="1:5" ht="12.75">
      <c r="A55" s="646" t="s">
        <v>1245</v>
      </c>
      <c r="B55" s="646" t="s">
        <v>1246</v>
      </c>
      <c r="C55" s="725">
        <f>C56</f>
        <v>9000000</v>
      </c>
      <c r="D55" s="726">
        <f>D56</f>
        <v>0.004881413538787176</v>
      </c>
      <c r="E55" s="33"/>
    </row>
    <row r="56" spans="1:5" ht="12.75">
      <c r="A56" s="162" t="s">
        <v>1247</v>
      </c>
      <c r="B56" s="162" t="s">
        <v>1248</v>
      </c>
      <c r="C56" s="163">
        <f>SUM(C57:C57)</f>
        <v>9000000</v>
      </c>
      <c r="D56" s="164">
        <f>SUM(D57:D57)</f>
        <v>0.004881413538787176</v>
      </c>
      <c r="E56" s="33"/>
    </row>
    <row r="57" spans="1:5" ht="12.75">
      <c r="A57" s="162" t="s">
        <v>1249</v>
      </c>
      <c r="B57" s="162" t="s">
        <v>1250</v>
      </c>
      <c r="C57" s="799">
        <v>9000000</v>
      </c>
      <c r="D57" s="164">
        <f>C57/C9</f>
        <v>0.004881413538787176</v>
      </c>
      <c r="E57" s="33"/>
    </row>
    <row r="58" spans="1:4" ht="12.75">
      <c r="A58" s="11"/>
      <c r="B58" s="11"/>
      <c r="C58" s="13"/>
      <c r="D58" s="17"/>
    </row>
    <row r="59" spans="1:5" ht="13.5" thickBot="1">
      <c r="A59" s="722" t="s">
        <v>158</v>
      </c>
      <c r="B59" s="722" t="s">
        <v>810</v>
      </c>
      <c r="C59" s="723">
        <f>C60</f>
        <v>40000000</v>
      </c>
      <c r="D59" s="724">
        <f>D60</f>
        <v>0.02169517128349856</v>
      </c>
      <c r="E59" s="33"/>
    </row>
    <row r="60" spans="1:5" ht="12.75">
      <c r="A60" s="646" t="s">
        <v>159</v>
      </c>
      <c r="B60" s="646" t="s">
        <v>811</v>
      </c>
      <c r="C60" s="813">
        <v>40000000</v>
      </c>
      <c r="D60" s="726">
        <f>C60/C9</f>
        <v>0.02169517128349856</v>
      </c>
      <c r="E60" s="33"/>
    </row>
    <row r="61" spans="1:4" ht="12.75">
      <c r="A61" s="11"/>
      <c r="B61" s="11"/>
      <c r="C61" s="13"/>
      <c r="D61" s="17"/>
    </row>
    <row r="62" spans="1:5" ht="13.5" thickBot="1">
      <c r="A62" s="713" t="s">
        <v>160</v>
      </c>
      <c r="B62" s="713" t="s">
        <v>812</v>
      </c>
      <c r="C62" s="714">
        <f>C63</f>
        <v>10689903.52</v>
      </c>
      <c r="D62" s="715">
        <f>D63</f>
        <v>0.0057979821967618535</v>
      </c>
      <c r="E62" s="33"/>
    </row>
    <row r="63" spans="1:5" ht="14.25" thickBot="1" thickTop="1">
      <c r="A63" s="464" t="s">
        <v>161</v>
      </c>
      <c r="B63" s="464" t="s">
        <v>813</v>
      </c>
      <c r="C63" s="719">
        <f>+C67+C64</f>
        <v>10689903.52</v>
      </c>
      <c r="D63" s="720">
        <f>+D67+D64</f>
        <v>0.0057979821967618535</v>
      </c>
      <c r="E63" s="33"/>
    </row>
    <row r="64" spans="1:5" ht="12.75">
      <c r="A64" s="162" t="s">
        <v>183</v>
      </c>
      <c r="B64" s="162" t="s">
        <v>184</v>
      </c>
      <c r="C64" s="163">
        <f>C65</f>
        <v>6132213.52</v>
      </c>
      <c r="D64" s="164">
        <f>D65</f>
        <v>0.0033259855665846404</v>
      </c>
      <c r="E64" s="33"/>
    </row>
    <row r="65" spans="1:5" ht="12.75">
      <c r="A65" s="162" t="s">
        <v>185</v>
      </c>
      <c r="B65" s="162" t="s">
        <v>186</v>
      </c>
      <c r="C65" s="799">
        <v>6132213.52</v>
      </c>
      <c r="D65" s="164">
        <f>C65/C9</f>
        <v>0.0033259855665846404</v>
      </c>
      <c r="E65" s="33"/>
    </row>
    <row r="66" spans="1:4" ht="12.75">
      <c r="A66" s="21"/>
      <c r="B66" s="21"/>
      <c r="C66" s="22"/>
      <c r="D66" s="23"/>
    </row>
    <row r="67" spans="1:5" ht="12.75">
      <c r="A67" s="4" t="s">
        <v>162</v>
      </c>
      <c r="B67" s="4" t="s">
        <v>814</v>
      </c>
      <c r="C67" s="5">
        <f>C69</f>
        <v>4557690</v>
      </c>
      <c r="D67" s="16">
        <f>D69</f>
        <v>0.0024719966301772135</v>
      </c>
      <c r="E67" s="33"/>
    </row>
    <row r="68" spans="1:4" ht="12.75">
      <c r="A68" s="4"/>
      <c r="B68" s="4" t="s">
        <v>815</v>
      </c>
      <c r="C68" s="5"/>
      <c r="D68" s="16"/>
    </row>
    <row r="69" spans="1:5" ht="12.75">
      <c r="A69" s="162" t="s">
        <v>163</v>
      </c>
      <c r="B69" s="162" t="s">
        <v>816</v>
      </c>
      <c r="C69" s="799">
        <v>4557690</v>
      </c>
      <c r="D69" s="164">
        <f>C69/C9</f>
        <v>0.0024719966301772135</v>
      </c>
      <c r="E69" s="33"/>
    </row>
    <row r="70" spans="1:4" ht="13.5" thickBot="1">
      <c r="A70" s="111"/>
      <c r="B70" s="111"/>
      <c r="C70" s="151"/>
      <c r="D70" s="712"/>
    </row>
    <row r="71" spans="1:4" ht="13.5" thickBot="1">
      <c r="A71" s="711" t="s">
        <v>591</v>
      </c>
      <c r="B71" s="9" t="s">
        <v>592</v>
      </c>
      <c r="C71" s="10">
        <f>C72+C76</f>
        <v>149450138</v>
      </c>
      <c r="D71" s="14">
        <f>D72+D76</f>
        <v>0.08105865855631242</v>
      </c>
    </row>
    <row r="72" spans="1:4" ht="13.5" thickBot="1">
      <c r="A72" s="801" t="s">
        <v>1620</v>
      </c>
      <c r="B72" s="802" t="s">
        <v>1621</v>
      </c>
      <c r="C72" s="803">
        <f>C73</f>
        <v>2910600</v>
      </c>
      <c r="D72" s="808">
        <f>D73</f>
        <v>0.0015786491384437726</v>
      </c>
    </row>
    <row r="73" spans="1:4" ht="13.5" thickBot="1">
      <c r="A73" s="801" t="s">
        <v>1622</v>
      </c>
      <c r="B73" s="802" t="s">
        <v>1623</v>
      </c>
      <c r="C73" s="803">
        <f>C74</f>
        <v>2910600</v>
      </c>
      <c r="D73" s="808">
        <f>D74</f>
        <v>0.0015786491384437726</v>
      </c>
    </row>
    <row r="74" spans="1:4" ht="12.75">
      <c r="A74" s="806" t="s">
        <v>1624</v>
      </c>
      <c r="B74" s="785" t="s">
        <v>1625</v>
      </c>
      <c r="C74" s="807">
        <v>2910600</v>
      </c>
      <c r="D74" s="809">
        <f>C74/C9</f>
        <v>0.0015786491384437726</v>
      </c>
    </row>
    <row r="75" spans="1:4" ht="13.5" thickBot="1">
      <c r="A75" s="804"/>
      <c r="B75" s="500"/>
      <c r="C75" s="805"/>
      <c r="D75" s="810"/>
    </row>
    <row r="76" spans="1:4" ht="13.5" thickBot="1">
      <c r="A76" s="716" t="s">
        <v>593</v>
      </c>
      <c r="B76" s="716" t="s">
        <v>819</v>
      </c>
      <c r="C76" s="717">
        <f>C77</f>
        <v>146539538</v>
      </c>
      <c r="D76" s="718">
        <f>D77</f>
        <v>0.07948000941786865</v>
      </c>
    </row>
    <row r="77" spans="1:4" ht="14.25" thickBot="1" thickTop="1">
      <c r="A77" s="464" t="s">
        <v>594</v>
      </c>
      <c r="B77" s="464" t="s">
        <v>595</v>
      </c>
      <c r="C77" s="719">
        <f>C78+C81+C84</f>
        <v>146539538</v>
      </c>
      <c r="D77" s="720">
        <f>D78+D81+D84</f>
        <v>0.07948000941786865</v>
      </c>
    </row>
    <row r="78" spans="1:4" ht="12.75">
      <c r="A78" s="6" t="s">
        <v>596</v>
      </c>
      <c r="B78" s="6" t="s">
        <v>597</v>
      </c>
      <c r="C78" s="7">
        <f>C79</f>
        <v>54705233</v>
      </c>
      <c r="D78" s="15">
        <f>D79</f>
        <v>0.029670985000967445</v>
      </c>
    </row>
    <row r="79" spans="1:4" ht="12.75">
      <c r="A79" s="162" t="s">
        <v>598</v>
      </c>
      <c r="B79" s="162" t="s">
        <v>821</v>
      </c>
      <c r="C79" s="799">
        <v>54705233</v>
      </c>
      <c r="D79" s="164">
        <f>C79/C9</f>
        <v>0.029670985000967445</v>
      </c>
    </row>
    <row r="80" spans="1:4" ht="12.75">
      <c r="A80" s="162"/>
      <c r="B80" s="162"/>
      <c r="C80" s="163"/>
      <c r="D80" s="164"/>
    </row>
    <row r="81" spans="1:4" ht="12.75">
      <c r="A81" s="162" t="s">
        <v>1418</v>
      </c>
      <c r="B81" s="162" t="s">
        <v>1419</v>
      </c>
      <c r="C81" s="163">
        <f>C82</f>
        <v>90000000</v>
      </c>
      <c r="D81" s="164">
        <f>D82</f>
        <v>0.04881413538787176</v>
      </c>
    </row>
    <row r="82" spans="1:4" ht="12.75">
      <c r="A82" s="162" t="s">
        <v>1420</v>
      </c>
      <c r="B82" s="162" t="s">
        <v>1421</v>
      </c>
      <c r="C82" s="799">
        <v>90000000</v>
      </c>
      <c r="D82" s="164">
        <f>C82/C9</f>
        <v>0.04881413538787176</v>
      </c>
    </row>
    <row r="83" spans="1:4" ht="12.75">
      <c r="A83" s="11"/>
      <c r="B83" s="11"/>
      <c r="C83" s="13"/>
      <c r="D83" s="17"/>
    </row>
    <row r="84" spans="1:4" ht="12.75">
      <c r="A84" s="12" t="s">
        <v>599</v>
      </c>
      <c r="B84" s="12" t="s">
        <v>600</v>
      </c>
      <c r="C84" s="520">
        <f>C86</f>
        <v>1834305</v>
      </c>
      <c r="D84" s="521">
        <f>D86</f>
        <v>0.0009948890290294456</v>
      </c>
    </row>
    <row r="85" spans="1:4" ht="12.75">
      <c r="A85" s="4"/>
      <c r="B85" s="4" t="s">
        <v>815</v>
      </c>
      <c r="C85" s="5"/>
      <c r="D85" s="16"/>
    </row>
    <row r="86" spans="1:4" ht="12.75">
      <c r="A86" s="162" t="s">
        <v>601</v>
      </c>
      <c r="B86" s="162" t="s">
        <v>822</v>
      </c>
      <c r="C86" s="799">
        <v>1834305</v>
      </c>
      <c r="D86" s="164">
        <f>C86/C9</f>
        <v>0.0009948890290294456</v>
      </c>
    </row>
    <row r="87" spans="1:4" ht="13.5" thickBot="1">
      <c r="A87" s="112"/>
      <c r="B87" s="112"/>
      <c r="C87" s="661"/>
      <c r="D87" s="112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</sheetData>
  <sheetProtection/>
  <mergeCells count="3">
    <mergeCell ref="A2:D2"/>
    <mergeCell ref="A3:D3"/>
    <mergeCell ref="A5:D5"/>
  </mergeCells>
  <printOptions/>
  <pageMargins left="0.3937007874015748" right="0.3937007874015748" top="0.3937007874015748" bottom="0.3937007874015748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30">
      <selection activeCell="H30" sqref="H30"/>
    </sheetView>
  </sheetViews>
  <sheetFormatPr defaultColWidth="11.421875" defaultRowHeight="12.75"/>
  <cols>
    <col min="1" max="1" width="18.7109375" style="0" customWidth="1"/>
    <col min="2" max="2" width="35.7109375" style="0" customWidth="1"/>
    <col min="3" max="3" width="17.7109375" style="0" customWidth="1"/>
    <col min="4" max="4" width="5.7109375" style="0" customWidth="1"/>
    <col min="5" max="6" width="6.7109375" style="0" customWidth="1"/>
    <col min="7" max="7" width="25.7109375" style="0" customWidth="1"/>
    <col min="8" max="8" width="17.7109375" style="0" customWidth="1"/>
  </cols>
  <sheetData>
    <row r="1" spans="1:8" ht="18">
      <c r="A1" s="847" t="s">
        <v>823</v>
      </c>
      <c r="B1" s="847"/>
      <c r="C1" s="847"/>
      <c r="D1" s="847"/>
      <c r="E1" s="847"/>
      <c r="F1" s="847"/>
      <c r="G1" s="847"/>
      <c r="H1" s="847"/>
    </row>
    <row r="2" spans="1:8" ht="15.75">
      <c r="A2" s="851" t="s">
        <v>1572</v>
      </c>
      <c r="B2" s="851"/>
      <c r="C2" s="851"/>
      <c r="D2" s="851"/>
      <c r="E2" s="851"/>
      <c r="F2" s="851"/>
      <c r="G2" s="851"/>
      <c r="H2" s="851"/>
    </row>
    <row r="3" spans="1:8" ht="15.75">
      <c r="A3" s="851" t="s">
        <v>102</v>
      </c>
      <c r="B3" s="851"/>
      <c r="C3" s="851"/>
      <c r="D3" s="851"/>
      <c r="E3" s="851"/>
      <c r="F3" s="851"/>
      <c r="G3" s="851"/>
      <c r="H3" s="851"/>
    </row>
    <row r="4" spans="1:8" ht="16.5" thickBot="1">
      <c r="A4" s="851" t="s">
        <v>118</v>
      </c>
      <c r="B4" s="851"/>
      <c r="C4" s="851"/>
      <c r="D4" s="851"/>
      <c r="E4" s="851"/>
      <c r="F4" s="851"/>
      <c r="G4" s="851"/>
      <c r="H4" s="851"/>
    </row>
    <row r="5" spans="1:8" ht="13.5" thickBot="1">
      <c r="A5" s="576" t="s">
        <v>373</v>
      </c>
      <c r="B5" s="577" t="s">
        <v>92</v>
      </c>
      <c r="C5" s="578" t="s">
        <v>773</v>
      </c>
      <c r="D5" s="579"/>
      <c r="E5" s="580"/>
      <c r="F5" s="581" t="s">
        <v>776</v>
      </c>
      <c r="G5" s="578" t="s">
        <v>96</v>
      </c>
      <c r="H5" s="578" t="s">
        <v>773</v>
      </c>
    </row>
    <row r="6" spans="1:8" ht="12.75">
      <c r="A6" s="582" t="s">
        <v>374</v>
      </c>
      <c r="B6" s="583"/>
      <c r="C6" s="584"/>
      <c r="D6" s="585" t="s">
        <v>376</v>
      </c>
      <c r="E6" s="585" t="s">
        <v>377</v>
      </c>
      <c r="F6" s="585" t="s">
        <v>378</v>
      </c>
      <c r="G6" s="584"/>
      <c r="H6" s="586"/>
    </row>
    <row r="7" spans="1:8" ht="13.5" thickBot="1">
      <c r="A7" s="587" t="s">
        <v>375</v>
      </c>
      <c r="B7" s="588"/>
      <c r="C7" s="589"/>
      <c r="D7" s="590" t="s">
        <v>93</v>
      </c>
      <c r="E7" s="590" t="s">
        <v>94</v>
      </c>
      <c r="F7" s="590" t="s">
        <v>95</v>
      </c>
      <c r="G7" s="589"/>
      <c r="H7" s="591"/>
    </row>
    <row r="8" spans="1:8" ht="12.75">
      <c r="A8" s="85" t="s">
        <v>139</v>
      </c>
      <c r="B8" s="109" t="s">
        <v>372</v>
      </c>
      <c r="C8" s="125">
        <f>+INGRESOS!C15</f>
        <v>640000000</v>
      </c>
      <c r="D8" s="155">
        <v>1</v>
      </c>
      <c r="E8" s="179" t="s">
        <v>99</v>
      </c>
      <c r="F8" s="155"/>
      <c r="G8" s="109" t="s">
        <v>100</v>
      </c>
      <c r="H8" s="180">
        <v>64000000</v>
      </c>
    </row>
    <row r="9" spans="1:8" ht="12.75">
      <c r="A9" s="61"/>
      <c r="B9" s="79"/>
      <c r="C9" s="59"/>
      <c r="D9" s="123">
        <v>1</v>
      </c>
      <c r="E9" s="124" t="s">
        <v>97</v>
      </c>
      <c r="F9" s="123"/>
      <c r="G9" s="79" t="s">
        <v>98</v>
      </c>
      <c r="H9" s="181">
        <f>+'PROGRAMA 1'!C323</f>
        <v>64000000</v>
      </c>
    </row>
    <row r="10" spans="1:8" ht="12.75">
      <c r="A10" s="61"/>
      <c r="B10" s="79"/>
      <c r="C10" s="59"/>
      <c r="D10" s="123">
        <v>1</v>
      </c>
      <c r="E10" s="124" t="s">
        <v>97</v>
      </c>
      <c r="F10" s="123"/>
      <c r="G10" s="79" t="s">
        <v>101</v>
      </c>
      <c r="H10" s="181">
        <f>+'PROGRAMA 1'!C315</f>
        <v>6400000</v>
      </c>
    </row>
    <row r="11" spans="1:8" ht="12.75">
      <c r="A11" s="61"/>
      <c r="B11" s="79"/>
      <c r="C11" s="59"/>
      <c r="D11" s="123">
        <v>1</v>
      </c>
      <c r="E11" s="124" t="s">
        <v>97</v>
      </c>
      <c r="F11" s="123"/>
      <c r="G11" s="79" t="s">
        <v>379</v>
      </c>
      <c r="H11" s="181">
        <f>+'PROGRAMA 1'!C318</f>
        <v>19200000</v>
      </c>
    </row>
    <row r="12" spans="1:8" ht="12.75">
      <c r="A12" s="61"/>
      <c r="B12" s="79"/>
      <c r="C12" s="59"/>
      <c r="D12" s="123">
        <v>1</v>
      </c>
      <c r="E12" s="124" t="s">
        <v>97</v>
      </c>
      <c r="F12" s="123"/>
      <c r="G12" s="79" t="s">
        <v>380</v>
      </c>
      <c r="H12" s="181">
        <f>+'PROGRAMA 1'!C327</f>
        <v>51674409.94</v>
      </c>
    </row>
    <row r="13" spans="1:8" ht="12.75">
      <c r="A13" s="61"/>
      <c r="B13" s="79"/>
      <c r="C13" s="59"/>
      <c r="D13" s="123">
        <v>1</v>
      </c>
      <c r="E13" s="124" t="s">
        <v>97</v>
      </c>
      <c r="F13" s="123"/>
      <c r="G13" s="79" t="s">
        <v>381</v>
      </c>
      <c r="H13" s="181">
        <f>+'PROGRAMA 1'!C324</f>
        <v>8768641.2076</v>
      </c>
    </row>
    <row r="14" spans="1:8" ht="12.75">
      <c r="A14" s="61"/>
      <c r="B14" s="79"/>
      <c r="C14" s="59"/>
      <c r="D14" s="123">
        <v>1</v>
      </c>
      <c r="E14" s="124" t="s">
        <v>97</v>
      </c>
      <c r="F14" s="123"/>
      <c r="G14" s="79" t="s">
        <v>382</v>
      </c>
      <c r="H14" s="181">
        <f>+'PROGRAMA 1'!C328</f>
        <v>8768641.2076</v>
      </c>
    </row>
    <row r="15" spans="1:8" ht="12.75">
      <c r="A15" s="61"/>
      <c r="B15" s="79"/>
      <c r="C15" s="59"/>
      <c r="D15" s="123">
        <v>1</v>
      </c>
      <c r="E15" s="124" t="s">
        <v>97</v>
      </c>
      <c r="F15" s="123"/>
      <c r="G15" s="79" t="s">
        <v>384</v>
      </c>
      <c r="H15" s="181">
        <v>18904459.92</v>
      </c>
    </row>
    <row r="16" spans="1:8" ht="12.75">
      <c r="A16" s="61"/>
      <c r="B16" s="79"/>
      <c r="C16" s="59"/>
      <c r="D16" s="123">
        <v>1</v>
      </c>
      <c r="E16" s="124" t="s">
        <v>97</v>
      </c>
      <c r="F16" s="123"/>
      <c r="G16" s="79" t="s">
        <v>1474</v>
      </c>
      <c r="H16" s="181">
        <v>2291773.93</v>
      </c>
    </row>
    <row r="17" spans="1:8" ht="12.75">
      <c r="A17" s="61"/>
      <c r="B17" s="79"/>
      <c r="C17" s="59"/>
      <c r="D17" s="123">
        <v>2</v>
      </c>
      <c r="E17" s="124" t="s">
        <v>104</v>
      </c>
      <c r="F17" s="123"/>
      <c r="G17" s="79" t="s">
        <v>1477</v>
      </c>
      <c r="H17" s="181">
        <v>20042173.09</v>
      </c>
    </row>
    <row r="18" spans="1:8" ht="12.75">
      <c r="A18" s="61"/>
      <c r="B18" s="79"/>
      <c r="C18" s="59"/>
      <c r="D18" s="123">
        <v>2</v>
      </c>
      <c r="E18" s="202" t="s">
        <v>103</v>
      </c>
      <c r="F18" s="123"/>
      <c r="G18" s="503" t="s">
        <v>1475</v>
      </c>
      <c r="H18" s="181">
        <v>145419730.02</v>
      </c>
    </row>
    <row r="19" spans="1:8" ht="12.75">
      <c r="A19" s="61"/>
      <c r="B19" s="79"/>
      <c r="C19" s="59"/>
      <c r="D19" s="123">
        <v>2</v>
      </c>
      <c r="E19" s="202" t="s">
        <v>112</v>
      </c>
      <c r="F19" s="123"/>
      <c r="G19" s="503" t="s">
        <v>271</v>
      </c>
      <c r="H19" s="181">
        <v>19069400</v>
      </c>
    </row>
    <row r="20" spans="1:8" ht="12.75">
      <c r="A20" s="61"/>
      <c r="B20" s="79"/>
      <c r="C20" s="59"/>
      <c r="D20" s="123">
        <v>2</v>
      </c>
      <c r="E20" s="202" t="s">
        <v>767</v>
      </c>
      <c r="F20" s="123"/>
      <c r="G20" s="503" t="s">
        <v>387</v>
      </c>
      <c r="H20" s="181">
        <v>47859172.76</v>
      </c>
    </row>
    <row r="21" spans="1:8" ht="12.75">
      <c r="A21" s="61"/>
      <c r="B21" s="79"/>
      <c r="C21" s="59"/>
      <c r="D21" s="123">
        <v>2</v>
      </c>
      <c r="E21" s="202" t="s">
        <v>388</v>
      </c>
      <c r="F21" s="123"/>
      <c r="G21" s="503" t="s">
        <v>389</v>
      </c>
      <c r="H21" s="181">
        <v>1086129.11</v>
      </c>
    </row>
    <row r="22" spans="1:8" ht="12.75">
      <c r="A22" s="61"/>
      <c r="B22" s="79"/>
      <c r="C22" s="59"/>
      <c r="D22" s="123">
        <v>2</v>
      </c>
      <c r="E22" s="202" t="s">
        <v>230</v>
      </c>
      <c r="F22" s="123"/>
      <c r="G22" s="503" t="s">
        <v>1476</v>
      </c>
      <c r="H22" s="181">
        <v>1000000</v>
      </c>
    </row>
    <row r="23" spans="1:8" ht="13.5" thickBot="1">
      <c r="A23" s="61"/>
      <c r="B23" s="79"/>
      <c r="C23" s="59"/>
      <c r="D23" s="123">
        <v>3</v>
      </c>
      <c r="E23" s="124" t="s">
        <v>104</v>
      </c>
      <c r="F23" s="123"/>
      <c r="G23" s="503" t="s">
        <v>386</v>
      </c>
      <c r="H23" s="181">
        <v>161515468.81</v>
      </c>
    </row>
    <row r="24" spans="1:8" ht="14.25" thickBot="1" thickTop="1">
      <c r="A24" s="182"/>
      <c r="B24" s="129"/>
      <c r="C24" s="130"/>
      <c r="D24" s="131"/>
      <c r="E24" s="132"/>
      <c r="F24" s="131"/>
      <c r="G24" s="129"/>
      <c r="H24" s="183">
        <f>SUM(H8:H23)</f>
        <v>639999999.9952</v>
      </c>
    </row>
    <row r="25" spans="1:8" ht="12.75">
      <c r="A25" s="61" t="s">
        <v>143</v>
      </c>
      <c r="B25" s="79" t="s">
        <v>383</v>
      </c>
      <c r="C25" s="59">
        <f>+INGRESOS!C22</f>
        <v>61000000</v>
      </c>
      <c r="D25" s="123">
        <v>1</v>
      </c>
      <c r="E25" s="124" t="s">
        <v>99</v>
      </c>
      <c r="F25" s="123"/>
      <c r="G25" s="79" t="s">
        <v>100</v>
      </c>
      <c r="H25" s="181">
        <v>29977774.51</v>
      </c>
    </row>
    <row r="26" spans="1:8" ht="12.75">
      <c r="A26" s="61"/>
      <c r="B26" s="79" t="s">
        <v>776</v>
      </c>
      <c r="C26" s="59"/>
      <c r="D26" s="123">
        <v>1</v>
      </c>
      <c r="E26" s="124" t="s">
        <v>104</v>
      </c>
      <c r="F26" s="123"/>
      <c r="G26" s="79" t="s">
        <v>105</v>
      </c>
      <c r="H26" s="181">
        <v>24996456.66</v>
      </c>
    </row>
    <row r="27" spans="1:8" ht="12.75">
      <c r="A27" s="61"/>
      <c r="B27" s="79"/>
      <c r="C27" s="59"/>
      <c r="D27" s="123">
        <v>1</v>
      </c>
      <c r="E27" s="124" t="s">
        <v>97</v>
      </c>
      <c r="F27" s="123"/>
      <c r="G27" s="503" t="s">
        <v>1474</v>
      </c>
      <c r="H27" s="181">
        <v>3525768.83</v>
      </c>
    </row>
    <row r="28" spans="1:8" ht="13.5" thickBot="1">
      <c r="A28" s="61"/>
      <c r="B28" s="79"/>
      <c r="C28" s="59"/>
      <c r="D28" s="123">
        <v>1</v>
      </c>
      <c r="E28" s="124" t="s">
        <v>97</v>
      </c>
      <c r="F28" s="123"/>
      <c r="G28" s="503" t="s">
        <v>1490</v>
      </c>
      <c r="H28" s="181">
        <v>2500000</v>
      </c>
    </row>
    <row r="29" spans="1:8" ht="14.25" thickBot="1" thickTop="1">
      <c r="A29" s="182"/>
      <c r="B29" s="129"/>
      <c r="C29" s="130"/>
      <c r="D29" s="131"/>
      <c r="E29" s="132"/>
      <c r="F29" s="131"/>
      <c r="G29" s="129"/>
      <c r="H29" s="792">
        <f>SUM(H25:H28)</f>
        <v>61000000</v>
      </c>
    </row>
    <row r="30" spans="1:8" ht="12.75">
      <c r="A30" s="61" t="s">
        <v>120</v>
      </c>
      <c r="B30" s="79" t="s">
        <v>795</v>
      </c>
      <c r="C30" s="59">
        <f>+INGRESOS!C26</f>
        <v>348000000</v>
      </c>
      <c r="D30" s="123">
        <v>1</v>
      </c>
      <c r="E30" s="124" t="s">
        <v>99</v>
      </c>
      <c r="F30" s="123"/>
      <c r="G30" s="79" t="s">
        <v>100</v>
      </c>
      <c r="H30" s="181">
        <v>320466000</v>
      </c>
    </row>
    <row r="31" spans="1:8" ht="12.75">
      <c r="A31" s="61"/>
      <c r="B31" s="79"/>
      <c r="C31" s="59"/>
      <c r="D31" s="123">
        <v>2</v>
      </c>
      <c r="E31" s="202" t="s">
        <v>763</v>
      </c>
      <c r="F31" s="123"/>
      <c r="G31" s="503" t="s">
        <v>764</v>
      </c>
      <c r="H31" s="181">
        <v>534000</v>
      </c>
    </row>
    <row r="32" spans="1:8" ht="13.5" thickBot="1">
      <c r="A32" s="61"/>
      <c r="B32" s="79"/>
      <c r="C32" s="59"/>
      <c r="D32" s="123">
        <v>3</v>
      </c>
      <c r="E32" s="124" t="s">
        <v>364</v>
      </c>
      <c r="F32" s="123"/>
      <c r="G32" s="79" t="s">
        <v>1548</v>
      </c>
      <c r="H32" s="181">
        <f>+'CUADRO 5 TC'!E36</f>
        <v>27000000</v>
      </c>
    </row>
    <row r="33" spans="1:8" ht="14.25" thickBot="1" thickTop="1">
      <c r="A33" s="182"/>
      <c r="B33" s="129"/>
      <c r="C33" s="130"/>
      <c r="D33" s="131"/>
      <c r="E33" s="132"/>
      <c r="F33" s="131"/>
      <c r="G33" s="129"/>
      <c r="H33" s="792">
        <f>SUM(H30:H32)</f>
        <v>348000000</v>
      </c>
    </row>
    <row r="34" spans="1:8" ht="13.5" thickBot="1">
      <c r="A34" s="61" t="s">
        <v>148</v>
      </c>
      <c r="B34" s="79" t="s">
        <v>798</v>
      </c>
      <c r="C34" s="59">
        <f>+INGRESOS!C31</f>
        <v>35000000</v>
      </c>
      <c r="D34" s="123">
        <v>1</v>
      </c>
      <c r="E34" s="124" t="s">
        <v>99</v>
      </c>
      <c r="F34" s="123" t="s">
        <v>776</v>
      </c>
      <c r="G34" s="79" t="s">
        <v>629</v>
      </c>
      <c r="H34" s="181">
        <v>35000000</v>
      </c>
    </row>
    <row r="35" spans="1:8" ht="14.25" thickBot="1" thickTop="1">
      <c r="A35" s="182"/>
      <c r="B35" s="129"/>
      <c r="C35" s="130"/>
      <c r="D35" s="131"/>
      <c r="E35" s="132"/>
      <c r="F35" s="131"/>
      <c r="G35" s="129"/>
      <c r="H35" s="792">
        <f>H34</f>
        <v>35000000</v>
      </c>
    </row>
    <row r="36" spans="1:8" ht="12.75">
      <c r="A36" s="61" t="s">
        <v>149</v>
      </c>
      <c r="B36" s="79" t="s">
        <v>107</v>
      </c>
      <c r="C36" s="59">
        <f>+INGRESOS!C32</f>
        <v>10000000</v>
      </c>
      <c r="D36" s="123">
        <v>1</v>
      </c>
      <c r="E36" s="124" t="s">
        <v>97</v>
      </c>
      <c r="F36" s="123"/>
      <c r="G36" s="79" t="s">
        <v>108</v>
      </c>
      <c r="H36" s="181">
        <v>1000000</v>
      </c>
    </row>
    <row r="37" spans="1:8" ht="12.75">
      <c r="A37" s="61"/>
      <c r="B37" s="79"/>
      <c r="C37" s="59"/>
      <c r="D37" s="123">
        <v>1</v>
      </c>
      <c r="E37" s="124" t="s">
        <v>97</v>
      </c>
      <c r="F37" s="123"/>
      <c r="G37" s="79" t="s">
        <v>109</v>
      </c>
      <c r="H37" s="181">
        <v>6300000</v>
      </c>
    </row>
    <row r="38" spans="1:8" ht="12.75">
      <c r="A38" s="61"/>
      <c r="B38" s="79"/>
      <c r="C38" s="59"/>
      <c r="D38" s="123">
        <v>2</v>
      </c>
      <c r="E38" s="202" t="s">
        <v>110</v>
      </c>
      <c r="F38" s="123"/>
      <c r="G38" s="503" t="s">
        <v>111</v>
      </c>
      <c r="H38" s="181">
        <v>1240000</v>
      </c>
    </row>
    <row r="39" spans="1:8" ht="13.5" thickBot="1">
      <c r="A39" s="184"/>
      <c r="B39" s="126"/>
      <c r="C39" s="127"/>
      <c r="D39" s="128">
        <v>3</v>
      </c>
      <c r="E39" s="203" t="s">
        <v>104</v>
      </c>
      <c r="F39" s="128"/>
      <c r="G39" s="832" t="s">
        <v>386</v>
      </c>
      <c r="H39" s="185">
        <v>1460000</v>
      </c>
    </row>
    <row r="40" spans="1:8" ht="14.25" thickBot="1" thickTop="1">
      <c r="A40" s="182"/>
      <c r="B40" s="129"/>
      <c r="C40" s="130"/>
      <c r="D40" s="131"/>
      <c r="E40" s="132"/>
      <c r="F40" s="131"/>
      <c r="G40" s="129"/>
      <c r="H40" s="792">
        <f>SUM(H36:H39)</f>
        <v>10000000</v>
      </c>
    </row>
    <row r="41" spans="1:8" ht="12.75">
      <c r="A41" s="443" t="s">
        <v>121</v>
      </c>
      <c r="B41" s="634" t="s">
        <v>182</v>
      </c>
      <c r="C41" s="635">
        <f>+INGRESOS!C37</f>
        <v>228000000</v>
      </c>
      <c r="D41" s="123">
        <v>1</v>
      </c>
      <c r="E41" s="202" t="s">
        <v>99</v>
      </c>
      <c r="F41" s="647"/>
      <c r="G41" s="503" t="s">
        <v>629</v>
      </c>
      <c r="H41" s="181">
        <v>22800000</v>
      </c>
    </row>
    <row r="42" spans="1:8" ht="13.5" thickBot="1">
      <c r="A42" s="759"/>
      <c r="B42" s="627"/>
      <c r="C42" s="636"/>
      <c r="D42" s="123">
        <v>2</v>
      </c>
      <c r="E42" s="202" t="s">
        <v>112</v>
      </c>
      <c r="F42" s="770"/>
      <c r="G42" s="503" t="s">
        <v>113</v>
      </c>
      <c r="H42" s="181">
        <v>205200000</v>
      </c>
    </row>
    <row r="43" spans="1:8" ht="14.25" thickBot="1" thickTop="1">
      <c r="A43" s="182"/>
      <c r="B43" s="129"/>
      <c r="C43" s="130"/>
      <c r="D43" s="131"/>
      <c r="E43" s="132"/>
      <c r="F43" s="131"/>
      <c r="G43" s="129"/>
      <c r="H43" s="792">
        <f>SUM(H41:H42)</f>
        <v>228000000</v>
      </c>
    </row>
    <row r="44" spans="1:8" ht="13.5" thickBot="1">
      <c r="A44" s="790" t="s">
        <v>1359</v>
      </c>
      <c r="B44" s="641" t="s">
        <v>1368</v>
      </c>
      <c r="C44" s="134">
        <f>+INGRESOS!C40</f>
        <v>9500000</v>
      </c>
      <c r="D44" s="135">
        <v>2</v>
      </c>
      <c r="E44" s="200" t="s">
        <v>388</v>
      </c>
      <c r="F44" s="135"/>
      <c r="G44" s="641" t="s">
        <v>389</v>
      </c>
      <c r="H44" s="791">
        <v>9500000</v>
      </c>
    </row>
    <row r="45" spans="1:8" ht="14.25" thickBot="1" thickTop="1">
      <c r="A45" s="61"/>
      <c r="B45" s="79"/>
      <c r="C45" s="59"/>
      <c r="D45" s="123"/>
      <c r="E45" s="124"/>
      <c r="F45" s="123"/>
      <c r="G45" s="79"/>
      <c r="H45" s="793">
        <f>H44</f>
        <v>9500000</v>
      </c>
    </row>
    <row r="46" spans="1:8" ht="13.5" thickBot="1">
      <c r="A46" s="186" t="s">
        <v>155</v>
      </c>
      <c r="B46" s="133" t="s">
        <v>390</v>
      </c>
      <c r="C46" s="134">
        <f>+INGRESOS!C41</f>
        <v>820000</v>
      </c>
      <c r="D46" s="135">
        <v>2</v>
      </c>
      <c r="E46" s="136" t="s">
        <v>112</v>
      </c>
      <c r="F46" s="135"/>
      <c r="G46" s="133" t="s">
        <v>113</v>
      </c>
      <c r="H46" s="187">
        <v>820000</v>
      </c>
    </row>
    <row r="47" spans="1:8" ht="14.25" thickBot="1" thickTop="1">
      <c r="A47" s="182"/>
      <c r="B47" s="129"/>
      <c r="C47" s="130"/>
      <c r="D47" s="131"/>
      <c r="E47" s="132"/>
      <c r="F47" s="131"/>
      <c r="G47" s="129"/>
      <c r="H47" s="792">
        <f>H46</f>
        <v>820000</v>
      </c>
    </row>
    <row r="48" spans="1:8" ht="13.5" thickBot="1">
      <c r="A48" s="576" t="s">
        <v>373</v>
      </c>
      <c r="B48" s="577" t="s">
        <v>92</v>
      </c>
      <c r="C48" s="578" t="s">
        <v>773</v>
      </c>
      <c r="D48" s="579"/>
      <c r="E48" s="580"/>
      <c r="F48" s="581" t="s">
        <v>776</v>
      </c>
      <c r="G48" s="578" t="s">
        <v>96</v>
      </c>
      <c r="H48" s="578" t="s">
        <v>773</v>
      </c>
    </row>
    <row r="49" spans="1:8" ht="12.75">
      <c r="A49" s="582" t="s">
        <v>374</v>
      </c>
      <c r="B49" s="583"/>
      <c r="C49" s="584"/>
      <c r="D49" s="585" t="s">
        <v>376</v>
      </c>
      <c r="E49" s="585" t="s">
        <v>377</v>
      </c>
      <c r="F49" s="585" t="s">
        <v>378</v>
      </c>
      <c r="G49" s="584"/>
      <c r="H49" s="586"/>
    </row>
    <row r="50" spans="1:8" ht="13.5" thickBot="1">
      <c r="A50" s="587" t="s">
        <v>375</v>
      </c>
      <c r="B50" s="588"/>
      <c r="C50" s="589"/>
      <c r="D50" s="590" t="s">
        <v>93</v>
      </c>
      <c r="E50" s="590" t="s">
        <v>94</v>
      </c>
      <c r="F50" s="590" t="s">
        <v>95</v>
      </c>
      <c r="G50" s="589"/>
      <c r="H50" s="591"/>
    </row>
    <row r="51" spans="1:8" ht="13.5" thickBot="1">
      <c r="A51" s="61"/>
      <c r="B51" s="79"/>
      <c r="C51" s="59"/>
      <c r="D51" s="637"/>
      <c r="E51" s="638"/>
      <c r="F51" s="123"/>
      <c r="G51" s="79"/>
      <c r="H51" s="793"/>
    </row>
    <row r="52" spans="1:8" ht="13.5" thickBot="1">
      <c r="A52" s="85" t="s">
        <v>156</v>
      </c>
      <c r="B52" s="109" t="s">
        <v>114</v>
      </c>
      <c r="C52" s="125">
        <f>+INGRESOS!C42</f>
        <v>37000000</v>
      </c>
      <c r="D52" s="671">
        <v>2</v>
      </c>
      <c r="E52" s="672" t="s">
        <v>97</v>
      </c>
      <c r="F52" s="135"/>
      <c r="G52" s="133" t="s">
        <v>106</v>
      </c>
      <c r="H52" s="180">
        <v>36440433.9</v>
      </c>
    </row>
    <row r="53" spans="1:8" ht="14.25" thickBot="1" thickTop="1">
      <c r="A53" s="85"/>
      <c r="B53" s="109"/>
      <c r="C53" s="125"/>
      <c r="D53" s="833">
        <v>1</v>
      </c>
      <c r="E53" s="834" t="s">
        <v>99</v>
      </c>
      <c r="F53" s="128"/>
      <c r="G53" s="126" t="s">
        <v>629</v>
      </c>
      <c r="H53" s="185">
        <v>559566.1</v>
      </c>
    </row>
    <row r="54" spans="1:8" ht="14.25" thickBot="1" thickTop="1">
      <c r="A54" s="182"/>
      <c r="B54" s="129"/>
      <c r="C54" s="130"/>
      <c r="D54" s="156"/>
      <c r="E54" s="670"/>
      <c r="F54" s="156"/>
      <c r="G54" s="120"/>
      <c r="H54" s="792">
        <f>SUM(H52:H53)</f>
        <v>37000000</v>
      </c>
    </row>
    <row r="55" spans="1:8" ht="12.75">
      <c r="A55" s="639" t="s">
        <v>157</v>
      </c>
      <c r="B55" s="109" t="s">
        <v>391</v>
      </c>
      <c r="C55" s="125">
        <f>+INGRESOS!C44</f>
        <v>208000000</v>
      </c>
      <c r="D55" s="155">
        <v>1</v>
      </c>
      <c r="E55" s="179" t="s">
        <v>99</v>
      </c>
      <c r="F55" s="648" t="s">
        <v>99</v>
      </c>
      <c r="G55" s="109" t="s">
        <v>629</v>
      </c>
      <c r="H55" s="180">
        <v>20800000</v>
      </c>
    </row>
    <row r="56" spans="1:8" ht="13.5" thickBot="1">
      <c r="A56" s="644"/>
      <c r="B56" s="627"/>
      <c r="C56" s="636"/>
      <c r="D56" s="637">
        <v>2</v>
      </c>
      <c r="E56" s="638" t="s">
        <v>104</v>
      </c>
      <c r="F56" s="637"/>
      <c r="G56" s="627" t="s">
        <v>1261</v>
      </c>
      <c r="H56" s="181">
        <v>187200000</v>
      </c>
    </row>
    <row r="57" spans="1:8" ht="14.25" thickBot="1" thickTop="1">
      <c r="A57" s="182"/>
      <c r="B57" s="129"/>
      <c r="C57" s="130"/>
      <c r="D57" s="131"/>
      <c r="E57" s="132"/>
      <c r="F57" s="131"/>
      <c r="G57" s="129"/>
      <c r="H57" s="792">
        <f>SUM(H55:H56)</f>
        <v>208000000</v>
      </c>
    </row>
    <row r="58" spans="1:8" ht="13.5" thickBot="1">
      <c r="A58" s="596" t="s">
        <v>508</v>
      </c>
      <c r="B58" s="133" t="s">
        <v>392</v>
      </c>
      <c r="C58" s="592">
        <f>+INGRESOS!C45</f>
        <v>500000</v>
      </c>
      <c r="D58" s="135">
        <v>2</v>
      </c>
      <c r="E58" s="593" t="s">
        <v>99</v>
      </c>
      <c r="F58" s="135"/>
      <c r="G58" s="133" t="s">
        <v>392</v>
      </c>
      <c r="H58" s="141">
        <v>500000</v>
      </c>
    </row>
    <row r="59" spans="1:8" ht="14.25" thickBot="1" thickTop="1">
      <c r="A59" s="142"/>
      <c r="B59" s="129"/>
      <c r="C59" s="632"/>
      <c r="D59" s="131"/>
      <c r="E59" s="633"/>
      <c r="F59" s="131"/>
      <c r="G59" s="129"/>
      <c r="H59" s="794">
        <f>H58</f>
        <v>500000</v>
      </c>
    </row>
    <row r="60" spans="1:8" ht="13.5" thickBot="1">
      <c r="A60" s="596" t="s">
        <v>1471</v>
      </c>
      <c r="B60" s="133" t="s">
        <v>1425</v>
      </c>
      <c r="C60" s="592">
        <f>+INGRESOS!C47</f>
        <v>12320000</v>
      </c>
      <c r="D60" s="135">
        <v>1</v>
      </c>
      <c r="E60" s="640" t="s">
        <v>99</v>
      </c>
      <c r="F60" s="135"/>
      <c r="G60" s="641" t="s">
        <v>629</v>
      </c>
      <c r="H60" s="141">
        <v>12320000</v>
      </c>
    </row>
    <row r="61" spans="1:8" ht="14.25" thickBot="1" thickTop="1">
      <c r="A61" s="522"/>
      <c r="B61" s="120"/>
      <c r="C61" s="594"/>
      <c r="D61" s="156"/>
      <c r="E61" s="595"/>
      <c r="F61" s="156"/>
      <c r="G61" s="105"/>
      <c r="H61" s="795">
        <f>H60</f>
        <v>12320000</v>
      </c>
    </row>
    <row r="62" spans="1:8" ht="13.5" thickBot="1">
      <c r="A62" s="186" t="s">
        <v>1242</v>
      </c>
      <c r="B62" s="190" t="s">
        <v>1258</v>
      </c>
      <c r="C62" s="592">
        <f>+INGRESOS!C52</f>
        <v>15000000</v>
      </c>
      <c r="D62" s="135">
        <v>1</v>
      </c>
      <c r="E62" s="593" t="s">
        <v>99</v>
      </c>
      <c r="F62" s="135"/>
      <c r="G62" s="133" t="s">
        <v>629</v>
      </c>
      <c r="H62" s="177">
        <v>15000000</v>
      </c>
    </row>
    <row r="63" spans="1:8" ht="14.25" thickBot="1" thickTop="1">
      <c r="A63" s="182"/>
      <c r="B63" s="191"/>
      <c r="C63" s="632"/>
      <c r="D63" s="131"/>
      <c r="E63" s="633"/>
      <c r="F63" s="131"/>
      <c r="G63" s="129"/>
      <c r="H63" s="797">
        <f>H62</f>
        <v>15000000</v>
      </c>
    </row>
    <row r="64" spans="1:8" ht="13.5" thickBot="1">
      <c r="A64" s="186" t="s">
        <v>1259</v>
      </c>
      <c r="B64" s="190" t="s">
        <v>1260</v>
      </c>
      <c r="C64" s="592">
        <f>+INGRESOS!C57</f>
        <v>9000000</v>
      </c>
      <c r="D64" s="135">
        <v>1</v>
      </c>
      <c r="E64" s="640" t="s">
        <v>99</v>
      </c>
      <c r="F64" s="135"/>
      <c r="G64" s="641" t="s">
        <v>629</v>
      </c>
      <c r="H64" s="177">
        <v>9000000</v>
      </c>
    </row>
    <row r="65" spans="1:8" ht="14.25" thickBot="1" thickTop="1">
      <c r="A65" s="182"/>
      <c r="B65" s="191"/>
      <c r="C65" s="632"/>
      <c r="D65" s="131"/>
      <c r="E65" s="633"/>
      <c r="F65" s="131"/>
      <c r="G65" s="129"/>
      <c r="H65" s="797">
        <f>H64</f>
        <v>9000000</v>
      </c>
    </row>
    <row r="66" spans="1:8" ht="13.5" thickBot="1">
      <c r="A66" s="61" t="s">
        <v>159</v>
      </c>
      <c r="B66" s="192" t="s">
        <v>393</v>
      </c>
      <c r="C66" s="59">
        <f>+INGRESOS!C60</f>
        <v>40000000</v>
      </c>
      <c r="D66" s="198">
        <v>1</v>
      </c>
      <c r="E66" s="202" t="s">
        <v>99</v>
      </c>
      <c r="F66" s="198" t="s">
        <v>776</v>
      </c>
      <c r="G66" s="192" t="s">
        <v>629</v>
      </c>
      <c r="H66" s="143">
        <v>40000000</v>
      </c>
    </row>
    <row r="67" spans="1:8" ht="14.25" thickBot="1" thickTop="1">
      <c r="A67" s="182"/>
      <c r="B67" s="191"/>
      <c r="C67" s="130"/>
      <c r="D67" s="197"/>
      <c r="E67" s="201"/>
      <c r="F67" s="197"/>
      <c r="G67" s="191"/>
      <c r="H67" s="797">
        <f>SUM(H66:H66)</f>
        <v>40000000</v>
      </c>
    </row>
    <row r="68" spans="1:8" ht="12.75">
      <c r="A68" s="61" t="s">
        <v>185</v>
      </c>
      <c r="B68" s="192" t="s">
        <v>765</v>
      </c>
      <c r="C68" s="59">
        <f>+INGRESOS!C65</f>
        <v>6132213.52</v>
      </c>
      <c r="D68" s="198">
        <v>2</v>
      </c>
      <c r="E68" s="202" t="s">
        <v>767</v>
      </c>
      <c r="F68" s="198"/>
      <c r="G68" s="41" t="s">
        <v>387</v>
      </c>
      <c r="H68" s="176">
        <v>6132213.52</v>
      </c>
    </row>
    <row r="69" spans="1:8" ht="13.5" thickBot="1">
      <c r="A69" s="184"/>
      <c r="B69" s="193" t="s">
        <v>766</v>
      </c>
      <c r="C69" s="127"/>
      <c r="D69" s="189"/>
      <c r="E69" s="203"/>
      <c r="F69" s="189"/>
      <c r="G69" s="195"/>
      <c r="H69" s="178"/>
    </row>
    <row r="70" spans="1:8" ht="14.25" thickBot="1" thickTop="1">
      <c r="A70" s="182"/>
      <c r="B70" s="191"/>
      <c r="C70" s="130"/>
      <c r="D70" s="197"/>
      <c r="E70" s="201"/>
      <c r="F70" s="197"/>
      <c r="G70" s="191"/>
      <c r="H70" s="797">
        <f>H68</f>
        <v>6132213.52</v>
      </c>
    </row>
    <row r="71" spans="1:8" ht="12.75">
      <c r="A71" s="61" t="s">
        <v>163</v>
      </c>
      <c r="B71" s="192" t="s">
        <v>115</v>
      </c>
      <c r="C71" s="59">
        <f>+INGRESOS!C69</f>
        <v>4557690</v>
      </c>
      <c r="D71" s="198">
        <v>1</v>
      </c>
      <c r="E71" s="202" t="s">
        <v>112</v>
      </c>
      <c r="F71" s="198" t="s">
        <v>776</v>
      </c>
      <c r="G71" s="643" t="s">
        <v>629</v>
      </c>
      <c r="H71" s="143">
        <v>4557690</v>
      </c>
    </row>
    <row r="72" spans="1:8" ht="13.5" thickBot="1">
      <c r="A72" s="61"/>
      <c r="B72" s="192" t="s">
        <v>116</v>
      </c>
      <c r="C72" s="59"/>
      <c r="D72" s="189"/>
      <c r="E72" s="203"/>
      <c r="F72" s="189"/>
      <c r="G72" s="642"/>
      <c r="H72" s="144"/>
    </row>
    <row r="73" spans="1:8" ht="14.25" thickBot="1" thickTop="1">
      <c r="A73" s="182"/>
      <c r="B73" s="191"/>
      <c r="C73" s="130"/>
      <c r="D73" s="197"/>
      <c r="E73" s="201"/>
      <c r="F73" s="197"/>
      <c r="G73" s="191"/>
      <c r="H73" s="797">
        <f>SUM(H71:H72)</f>
        <v>4557690</v>
      </c>
    </row>
    <row r="74" spans="1:8" ht="13.5" thickBot="1">
      <c r="A74" s="186" t="s">
        <v>1624</v>
      </c>
      <c r="B74" s="190" t="s">
        <v>1625</v>
      </c>
      <c r="C74" s="134">
        <f>+INGRESOS!C74</f>
        <v>2910600</v>
      </c>
      <c r="D74" s="199">
        <v>2</v>
      </c>
      <c r="E74" s="200" t="s">
        <v>112</v>
      </c>
      <c r="F74" s="199"/>
      <c r="G74" s="764" t="s">
        <v>271</v>
      </c>
      <c r="H74" s="835">
        <v>2910600</v>
      </c>
    </row>
    <row r="75" spans="1:8" ht="14.25" thickBot="1" thickTop="1">
      <c r="A75" s="61"/>
      <c r="B75" s="41"/>
      <c r="C75" s="59"/>
      <c r="D75" s="198"/>
      <c r="E75" s="202"/>
      <c r="F75" s="198"/>
      <c r="G75" s="41"/>
      <c r="H75" s="796">
        <f>SUM(H74)</f>
        <v>2910600</v>
      </c>
    </row>
    <row r="76" spans="1:8" ht="12.75">
      <c r="A76" s="85" t="s">
        <v>1472</v>
      </c>
      <c r="B76" s="765" t="s">
        <v>818</v>
      </c>
      <c r="C76" s="125">
        <f>+INGRESOS!C27</f>
        <v>29448200</v>
      </c>
      <c r="D76" s="766">
        <v>1</v>
      </c>
      <c r="E76" s="648" t="s">
        <v>99</v>
      </c>
      <c r="F76" s="766" t="s">
        <v>776</v>
      </c>
      <c r="G76" s="767" t="s">
        <v>629</v>
      </c>
      <c r="H76" s="763">
        <v>6505196.1</v>
      </c>
    </row>
    <row r="77" spans="1:8" ht="12.75">
      <c r="A77" s="61"/>
      <c r="B77" s="41"/>
      <c r="C77" s="59"/>
      <c r="D77" s="198">
        <v>2</v>
      </c>
      <c r="E77" s="202" t="s">
        <v>1683</v>
      </c>
      <c r="F77" s="198"/>
      <c r="G77" s="836" t="s">
        <v>1684</v>
      </c>
      <c r="H77" s="143">
        <v>5600000</v>
      </c>
    </row>
    <row r="78" spans="1:8" ht="13.5" thickBot="1">
      <c r="A78" s="184"/>
      <c r="B78" s="126"/>
      <c r="C78" s="127"/>
      <c r="D78" s="189">
        <v>3</v>
      </c>
      <c r="E78" s="203" t="s">
        <v>1369</v>
      </c>
      <c r="F78" s="189"/>
      <c r="G78" s="769" t="s">
        <v>394</v>
      </c>
      <c r="H78" s="144">
        <v>17343003.9</v>
      </c>
    </row>
    <row r="79" spans="1:8" ht="14.25" thickBot="1" thickTop="1">
      <c r="A79" s="768"/>
      <c r="B79" s="89"/>
      <c r="C79" s="760"/>
      <c r="D79" s="761"/>
      <c r="E79" s="762"/>
      <c r="F79" s="761"/>
      <c r="G79" s="89"/>
      <c r="H79" s="794">
        <f>H76+H78+H77</f>
        <v>29448200</v>
      </c>
    </row>
    <row r="80" spans="1:8" ht="13.5" thickBot="1">
      <c r="A80" s="186" t="s">
        <v>598</v>
      </c>
      <c r="B80" s="190" t="s">
        <v>117</v>
      </c>
      <c r="C80" s="134">
        <f>+INGRESOS!C79</f>
        <v>54705233</v>
      </c>
      <c r="D80" s="199">
        <v>3</v>
      </c>
      <c r="E80" s="200" t="s">
        <v>104</v>
      </c>
      <c r="F80" s="199">
        <v>1</v>
      </c>
      <c r="G80" s="194" t="s">
        <v>395</v>
      </c>
      <c r="H80" s="141">
        <v>54705233</v>
      </c>
    </row>
    <row r="81" spans="1:8" ht="14.25" thickBot="1" thickTop="1">
      <c r="A81" s="182"/>
      <c r="B81" s="191"/>
      <c r="C81" s="130"/>
      <c r="D81" s="197"/>
      <c r="E81" s="201"/>
      <c r="F81" s="197"/>
      <c r="G81" s="191"/>
      <c r="H81" s="797">
        <f>H80</f>
        <v>54705233</v>
      </c>
    </row>
    <row r="82" spans="1:8" ht="13.5" thickBot="1">
      <c r="A82" s="186" t="s">
        <v>1420</v>
      </c>
      <c r="B82" s="764" t="s">
        <v>1482</v>
      </c>
      <c r="C82" s="134">
        <f>+INGRESOS!C82</f>
        <v>90000000</v>
      </c>
      <c r="D82" s="199">
        <v>3</v>
      </c>
      <c r="E82" s="200" t="s">
        <v>112</v>
      </c>
      <c r="F82" s="199"/>
      <c r="G82" s="764" t="s">
        <v>1473</v>
      </c>
      <c r="H82" s="177">
        <v>90000000</v>
      </c>
    </row>
    <row r="83" spans="1:8" ht="14.25" thickBot="1" thickTop="1">
      <c r="A83" s="182"/>
      <c r="B83" s="191"/>
      <c r="C83" s="130"/>
      <c r="D83" s="197"/>
      <c r="E83" s="201"/>
      <c r="F83" s="197"/>
      <c r="G83" s="191"/>
      <c r="H83" s="797">
        <f>H82</f>
        <v>90000000</v>
      </c>
    </row>
    <row r="84" spans="1:8" ht="13.5" thickBot="1">
      <c r="A84" s="184" t="s">
        <v>601</v>
      </c>
      <c r="B84" s="195" t="s">
        <v>822</v>
      </c>
      <c r="C84" s="127">
        <f>+INGRESOS!C86</f>
        <v>1834305</v>
      </c>
      <c r="D84" s="189">
        <v>2</v>
      </c>
      <c r="E84" s="203" t="s">
        <v>103</v>
      </c>
      <c r="F84" s="189" t="s">
        <v>776</v>
      </c>
      <c r="G84" s="195" t="s">
        <v>385</v>
      </c>
      <c r="H84" s="144">
        <v>1834305</v>
      </c>
    </row>
    <row r="85" spans="1:8" ht="14.25" thickBot="1" thickTop="1">
      <c r="A85" s="182"/>
      <c r="B85" s="191"/>
      <c r="C85" s="130"/>
      <c r="D85" s="197"/>
      <c r="E85" s="201"/>
      <c r="F85" s="197"/>
      <c r="G85" s="191"/>
      <c r="H85" s="797">
        <f>H84</f>
        <v>1834305</v>
      </c>
    </row>
    <row r="86" spans="1:8" ht="14.25" thickBot="1" thickTop="1">
      <c r="A86" s="182"/>
      <c r="B86" s="89"/>
      <c r="C86" s="760"/>
      <c r="D86" s="761"/>
      <c r="E86" s="762"/>
      <c r="F86" s="761"/>
      <c r="G86" s="89"/>
      <c r="H86" s="794">
        <v>0</v>
      </c>
    </row>
    <row r="87" spans="1:8" ht="13.5" thickBot="1">
      <c r="A87" s="148" t="s">
        <v>87</v>
      </c>
      <c r="B87" s="89"/>
      <c r="C87" s="196">
        <f>C8+C25+C30+C34+C36+C41+C44+C46+C52+C55+C58+C60+C62+C64+C66+C68+C71+C74+C76+C80+C82+C84</f>
        <v>1843728241.52</v>
      </c>
      <c r="D87" s="145"/>
      <c r="E87" s="146"/>
      <c r="F87" s="145"/>
      <c r="G87" s="89"/>
      <c r="H87" s="147">
        <f>H24+H29+H33+H35+H40+H43+H45+H47+H54+H57+H59+H61+H63+H65+H67+H70+H73+H79+H81+H83+H85+H86+H75</f>
        <v>1843728241.5152001</v>
      </c>
    </row>
    <row r="88" spans="3:8" ht="13.5" thickBot="1">
      <c r="C88" s="3"/>
      <c r="D88" s="138"/>
      <c r="E88" s="139"/>
      <c r="F88" s="138"/>
      <c r="H88" s="3"/>
    </row>
    <row r="89" spans="1:8" ht="12.75">
      <c r="A89" s="597" t="s">
        <v>396</v>
      </c>
      <c r="B89" s="598"/>
      <c r="C89" s="599"/>
      <c r="D89" s="600"/>
      <c r="E89" s="601"/>
      <c r="F89" s="600"/>
      <c r="G89" s="598"/>
      <c r="H89" s="602"/>
    </row>
    <row r="90" spans="1:8" ht="12.75">
      <c r="A90" s="812" t="s">
        <v>1674</v>
      </c>
      <c r="B90" s="603"/>
      <c r="C90" s="604"/>
      <c r="D90" s="605"/>
      <c r="E90" s="606"/>
      <c r="F90" s="605"/>
      <c r="G90" s="603"/>
      <c r="H90" s="607"/>
    </row>
    <row r="91" spans="1:8" ht="13.5" thickBot="1">
      <c r="A91" s="608" t="s">
        <v>776</v>
      </c>
      <c r="B91" s="609"/>
      <c r="C91" s="610"/>
      <c r="D91" s="609"/>
      <c r="E91" s="611"/>
      <c r="F91" s="609"/>
      <c r="G91" s="609"/>
      <c r="H91" s="612"/>
    </row>
    <row r="92" spans="3:8" ht="12.75">
      <c r="C92" s="3"/>
      <c r="E92" s="140"/>
      <c r="H92" s="3"/>
    </row>
    <row r="93" spans="3:8" ht="12.75">
      <c r="C93" s="3"/>
      <c r="E93" s="140"/>
      <c r="H93" s="3"/>
    </row>
    <row r="94" spans="3:8" ht="12.75">
      <c r="C94" s="3"/>
      <c r="E94" s="140"/>
      <c r="H94" s="3"/>
    </row>
    <row r="95" spans="1:5" ht="12.75">
      <c r="A95" t="s">
        <v>397</v>
      </c>
      <c r="C95" s="3"/>
      <c r="E95" s="140"/>
    </row>
    <row r="96" spans="1:5" ht="12.75">
      <c r="A96" t="s">
        <v>1685</v>
      </c>
      <c r="C96" s="3"/>
      <c r="E96" s="140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</sheetData>
  <sheetProtection/>
  <mergeCells count="4">
    <mergeCell ref="A1:H1"/>
    <mergeCell ref="A2:H2"/>
    <mergeCell ref="A3:H3"/>
    <mergeCell ref="A4:H4"/>
  </mergeCells>
  <printOptions/>
  <pageMargins left="0" right="0" top="0" bottom="0" header="0" footer="0"/>
  <pageSetup horizontalDpi="300" verticalDpi="3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34">
      <selection activeCell="D38" sqref="D38"/>
    </sheetView>
  </sheetViews>
  <sheetFormatPr defaultColWidth="11.421875" defaultRowHeight="12.75"/>
  <cols>
    <col min="1" max="1" width="44.7109375" style="0" customWidth="1"/>
    <col min="2" max="2" width="12.7109375" style="0" customWidth="1"/>
    <col min="3" max="3" width="14.7109375" style="0" customWidth="1"/>
    <col min="4" max="4" width="15.7109375" style="0" customWidth="1"/>
    <col min="5" max="5" width="3.00390625" style="0" customWidth="1"/>
  </cols>
  <sheetData>
    <row r="1" spans="1:5" ht="15.75">
      <c r="A1" s="863" t="s">
        <v>823</v>
      </c>
      <c r="B1" s="863"/>
      <c r="C1" s="863"/>
      <c r="D1" s="863"/>
      <c r="E1" s="863"/>
    </row>
    <row r="2" spans="1:5" ht="15.75">
      <c r="A2" s="863" t="s">
        <v>335</v>
      </c>
      <c r="B2" s="863"/>
      <c r="C2" s="863"/>
      <c r="D2" s="863"/>
      <c r="E2" s="863"/>
    </row>
    <row r="3" spans="1:5" ht="15.75">
      <c r="A3" s="863" t="s">
        <v>336</v>
      </c>
      <c r="B3" s="863"/>
      <c r="C3" s="863"/>
      <c r="D3" s="863"/>
      <c r="E3" s="863"/>
    </row>
    <row r="4" ht="13.5" thickBot="1"/>
    <row r="5" spans="1:5" ht="13.5" thickBot="1">
      <c r="A5" s="274" t="s">
        <v>337</v>
      </c>
      <c r="B5" s="275"/>
      <c r="C5" s="275"/>
      <c r="D5" s="276"/>
      <c r="E5" s="277"/>
    </row>
    <row r="6" spans="1:5" ht="13.5" thickBot="1">
      <c r="A6" s="278"/>
      <c r="B6" s="279"/>
      <c r="C6" s="279"/>
      <c r="D6" s="280"/>
      <c r="E6" s="281"/>
    </row>
    <row r="7" spans="1:5" ht="13.5" thickBot="1">
      <c r="A7" s="282" t="s">
        <v>338</v>
      </c>
      <c r="B7" s="279"/>
      <c r="C7" s="279"/>
      <c r="D7" s="283">
        <f>+INGRESOS!C9</f>
        <v>1843728241.52</v>
      </c>
      <c r="E7" s="284"/>
    </row>
    <row r="8" spans="1:5" ht="12.75">
      <c r="A8" s="278"/>
      <c r="B8" s="279"/>
      <c r="C8" s="279"/>
      <c r="D8" s="280"/>
      <c r="E8" s="281"/>
    </row>
    <row r="9" spans="1:5" ht="12.75">
      <c r="A9" s="282" t="s">
        <v>339</v>
      </c>
      <c r="B9" s="279"/>
      <c r="C9" s="279"/>
      <c r="D9" s="280"/>
      <c r="E9" s="281"/>
    </row>
    <row r="10" spans="1:5" ht="12.75">
      <c r="A10" s="278"/>
      <c r="B10" s="279"/>
      <c r="C10" s="279"/>
      <c r="D10" s="280"/>
      <c r="E10" s="281"/>
    </row>
    <row r="11" spans="1:5" ht="12.75">
      <c r="A11" s="278" t="s">
        <v>340</v>
      </c>
      <c r="B11" s="279"/>
      <c r="C11" s="279"/>
      <c r="D11" s="285">
        <v>0</v>
      </c>
      <c r="E11" s="286"/>
    </row>
    <row r="12" spans="1:5" ht="12.75">
      <c r="A12" s="278" t="s">
        <v>341</v>
      </c>
      <c r="B12" s="279"/>
      <c r="C12" s="279"/>
      <c r="D12" s="285">
        <f>+INGRESOS!C15*14%</f>
        <v>89600000.00000001</v>
      </c>
      <c r="E12" s="286"/>
    </row>
    <row r="13" spans="1:5" ht="12.75">
      <c r="A13" s="278" t="s">
        <v>342</v>
      </c>
      <c r="B13" s="279"/>
      <c r="C13" s="279"/>
      <c r="D13" s="285">
        <v>0</v>
      </c>
      <c r="E13" s="286"/>
    </row>
    <row r="14" spans="1:5" ht="12.75">
      <c r="A14" s="278" t="s">
        <v>343</v>
      </c>
      <c r="B14" s="279"/>
      <c r="C14" s="279"/>
      <c r="D14" s="285">
        <v>0</v>
      </c>
      <c r="E14" s="286"/>
    </row>
    <row r="15" spans="1:5" ht="12.75">
      <c r="A15" s="278" t="s">
        <v>344</v>
      </c>
      <c r="B15" s="279"/>
      <c r="C15" s="279"/>
      <c r="D15" s="285">
        <v>0</v>
      </c>
      <c r="E15" s="286"/>
    </row>
    <row r="16" spans="1:5" ht="12.75">
      <c r="A16" s="278" t="s">
        <v>345</v>
      </c>
      <c r="B16" s="279"/>
      <c r="C16" s="279"/>
      <c r="D16" s="287">
        <v>0</v>
      </c>
      <c r="E16" s="288"/>
    </row>
    <row r="17" spans="1:5" ht="12.75">
      <c r="A17" s="278" t="s">
        <v>346</v>
      </c>
      <c r="B17" s="279"/>
      <c r="C17" s="279"/>
      <c r="D17" s="285">
        <f>+INGRESOS!C27*51%</f>
        <v>15018582</v>
      </c>
      <c r="E17" s="286"/>
    </row>
    <row r="18" spans="1:5" ht="12.75">
      <c r="A18" s="278" t="s">
        <v>347</v>
      </c>
      <c r="B18" s="279"/>
      <c r="C18" s="279"/>
      <c r="D18" s="285">
        <v>0</v>
      </c>
      <c r="E18" s="286"/>
    </row>
    <row r="19" spans="1:5" ht="12.75">
      <c r="A19" s="278" t="s">
        <v>348</v>
      </c>
      <c r="B19" s="279"/>
      <c r="C19" s="279"/>
      <c r="D19" s="285">
        <f>+INGRESOS!C32</f>
        <v>10000000</v>
      </c>
      <c r="E19" s="286"/>
    </row>
    <row r="20" spans="1:5" ht="12.75">
      <c r="A20" s="278" t="s">
        <v>349</v>
      </c>
      <c r="B20" s="279"/>
      <c r="C20" s="279"/>
      <c r="D20" s="287">
        <v>0</v>
      </c>
      <c r="E20" s="288"/>
    </row>
    <row r="21" spans="1:5" ht="12.75">
      <c r="A21" s="278" t="s">
        <v>350</v>
      </c>
      <c r="B21" s="279"/>
      <c r="C21" s="279"/>
      <c r="D21" s="285">
        <v>0</v>
      </c>
      <c r="E21" s="286"/>
    </row>
    <row r="22" spans="1:5" ht="12.75">
      <c r="A22" s="278" t="s">
        <v>351</v>
      </c>
      <c r="B22" s="279"/>
      <c r="C22" s="279"/>
      <c r="D22" s="285">
        <v>0</v>
      </c>
      <c r="E22" s="286"/>
    </row>
    <row r="23" spans="1:5" ht="12.75">
      <c r="A23" s="278" t="s">
        <v>352</v>
      </c>
      <c r="B23" s="279"/>
      <c r="C23" s="279"/>
      <c r="D23" s="285">
        <v>0</v>
      </c>
      <c r="E23" s="286"/>
    </row>
    <row r="24" spans="1:5" ht="12.75">
      <c r="A24" s="278" t="s">
        <v>353</v>
      </c>
      <c r="B24" s="279"/>
      <c r="C24" s="279"/>
      <c r="D24" s="285">
        <f>+INGRESOS!C86</f>
        <v>1834305</v>
      </c>
      <c r="E24" s="286"/>
    </row>
    <row r="25" spans="1:5" ht="12.75">
      <c r="A25" s="278" t="s">
        <v>354</v>
      </c>
      <c r="B25" s="279"/>
      <c r="C25" s="279"/>
      <c r="D25" s="285">
        <v>0</v>
      </c>
      <c r="E25" s="286"/>
    </row>
    <row r="26" spans="1:5" ht="12.75">
      <c r="A26" s="278" t="s">
        <v>355</v>
      </c>
      <c r="B26" s="279"/>
      <c r="C26" s="279"/>
      <c r="D26" s="287">
        <f>+INGRESOS!C62</f>
        <v>10689903.52</v>
      </c>
      <c r="E26" s="288"/>
    </row>
    <row r="27" spans="1:5" ht="12.75">
      <c r="A27" s="278" t="s">
        <v>356</v>
      </c>
      <c r="B27" s="279"/>
      <c r="C27" s="279"/>
      <c r="D27" s="287">
        <f>+INGRESOS!C76-INGRESOS!C86</f>
        <v>144705233</v>
      </c>
      <c r="E27" s="288"/>
    </row>
    <row r="28" spans="1:5" ht="12.75">
      <c r="A28" s="278" t="s">
        <v>357</v>
      </c>
      <c r="B28" s="279"/>
      <c r="C28" s="279"/>
      <c r="D28" s="285">
        <v>0</v>
      </c>
      <c r="E28" s="286"/>
    </row>
    <row r="29" spans="1:5" ht="12.75">
      <c r="A29" s="278" t="s">
        <v>358</v>
      </c>
      <c r="B29" s="279"/>
      <c r="C29" s="279"/>
      <c r="D29" s="287">
        <v>0</v>
      </c>
      <c r="E29" s="288"/>
    </row>
    <row r="30" spans="1:5" ht="12.75">
      <c r="A30" s="278" t="s">
        <v>359</v>
      </c>
      <c r="B30" s="279"/>
      <c r="C30" s="279"/>
      <c r="D30" s="287">
        <v>0</v>
      </c>
      <c r="E30" s="288"/>
    </row>
    <row r="31" spans="1:5" ht="12.75">
      <c r="A31" s="278" t="s">
        <v>360</v>
      </c>
      <c r="B31" s="279"/>
      <c r="C31" s="279"/>
      <c r="D31" s="287">
        <v>0</v>
      </c>
      <c r="E31" s="288"/>
    </row>
    <row r="32" spans="1:5" ht="12.75">
      <c r="A32" s="278" t="s">
        <v>398</v>
      </c>
      <c r="B32" s="279"/>
      <c r="C32" s="279"/>
      <c r="D32" s="287">
        <v>0</v>
      </c>
      <c r="E32" s="288"/>
    </row>
    <row r="33" spans="1:5" ht="12.75">
      <c r="A33" s="278" t="s">
        <v>399</v>
      </c>
      <c r="B33" s="279"/>
      <c r="C33" s="279"/>
      <c r="D33" s="285">
        <v>0</v>
      </c>
      <c r="E33" s="286"/>
    </row>
    <row r="34" spans="1:5" ht="12.75">
      <c r="A34" s="289" t="s">
        <v>400</v>
      </c>
      <c r="B34" s="290"/>
      <c r="C34" s="290"/>
      <c r="D34" s="285">
        <v>0</v>
      </c>
      <c r="E34" s="286"/>
    </row>
    <row r="35" spans="1:5" ht="12.75">
      <c r="A35" s="289" t="s">
        <v>400</v>
      </c>
      <c r="B35" s="290"/>
      <c r="C35" s="290"/>
      <c r="D35" s="285">
        <v>0</v>
      </c>
      <c r="E35" s="286"/>
    </row>
    <row r="36" spans="1:5" ht="13.5" thickBot="1">
      <c r="A36" s="291" t="s">
        <v>401</v>
      </c>
      <c r="B36" s="292"/>
      <c r="C36" s="292"/>
      <c r="D36" s="293">
        <v>0</v>
      </c>
      <c r="E36" s="294"/>
    </row>
    <row r="37" spans="1:5" ht="13.5" thickTop="1">
      <c r="A37" s="295" t="s">
        <v>402</v>
      </c>
      <c r="B37" s="296"/>
      <c r="C37" s="296"/>
      <c r="D37" s="297">
        <f>SUM(D11:D36)</f>
        <v>271848023.52</v>
      </c>
      <c r="E37" s="298"/>
    </row>
    <row r="38" spans="1:5" ht="12.75">
      <c r="A38" s="282" t="s">
        <v>403</v>
      </c>
      <c r="B38" s="299"/>
      <c r="C38" s="299"/>
      <c r="D38" s="300">
        <f>D7-D37</f>
        <v>1571880218</v>
      </c>
      <c r="E38" s="281"/>
    </row>
    <row r="39" spans="1:5" ht="12.75">
      <c r="A39" s="278"/>
      <c r="B39" s="279"/>
      <c r="C39" s="279"/>
      <c r="D39" s="280"/>
      <c r="E39" s="281"/>
    </row>
    <row r="40" spans="1:5" ht="12.75">
      <c r="A40" s="301" t="s">
        <v>404</v>
      </c>
      <c r="B40" s="302"/>
      <c r="C40" s="302"/>
      <c r="D40" s="303">
        <f>D38*0.2</f>
        <v>314376043.6</v>
      </c>
      <c r="E40" s="304"/>
    </row>
    <row r="41" spans="1:5" ht="12.75">
      <c r="A41" s="305" t="s">
        <v>405</v>
      </c>
      <c r="B41" s="306"/>
      <c r="C41" s="306"/>
      <c r="D41" s="307">
        <f>SUM(C45:C58)</f>
        <v>543365658.1594307</v>
      </c>
      <c r="E41" s="308"/>
    </row>
    <row r="42" spans="1:5" ht="12.75">
      <c r="A42" s="282"/>
      <c r="B42" s="279"/>
      <c r="C42" s="279"/>
      <c r="D42" s="280"/>
      <c r="E42" s="281"/>
    </row>
    <row r="43" spans="1:5" ht="12.75">
      <c r="A43" s="309" t="s">
        <v>406</v>
      </c>
      <c r="B43" s="310" t="s">
        <v>407</v>
      </c>
      <c r="C43" s="310" t="s">
        <v>408</v>
      </c>
      <c r="D43" s="280"/>
      <c r="E43" s="281"/>
    </row>
    <row r="44" spans="1:5" ht="12.75">
      <c r="A44" s="311" t="s">
        <v>409</v>
      </c>
      <c r="B44" s="312" t="s">
        <v>410</v>
      </c>
      <c r="C44" s="313" t="s">
        <v>411</v>
      </c>
      <c r="D44" s="280"/>
      <c r="E44" s="281"/>
    </row>
    <row r="45" spans="1:5" ht="12.75">
      <c r="A45" s="278" t="s">
        <v>412</v>
      </c>
      <c r="B45" s="235" t="s">
        <v>413</v>
      </c>
      <c r="C45" s="314">
        <f>+'PROGRAMA 2'!D193</f>
        <v>500000</v>
      </c>
      <c r="D45" s="280"/>
      <c r="E45" s="281"/>
    </row>
    <row r="46" spans="1:5" ht="12.75">
      <c r="A46" s="278" t="s">
        <v>414</v>
      </c>
      <c r="B46" s="235" t="s">
        <v>415</v>
      </c>
      <c r="C46" s="314">
        <f>+'PROGRAMA 2'!D228</f>
        <v>207242173.09889174</v>
      </c>
      <c r="D46" s="280"/>
      <c r="E46" s="281"/>
    </row>
    <row r="47" spans="1:5" ht="12.75">
      <c r="A47" s="278" t="s">
        <v>271</v>
      </c>
      <c r="B47" s="235" t="s">
        <v>416</v>
      </c>
      <c r="C47" s="314">
        <f>+'PROGRAMA 2'!D452</f>
        <v>228000000.0081354</v>
      </c>
      <c r="D47" s="280"/>
      <c r="E47" s="281"/>
    </row>
    <row r="48" spans="1:5" ht="12.75">
      <c r="A48" s="278" t="s">
        <v>106</v>
      </c>
      <c r="B48" s="235" t="s">
        <v>417</v>
      </c>
      <c r="C48" s="314">
        <f>+'PROGRAMA 2'!D350</f>
        <v>36440433.90480358</v>
      </c>
      <c r="D48" s="280"/>
      <c r="E48" s="281"/>
    </row>
    <row r="49" spans="1:5" ht="12.75">
      <c r="A49" s="278" t="s">
        <v>418</v>
      </c>
      <c r="B49" s="235" t="s">
        <v>419</v>
      </c>
      <c r="C49" s="314">
        <v>0</v>
      </c>
      <c r="D49" s="280"/>
      <c r="E49" s="281"/>
    </row>
    <row r="50" spans="1:5" ht="12.75">
      <c r="A50" s="315" t="s">
        <v>829</v>
      </c>
      <c r="B50" s="316" t="s">
        <v>830</v>
      </c>
      <c r="C50" s="317">
        <v>0</v>
      </c>
      <c r="D50" s="280"/>
      <c r="E50" s="281"/>
    </row>
    <row r="51" spans="1:5" ht="12.75">
      <c r="A51" s="289" t="s">
        <v>831</v>
      </c>
      <c r="B51" s="316" t="s">
        <v>832</v>
      </c>
      <c r="C51" s="317">
        <f>+'PROGRAMA 2'!D596</f>
        <v>1240000</v>
      </c>
      <c r="D51" s="280"/>
      <c r="E51" s="281"/>
    </row>
    <row r="52" spans="1:5" ht="12.75">
      <c r="A52" s="289" t="s">
        <v>421</v>
      </c>
      <c r="B52" s="316" t="s">
        <v>420</v>
      </c>
      <c r="C52" s="317">
        <v>0</v>
      </c>
      <c r="D52" s="280"/>
      <c r="E52" s="281"/>
    </row>
    <row r="53" spans="1:5" ht="12.75">
      <c r="A53" s="315" t="s">
        <v>276</v>
      </c>
      <c r="B53" s="316" t="s">
        <v>420</v>
      </c>
      <c r="C53" s="317">
        <v>0</v>
      </c>
      <c r="D53" s="280"/>
      <c r="E53" s="281"/>
    </row>
    <row r="54" spans="1:5" ht="12.75">
      <c r="A54" s="318" t="s">
        <v>422</v>
      </c>
      <c r="B54" s="235" t="s">
        <v>368</v>
      </c>
      <c r="C54" s="317">
        <f>+'PROGRAMA 1'!C327</f>
        <v>51674409.94</v>
      </c>
      <c r="D54" s="280"/>
      <c r="E54" s="281"/>
    </row>
    <row r="55" spans="1:5" ht="12.75">
      <c r="A55" s="278" t="s">
        <v>423</v>
      </c>
      <c r="B55" s="235" t="s">
        <v>369</v>
      </c>
      <c r="C55" s="317">
        <v>0</v>
      </c>
      <c r="D55" s="279"/>
      <c r="E55" s="319"/>
    </row>
    <row r="56" spans="1:5" ht="12.75">
      <c r="A56" s="278" t="s">
        <v>424</v>
      </c>
      <c r="B56" s="235" t="s">
        <v>368</v>
      </c>
      <c r="C56" s="317">
        <f>+'PROGRAMA 1'!C324</f>
        <v>8768641.2076</v>
      </c>
      <c r="D56" s="280"/>
      <c r="E56" s="281"/>
    </row>
    <row r="57" spans="1:5" ht="12.75">
      <c r="A57" s="289" t="s">
        <v>389</v>
      </c>
      <c r="B57" s="235"/>
      <c r="C57" s="317">
        <f>+INGRESOS!C40</f>
        <v>9500000</v>
      </c>
      <c r="D57" s="280"/>
      <c r="E57" s="281"/>
    </row>
    <row r="58" spans="1:5" ht="13.5" thickBot="1">
      <c r="A58" s="320" t="s">
        <v>425</v>
      </c>
      <c r="B58" s="321"/>
      <c r="C58" s="322">
        <v>0</v>
      </c>
      <c r="D58" s="280"/>
      <c r="E58" s="281"/>
    </row>
    <row r="59" spans="1:5" ht="13.5" thickTop="1">
      <c r="A59" s="282" t="s">
        <v>426</v>
      </c>
      <c r="B59" s="299"/>
      <c r="C59" s="300">
        <f>SUM(C45:C58)</f>
        <v>543365658.1594307</v>
      </c>
      <c r="D59" s="280"/>
      <c r="E59" s="281"/>
    </row>
    <row r="60" spans="1:5" ht="12.75">
      <c r="A60" s="323"/>
      <c r="B60" s="324"/>
      <c r="C60" s="325"/>
      <c r="D60" s="324"/>
      <c r="E60" s="326"/>
    </row>
    <row r="61" spans="1:5" ht="13.5" thickBot="1">
      <c r="A61" s="327" t="s">
        <v>427</v>
      </c>
      <c r="B61" s="328"/>
      <c r="C61" s="328"/>
      <c r="D61" s="329">
        <f>+D40-D41</f>
        <v>-228989614.55943072</v>
      </c>
      <c r="E61" s="330" t="s">
        <v>428</v>
      </c>
    </row>
    <row r="62" ht="12.75">
      <c r="A62" s="24" t="s">
        <v>429</v>
      </c>
    </row>
    <row r="63" ht="12.75">
      <c r="A63" t="s">
        <v>430</v>
      </c>
    </row>
    <row r="65" spans="1:5" ht="12.75">
      <c r="A65" s="30" t="s">
        <v>431</v>
      </c>
      <c r="B65" s="26"/>
      <c r="C65" s="26"/>
      <c r="D65" s="26"/>
      <c r="E65" s="26"/>
    </row>
    <row r="66" spans="1:5" ht="12.75">
      <c r="A66" s="30" t="s">
        <v>1666</v>
      </c>
      <c r="B66" s="26"/>
      <c r="C66" s="26"/>
      <c r="D66" s="26"/>
      <c r="E66" s="26"/>
    </row>
    <row r="67" spans="1:5" ht="12.75">
      <c r="A67" s="30"/>
      <c r="B67" s="26"/>
      <c r="C67" s="26"/>
      <c r="D67" s="26"/>
      <c r="E67" s="26"/>
    </row>
    <row r="68" spans="1:5" ht="12.75">
      <c r="A68" s="30" t="s">
        <v>432</v>
      </c>
      <c r="B68" s="26"/>
      <c r="C68" s="26"/>
      <c r="D68" s="26"/>
      <c r="E68" s="26"/>
    </row>
    <row r="69" spans="1:5" ht="12.75">
      <c r="A69" s="30" t="s">
        <v>433</v>
      </c>
      <c r="B69" s="26"/>
      <c r="C69" s="26"/>
      <c r="D69" s="26"/>
      <c r="E69" s="26"/>
    </row>
  </sheetData>
  <sheetProtection/>
  <mergeCells count="3">
    <mergeCell ref="A1:E1"/>
    <mergeCell ref="A2:E2"/>
    <mergeCell ref="A3:E3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4.7109375" style="0" customWidth="1"/>
    <col min="2" max="2" width="16.140625" style="0" customWidth="1"/>
    <col min="3" max="3" width="16.57421875" style="0" customWidth="1"/>
    <col min="4" max="4" width="21.00390625" style="0" customWidth="1"/>
    <col min="5" max="5" width="15.421875" style="0" customWidth="1"/>
    <col min="6" max="6" width="15.8515625" style="0" customWidth="1"/>
    <col min="7" max="7" width="18.28125" style="0" customWidth="1"/>
  </cols>
  <sheetData>
    <row r="1" spans="2:7" ht="15.75">
      <c r="B1" s="851" t="s">
        <v>823</v>
      </c>
      <c r="C1" s="851"/>
      <c r="D1" s="851"/>
      <c r="E1" s="851"/>
      <c r="F1" s="851"/>
      <c r="G1" s="851"/>
    </row>
    <row r="2" spans="2:7" ht="15.75">
      <c r="B2" s="851" t="s">
        <v>434</v>
      </c>
      <c r="C2" s="851"/>
      <c r="D2" s="851"/>
      <c r="E2" s="851"/>
      <c r="F2" s="851"/>
      <c r="G2" s="851"/>
    </row>
    <row r="3" spans="2:7" ht="15.75">
      <c r="B3" s="851" t="s">
        <v>435</v>
      </c>
      <c r="C3" s="851"/>
      <c r="D3" s="851"/>
      <c r="E3" s="851"/>
      <c r="F3" s="851"/>
      <c r="G3" s="851"/>
    </row>
    <row r="4" spans="1:7" ht="12.75">
      <c r="A4" s="26"/>
      <c r="B4" s="26"/>
      <c r="C4" s="26"/>
      <c r="D4" s="26"/>
      <c r="E4" s="26"/>
      <c r="F4" s="26"/>
      <c r="G4" s="26"/>
    </row>
    <row r="5" spans="1:7" ht="12.75">
      <c r="A5" s="26"/>
      <c r="B5" s="26"/>
      <c r="C5" s="26"/>
      <c r="D5" s="26"/>
      <c r="E5" s="26"/>
      <c r="F5" s="26"/>
      <c r="G5" s="26"/>
    </row>
    <row r="6" ht="12.75">
      <c r="A6" s="26"/>
    </row>
    <row r="7" ht="13.5" thickBot="1"/>
    <row r="8" spans="2:7" ht="12.75">
      <c r="B8" s="331" t="s">
        <v>436</v>
      </c>
      <c r="C8" s="332"/>
      <c r="D8" s="332"/>
      <c r="E8" s="188"/>
      <c r="F8" s="188"/>
      <c r="G8" s="333">
        <v>1716942693.7</v>
      </c>
    </row>
    <row r="9" spans="2:7" ht="12.75">
      <c r="B9" s="334" t="s">
        <v>437</v>
      </c>
      <c r="C9" s="335"/>
      <c r="D9" s="335"/>
      <c r="E9" s="19"/>
      <c r="F9" s="19"/>
      <c r="G9" s="336">
        <f>+INGRESOS!C9</f>
        <v>1843728241.52</v>
      </c>
    </row>
    <row r="10" spans="2:7" ht="13.5" thickBot="1">
      <c r="B10" s="337" t="s">
        <v>438</v>
      </c>
      <c r="C10" s="338"/>
      <c r="D10" s="338"/>
      <c r="E10" s="105"/>
      <c r="F10" s="105"/>
      <c r="G10" s="816">
        <f>(G9-G8)/G8</f>
        <v>0.07384378540135077</v>
      </c>
    </row>
    <row r="11" spans="2:7" ht="12.75">
      <c r="B11" s="339" t="s">
        <v>439</v>
      </c>
      <c r="C11" s="340"/>
      <c r="D11" s="340"/>
      <c r="E11" s="341">
        <f>+G10</f>
        <v>0.07384378540135077</v>
      </c>
      <c r="F11" s="342"/>
      <c r="G11" s="343"/>
    </row>
    <row r="12" spans="2:7" ht="12.75">
      <c r="B12" s="344" t="s">
        <v>440</v>
      </c>
      <c r="C12" s="345" t="s">
        <v>441</v>
      </c>
      <c r="D12" s="346" t="s">
        <v>442</v>
      </c>
      <c r="E12" s="347" t="s">
        <v>443</v>
      </c>
      <c r="F12" s="346" t="s">
        <v>444</v>
      </c>
      <c r="G12" s="348" t="s">
        <v>445</v>
      </c>
    </row>
    <row r="13" spans="2:7" ht="12.75">
      <c r="B13" s="349" t="s">
        <v>446</v>
      </c>
      <c r="C13" s="350" t="s">
        <v>447</v>
      </c>
      <c r="D13" s="350" t="s">
        <v>448</v>
      </c>
      <c r="E13" s="351" t="s">
        <v>449</v>
      </c>
      <c r="F13" s="350"/>
      <c r="G13" s="352"/>
    </row>
    <row r="14" spans="2:7" ht="12.75">
      <c r="B14" s="353">
        <v>5</v>
      </c>
      <c r="C14" s="354">
        <v>27902.1</v>
      </c>
      <c r="D14" s="355">
        <f>(C14*$E$11)+C14-0.01</f>
        <v>29962.48668464703</v>
      </c>
      <c r="E14" s="356">
        <v>76</v>
      </c>
      <c r="F14" s="355">
        <f>+B14*D14*6.33333333333333</f>
        <v>948812.0783471555</v>
      </c>
      <c r="G14" s="357">
        <f>+B14*D14*E14</f>
        <v>11385744.94016587</v>
      </c>
    </row>
    <row r="15" spans="2:7" ht="12.75">
      <c r="B15" s="353">
        <v>5</v>
      </c>
      <c r="C15" s="354">
        <v>13951.05</v>
      </c>
      <c r="D15" s="355">
        <f>(C15*$E$11)+C15-0.01</f>
        <v>14981.238342323513</v>
      </c>
      <c r="E15" s="356">
        <v>76</v>
      </c>
      <c r="F15" s="355">
        <f>+B15*D15*6.33333333333333</f>
        <v>474405.88084024435</v>
      </c>
      <c r="G15" s="357">
        <f>+B15*D15*E15</f>
        <v>5692870.570082935</v>
      </c>
    </row>
    <row r="16" spans="2:7" ht="12.75">
      <c r="B16" s="353">
        <v>3</v>
      </c>
      <c r="C16" s="354">
        <v>13951.05</v>
      </c>
      <c r="D16" s="355">
        <f>(C16*$E$11)+C16-0.01</f>
        <v>14981.238342323513</v>
      </c>
      <c r="E16" s="356">
        <v>76</v>
      </c>
      <c r="F16" s="355">
        <f>+B16*D16*6.33333333333333</f>
        <v>284643.5285041466</v>
      </c>
      <c r="G16" s="357">
        <f>+B16*D16*E16</f>
        <v>3415722.3420497607</v>
      </c>
    </row>
    <row r="17" spans="2:7" ht="12.75">
      <c r="B17" s="353">
        <v>3</v>
      </c>
      <c r="C17" s="354">
        <v>6975.5</v>
      </c>
      <c r="D17" s="355">
        <f>(C17*$E$11)+C17-0.01</f>
        <v>7490.587325067122</v>
      </c>
      <c r="E17" s="356">
        <v>76</v>
      </c>
      <c r="F17" s="355">
        <f>+B17*D17*6.33333333333333</f>
        <v>142321.15917627525</v>
      </c>
      <c r="G17" s="357">
        <f>+B17*D17*E17</f>
        <v>1707853.910115304</v>
      </c>
    </row>
    <row r="18" spans="2:7" ht="12.75">
      <c r="B18" s="358"/>
      <c r="C18" s="359"/>
      <c r="D18" s="360"/>
      <c r="E18" s="335"/>
      <c r="F18" s="360"/>
      <c r="G18" s="361"/>
    </row>
    <row r="19" spans="2:7" ht="12.75">
      <c r="B19" s="362" t="s">
        <v>450</v>
      </c>
      <c r="C19" s="363"/>
      <c r="D19" s="364"/>
      <c r="E19" s="364"/>
      <c r="F19" s="364"/>
      <c r="G19" s="365">
        <v>0</v>
      </c>
    </row>
    <row r="20" spans="2:7" ht="13.5" thickBot="1">
      <c r="B20" s="366" t="s">
        <v>826</v>
      </c>
      <c r="C20" s="367"/>
      <c r="D20" s="367"/>
      <c r="E20" s="367"/>
      <c r="F20" s="368">
        <f>SUM(F14:F18)</f>
        <v>1850182.6468678215</v>
      </c>
      <c r="G20" s="369">
        <f>SUM(G14:G18)+G19</f>
        <v>22202191.76241387</v>
      </c>
    </row>
    <row r="21" spans="2:7" ht="12.75">
      <c r="B21" s="370"/>
      <c r="C21" s="370"/>
      <c r="D21" s="370"/>
      <c r="E21" s="370"/>
      <c r="F21" s="370"/>
      <c r="G21" s="370"/>
    </row>
    <row r="22" ht="12.75">
      <c r="B22" t="s">
        <v>451</v>
      </c>
    </row>
    <row r="24" spans="1:7" ht="12.75">
      <c r="A24" s="30" t="s">
        <v>452</v>
      </c>
      <c r="B24" s="26"/>
      <c r="C24" s="26"/>
      <c r="D24" s="26"/>
      <c r="E24" s="26"/>
      <c r="F24" s="26"/>
      <c r="G24" s="26"/>
    </row>
    <row r="25" spans="1:7" ht="12.75">
      <c r="A25" s="30" t="s">
        <v>1626</v>
      </c>
      <c r="B25" s="26"/>
      <c r="C25" s="26"/>
      <c r="D25" s="26"/>
      <c r="E25" s="26"/>
      <c r="F25" s="26"/>
      <c r="G25" s="26"/>
    </row>
  </sheetData>
  <sheetProtection/>
  <mergeCells count="3">
    <mergeCell ref="B1:G1"/>
    <mergeCell ref="B2:G2"/>
    <mergeCell ref="B3:G3"/>
  </mergeCells>
  <printOptions/>
  <pageMargins left="0.75" right="0.75" top="1" bottom="1" header="0" footer="0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5">
      <selection activeCell="I23" sqref="I23:K23"/>
    </sheetView>
  </sheetViews>
  <sheetFormatPr defaultColWidth="11.421875" defaultRowHeight="12.75"/>
  <cols>
    <col min="1" max="1" width="17.140625" style="0" customWidth="1"/>
    <col min="2" max="2" width="15.28125" style="0" customWidth="1"/>
    <col min="3" max="3" width="3.140625" style="0" customWidth="1"/>
    <col min="4" max="4" width="13.421875" style="0" customWidth="1"/>
    <col min="5" max="5" width="2.7109375" style="0" customWidth="1"/>
    <col min="6" max="6" width="15.7109375" style="0" customWidth="1"/>
    <col min="7" max="7" width="2.8515625" style="0" customWidth="1"/>
    <col min="8" max="8" width="15.57421875" style="0" customWidth="1"/>
    <col min="9" max="9" width="2.7109375" style="0" customWidth="1"/>
    <col min="10" max="10" width="13.421875" style="0" customWidth="1"/>
    <col min="11" max="11" width="3.28125" style="0" customWidth="1"/>
    <col min="12" max="12" width="13.57421875" style="0" customWidth="1"/>
  </cols>
  <sheetData>
    <row r="1" spans="1:12" ht="1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ht="15.75">
      <c r="A2" s="851" t="str">
        <f>'[3]ANEXO 1'!A2</f>
        <v>MUNICIPALIDAD DE FLORES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</row>
    <row r="3" spans="1:12" ht="15.75">
      <c r="A3" s="851" t="s">
        <v>453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</row>
    <row r="4" spans="1:12" ht="15.75">
      <c r="A4" s="851" t="s">
        <v>454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</row>
    <row r="6" spans="1:12" ht="13.5" thickBo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</row>
    <row r="7" spans="1:12" ht="18.75" thickBot="1">
      <c r="A7" s="864" t="s">
        <v>455</v>
      </c>
      <c r="B7" s="865"/>
      <c r="C7" s="865"/>
      <c r="D7" s="865"/>
      <c r="E7" s="865"/>
      <c r="F7" s="865"/>
      <c r="G7" s="865"/>
      <c r="H7" s="865"/>
      <c r="I7" s="865"/>
      <c r="J7" s="865"/>
      <c r="K7" s="865"/>
      <c r="L7" s="866"/>
    </row>
    <row r="8" spans="1:12" ht="12.75">
      <c r="A8" s="867" t="s">
        <v>456</v>
      </c>
      <c r="B8" s="869" t="s">
        <v>457</v>
      </c>
      <c r="C8" s="870"/>
      <c r="D8" s="870"/>
      <c r="E8" s="871"/>
      <c r="F8" s="872" t="s">
        <v>458</v>
      </c>
      <c r="G8" s="873"/>
      <c r="H8" s="872" t="s">
        <v>459</v>
      </c>
      <c r="I8" s="873"/>
      <c r="J8" s="872" t="s">
        <v>460</v>
      </c>
      <c r="K8" s="873"/>
      <c r="L8" s="372" t="s">
        <v>826</v>
      </c>
    </row>
    <row r="9" spans="1:12" ht="13.5" thickBot="1">
      <c r="A9" s="868"/>
      <c r="B9" s="876" t="s">
        <v>461</v>
      </c>
      <c r="C9" s="877"/>
      <c r="D9" s="876" t="s">
        <v>462</v>
      </c>
      <c r="E9" s="877"/>
      <c r="F9" s="874"/>
      <c r="G9" s="875"/>
      <c r="H9" s="874"/>
      <c r="I9" s="875"/>
      <c r="J9" s="874"/>
      <c r="K9" s="875"/>
      <c r="L9" s="373"/>
    </row>
    <row r="10" spans="1:12" ht="12.75">
      <c r="A10" s="374"/>
      <c r="B10" s="878">
        <v>0.0508</v>
      </c>
      <c r="C10" s="879"/>
      <c r="D10" s="878">
        <v>0.0925</v>
      </c>
      <c r="E10" s="879"/>
      <c r="F10" s="878">
        <v>0.005</v>
      </c>
      <c r="G10" s="879"/>
      <c r="H10" s="878">
        <v>0.015</v>
      </c>
      <c r="I10" s="879"/>
      <c r="J10" s="880">
        <v>0.03</v>
      </c>
      <c r="K10" s="881"/>
      <c r="L10" s="375"/>
    </row>
    <row r="11" spans="1:12" ht="12.75">
      <c r="A11" s="376">
        <f>+'PROGRAMA 1'!C7+'PROGRAMA 1'!C8+'PROGRAMA 1'!C9+'PROGRAMA 1'!C12+'PROGRAMA 1'!C16+'PROGRAMA 1'!C17+'PROGRAMA 2'!C7+'PROGRAMA 2'!C11+'PROGRAMA 2'!C14+'PROGRAMA 3'!C6+'PROGRAMA 2'!C15+'PROGRAMA 3'!C12+'PROGRAMA 3'!C13+'PROGRAMA 2'!C8+'PROGRAMA 1'!C19+'PROGRAMA 2'!C17+'PROGRAMA 3'!C15+'PROGRAMA 3'!C9</f>
        <v>598047774.9488659</v>
      </c>
      <c r="B11" s="882">
        <f>+A11*B10</f>
        <v>30380826.967402387</v>
      </c>
      <c r="C11" s="883"/>
      <c r="D11" s="882">
        <f>+A11*D10</f>
        <v>55319419.182770096</v>
      </c>
      <c r="E11" s="883"/>
      <c r="F11" s="377">
        <f>+A11*F10</f>
        <v>2990238.8747443296</v>
      </c>
      <c r="G11" s="378"/>
      <c r="H11" s="379">
        <f>+A11*H10</f>
        <v>8970716.624232989</v>
      </c>
      <c r="I11" s="378"/>
      <c r="J11" s="377">
        <f>A11*J10</f>
        <v>17941433.248465978</v>
      </c>
      <c r="K11" s="378"/>
      <c r="L11" s="380">
        <f>SUM(B11:K11)</f>
        <v>115602634.89761579</v>
      </c>
    </row>
    <row r="12" spans="1:12" ht="12.75">
      <c r="A12" s="381"/>
      <c r="B12" s="342"/>
      <c r="C12" s="382"/>
      <c r="D12" s="383"/>
      <c r="E12" s="382"/>
      <c r="F12" s="342"/>
      <c r="G12" s="382"/>
      <c r="H12" s="342"/>
      <c r="I12" s="382"/>
      <c r="J12" s="342"/>
      <c r="K12" s="382"/>
      <c r="L12" s="343"/>
    </row>
    <row r="13" spans="1:12" ht="13.5" thickBot="1">
      <c r="A13" s="384"/>
      <c r="B13" s="385">
        <f>+A11*B10</f>
        <v>30380826.967402387</v>
      </c>
      <c r="C13" s="386" t="s">
        <v>463</v>
      </c>
      <c r="D13" s="387">
        <f>D11</f>
        <v>55319419.182770096</v>
      </c>
      <c r="E13" s="386" t="s">
        <v>428</v>
      </c>
      <c r="F13" s="385">
        <f>F11</f>
        <v>2990238.8747443296</v>
      </c>
      <c r="G13" s="386" t="s">
        <v>464</v>
      </c>
      <c r="H13" s="385">
        <f>H11</f>
        <v>8970716.624232989</v>
      </c>
      <c r="I13" s="386" t="s">
        <v>465</v>
      </c>
      <c r="J13" s="387">
        <f>J11</f>
        <v>17941433.248465978</v>
      </c>
      <c r="K13" s="386" t="s">
        <v>466</v>
      </c>
      <c r="L13" s="388">
        <f>L11</f>
        <v>115602634.89761579</v>
      </c>
    </row>
    <row r="14" spans="1:12" ht="12.75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</row>
    <row r="15" spans="1:12" ht="12.75">
      <c r="A15" t="s">
        <v>467</v>
      </c>
      <c r="L15" s="389"/>
    </row>
    <row r="16" spans="1:12" ht="12.75">
      <c r="A16" t="s">
        <v>468</v>
      </c>
      <c r="L16" s="389"/>
    </row>
    <row r="17" spans="1:12" ht="12.75">
      <c r="A17" t="s">
        <v>469</v>
      </c>
      <c r="L17" s="389"/>
    </row>
    <row r="18" spans="1:12" ht="12.75">
      <c r="A18" t="s">
        <v>470</v>
      </c>
      <c r="L18" s="389"/>
    </row>
    <row r="19" spans="1:12" ht="12.75">
      <c r="A19" s="389" t="s">
        <v>471</v>
      </c>
      <c r="B19" s="389"/>
      <c r="C19" s="389"/>
      <c r="L19" s="389"/>
    </row>
    <row r="20" spans="1:12" ht="13.5" thickBot="1">
      <c r="A20" s="389"/>
      <c r="B20" s="389"/>
      <c r="C20" s="389"/>
      <c r="L20" s="389"/>
    </row>
    <row r="21" spans="3:12" ht="18.75" thickBot="1">
      <c r="C21" s="370"/>
      <c r="D21" s="884" t="s">
        <v>472</v>
      </c>
      <c r="E21" s="885"/>
      <c r="F21" s="885"/>
      <c r="G21" s="886"/>
      <c r="I21" s="884" t="s">
        <v>825</v>
      </c>
      <c r="J21" s="885"/>
      <c r="K21" s="885"/>
      <c r="L21" s="886"/>
    </row>
    <row r="22" spans="4:12" ht="12.75">
      <c r="D22" s="887" t="s">
        <v>773</v>
      </c>
      <c r="E22" s="888"/>
      <c r="F22" s="889">
        <v>0.08333333</v>
      </c>
      <c r="G22" s="873"/>
      <c r="I22" s="890"/>
      <c r="J22" s="891"/>
      <c r="K22" s="19"/>
      <c r="L22" s="86"/>
    </row>
    <row r="23" spans="4:12" ht="13.5" thickBot="1">
      <c r="D23" s="892" t="s">
        <v>473</v>
      </c>
      <c r="E23" s="893"/>
      <c r="F23" s="874"/>
      <c r="G23" s="875"/>
      <c r="I23" s="894">
        <f>+'PROGRAMA 1'!C58+'PROGRAMA 2'!C52+'PROGRAMA 3'!C33</f>
        <v>9872847.73</v>
      </c>
      <c r="J23" s="895"/>
      <c r="K23" s="895"/>
      <c r="L23" s="390" t="s">
        <v>474</v>
      </c>
    </row>
    <row r="24" spans="4:11" ht="12.75">
      <c r="D24" s="391">
        <f>+'PROGRAMA 1'!C7+'PROGRAMA 1'!C8+'PROGRAMA 1'!C9+'PROGRAMA 1'!C12+'PROGRAMA 1'!C16+'PROGRAMA 1'!C17+'PROGRAMA 2'!C7+'PROGRAMA 2'!C8+'PROGRAMA 2'!C11+'PROGRAMA 2'!C14+'PROGRAMA 2'!C15+'PROGRAMA 3'!C6+'PROGRAMA 3'!C9+'PROGRAMA 3'!C12+'PROGRAMA 3'!C13</f>
        <v>574750401.9491946</v>
      </c>
      <c r="E24" s="392"/>
      <c r="F24" s="837">
        <f>+D24*F22</f>
        <v>47895864.91326487</v>
      </c>
      <c r="G24" s="393"/>
      <c r="I24" t="s">
        <v>475</v>
      </c>
      <c r="J24" s="394"/>
      <c r="K24" s="19"/>
    </row>
    <row r="25" spans="4:12" ht="13.5" thickBot="1">
      <c r="D25" s="337" t="s">
        <v>826</v>
      </c>
      <c r="E25" s="89"/>
      <c r="F25" s="838">
        <f>+F24</f>
        <v>47895864.91326487</v>
      </c>
      <c r="G25" s="395" t="s">
        <v>465</v>
      </c>
      <c r="L25" s="389"/>
    </row>
    <row r="26" spans="4:12" ht="12.75">
      <c r="D26" t="s">
        <v>476</v>
      </c>
      <c r="L26" s="389"/>
    </row>
    <row r="27" ht="12.75">
      <c r="K27" s="396"/>
    </row>
    <row r="28" ht="12.75">
      <c r="K28" s="335"/>
    </row>
    <row r="29" spans="1:12" ht="12.75">
      <c r="A29" s="30" t="s">
        <v>431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2.75">
      <c r="A30" s="30" t="s">
        <v>1667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</sheetData>
  <sheetProtection/>
  <mergeCells count="25">
    <mergeCell ref="B11:C11"/>
    <mergeCell ref="D11:E11"/>
    <mergeCell ref="D21:G21"/>
    <mergeCell ref="I21:L21"/>
    <mergeCell ref="D22:E22"/>
    <mergeCell ref="F22:G23"/>
    <mergeCell ref="I22:J22"/>
    <mergeCell ref="D23:E23"/>
    <mergeCell ref="I23:K23"/>
    <mergeCell ref="D9:E9"/>
    <mergeCell ref="B10:C10"/>
    <mergeCell ref="D10:E10"/>
    <mergeCell ref="F10:G10"/>
    <mergeCell ref="H10:I10"/>
    <mergeCell ref="J10:K10"/>
    <mergeCell ref="A2:L2"/>
    <mergeCell ref="A3:L3"/>
    <mergeCell ref="A4:L4"/>
    <mergeCell ref="A7:L7"/>
    <mergeCell ref="A8:A9"/>
    <mergeCell ref="B8:E8"/>
    <mergeCell ref="F8:G9"/>
    <mergeCell ref="H8:I9"/>
    <mergeCell ref="J8:K9"/>
    <mergeCell ref="B9:C9"/>
  </mergeCells>
  <printOptions/>
  <pageMargins left="0.75" right="0.75" top="1" bottom="1" header="0" footer="0"/>
  <pageSetup horizontalDpi="300" verticalDpi="300" orientation="landscape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7">
      <selection activeCell="N16" sqref="N16"/>
    </sheetView>
  </sheetViews>
  <sheetFormatPr defaultColWidth="11.57421875" defaultRowHeight="12.75"/>
  <cols>
    <col min="1" max="1" width="20.7109375" style="273" customWidth="1"/>
    <col min="2" max="2" width="13.57421875" style="273" customWidth="1"/>
    <col min="3" max="3" width="12.8515625" style="273" customWidth="1"/>
    <col min="4" max="8" width="4.8515625" style="273" customWidth="1"/>
    <col min="9" max="9" width="4.140625" style="273" customWidth="1"/>
    <col min="10" max="10" width="13.140625" style="273" customWidth="1"/>
    <col min="11" max="11" width="9.421875" style="273" customWidth="1"/>
    <col min="12" max="12" width="7.57421875" style="614" customWidth="1"/>
    <col min="13" max="16" width="4.421875" style="273" customWidth="1"/>
    <col min="17" max="17" width="4.8515625" style="273" customWidth="1"/>
    <col min="18" max="16384" width="11.57421875" style="273" customWidth="1"/>
  </cols>
  <sheetData>
    <row r="1" spans="1:16" ht="15.75">
      <c r="A1" s="863" t="s">
        <v>823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</row>
    <row r="2" spans="1:16" ht="15.75">
      <c r="A2" s="863" t="s">
        <v>675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</row>
    <row r="3" spans="1:16" ht="18">
      <c r="A3" s="904" t="s">
        <v>676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</row>
    <row r="4" spans="2:16" ht="12.75"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</row>
    <row r="5" spans="1:16" ht="20.25">
      <c r="A5" s="410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</row>
    <row r="6" spans="2:17" s="409" customFormat="1" ht="13.5" thickBot="1">
      <c r="B6" s="905" t="s">
        <v>677</v>
      </c>
      <c r="C6" s="905"/>
      <c r="D6" s="411"/>
      <c r="E6" s="906" t="s">
        <v>678</v>
      </c>
      <c r="F6" s="907"/>
      <c r="G6" s="907"/>
      <c r="H6" s="908"/>
      <c r="J6" s="905" t="s">
        <v>679</v>
      </c>
      <c r="K6" s="905"/>
      <c r="L6" s="411"/>
      <c r="M6" s="411"/>
      <c r="N6" s="906" t="s">
        <v>678</v>
      </c>
      <c r="O6" s="907"/>
      <c r="P6" s="907"/>
      <c r="Q6" s="908"/>
    </row>
    <row r="7" spans="1:17" s="409" customFormat="1" ht="26.25" customHeight="1" thickBot="1">
      <c r="A7" s="915" t="s">
        <v>680</v>
      </c>
      <c r="B7" s="917" t="s">
        <v>835</v>
      </c>
      <c r="C7" s="896" t="s">
        <v>681</v>
      </c>
      <c r="D7" s="899" t="s">
        <v>427</v>
      </c>
      <c r="E7" s="896" t="s">
        <v>827</v>
      </c>
      <c r="F7" s="896" t="s">
        <v>828</v>
      </c>
      <c r="G7" s="896" t="s">
        <v>674</v>
      </c>
      <c r="H7" s="896" t="s">
        <v>682</v>
      </c>
      <c r="I7" s="412"/>
      <c r="J7" s="896" t="s">
        <v>835</v>
      </c>
      <c r="K7" s="901" t="s">
        <v>681</v>
      </c>
      <c r="L7" s="901"/>
      <c r="M7" s="899" t="s">
        <v>427</v>
      </c>
      <c r="N7" s="896" t="s">
        <v>827</v>
      </c>
      <c r="O7" s="896" t="s">
        <v>828</v>
      </c>
      <c r="P7" s="896" t="s">
        <v>674</v>
      </c>
      <c r="Q7" s="896" t="s">
        <v>682</v>
      </c>
    </row>
    <row r="8" spans="1:17" s="409" customFormat="1" ht="34.5" thickBot="1">
      <c r="A8" s="916"/>
      <c r="B8" s="918"/>
      <c r="C8" s="897"/>
      <c r="D8" s="900"/>
      <c r="E8" s="897"/>
      <c r="F8" s="897"/>
      <c r="G8" s="897"/>
      <c r="H8" s="897"/>
      <c r="I8" s="412"/>
      <c r="J8" s="897"/>
      <c r="K8" s="413" t="s">
        <v>702</v>
      </c>
      <c r="L8" s="414" t="s">
        <v>703</v>
      </c>
      <c r="M8" s="900"/>
      <c r="N8" s="897"/>
      <c r="O8" s="897"/>
      <c r="P8" s="897"/>
      <c r="Q8" s="897"/>
    </row>
    <row r="9" s="409" customFormat="1" ht="12.75"/>
    <row r="10" spans="1:17" s="409" customFormat="1" ht="12.75">
      <c r="A10" s="415" t="s">
        <v>683</v>
      </c>
      <c r="B10" s="416">
        <v>0</v>
      </c>
      <c r="C10" s="416"/>
      <c r="D10" s="417">
        <f>(B10+C10)-(E10+F10+G10+H10)</f>
        <v>0</v>
      </c>
      <c r="E10" s="416"/>
      <c r="F10" s="416"/>
      <c r="G10" s="416"/>
      <c r="H10" s="416"/>
      <c r="I10" s="418"/>
      <c r="J10" s="416">
        <v>2</v>
      </c>
      <c r="K10" s="416"/>
      <c r="L10" s="416"/>
      <c r="M10" s="417">
        <f>(J10+K10+L10)-(N10+O10+P10+Q10)</f>
        <v>0</v>
      </c>
      <c r="N10" s="416">
        <v>2</v>
      </c>
      <c r="O10" s="416"/>
      <c r="P10" s="416"/>
      <c r="Q10" s="416"/>
    </row>
    <row r="11" spans="1:17" s="409" customFormat="1" ht="12.75">
      <c r="A11" s="415"/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</row>
    <row r="12" spans="1:17" s="409" customFormat="1" ht="12.75">
      <c r="A12" s="415" t="s">
        <v>684</v>
      </c>
      <c r="B12" s="416">
        <v>5</v>
      </c>
      <c r="C12" s="416"/>
      <c r="D12" s="417">
        <f>(B12+C12)-(E12+F12+G12+H12)</f>
        <v>0</v>
      </c>
      <c r="E12" s="416">
        <v>1</v>
      </c>
      <c r="F12" s="416">
        <v>3</v>
      </c>
      <c r="G12" s="416">
        <v>1</v>
      </c>
      <c r="H12" s="416"/>
      <c r="I12" s="418"/>
      <c r="J12" s="416">
        <v>12</v>
      </c>
      <c r="K12" s="416">
        <v>1</v>
      </c>
      <c r="L12" s="416"/>
      <c r="M12" s="417">
        <f>(J12+K12+L12)-(N12+O12+P12+Q12)</f>
        <v>0</v>
      </c>
      <c r="N12" s="416">
        <v>13</v>
      </c>
      <c r="O12" s="416"/>
      <c r="P12" s="416"/>
      <c r="Q12" s="416"/>
    </row>
    <row r="13" spans="1:17" s="409" customFormat="1" ht="12.75">
      <c r="A13" s="415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</row>
    <row r="14" spans="1:17" s="409" customFormat="1" ht="12.75">
      <c r="A14" s="415" t="s">
        <v>685</v>
      </c>
      <c r="B14" s="416">
        <v>0</v>
      </c>
      <c r="C14" s="416"/>
      <c r="D14" s="417">
        <f>(B14+C14)-(E14+F14+G14+H14)</f>
        <v>0</v>
      </c>
      <c r="E14" s="416"/>
      <c r="F14" s="416">
        <v>0</v>
      </c>
      <c r="G14" s="416"/>
      <c r="H14" s="416"/>
      <c r="I14" s="418"/>
      <c r="J14" s="416">
        <v>7</v>
      </c>
      <c r="K14" s="416"/>
      <c r="L14" s="416"/>
      <c r="M14" s="417">
        <f>(J14+K14+L14)-(N14+O14+P14+Q14)</f>
        <v>0</v>
      </c>
      <c r="N14" s="416">
        <v>7</v>
      </c>
      <c r="O14" s="416"/>
      <c r="P14" s="416"/>
      <c r="Q14" s="416"/>
    </row>
    <row r="15" spans="1:17" s="409" customFormat="1" ht="12.75">
      <c r="A15" s="415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</row>
    <row r="16" spans="1:17" s="409" customFormat="1" ht="12.75">
      <c r="A16" s="415" t="s">
        <v>686</v>
      </c>
      <c r="B16" s="416">
        <v>7</v>
      </c>
      <c r="C16" s="416">
        <v>1</v>
      </c>
      <c r="D16" s="417">
        <f>(B16+C16)-(E16+F16+G16+H16)</f>
        <v>0</v>
      </c>
      <c r="E16" s="416">
        <v>8</v>
      </c>
      <c r="F16" s="416"/>
      <c r="G16" s="416"/>
      <c r="H16" s="416"/>
      <c r="I16" s="418"/>
      <c r="J16" s="416">
        <v>3</v>
      </c>
      <c r="K16" s="416"/>
      <c r="L16" s="416"/>
      <c r="M16" s="417">
        <f>(J16+K16+L16)-(N16+O16+P16+Q16)</f>
        <v>0</v>
      </c>
      <c r="N16" s="416"/>
      <c r="O16" s="416">
        <v>3</v>
      </c>
      <c r="P16" s="416"/>
      <c r="Q16" s="416"/>
    </row>
    <row r="17" spans="1:17" s="409" customFormat="1" ht="12.75">
      <c r="A17" s="415"/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</row>
    <row r="18" spans="1:17" s="409" customFormat="1" ht="12.75">
      <c r="A18" s="415" t="s">
        <v>687</v>
      </c>
      <c r="B18" s="416">
        <v>20</v>
      </c>
      <c r="C18" s="416"/>
      <c r="D18" s="417">
        <f>(B18+C18)-(E18+F18+G18+H18)</f>
        <v>0</v>
      </c>
      <c r="E18" s="416"/>
      <c r="F18" s="416">
        <v>20</v>
      </c>
      <c r="G18" s="416"/>
      <c r="H18" s="416"/>
      <c r="I18" s="418"/>
      <c r="J18" s="416">
        <v>3</v>
      </c>
      <c r="K18" s="416"/>
      <c r="L18" s="416"/>
      <c r="M18" s="417">
        <f>(J18+K18+L18)-(N18+O18+P18+Q18)</f>
        <v>0</v>
      </c>
      <c r="N18" s="416">
        <v>3</v>
      </c>
      <c r="O18" s="416"/>
      <c r="P18" s="416"/>
      <c r="Q18" s="416"/>
    </row>
    <row r="19" s="409" customFormat="1" ht="13.5" thickBot="1">
      <c r="A19" s="389"/>
    </row>
    <row r="20" spans="1:17" s="409" customFormat="1" ht="15.75" thickBot="1">
      <c r="A20" s="419" t="s">
        <v>688</v>
      </c>
      <c r="B20" s="420">
        <f>SUM(B10:B19)</f>
        <v>32</v>
      </c>
      <c r="C20" s="421">
        <f>SUM(C10:C18)</f>
        <v>1</v>
      </c>
      <c r="D20" s="422">
        <f>(B20+C20)-(E20+F20+G20+H20)</f>
        <v>0</v>
      </c>
      <c r="E20" s="420">
        <f>SUM(E10:E18)</f>
        <v>9</v>
      </c>
      <c r="F20" s="421">
        <f>SUM(F10:F18)</f>
        <v>23</v>
      </c>
      <c r="G20" s="421">
        <f>SUM(G10:G18)</f>
        <v>1</v>
      </c>
      <c r="H20" s="421">
        <f>SUM(H10:H18)</f>
        <v>0</v>
      </c>
      <c r="I20" s="423"/>
      <c r="J20" s="420">
        <f>SUM(J10:J18)</f>
        <v>27</v>
      </c>
      <c r="K20" s="421">
        <f>SUM(K10:K18)</f>
        <v>1</v>
      </c>
      <c r="L20" s="421">
        <f>SUM(L10:L18)</f>
        <v>0</v>
      </c>
      <c r="M20" s="424">
        <f>(J20+K20+L20)-(N20+O20+P20+Q20)</f>
        <v>0</v>
      </c>
      <c r="N20" s="420">
        <f>SUM(N10:N18)</f>
        <v>25</v>
      </c>
      <c r="O20" s="421">
        <f>SUM(O10:O18)</f>
        <v>3</v>
      </c>
      <c r="P20" s="421">
        <f>SUM(P10:P18)</f>
        <v>0</v>
      </c>
      <c r="Q20" s="421">
        <f>SUM(Q10:Q18)</f>
        <v>0</v>
      </c>
    </row>
    <row r="21" spans="1:16" ht="12.75">
      <c r="A21" s="409"/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</row>
    <row r="22" spans="1:16" ht="13.5" thickBot="1">
      <c r="A22" s="409"/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</row>
    <row r="23" spans="1:16" ht="13.5" thickBot="1">
      <c r="A23" s="425" t="s">
        <v>689</v>
      </c>
      <c r="B23" s="426"/>
      <c r="C23" s="427"/>
      <c r="D23" s="428"/>
      <c r="E23" s="409"/>
      <c r="F23" s="425" t="s">
        <v>690</v>
      </c>
      <c r="G23" s="426"/>
      <c r="H23" s="429"/>
      <c r="I23" s="429"/>
      <c r="J23" s="429"/>
      <c r="K23" s="429"/>
      <c r="L23" s="429"/>
      <c r="M23" s="427"/>
      <c r="N23" s="409"/>
      <c r="O23" s="409"/>
      <c r="P23" s="409"/>
    </row>
    <row r="24" spans="1:16" ht="12.75">
      <c r="A24" s="409" t="s">
        <v>691</v>
      </c>
      <c r="B24" s="409"/>
      <c r="C24" s="409">
        <f>B20+J20</f>
        <v>59</v>
      </c>
      <c r="D24" s="409"/>
      <c r="E24" s="409"/>
      <c r="F24" s="409" t="s">
        <v>692</v>
      </c>
      <c r="G24" s="409"/>
      <c r="H24" s="409"/>
      <c r="I24" s="409"/>
      <c r="J24" s="409"/>
      <c r="K24" s="409"/>
      <c r="L24" s="409"/>
      <c r="M24" s="409">
        <f>E20+N20</f>
        <v>34</v>
      </c>
      <c r="N24" s="409"/>
      <c r="O24" s="409"/>
      <c r="P24" s="409"/>
    </row>
    <row r="25" spans="1:16" ht="12.75">
      <c r="A25" s="409" t="s">
        <v>693</v>
      </c>
      <c r="B25" s="409"/>
      <c r="C25" s="409">
        <f>C20+K20+L20</f>
        <v>2</v>
      </c>
      <c r="D25" s="409"/>
      <c r="E25" s="409"/>
      <c r="F25" s="409" t="s">
        <v>694</v>
      </c>
      <c r="G25" s="409"/>
      <c r="H25" s="409"/>
      <c r="I25" s="409"/>
      <c r="J25" s="409"/>
      <c r="K25" s="409"/>
      <c r="L25" s="409"/>
      <c r="M25" s="409">
        <f>F20+O20</f>
        <v>26</v>
      </c>
      <c r="N25" s="409"/>
      <c r="O25" s="409"/>
      <c r="P25" s="409"/>
    </row>
    <row r="26" spans="1:16" ht="12.75">
      <c r="A26" s="409" t="s">
        <v>695</v>
      </c>
      <c r="B26" s="409"/>
      <c r="C26" s="409">
        <f>B20+C20</f>
        <v>33</v>
      </c>
      <c r="D26" s="409"/>
      <c r="E26" s="409"/>
      <c r="F26" s="409" t="s">
        <v>696</v>
      </c>
      <c r="G26" s="409"/>
      <c r="H26" s="409"/>
      <c r="I26" s="409"/>
      <c r="J26" s="409"/>
      <c r="K26" s="409"/>
      <c r="L26" s="409"/>
      <c r="M26" s="409">
        <f>G20+P20</f>
        <v>1</v>
      </c>
      <c r="N26" s="409"/>
      <c r="O26" s="409"/>
      <c r="P26" s="409"/>
    </row>
    <row r="27" spans="1:16" ht="13.5" thickBot="1">
      <c r="A27" s="409" t="s">
        <v>697</v>
      </c>
      <c r="B27" s="409"/>
      <c r="C27" s="409">
        <f>J20+K20+L20</f>
        <v>28</v>
      </c>
      <c r="D27" s="409"/>
      <c r="E27" s="409"/>
      <c r="F27" s="409" t="s">
        <v>698</v>
      </c>
      <c r="G27" s="409"/>
      <c r="H27" s="409"/>
      <c r="I27" s="409"/>
      <c r="J27" s="409"/>
      <c r="K27" s="409"/>
      <c r="L27" s="409"/>
      <c r="M27" s="409">
        <f>H20+Q20</f>
        <v>0</v>
      </c>
      <c r="N27" s="409"/>
      <c r="O27" s="409"/>
      <c r="P27" s="409"/>
    </row>
    <row r="28" spans="1:16" ht="13.5" thickBot="1">
      <c r="A28" s="425" t="s">
        <v>699</v>
      </c>
      <c r="B28" s="426"/>
      <c r="C28" s="427">
        <f>B20+C20+J20+K20+L20</f>
        <v>61</v>
      </c>
      <c r="D28" s="428"/>
      <c r="E28" s="409"/>
      <c r="F28" s="425" t="s">
        <v>699</v>
      </c>
      <c r="G28" s="426"/>
      <c r="H28" s="429"/>
      <c r="I28" s="429"/>
      <c r="J28" s="429"/>
      <c r="K28" s="429"/>
      <c r="L28" s="429"/>
      <c r="M28" s="427">
        <f>SUM(M24:M27)</f>
        <v>61</v>
      </c>
      <c r="N28" s="409"/>
      <c r="O28" s="409"/>
      <c r="P28" s="409"/>
    </row>
    <row r="29" spans="1:16" ht="12.75">
      <c r="A29" s="428"/>
      <c r="B29" s="428"/>
      <c r="C29" s="428"/>
      <c r="D29" s="428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</row>
    <row r="30" spans="1:16" ht="12.75">
      <c r="A30" s="428"/>
      <c r="B30" s="428"/>
      <c r="C30" s="428"/>
      <c r="D30" s="428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</row>
    <row r="31" spans="1:16" ht="12.75">
      <c r="A31" s="428"/>
      <c r="B31" s="428"/>
      <c r="C31" s="428"/>
      <c r="D31" s="428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</row>
    <row r="32" spans="1:16" ht="12.75">
      <c r="A32" s="428"/>
      <c r="B32" s="428"/>
      <c r="C32" s="428"/>
      <c r="D32" s="428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</row>
    <row r="33" spans="1:16" ht="12.75">
      <c r="A33" s="428"/>
      <c r="B33" s="428"/>
      <c r="C33" s="428"/>
      <c r="D33" s="428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</row>
    <row r="34" spans="1:16" ht="12.75">
      <c r="A34" s="409"/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</row>
    <row r="35" spans="1:16" ht="12.75">
      <c r="A35" s="409"/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</row>
    <row r="36" spans="1:16" ht="12.75">
      <c r="A36" s="409"/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</row>
    <row r="37" spans="1:16" ht="12.75">
      <c r="A37" s="409"/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</row>
    <row r="38" spans="1:16" ht="12.75">
      <c r="A38" s="409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</row>
    <row r="39" spans="1:16" ht="12.75">
      <c r="A39" s="409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</row>
    <row r="40" spans="1:16" ht="12.75">
      <c r="A40" s="409"/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</row>
    <row r="41" spans="1:16" ht="12.75">
      <c r="A41" s="409"/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</row>
    <row r="42" spans="1:16" ht="12.75">
      <c r="A42" s="409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</row>
    <row r="43" spans="1:16" ht="12.75">
      <c r="A43" s="409"/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</row>
    <row r="44" spans="1:16" ht="12.75">
      <c r="A44" s="409"/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</row>
    <row r="45" spans="1:16" ht="12.75">
      <c r="A45" s="409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</row>
    <row r="46" spans="1:16" ht="12.75">
      <c r="A46" s="409"/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</row>
    <row r="47" spans="1:16" ht="12.75">
      <c r="A47" s="409"/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</row>
    <row r="48" spans="1:16" ht="12.75">
      <c r="A48" s="409"/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</row>
    <row r="49" spans="1:16" ht="12.75">
      <c r="A49" s="409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</row>
    <row r="50" spans="1:16" ht="12.75">
      <c r="A50" s="409"/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</row>
    <row r="51" spans="1:16" ht="12.75">
      <c r="A51" s="409"/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</row>
    <row r="52" spans="1:16" ht="12.75">
      <c r="A52" s="409"/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</row>
    <row r="53" spans="1:16" ht="12.75">
      <c r="A53" s="409"/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</row>
    <row r="54" spans="1:16" ht="12.75">
      <c r="A54" s="409"/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</row>
    <row r="55" spans="1:16" ht="12.75">
      <c r="A55" s="898" t="s">
        <v>700</v>
      </c>
      <c r="B55" s="898"/>
      <c r="C55" s="430"/>
      <c r="D55" s="430"/>
      <c r="E55" s="409"/>
      <c r="F55" s="409"/>
      <c r="G55" s="409"/>
      <c r="H55" s="409"/>
      <c r="I55" s="430"/>
      <c r="J55" s="430"/>
      <c r="K55" s="409"/>
      <c r="L55" s="409"/>
      <c r="M55" s="409"/>
      <c r="N55" s="409"/>
      <c r="O55" s="409"/>
      <c r="P55" s="409"/>
    </row>
    <row r="56" spans="1:16" ht="13.5" thickBot="1">
      <c r="A56" s="430"/>
      <c r="B56" s="430"/>
      <c r="C56" s="430"/>
      <c r="D56" s="430"/>
      <c r="E56" s="409"/>
      <c r="F56" s="409"/>
      <c r="G56" s="409"/>
      <c r="H56" s="409"/>
      <c r="I56" s="430"/>
      <c r="J56" s="430"/>
      <c r="K56" s="409"/>
      <c r="L56" s="409"/>
      <c r="M56" s="409"/>
      <c r="N56" s="409"/>
      <c r="O56" s="409"/>
      <c r="P56" s="409"/>
    </row>
    <row r="57" spans="1:16" ht="13.5" thickBot="1">
      <c r="A57" s="909"/>
      <c r="B57" s="910"/>
      <c r="C57" s="910"/>
      <c r="D57" s="910"/>
      <c r="E57" s="910"/>
      <c r="F57" s="910"/>
      <c r="G57" s="910"/>
      <c r="H57" s="910"/>
      <c r="I57" s="910"/>
      <c r="J57" s="911"/>
      <c r="K57" s="431"/>
      <c r="L57" s="431"/>
      <c r="M57" s="431"/>
      <c r="N57" s="431"/>
      <c r="O57" s="431"/>
      <c r="P57" s="409"/>
    </row>
    <row r="58" spans="1:16" ht="12.75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09"/>
    </row>
    <row r="59" spans="1:16" ht="13.5" thickBot="1">
      <c r="A59" s="431"/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09"/>
    </row>
    <row r="60" spans="1:16" ht="13.5" thickBot="1">
      <c r="A60" s="432" t="s">
        <v>701</v>
      </c>
      <c r="B60" s="431"/>
      <c r="C60" s="912" t="s">
        <v>704</v>
      </c>
      <c r="D60" s="913"/>
      <c r="E60" s="913"/>
      <c r="F60" s="913"/>
      <c r="G60" s="913"/>
      <c r="H60" s="913"/>
      <c r="I60" s="913"/>
      <c r="J60" s="914"/>
      <c r="K60" s="431"/>
      <c r="L60" s="431"/>
      <c r="M60" s="431"/>
      <c r="N60" s="431"/>
      <c r="O60" s="431"/>
      <c r="P60" s="409"/>
    </row>
    <row r="61" spans="1:16" ht="13.5" thickBot="1">
      <c r="A61" s="432"/>
      <c r="B61" s="432"/>
      <c r="C61" s="432"/>
      <c r="D61" s="432"/>
      <c r="E61" s="431"/>
      <c r="F61" s="431"/>
      <c r="G61" s="431"/>
      <c r="H61" s="431"/>
      <c r="I61" s="432"/>
      <c r="J61" s="431"/>
      <c r="K61" s="431"/>
      <c r="L61" s="431"/>
      <c r="M61" s="431"/>
      <c r="N61" s="431"/>
      <c r="O61" s="431"/>
      <c r="P61" s="409"/>
    </row>
    <row r="62" spans="1:16" ht="13.5" thickBot="1">
      <c r="A62" s="432" t="s">
        <v>54</v>
      </c>
      <c r="B62" s="902">
        <v>42241</v>
      </c>
      <c r="C62" s="903"/>
      <c r="D62" s="613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09"/>
    </row>
    <row r="63" spans="1:16" ht="12.75">
      <c r="A63" s="431"/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09"/>
    </row>
    <row r="64" spans="1:16" ht="12.75">
      <c r="A64" s="431"/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431"/>
      <c r="M64" s="431"/>
      <c r="N64" s="431"/>
      <c r="O64" s="431"/>
      <c r="P64" s="409"/>
    </row>
    <row r="65" spans="1:16" ht="12.75">
      <c r="A65" s="431"/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09"/>
    </row>
  </sheetData>
  <sheetProtection/>
  <mergeCells count="26">
    <mergeCell ref="A57:J57"/>
    <mergeCell ref="C60:J60"/>
    <mergeCell ref="O7:O8"/>
    <mergeCell ref="P7:P8"/>
    <mergeCell ref="A7:A8"/>
    <mergeCell ref="B7:B8"/>
    <mergeCell ref="C7:C8"/>
    <mergeCell ref="D7:D8"/>
    <mergeCell ref="E7:E8"/>
    <mergeCell ref="F7:F8"/>
    <mergeCell ref="B62:C62"/>
    <mergeCell ref="A1:P1"/>
    <mergeCell ref="A2:P2"/>
    <mergeCell ref="A3:P3"/>
    <mergeCell ref="B6:C6"/>
    <mergeCell ref="E6:H6"/>
    <mergeCell ref="J6:K6"/>
    <mergeCell ref="N6:Q6"/>
    <mergeCell ref="G7:G8"/>
    <mergeCell ref="H7:H8"/>
    <mergeCell ref="Q7:Q8"/>
    <mergeCell ref="A55:B55"/>
    <mergeCell ref="M7:M8"/>
    <mergeCell ref="N7:N8"/>
    <mergeCell ref="J7:J8"/>
    <mergeCell ref="K7:L7"/>
  </mergeCells>
  <printOptions horizontalCentered="1"/>
  <pageMargins left="0.1968503937007874" right="0.1968503937007874" top="0.5905511811023623" bottom="0.984251968503937" header="0" footer="0"/>
  <pageSetup horizontalDpi="300" verticalDpi="300" orientation="portrait" scale="75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174">
      <selection activeCell="C89" sqref="C89"/>
    </sheetView>
  </sheetViews>
  <sheetFormatPr defaultColWidth="11.421875" defaultRowHeight="12.75"/>
  <cols>
    <col min="1" max="1" width="5.7109375" style="0" customWidth="1"/>
    <col min="2" max="2" width="35.7109375" style="0" customWidth="1"/>
    <col min="3" max="5" width="25.7109375" style="0" customWidth="1"/>
    <col min="6" max="6" width="20.7109375" style="0" customWidth="1"/>
  </cols>
  <sheetData>
    <row r="1" spans="1:6" ht="15">
      <c r="A1" s="862" t="s">
        <v>1574</v>
      </c>
      <c r="B1" s="919"/>
      <c r="C1" s="919"/>
      <c r="D1" s="919"/>
      <c r="E1" s="919"/>
      <c r="F1" s="919"/>
    </row>
    <row r="2" spans="1:6" ht="15">
      <c r="A2" s="919" t="s">
        <v>521</v>
      </c>
      <c r="B2" s="919"/>
      <c r="C2" s="919"/>
      <c r="D2" s="919"/>
      <c r="E2" s="919"/>
      <c r="F2" s="919"/>
    </row>
    <row r="3" spans="1:6" ht="15">
      <c r="A3" s="919" t="s">
        <v>522</v>
      </c>
      <c r="B3" s="919"/>
      <c r="C3" s="919"/>
      <c r="D3" s="919"/>
      <c r="E3" s="919"/>
      <c r="F3" s="919"/>
    </row>
    <row r="4" ht="13.5" thickBot="1"/>
    <row r="5" spans="3:6" ht="12.75">
      <c r="C5" s="149" t="s">
        <v>516</v>
      </c>
      <c r="D5" s="149" t="s">
        <v>517</v>
      </c>
      <c r="E5" s="149" t="s">
        <v>519</v>
      </c>
      <c r="F5" s="149" t="s">
        <v>87</v>
      </c>
    </row>
    <row r="6" spans="3:6" ht="13.5" thickBot="1">
      <c r="C6" s="150" t="s">
        <v>1052</v>
      </c>
      <c r="D6" s="150" t="s">
        <v>518</v>
      </c>
      <c r="E6" s="150" t="s">
        <v>520</v>
      </c>
      <c r="F6" s="408"/>
    </row>
    <row r="7" spans="1:6" ht="13.5" thickBot="1">
      <c r="A7" s="437"/>
      <c r="B7" s="440" t="s">
        <v>511</v>
      </c>
      <c r="C7" s="441">
        <f>SUM(C9:C25)</f>
        <v>801758688.3918086</v>
      </c>
      <c r="D7" s="441">
        <f>SUM(D9:D25)</f>
        <v>692388157.4166907</v>
      </c>
      <c r="E7" s="441">
        <f>SUM(E9:E25)</f>
        <v>349581395.70925134</v>
      </c>
      <c r="F7" s="436">
        <f>SUM(F9:F25)</f>
        <v>1843728241.517751</v>
      </c>
    </row>
    <row r="8" spans="1:6" ht="12.75">
      <c r="A8" s="408"/>
      <c r="B8" s="437"/>
      <c r="C8" s="437"/>
      <c r="D8" s="437"/>
      <c r="E8" s="437"/>
      <c r="F8" s="437"/>
    </row>
    <row r="9" spans="1:6" ht="12.75">
      <c r="A9" s="150">
        <v>0</v>
      </c>
      <c r="B9" s="408" t="s">
        <v>833</v>
      </c>
      <c r="C9" s="438">
        <f>C47</f>
        <v>515055412.4066086</v>
      </c>
      <c r="D9" s="438">
        <f>D47</f>
        <v>240810405.51669067</v>
      </c>
      <c r="E9" s="438">
        <f>E47</f>
        <v>27839161.61925136</v>
      </c>
      <c r="F9" s="438">
        <f>C9+D9+E9</f>
        <v>783704979.5425507</v>
      </c>
    </row>
    <row r="10" spans="1:6" ht="12.75">
      <c r="A10" s="150"/>
      <c r="B10" s="408"/>
      <c r="C10" s="408"/>
      <c r="D10" s="408"/>
      <c r="E10" s="408"/>
      <c r="F10" s="408"/>
    </row>
    <row r="11" spans="1:6" ht="12.75">
      <c r="A11" s="150">
        <v>1</v>
      </c>
      <c r="B11" s="408" t="s">
        <v>867</v>
      </c>
      <c r="C11" s="438">
        <f>C67</f>
        <v>77029580.95</v>
      </c>
      <c r="D11" s="438">
        <f>D67</f>
        <v>316536897.51</v>
      </c>
      <c r="E11" s="438">
        <f>E67</f>
        <v>105487631.97</v>
      </c>
      <c r="F11" s="438">
        <f>C11+D11+E11</f>
        <v>499054110.42999995</v>
      </c>
    </row>
    <row r="12" spans="1:6" ht="12.75">
      <c r="A12" s="150"/>
      <c r="B12" s="408"/>
      <c r="C12" s="408"/>
      <c r="D12" s="408"/>
      <c r="E12" s="408"/>
      <c r="F12" s="408"/>
    </row>
    <row r="13" spans="1:6" ht="12.75">
      <c r="A13" s="150">
        <v>2</v>
      </c>
      <c r="B13" s="408" t="s">
        <v>889</v>
      </c>
      <c r="C13" s="438">
        <f>C119</f>
        <v>11340000</v>
      </c>
      <c r="D13" s="438">
        <f>D119</f>
        <v>60266273.99</v>
      </c>
      <c r="E13" s="438">
        <f>E119</f>
        <v>0</v>
      </c>
      <c r="F13" s="438">
        <f>C13+D13+E13</f>
        <v>71606273.99000001</v>
      </c>
    </row>
    <row r="14" spans="1:6" ht="12.75">
      <c r="A14" s="150"/>
      <c r="B14" s="408"/>
      <c r="C14" s="408"/>
      <c r="D14" s="408"/>
      <c r="E14" s="408"/>
      <c r="F14" s="408"/>
    </row>
    <row r="15" spans="1:6" ht="12.75">
      <c r="A15" s="150">
        <v>3</v>
      </c>
      <c r="B15" s="408" t="s">
        <v>911</v>
      </c>
      <c r="C15" s="438">
        <f>C147</f>
        <v>5817542.76</v>
      </c>
      <c r="D15" s="438">
        <f>D147</f>
        <v>1429952.38</v>
      </c>
      <c r="E15" s="438">
        <f>E147</f>
        <v>0</v>
      </c>
      <c r="F15" s="438">
        <f>C15+D15+E15</f>
        <v>7247495.14</v>
      </c>
    </row>
    <row r="16" spans="1:6" ht="12.75">
      <c r="A16" s="150"/>
      <c r="B16" s="408"/>
      <c r="C16" s="408"/>
      <c r="D16" s="408"/>
      <c r="E16" s="408"/>
      <c r="F16" s="408"/>
    </row>
    <row r="17" spans="1:6" ht="12.75">
      <c r="A17" s="150">
        <v>5</v>
      </c>
      <c r="B17" s="408" t="s">
        <v>914</v>
      </c>
      <c r="C17" s="438">
        <f>C151</f>
        <v>5000000</v>
      </c>
      <c r="D17" s="438">
        <f>D151</f>
        <v>47150000</v>
      </c>
      <c r="E17" s="438">
        <f>E151</f>
        <v>171911598.22</v>
      </c>
      <c r="F17" s="438">
        <f>C17+D17+E17</f>
        <v>224061598.22</v>
      </c>
    </row>
    <row r="18" spans="1:6" ht="12.75">
      <c r="A18" s="150"/>
      <c r="B18" s="408"/>
      <c r="C18" s="408"/>
      <c r="D18" s="408"/>
      <c r="E18" s="408"/>
      <c r="F18" s="408"/>
    </row>
    <row r="19" spans="1:6" ht="12.75">
      <c r="A19" s="150">
        <v>6</v>
      </c>
      <c r="B19" s="408" t="s">
        <v>812</v>
      </c>
      <c r="C19" s="438">
        <f>C168</f>
        <v>168611692.3552</v>
      </c>
      <c r="D19" s="438">
        <f>D168</f>
        <v>18750000</v>
      </c>
      <c r="E19" s="438">
        <f>E168</f>
        <v>0</v>
      </c>
      <c r="F19" s="438">
        <f>C19+D19+E19</f>
        <v>187361692.3552</v>
      </c>
    </row>
    <row r="20" spans="1:6" ht="12.75">
      <c r="A20" s="150"/>
      <c r="B20" s="408"/>
      <c r="C20" s="408"/>
      <c r="D20" s="408"/>
      <c r="E20" s="408"/>
      <c r="F20" s="408"/>
    </row>
    <row r="21" spans="1:6" ht="12.75">
      <c r="A21" s="150">
        <v>7</v>
      </c>
      <c r="B21" s="408" t="s">
        <v>819</v>
      </c>
      <c r="C21" s="438">
        <f>C180</f>
        <v>0</v>
      </c>
      <c r="D21" s="438">
        <f>D180</f>
        <v>0</v>
      </c>
      <c r="E21" s="438">
        <f>E180</f>
        <v>27000000</v>
      </c>
      <c r="F21" s="438">
        <f>C21+D21+E21</f>
        <v>27000000</v>
      </c>
    </row>
    <row r="22" spans="1:6" ht="12.75">
      <c r="A22" s="150"/>
      <c r="B22" s="408"/>
      <c r="C22" s="408"/>
      <c r="D22" s="408"/>
      <c r="E22" s="408"/>
      <c r="F22" s="408"/>
    </row>
    <row r="23" spans="1:6" ht="12.75">
      <c r="A23" s="150">
        <v>8</v>
      </c>
      <c r="B23" s="408" t="s">
        <v>1031</v>
      </c>
      <c r="C23" s="438">
        <f>C187</f>
        <v>18904459.92</v>
      </c>
      <c r="D23" s="438">
        <f>D187</f>
        <v>7444628.02</v>
      </c>
      <c r="E23" s="438">
        <f>E187</f>
        <v>0</v>
      </c>
      <c r="F23" s="438">
        <f>C23+D23+E23</f>
        <v>26349087.94</v>
      </c>
    </row>
    <row r="24" spans="1:6" ht="12.75">
      <c r="A24" s="150"/>
      <c r="B24" s="408"/>
      <c r="C24" s="408"/>
      <c r="D24" s="408"/>
      <c r="E24" s="408"/>
      <c r="F24" s="408"/>
    </row>
    <row r="25" spans="1:6" ht="13.5" thickBot="1">
      <c r="A25" s="433">
        <v>9</v>
      </c>
      <c r="B25" s="434" t="s">
        <v>168</v>
      </c>
      <c r="C25" s="439">
        <f>C191</f>
        <v>0</v>
      </c>
      <c r="D25" s="439">
        <f>D191</f>
        <v>0</v>
      </c>
      <c r="E25" s="439">
        <f>E191</f>
        <v>17343003.9</v>
      </c>
      <c r="F25" s="439">
        <f>C25+D25+E25</f>
        <v>17343003.9</v>
      </c>
    </row>
    <row r="39" spans="1:6" ht="15.75">
      <c r="A39" s="851" t="s">
        <v>1574</v>
      </c>
      <c r="B39" s="851"/>
      <c r="C39" s="851"/>
      <c r="D39" s="851"/>
      <c r="E39" s="851"/>
      <c r="F39" s="851"/>
    </row>
    <row r="40" spans="1:6" ht="15.75">
      <c r="A40" s="851" t="s">
        <v>671</v>
      </c>
      <c r="B40" s="851"/>
      <c r="C40" s="851"/>
      <c r="D40" s="851"/>
      <c r="E40" s="851"/>
      <c r="F40" s="851"/>
    </row>
    <row r="41" spans="1:6" ht="15.75">
      <c r="A41" s="851" t="s">
        <v>522</v>
      </c>
      <c r="B41" s="851"/>
      <c r="C41" s="851"/>
      <c r="D41" s="851"/>
      <c r="E41" s="851"/>
      <c r="F41" s="851"/>
    </row>
    <row r="42" ht="13.5" thickBot="1"/>
    <row r="43" spans="3:6" ht="12.75">
      <c r="C43" s="472" t="s">
        <v>516</v>
      </c>
      <c r="D43" s="472" t="s">
        <v>524</v>
      </c>
      <c r="E43" s="472" t="s">
        <v>519</v>
      </c>
      <c r="F43" s="472" t="s">
        <v>87</v>
      </c>
    </row>
    <row r="44" spans="3:6" ht="13.5" thickBot="1">
      <c r="C44" s="473" t="s">
        <v>1052</v>
      </c>
      <c r="D44" s="473" t="s">
        <v>518</v>
      </c>
      <c r="E44" s="473" t="s">
        <v>520</v>
      </c>
      <c r="F44" s="408"/>
    </row>
    <row r="45" spans="2:6" ht="13.5" thickBot="1">
      <c r="B45" s="462" t="s">
        <v>523</v>
      </c>
      <c r="C45" s="465">
        <f>C47+C67+C119+C147+C151+C168+C180+C187+C191</f>
        <v>801758688.3918086</v>
      </c>
      <c r="D45" s="465">
        <f>D47+D67+D119+D147+D151+D168+D180+D187+D191</f>
        <v>692388157.4166907</v>
      </c>
      <c r="E45" s="465">
        <f>E47+E67+E119+E147+E151+E168+E180+E187+E191</f>
        <v>349581395.70925134</v>
      </c>
      <c r="F45" s="442">
        <f>F47+F67+F119+F147+F151+F168+F180+F187+F191</f>
        <v>1843728241.517751</v>
      </c>
    </row>
    <row r="46" spans="1:6" ht="12.75">
      <c r="A46" s="443"/>
      <c r="B46" s="109"/>
      <c r="C46" s="466"/>
      <c r="D46" s="466"/>
      <c r="E46" s="466"/>
      <c r="F46" s="444"/>
    </row>
    <row r="47" spans="1:6" ht="13.5" thickBot="1">
      <c r="A47" s="445">
        <v>0</v>
      </c>
      <c r="B47" s="463" t="s">
        <v>833</v>
      </c>
      <c r="C47" s="467">
        <f>C48+C52+C55+C60+C63</f>
        <v>515055412.4066086</v>
      </c>
      <c r="D47" s="467">
        <f>D48+D52+D55+D60+D63</f>
        <v>240810405.51669067</v>
      </c>
      <c r="E47" s="467">
        <f>E48+E52+E55+E60+E63</f>
        <v>27839161.61925136</v>
      </c>
      <c r="F47" s="446">
        <f>F48+F52+F55+F60+F63</f>
        <v>783704979.5425506</v>
      </c>
    </row>
    <row r="48" spans="1:6" ht="14.25" thickBot="1" thickTop="1">
      <c r="A48" s="447">
        <v>0.01</v>
      </c>
      <c r="B48" s="122" t="s">
        <v>834</v>
      </c>
      <c r="C48" s="468">
        <f>C49+C50+C51</f>
        <v>241644251.57473987</v>
      </c>
      <c r="D48" s="468">
        <f>D49+D50+D51</f>
        <v>121658516.487032</v>
      </c>
      <c r="E48" s="468">
        <f>E49+E51</f>
        <v>14707072.238783402</v>
      </c>
      <c r="F48" s="448">
        <f>F49+F50+F51</f>
        <v>378009840.3005553</v>
      </c>
    </row>
    <row r="49" spans="1:6" ht="12.75">
      <c r="A49" s="449" t="s">
        <v>525</v>
      </c>
      <c r="B49" s="79" t="s">
        <v>526</v>
      </c>
      <c r="C49" s="469">
        <f>+'PROGRAMA 1'!C7</f>
        <v>230617071.57473987</v>
      </c>
      <c r="D49" s="469">
        <f>+'PROGRAMA 2'!C7</f>
        <v>113958516.487032</v>
      </c>
      <c r="E49" s="469">
        <f>+'PROGRAMA 3'!C6</f>
        <v>14707072.238783402</v>
      </c>
      <c r="F49" s="450">
        <f>C49+D49+E49</f>
        <v>359282660.3005553</v>
      </c>
    </row>
    <row r="50" spans="1:6" ht="12.75">
      <c r="A50" s="449" t="s">
        <v>1061</v>
      </c>
      <c r="B50" s="79" t="s">
        <v>681</v>
      </c>
      <c r="C50" s="469">
        <f>+'PROGRAMA 1'!C8</f>
        <v>6027180</v>
      </c>
      <c r="D50" s="469">
        <v>0</v>
      </c>
      <c r="E50" s="469">
        <v>0</v>
      </c>
      <c r="F50" s="450">
        <f>C50+D50+E50</f>
        <v>6027180</v>
      </c>
    </row>
    <row r="51" spans="1:6" ht="12.75">
      <c r="A51" s="449" t="s">
        <v>527</v>
      </c>
      <c r="B51" s="79" t="s">
        <v>836</v>
      </c>
      <c r="C51" s="469">
        <f>+'PROGRAMA 1'!C9</f>
        <v>5000000</v>
      </c>
      <c r="D51" s="469">
        <f>+'PROGRAMA 2'!C8</f>
        <v>7700000</v>
      </c>
      <c r="E51" s="469">
        <v>0</v>
      </c>
      <c r="F51" s="450">
        <f>C51+D51+E51</f>
        <v>12700000</v>
      </c>
    </row>
    <row r="52" spans="1:6" ht="13.5" thickBot="1">
      <c r="A52" s="447">
        <v>0.02</v>
      </c>
      <c r="B52" s="122" t="s">
        <v>837</v>
      </c>
      <c r="C52" s="468">
        <f>C53+C54</f>
        <v>24702191.76241387</v>
      </c>
      <c r="D52" s="468">
        <f>D53+D54</f>
        <v>4250000</v>
      </c>
      <c r="E52" s="468">
        <f>E53+E54</f>
        <v>500000</v>
      </c>
      <c r="F52" s="448">
        <f>F53+F54</f>
        <v>29452191.76241387</v>
      </c>
    </row>
    <row r="53" spans="1:6" ht="12.75">
      <c r="A53" s="451" t="s">
        <v>528</v>
      </c>
      <c r="B53" s="79" t="s">
        <v>529</v>
      </c>
      <c r="C53" s="469">
        <f>+'PROGRAMA 1'!C12</f>
        <v>2500000</v>
      </c>
      <c r="D53" s="469">
        <f>+'PROGRAMA 2'!C11</f>
        <v>4250000</v>
      </c>
      <c r="E53" s="469">
        <f>+'PROGRAMA 3'!C9</f>
        <v>500000</v>
      </c>
      <c r="F53" s="450">
        <f>C53+D53+E53</f>
        <v>7250000</v>
      </c>
    </row>
    <row r="54" spans="1:6" ht="12.75">
      <c r="A54" s="451" t="s">
        <v>530</v>
      </c>
      <c r="B54" s="79" t="s">
        <v>846</v>
      </c>
      <c r="C54" s="469">
        <f>+'PROGRAMA 1'!C13</f>
        <v>22202191.76241387</v>
      </c>
      <c r="D54" s="469">
        <v>0</v>
      </c>
      <c r="E54" s="469">
        <v>0</v>
      </c>
      <c r="F54" s="450">
        <f>C54+D54+E54</f>
        <v>22202191.76241387</v>
      </c>
    </row>
    <row r="55" spans="1:6" ht="13.5" thickBot="1">
      <c r="A55" s="447">
        <v>0.03</v>
      </c>
      <c r="B55" s="122" t="s">
        <v>848</v>
      </c>
      <c r="C55" s="468">
        <f>SUM(C56:C59)</f>
        <v>173893352.50023702</v>
      </c>
      <c r="D55" s="468">
        <f>SUM(D56:D59)</f>
        <v>78384689.33821885</v>
      </c>
      <c r="E55" s="468">
        <f>SUM(E56:E59)</f>
        <v>8405759.638954384</v>
      </c>
      <c r="F55" s="448">
        <f>SUM(F56:F59)</f>
        <v>260683801.47741026</v>
      </c>
    </row>
    <row r="56" spans="1:6" ht="12.75">
      <c r="A56" s="451" t="s">
        <v>531</v>
      </c>
      <c r="B56" s="79" t="s">
        <v>532</v>
      </c>
      <c r="C56" s="469">
        <f>+'PROGRAMA 1'!C16</f>
        <v>59813436.10862541</v>
      </c>
      <c r="D56" s="469">
        <f>+'PROGRAMA 2'!C14</f>
        <v>46967839.81951371</v>
      </c>
      <c r="E56" s="469">
        <f>+'PROGRAMA 3'!C12</f>
        <v>1363932.686004336</v>
      </c>
      <c r="F56" s="450">
        <f>C56+D56+E56</f>
        <v>108145208.61414346</v>
      </c>
    </row>
    <row r="57" spans="1:6" ht="12.75">
      <c r="A57" s="451" t="s">
        <v>533</v>
      </c>
      <c r="B57" s="79" t="s">
        <v>534</v>
      </c>
      <c r="C57" s="469">
        <f>+'PROGRAMA 1'!C17</f>
        <v>67964855.4190818</v>
      </c>
      <c r="D57" s="469">
        <f>+'PROGRAMA 2'!C15</f>
        <v>8966671.05837195</v>
      </c>
      <c r="E57" s="469">
        <f>+'PROGRAMA 3'!C13</f>
        <v>4413826.55704221</v>
      </c>
      <c r="F57" s="450">
        <f>C57+D57+E57</f>
        <v>81345353.03449596</v>
      </c>
    </row>
    <row r="58" spans="1:6" ht="12.75">
      <c r="A58" s="451" t="s">
        <v>535</v>
      </c>
      <c r="B58" s="79" t="s">
        <v>536</v>
      </c>
      <c r="C58" s="469">
        <f>+'PROGRAMA 1'!C18</f>
        <v>30993545.25853726</v>
      </c>
      <c r="D58" s="469">
        <f>+'PROGRAMA 2'!C16</f>
        <v>15153585.61374314</v>
      </c>
      <c r="E58" s="469">
        <f>+'PROGRAMA 3'!C14</f>
        <v>1748735.9568191625</v>
      </c>
      <c r="F58" s="450">
        <f>C58+D58+E58</f>
        <v>47895866.82909956</v>
      </c>
    </row>
    <row r="59" spans="1:6" ht="12.75">
      <c r="A59" s="451" t="s">
        <v>1561</v>
      </c>
      <c r="B59" s="79" t="s">
        <v>1550</v>
      </c>
      <c r="C59" s="469">
        <f>+'PROGRAMA 1'!C19</f>
        <v>15121515.713992538</v>
      </c>
      <c r="D59" s="469">
        <f>+'PROGRAMA 2'!C17</f>
        <v>7296592.8465900505</v>
      </c>
      <c r="E59" s="469">
        <f>+'PROGRAMA 3'!C15</f>
        <v>879264.439088675</v>
      </c>
      <c r="F59" s="450">
        <f>C59+D59+E59</f>
        <v>23297372.999671265</v>
      </c>
    </row>
    <row r="60" spans="1:6" ht="13.5" thickBot="1">
      <c r="A60" s="447">
        <v>0.04</v>
      </c>
      <c r="B60" s="122" t="s">
        <v>537</v>
      </c>
      <c r="C60" s="468">
        <f>C61+C62</f>
        <v>57398633.922478005</v>
      </c>
      <c r="D60" s="468">
        <f>D61+D62</f>
        <v>28016040.94278594</v>
      </c>
      <c r="E60" s="468">
        <f>SUM(E61:E62)</f>
        <v>3242445.4250722323</v>
      </c>
      <c r="F60" s="448">
        <f>F61+F62</f>
        <v>88657120.29033618</v>
      </c>
    </row>
    <row r="61" spans="1:6" ht="12.75">
      <c r="A61" s="451" t="s">
        <v>538</v>
      </c>
      <c r="B61" s="79" t="s">
        <v>539</v>
      </c>
      <c r="C61" s="469">
        <f>+'PROGRAMA 1'!C23</f>
        <v>55463413.6283958</v>
      </c>
      <c r="D61" s="469">
        <f>+'PROGRAMA 2'!C21</f>
        <v>27071467.748491067</v>
      </c>
      <c r="E61" s="469">
        <f>+'PROGRAMA 3'!C19</f>
        <v>3133124.9454676392</v>
      </c>
      <c r="F61" s="450">
        <f>C61+D61+E61</f>
        <v>85668006.32235451</v>
      </c>
    </row>
    <row r="62" spans="1:6" ht="12.75">
      <c r="A62" s="451" t="s">
        <v>540</v>
      </c>
      <c r="B62" s="79" t="s">
        <v>541</v>
      </c>
      <c r="C62" s="469">
        <f>+'PROGRAMA 1'!C24</f>
        <v>1935220.2940821983</v>
      </c>
      <c r="D62" s="469">
        <f>+'PROGRAMA 2'!C22</f>
        <v>944573.194294873</v>
      </c>
      <c r="E62" s="469">
        <f>+'PROGRAMA 3'!C20</f>
        <v>109320.47960459313</v>
      </c>
      <c r="F62" s="450">
        <f>C62+D62+E62</f>
        <v>2989113.9679816645</v>
      </c>
    </row>
    <row r="63" spans="1:6" ht="13.5" thickBot="1">
      <c r="A63" s="447">
        <v>0.05</v>
      </c>
      <c r="B63" s="122" t="s">
        <v>542</v>
      </c>
      <c r="C63" s="468">
        <f>C64+C65</f>
        <v>17416982.646739785</v>
      </c>
      <c r="D63" s="468">
        <f>D64+D65</f>
        <v>8501158.748653857</v>
      </c>
      <c r="E63" s="468">
        <f>SUM(E64:E65)</f>
        <v>983884.3164413382</v>
      </c>
      <c r="F63" s="448">
        <f>F64+F65</f>
        <v>26902025.711834982</v>
      </c>
    </row>
    <row r="64" spans="1:6" ht="12.75">
      <c r="A64" s="451" t="s">
        <v>543</v>
      </c>
      <c r="B64" s="79" t="s">
        <v>544</v>
      </c>
      <c r="C64" s="469">
        <f>+'PROGRAMA 1'!C28</f>
        <v>5805660.882246595</v>
      </c>
      <c r="D64" s="469">
        <f>+'PROGRAMA 2'!C26</f>
        <v>2833719.582884619</v>
      </c>
      <c r="E64" s="469">
        <f>+'PROGRAMA 3'!C24</f>
        <v>327961.4388137794</v>
      </c>
      <c r="F64" s="450">
        <f>C64+D64+E64</f>
        <v>8967341.903944993</v>
      </c>
    </row>
    <row r="65" spans="1:6" ht="12.75">
      <c r="A65" s="451" t="s">
        <v>545</v>
      </c>
      <c r="B65" s="79" t="s">
        <v>546</v>
      </c>
      <c r="C65" s="469">
        <f>+'PROGRAMA 1'!C29</f>
        <v>11611321.76449319</v>
      </c>
      <c r="D65" s="469">
        <f>+'PROGRAMA 2'!C27</f>
        <v>5667439.165769238</v>
      </c>
      <c r="E65" s="469">
        <f>+'PROGRAMA 3'!C25</f>
        <v>655922.8776275588</v>
      </c>
      <c r="F65" s="450">
        <f>C65+D65+E65</f>
        <v>17934683.807889987</v>
      </c>
    </row>
    <row r="66" spans="1:6" ht="12.75">
      <c r="A66" s="451"/>
      <c r="B66" s="79"/>
      <c r="C66" s="469"/>
      <c r="D66" s="469"/>
      <c r="E66" s="469"/>
      <c r="F66" s="450"/>
    </row>
    <row r="67" spans="1:6" ht="13.5" thickBot="1">
      <c r="A67" s="445">
        <v>1</v>
      </c>
      <c r="B67" s="463" t="s">
        <v>867</v>
      </c>
      <c r="C67" s="467">
        <f>C68+C72+C79+C85+C93+C98+C100+C104+C114+C116</f>
        <v>77029580.95</v>
      </c>
      <c r="D67" s="467">
        <f>D68+D72+D79+D85+D93+D98+D100+D104+D114+D116</f>
        <v>316536897.51</v>
      </c>
      <c r="E67" s="467">
        <f>E68+E72+E79+E85+E93+E98+E100+E104+E114+E116</f>
        <v>105487631.97</v>
      </c>
      <c r="F67" s="446">
        <f>F68+F72+F79+F85+F93+F98+F100+F104+F114+F116</f>
        <v>499054110.43</v>
      </c>
    </row>
    <row r="68" spans="1:6" ht="14.25" thickBot="1" thickTop="1">
      <c r="A68" s="452">
        <v>1.01</v>
      </c>
      <c r="B68" s="464" t="s">
        <v>982</v>
      </c>
      <c r="C68" s="470">
        <f>SUM(C69:C71)</f>
        <v>22200000</v>
      </c>
      <c r="D68" s="470">
        <f>SUM(D69:D71)</f>
        <v>13150000</v>
      </c>
      <c r="E68" s="470">
        <f>SUM(E69:E71)</f>
        <v>0</v>
      </c>
      <c r="F68" s="453">
        <f>SUM(F69:F71)</f>
        <v>35350000</v>
      </c>
    </row>
    <row r="69" spans="1:6" ht="12.75">
      <c r="A69" s="451" t="s">
        <v>547</v>
      </c>
      <c r="B69" s="79" t="s">
        <v>548</v>
      </c>
      <c r="C69" s="469">
        <f>+'PROGRAMA 1'!C33</f>
        <v>14700000</v>
      </c>
      <c r="D69" s="469">
        <f>+'PROGRAMA 2'!C31</f>
        <v>12000000</v>
      </c>
      <c r="E69" s="469">
        <v>0</v>
      </c>
      <c r="F69" s="450">
        <f>C69+D69+E69</f>
        <v>26700000</v>
      </c>
    </row>
    <row r="70" spans="1:6" ht="12.75">
      <c r="A70" s="451" t="s">
        <v>1415</v>
      </c>
      <c r="B70" s="79" t="s">
        <v>1416</v>
      </c>
      <c r="C70" s="469">
        <v>0</v>
      </c>
      <c r="D70" s="469">
        <f>+'PROGRAMA 2'!C32</f>
        <v>1150000</v>
      </c>
      <c r="E70" s="469">
        <v>0</v>
      </c>
      <c r="F70" s="450">
        <f>C70+D70+E70</f>
        <v>1150000</v>
      </c>
    </row>
    <row r="71" spans="1:6" ht="12.75">
      <c r="A71" s="451" t="s">
        <v>1370</v>
      </c>
      <c r="B71" s="79" t="s">
        <v>1281</v>
      </c>
      <c r="C71" s="469">
        <f>+'PROGRAMA 1'!C34</f>
        <v>7500000</v>
      </c>
      <c r="D71" s="469">
        <v>0</v>
      </c>
      <c r="E71" s="469">
        <v>0</v>
      </c>
      <c r="F71" s="450">
        <f>C71+D71+E71</f>
        <v>7500000</v>
      </c>
    </row>
    <row r="72" spans="1:6" ht="13.5" thickBot="1">
      <c r="A72" s="447">
        <v>1.02</v>
      </c>
      <c r="B72" s="122" t="s">
        <v>869</v>
      </c>
      <c r="C72" s="468">
        <f>SUM(C74:C77)</f>
        <v>9015000</v>
      </c>
      <c r="D72" s="468">
        <f>SUM(D73:D77)</f>
        <v>60691838.43</v>
      </c>
      <c r="E72" s="468">
        <f>SUM(E74:E77)</f>
        <v>0</v>
      </c>
      <c r="F72" s="448">
        <f>SUM(F73:F77)</f>
        <v>69706838.43</v>
      </c>
    </row>
    <row r="73" spans="1:6" ht="12.75">
      <c r="A73" s="451" t="s">
        <v>1671</v>
      </c>
      <c r="B73" s="503" t="s">
        <v>1565</v>
      </c>
      <c r="C73" s="504">
        <v>0</v>
      </c>
      <c r="D73" s="504">
        <f>+'PROGRAMA 2'!C35</f>
        <v>600000</v>
      </c>
      <c r="E73" s="504">
        <v>0</v>
      </c>
      <c r="F73" s="450">
        <f>C73+D73+E73</f>
        <v>600000</v>
      </c>
    </row>
    <row r="74" spans="1:6" ht="12.75">
      <c r="A74" s="451" t="s">
        <v>549</v>
      </c>
      <c r="B74" s="79" t="s">
        <v>550</v>
      </c>
      <c r="C74" s="469">
        <f>+'PROGRAMA 1'!C37</f>
        <v>6000000</v>
      </c>
      <c r="D74" s="469">
        <f>+'PROGRAMA 2'!C36</f>
        <v>60041838.43</v>
      </c>
      <c r="E74" s="469">
        <v>0</v>
      </c>
      <c r="F74" s="450">
        <f>C74+D74+E74</f>
        <v>66041838.43</v>
      </c>
    </row>
    <row r="75" spans="1:6" ht="12.75">
      <c r="A75" s="451" t="s">
        <v>1372</v>
      </c>
      <c r="B75" s="79" t="s">
        <v>1284</v>
      </c>
      <c r="C75" s="469">
        <f>+'PROGRAMA 1'!C38</f>
        <v>15000</v>
      </c>
      <c r="D75" s="469">
        <v>0</v>
      </c>
      <c r="E75" s="469">
        <v>0</v>
      </c>
      <c r="F75" s="450">
        <f>C75+D75+E75</f>
        <v>15000</v>
      </c>
    </row>
    <row r="76" spans="1:6" ht="12.75">
      <c r="A76" s="451" t="s">
        <v>551</v>
      </c>
      <c r="B76" s="79" t="s">
        <v>552</v>
      </c>
      <c r="C76" s="469">
        <f>+'PROGRAMA 1'!C39</f>
        <v>3000000</v>
      </c>
      <c r="D76" s="469">
        <v>0</v>
      </c>
      <c r="E76" s="469">
        <v>0</v>
      </c>
      <c r="F76" s="450">
        <f>C76+D76+E76</f>
        <v>3000000</v>
      </c>
    </row>
    <row r="77" spans="1:6" ht="13.5" thickBot="1">
      <c r="A77" s="454" t="s">
        <v>553</v>
      </c>
      <c r="B77" s="120" t="s">
        <v>554</v>
      </c>
      <c r="C77" s="471">
        <v>0</v>
      </c>
      <c r="D77" s="471">
        <f>+'PROGRAMA 2'!C37</f>
        <v>50000</v>
      </c>
      <c r="E77" s="471">
        <v>0</v>
      </c>
      <c r="F77" s="455">
        <f>C77+D77+E77</f>
        <v>50000</v>
      </c>
    </row>
    <row r="78" spans="1:6" ht="13.5" thickBot="1">
      <c r="A78" s="508"/>
      <c r="B78" s="19"/>
      <c r="C78" s="509"/>
      <c r="D78" s="509"/>
      <c r="E78" s="509"/>
      <c r="F78" s="509"/>
    </row>
    <row r="79" spans="1:6" ht="13.5" thickBot="1">
      <c r="A79" s="456">
        <v>1.03</v>
      </c>
      <c r="B79" s="9" t="s">
        <v>555</v>
      </c>
      <c r="C79" s="474">
        <f>SUM(C80:C84)</f>
        <v>20300000</v>
      </c>
      <c r="D79" s="474">
        <f>SUM(D80:D84)</f>
        <v>60000</v>
      </c>
      <c r="E79" s="474">
        <f>SUM(E80:E84)</f>
        <v>0</v>
      </c>
      <c r="F79" s="457">
        <f>SUM(F80:F84)</f>
        <v>20360000</v>
      </c>
    </row>
    <row r="80" spans="1:6" ht="12.75">
      <c r="A80" s="502" t="s">
        <v>652</v>
      </c>
      <c r="B80" s="503" t="s">
        <v>500</v>
      </c>
      <c r="C80" s="504">
        <f>+'PROGRAMA 1'!C42</f>
        <v>2500000</v>
      </c>
      <c r="D80" s="504">
        <f>+'PROGRAMA 2'!C40</f>
        <v>10000</v>
      </c>
      <c r="E80" s="504">
        <v>0</v>
      </c>
      <c r="F80" s="450">
        <f>C80+D80+E80</f>
        <v>2510000</v>
      </c>
    </row>
    <row r="81" spans="1:6" ht="12.75">
      <c r="A81" s="451" t="s">
        <v>556</v>
      </c>
      <c r="B81" s="79" t="s">
        <v>557</v>
      </c>
      <c r="C81" s="469">
        <f>+'PROGRAMA 1'!C43</f>
        <v>1000000</v>
      </c>
      <c r="D81" s="469">
        <f>+'PROGRAMA 2'!C41</f>
        <v>50000</v>
      </c>
      <c r="E81" s="469">
        <v>0</v>
      </c>
      <c r="F81" s="450">
        <f>C81+D81+E81</f>
        <v>1050000</v>
      </c>
    </row>
    <row r="82" spans="1:6" ht="12.75">
      <c r="A82" s="451" t="s">
        <v>558</v>
      </c>
      <c r="B82" s="79" t="s">
        <v>559</v>
      </c>
      <c r="C82" s="469">
        <f>+'PROGRAMA 1'!C44</f>
        <v>500000</v>
      </c>
      <c r="D82" s="469">
        <v>0</v>
      </c>
      <c r="E82" s="469">
        <v>0</v>
      </c>
      <c r="F82" s="450">
        <f>C82+D82+E82</f>
        <v>500000</v>
      </c>
    </row>
    <row r="83" spans="1:6" ht="12.75">
      <c r="A83" s="451" t="s">
        <v>653</v>
      </c>
      <c r="B83" s="79" t="s">
        <v>654</v>
      </c>
      <c r="C83" s="469">
        <v>0</v>
      </c>
      <c r="D83" s="469">
        <v>0</v>
      </c>
      <c r="E83" s="469">
        <v>0</v>
      </c>
      <c r="F83" s="450">
        <f>C83+D83+E83</f>
        <v>0</v>
      </c>
    </row>
    <row r="84" spans="1:6" ht="13.5" thickBot="1">
      <c r="A84" s="451" t="s">
        <v>560</v>
      </c>
      <c r="B84" s="79" t="s">
        <v>561</v>
      </c>
      <c r="C84" s="469">
        <f>+'PROGRAMA 1'!C45</f>
        <v>16300000</v>
      </c>
      <c r="D84" s="469">
        <v>0</v>
      </c>
      <c r="E84" s="469">
        <v>0</v>
      </c>
      <c r="F84" s="450">
        <f>C84+D84+E84</f>
        <v>16300000</v>
      </c>
    </row>
    <row r="85" spans="1:6" ht="13.5" thickBot="1">
      <c r="A85" s="456">
        <v>1.04</v>
      </c>
      <c r="B85" s="9" t="s">
        <v>879</v>
      </c>
      <c r="C85" s="474">
        <f>SUM(C87:C92)</f>
        <v>11660000</v>
      </c>
      <c r="D85" s="474">
        <f>SUM(D86:D92)</f>
        <v>195941578.62</v>
      </c>
      <c r="E85" s="474">
        <f>SUM(E87:E92)</f>
        <v>105000000</v>
      </c>
      <c r="F85" s="457">
        <f>SUM(F86:F92)</f>
        <v>312601578.62</v>
      </c>
    </row>
    <row r="86" spans="1:6" ht="12.75">
      <c r="A86" s="502" t="s">
        <v>1067</v>
      </c>
      <c r="B86" s="503" t="s">
        <v>4</v>
      </c>
      <c r="C86" s="504">
        <v>0</v>
      </c>
      <c r="D86" s="504">
        <v>0</v>
      </c>
      <c r="E86" s="504">
        <v>0</v>
      </c>
      <c r="F86" s="505">
        <f>C86+D86+E86</f>
        <v>0</v>
      </c>
    </row>
    <row r="87" spans="1:6" ht="12.75">
      <c r="A87" s="451" t="s">
        <v>562</v>
      </c>
      <c r="B87" s="79" t="s">
        <v>563</v>
      </c>
      <c r="C87" s="469">
        <f>+'PROGRAMA 1'!C48</f>
        <v>5200000</v>
      </c>
      <c r="D87" s="469">
        <v>0</v>
      </c>
      <c r="E87" s="469">
        <v>0</v>
      </c>
      <c r="F87" s="450">
        <f aca="true" t="shared" si="0" ref="F87:F92">C87+D87+E87</f>
        <v>5200000</v>
      </c>
    </row>
    <row r="88" spans="1:6" ht="12.75">
      <c r="A88" s="451" t="s">
        <v>1062</v>
      </c>
      <c r="B88" s="79" t="s">
        <v>1063</v>
      </c>
      <c r="C88" s="469">
        <v>0</v>
      </c>
      <c r="D88" s="469">
        <f>+'PROGRAMA 2'!C44</f>
        <v>5000000</v>
      </c>
      <c r="E88" s="469">
        <f>+'PROGRAMA 3'!C29</f>
        <v>15000000</v>
      </c>
      <c r="F88" s="450">
        <f t="shared" si="0"/>
        <v>20000000</v>
      </c>
    </row>
    <row r="89" spans="1:6" ht="12.75">
      <c r="A89" s="451" t="s">
        <v>564</v>
      </c>
      <c r="B89" s="79" t="s">
        <v>565</v>
      </c>
      <c r="C89" s="469">
        <f>+'PROGRAMA 1'!C222</f>
        <v>5000000</v>
      </c>
      <c r="D89" s="469">
        <v>0</v>
      </c>
      <c r="E89" s="469">
        <v>0</v>
      </c>
      <c r="F89" s="450">
        <f t="shared" si="0"/>
        <v>5000000</v>
      </c>
    </row>
    <row r="90" spans="1:6" ht="12.75">
      <c r="A90" s="451" t="s">
        <v>672</v>
      </c>
      <c r="B90" s="79" t="s">
        <v>673</v>
      </c>
      <c r="C90" s="469">
        <v>0</v>
      </c>
      <c r="D90" s="469">
        <v>0</v>
      </c>
      <c r="E90" s="469">
        <v>0</v>
      </c>
      <c r="F90" s="450">
        <f t="shared" si="0"/>
        <v>0</v>
      </c>
    </row>
    <row r="91" spans="1:6" ht="12.75">
      <c r="A91" s="451" t="s">
        <v>566</v>
      </c>
      <c r="B91" s="79" t="s">
        <v>567</v>
      </c>
      <c r="C91" s="469">
        <f>+'PROGRAMA 1'!C50</f>
        <v>580000</v>
      </c>
      <c r="D91" s="469">
        <f>+'PROGRAMA 2'!C45</f>
        <v>190631578.62</v>
      </c>
      <c r="E91" s="469">
        <f>+'PROGRAMA 3'!C30</f>
        <v>90000000</v>
      </c>
      <c r="F91" s="450">
        <f t="shared" si="0"/>
        <v>281211578.62</v>
      </c>
    </row>
    <row r="92" spans="1:6" ht="13.5" thickBot="1">
      <c r="A92" s="451" t="s">
        <v>568</v>
      </c>
      <c r="B92" s="79" t="s">
        <v>569</v>
      </c>
      <c r="C92" s="469">
        <f>+'PROGRAMA 1'!C51</f>
        <v>880000</v>
      </c>
      <c r="D92" s="469">
        <f>+'PROGRAMA 2'!C46</f>
        <v>310000</v>
      </c>
      <c r="E92" s="469">
        <v>0</v>
      </c>
      <c r="F92" s="450">
        <f t="shared" si="0"/>
        <v>1190000</v>
      </c>
    </row>
    <row r="93" spans="1:6" ht="13.5" thickBot="1">
      <c r="A93" s="456">
        <v>1.05</v>
      </c>
      <c r="B93" s="9" t="s">
        <v>570</v>
      </c>
      <c r="C93" s="474">
        <f>SUM(C94:C97)</f>
        <v>100000</v>
      </c>
      <c r="D93" s="474">
        <f>SUM(D94:D97)</f>
        <v>50000</v>
      </c>
      <c r="E93" s="474">
        <f>SUM(E94:E97)</f>
        <v>0</v>
      </c>
      <c r="F93" s="773">
        <f>SUM(F94:F97)</f>
        <v>150000</v>
      </c>
    </row>
    <row r="94" spans="1:6" ht="12.75">
      <c r="A94" s="502" t="s">
        <v>657</v>
      </c>
      <c r="B94" s="503" t="s">
        <v>48</v>
      </c>
      <c r="C94" s="504">
        <f>+'PROGRAMA 1'!C54</f>
        <v>50000</v>
      </c>
      <c r="D94" s="504">
        <f>+'PROGRAMA 2'!C49</f>
        <v>50000</v>
      </c>
      <c r="E94" s="504">
        <v>0</v>
      </c>
      <c r="F94" s="450">
        <f>C94+D94+E94</f>
        <v>100000</v>
      </c>
    </row>
    <row r="95" spans="1:6" ht="12.75">
      <c r="A95" s="449" t="s">
        <v>571</v>
      </c>
      <c r="B95" s="79" t="s">
        <v>193</v>
      </c>
      <c r="C95" s="469">
        <f>+'PROGRAMA 1'!C55</f>
        <v>50000</v>
      </c>
      <c r="D95" s="469">
        <v>0</v>
      </c>
      <c r="E95" s="469">
        <v>0</v>
      </c>
      <c r="F95" s="450">
        <f>C95+D95+E95</f>
        <v>50000</v>
      </c>
    </row>
    <row r="96" spans="1:6" ht="12.75">
      <c r="A96" s="449" t="s">
        <v>655</v>
      </c>
      <c r="B96" s="79" t="s">
        <v>74</v>
      </c>
      <c r="C96" s="469">
        <v>0</v>
      </c>
      <c r="D96" s="469">
        <v>0</v>
      </c>
      <c r="E96" s="469">
        <v>0</v>
      </c>
      <c r="F96" s="450">
        <f>C96+D96+E96</f>
        <v>0</v>
      </c>
    </row>
    <row r="97" spans="1:6" ht="13.5" thickBot="1">
      <c r="A97" s="449" t="s">
        <v>656</v>
      </c>
      <c r="B97" s="79" t="s">
        <v>289</v>
      </c>
      <c r="C97" s="469">
        <v>0</v>
      </c>
      <c r="D97" s="469">
        <v>0</v>
      </c>
      <c r="E97" s="469">
        <v>0</v>
      </c>
      <c r="F97" s="450">
        <f>C97+D97+E97</f>
        <v>0</v>
      </c>
    </row>
    <row r="98" spans="1:6" ht="13.5" thickBot="1">
      <c r="A98" s="456">
        <v>1.06</v>
      </c>
      <c r="B98" s="9" t="s">
        <v>572</v>
      </c>
      <c r="C98" s="474">
        <f>C99</f>
        <v>6554580.95</v>
      </c>
      <c r="D98" s="474">
        <f>D99</f>
        <v>2930634.81</v>
      </c>
      <c r="E98" s="474">
        <f>E99</f>
        <v>387631.97</v>
      </c>
      <c r="F98" s="457">
        <f>F99</f>
        <v>9872847.73</v>
      </c>
    </row>
    <row r="99" spans="1:6" ht="13.5" thickBot="1">
      <c r="A99" s="451" t="s">
        <v>573</v>
      </c>
      <c r="B99" s="79" t="s">
        <v>574</v>
      </c>
      <c r="C99" s="469">
        <f>+'PROGRAMA 1'!C58</f>
        <v>6554580.95</v>
      </c>
      <c r="D99" s="469">
        <f>+'PROGRAMA 2'!C52</f>
        <v>2930634.81</v>
      </c>
      <c r="E99" s="469">
        <f>+'PROGRAMA 3'!C33</f>
        <v>387631.97</v>
      </c>
      <c r="F99" s="450">
        <f>C99+D99+E99</f>
        <v>9872847.73</v>
      </c>
    </row>
    <row r="100" spans="1:6" ht="13.5" thickBot="1">
      <c r="A100" s="456">
        <v>1.07</v>
      </c>
      <c r="B100" s="9" t="s">
        <v>994</v>
      </c>
      <c r="C100" s="474">
        <f>SUM(C101:C103)</f>
        <v>5500000</v>
      </c>
      <c r="D100" s="474">
        <f>SUM(D101:D102)</f>
        <v>7000000</v>
      </c>
      <c r="E100" s="474">
        <f>SUM(E101:E102)</f>
        <v>0</v>
      </c>
      <c r="F100" s="457">
        <f>SUM(F101:F103)</f>
        <v>12500000</v>
      </c>
    </row>
    <row r="101" spans="1:6" ht="12.75">
      <c r="A101" s="451" t="s">
        <v>575</v>
      </c>
      <c r="B101" s="79" t="s">
        <v>576</v>
      </c>
      <c r="C101" s="469">
        <f>+'PROGRAMA 1'!C61</f>
        <v>5500000</v>
      </c>
      <c r="D101" s="469">
        <f>+'PROGRAMA 2'!C55</f>
        <v>400000</v>
      </c>
      <c r="E101" s="469">
        <v>0</v>
      </c>
      <c r="F101" s="450">
        <f>C101+D101+E101</f>
        <v>5900000</v>
      </c>
    </row>
    <row r="102" spans="1:6" ht="12.75">
      <c r="A102" s="451" t="s">
        <v>577</v>
      </c>
      <c r="B102" s="79" t="s">
        <v>996</v>
      </c>
      <c r="C102" s="469">
        <v>0</v>
      </c>
      <c r="D102" s="469">
        <f>+'PROGRAMA 2'!C56</f>
        <v>6600000</v>
      </c>
      <c r="E102" s="469">
        <v>0</v>
      </c>
      <c r="F102" s="450">
        <f>C102+D102+E102</f>
        <v>6600000</v>
      </c>
    </row>
    <row r="103" spans="1:6" ht="13.5" thickBot="1">
      <c r="A103" s="451" t="s">
        <v>1065</v>
      </c>
      <c r="B103" s="79" t="s">
        <v>1066</v>
      </c>
      <c r="C103" s="469">
        <v>0</v>
      </c>
      <c r="D103" s="469">
        <v>0</v>
      </c>
      <c r="E103" s="469">
        <v>0</v>
      </c>
      <c r="F103" s="450">
        <f>C103+D103+E103</f>
        <v>0</v>
      </c>
    </row>
    <row r="104" spans="1:6" ht="13.5" thickBot="1">
      <c r="A104" s="456">
        <v>1.08</v>
      </c>
      <c r="B104" s="9" t="s">
        <v>885</v>
      </c>
      <c r="C104" s="474">
        <f>SUM(C105:C113)</f>
        <v>1500000</v>
      </c>
      <c r="D104" s="474">
        <f>SUM(D105:D113)</f>
        <v>33737845.65</v>
      </c>
      <c r="E104" s="474">
        <f>SUM(E105:E113)</f>
        <v>0</v>
      </c>
      <c r="F104" s="773">
        <f>SUM(F105:F113)</f>
        <v>35237845.65</v>
      </c>
    </row>
    <row r="105" spans="1:6" ht="12.75">
      <c r="A105" s="617" t="s">
        <v>578</v>
      </c>
      <c r="B105" s="109" t="s">
        <v>579</v>
      </c>
      <c r="C105" s="466">
        <v>0</v>
      </c>
      <c r="D105" s="466">
        <v>0</v>
      </c>
      <c r="E105" s="466">
        <v>0</v>
      </c>
      <c r="F105" s="444">
        <f>C105+D105+E105</f>
        <v>0</v>
      </c>
    </row>
    <row r="106" spans="1:6" ht="12.75">
      <c r="A106" s="451" t="s">
        <v>580</v>
      </c>
      <c r="B106" s="79" t="s">
        <v>581</v>
      </c>
      <c r="C106" s="469">
        <v>0</v>
      </c>
      <c r="D106" s="469">
        <v>0</v>
      </c>
      <c r="E106" s="469">
        <v>0</v>
      </c>
      <c r="F106" s="450">
        <f aca="true" t="shared" si="1" ref="F106:F115">C106+D106+E106</f>
        <v>0</v>
      </c>
    </row>
    <row r="107" spans="1:6" ht="12.75">
      <c r="A107" s="451" t="s">
        <v>582</v>
      </c>
      <c r="B107" s="79" t="s">
        <v>583</v>
      </c>
      <c r="C107" s="469">
        <v>0</v>
      </c>
      <c r="D107" s="469">
        <f>+'PROGRAMA 2'!C62</f>
        <v>30037845.65</v>
      </c>
      <c r="E107" s="469">
        <v>0</v>
      </c>
      <c r="F107" s="450">
        <f t="shared" si="1"/>
        <v>30037845.65</v>
      </c>
    </row>
    <row r="108" spans="1:6" ht="12.75">
      <c r="A108" s="451" t="s">
        <v>1068</v>
      </c>
      <c r="B108" s="79" t="s">
        <v>1069</v>
      </c>
      <c r="C108" s="469">
        <v>0</v>
      </c>
      <c r="D108" s="469">
        <f>+'PROGRAMA 2'!C63</f>
        <v>2000000</v>
      </c>
      <c r="E108" s="469">
        <v>0</v>
      </c>
      <c r="F108" s="450">
        <f>C108+D108+E108</f>
        <v>2000000</v>
      </c>
    </row>
    <row r="109" spans="1:6" ht="12.75">
      <c r="A109" s="451" t="s">
        <v>585</v>
      </c>
      <c r="B109" s="79" t="s">
        <v>586</v>
      </c>
      <c r="C109" s="469">
        <f>+'PROGRAMA 1'!C64</f>
        <v>1000000</v>
      </c>
      <c r="D109" s="469">
        <f>+'PROGRAMA 2'!C64</f>
        <v>1200000</v>
      </c>
      <c r="E109" s="469">
        <v>0</v>
      </c>
      <c r="F109" s="450">
        <f t="shared" si="1"/>
        <v>2200000</v>
      </c>
    </row>
    <row r="110" spans="1:6" ht="12.75">
      <c r="A110" s="451" t="s">
        <v>587</v>
      </c>
      <c r="B110" s="79" t="s">
        <v>588</v>
      </c>
      <c r="C110" s="469">
        <v>0</v>
      </c>
      <c r="D110" s="469">
        <v>0</v>
      </c>
      <c r="E110" s="469">
        <v>0</v>
      </c>
      <c r="F110" s="450">
        <f t="shared" si="1"/>
        <v>0</v>
      </c>
    </row>
    <row r="111" spans="1:6" ht="12.75">
      <c r="A111" s="451" t="s">
        <v>590</v>
      </c>
      <c r="B111" s="79" t="s">
        <v>602</v>
      </c>
      <c r="C111" s="469">
        <v>0</v>
      </c>
      <c r="D111" s="469">
        <v>0</v>
      </c>
      <c r="E111" s="469">
        <v>0</v>
      </c>
      <c r="F111" s="450">
        <f t="shared" si="1"/>
        <v>0</v>
      </c>
    </row>
    <row r="112" spans="1:6" ht="12.75">
      <c r="A112" s="451" t="s">
        <v>584</v>
      </c>
      <c r="B112" s="79" t="s">
        <v>603</v>
      </c>
      <c r="C112" s="469">
        <f>+'PROGRAMA 1'!C65</f>
        <v>500000</v>
      </c>
      <c r="D112" s="469">
        <f>+'PROGRAMA 2'!C65</f>
        <v>100000</v>
      </c>
      <c r="E112" s="469">
        <v>0</v>
      </c>
      <c r="F112" s="450">
        <f t="shared" si="1"/>
        <v>600000</v>
      </c>
    </row>
    <row r="113" spans="1:6" ht="13.5" thickBot="1">
      <c r="A113" s="451" t="s">
        <v>658</v>
      </c>
      <c r="B113" s="79" t="s">
        <v>659</v>
      </c>
      <c r="C113" s="469">
        <v>0</v>
      </c>
      <c r="D113" s="469">
        <f>+'PROGRAMA 2'!C66</f>
        <v>400000</v>
      </c>
      <c r="E113" s="469">
        <v>0</v>
      </c>
      <c r="F113" s="450">
        <f t="shared" si="1"/>
        <v>400000</v>
      </c>
    </row>
    <row r="114" spans="1:6" ht="13.5" thickBot="1">
      <c r="A114" s="456">
        <v>1.09</v>
      </c>
      <c r="B114" s="9" t="s">
        <v>1298</v>
      </c>
      <c r="C114" s="474">
        <f>C115</f>
        <v>200000</v>
      </c>
      <c r="D114" s="474">
        <f>D115</f>
        <v>450000</v>
      </c>
      <c r="E114" s="474">
        <f>E115</f>
        <v>100000</v>
      </c>
      <c r="F114" s="773">
        <f>F115</f>
        <v>750000</v>
      </c>
    </row>
    <row r="115" spans="1:6" ht="13.5" thickBot="1">
      <c r="A115" s="451" t="s">
        <v>1371</v>
      </c>
      <c r="B115" s="79" t="s">
        <v>1300</v>
      </c>
      <c r="C115" s="469">
        <f>+'PROGRAMA 1'!C68</f>
        <v>200000</v>
      </c>
      <c r="D115" s="469">
        <f>+'PROGRAMA 2'!C69</f>
        <v>450000</v>
      </c>
      <c r="E115" s="469">
        <f>+'PROGRAMA 3'!C36</f>
        <v>100000</v>
      </c>
      <c r="F115" s="450">
        <f t="shared" si="1"/>
        <v>750000</v>
      </c>
    </row>
    <row r="116" spans="1:6" ht="13.5" thickBot="1">
      <c r="A116" s="456">
        <v>1.99</v>
      </c>
      <c r="B116" s="9" t="s">
        <v>1002</v>
      </c>
      <c r="C116" s="474">
        <f>C117</f>
        <v>0</v>
      </c>
      <c r="D116" s="474">
        <f>D117</f>
        <v>2525000</v>
      </c>
      <c r="E116" s="474">
        <f>E117</f>
        <v>0</v>
      </c>
      <c r="F116" s="457">
        <f>F117</f>
        <v>2525000</v>
      </c>
    </row>
    <row r="117" spans="1:6" ht="13.5" thickBot="1">
      <c r="A117" s="454" t="s">
        <v>604</v>
      </c>
      <c r="B117" s="120" t="s">
        <v>605</v>
      </c>
      <c r="C117" s="471">
        <v>0</v>
      </c>
      <c r="D117" s="471">
        <f>+'PROGRAMA 2'!C72</f>
        <v>2525000</v>
      </c>
      <c r="E117" s="471">
        <v>0</v>
      </c>
      <c r="F117" s="455">
        <f>C117+D117+E117</f>
        <v>2525000</v>
      </c>
    </row>
    <row r="118" spans="1:6" ht="13.5" thickBot="1">
      <c r="A118" s="508"/>
      <c r="B118" s="19"/>
      <c r="C118" s="509"/>
      <c r="D118" s="509"/>
      <c r="E118" s="509"/>
      <c r="F118" s="509"/>
    </row>
    <row r="119" spans="1:6" ht="13.5" thickBot="1">
      <c r="A119" s="458">
        <v>2</v>
      </c>
      <c r="B119" s="475" t="s">
        <v>889</v>
      </c>
      <c r="C119" s="476">
        <f>C120+C125+C128+C135+C138</f>
        <v>11340000</v>
      </c>
      <c r="D119" s="476">
        <f>D120+D125+D128+D135+D138</f>
        <v>60266273.99</v>
      </c>
      <c r="E119" s="476">
        <f>E120+E125+E128+E135+E138</f>
        <v>0</v>
      </c>
      <c r="F119" s="459">
        <f>F120+F125+F128+F135+F138</f>
        <v>71606273.99000001</v>
      </c>
    </row>
    <row r="120" spans="1:6" ht="14.25" thickBot="1" thickTop="1">
      <c r="A120" s="452">
        <v>2.01</v>
      </c>
      <c r="B120" s="464" t="s">
        <v>708</v>
      </c>
      <c r="C120" s="470">
        <f>SUM(C121:C124)</f>
        <v>2350000</v>
      </c>
      <c r="D120" s="470">
        <f>SUM(D121:D124)</f>
        <v>14970000</v>
      </c>
      <c r="E120" s="470">
        <f>SUM(E121:E124)</f>
        <v>0</v>
      </c>
      <c r="F120" s="453">
        <f>SUM(F121:F124)</f>
        <v>17320000</v>
      </c>
    </row>
    <row r="121" spans="1:6" ht="12.75">
      <c r="A121" s="451" t="s">
        <v>606</v>
      </c>
      <c r="B121" s="79" t="s">
        <v>607</v>
      </c>
      <c r="C121" s="469">
        <f>+'PROGRAMA 1'!C72</f>
        <v>1500000</v>
      </c>
      <c r="D121" s="469">
        <f>+'PROGRAMA 2'!C76</f>
        <v>9320000</v>
      </c>
      <c r="E121" s="469">
        <v>0</v>
      </c>
      <c r="F121" s="450">
        <f>C121+D121+E121</f>
        <v>10820000</v>
      </c>
    </row>
    <row r="122" spans="1:6" ht="12.75">
      <c r="A122" s="451" t="s">
        <v>1373</v>
      </c>
      <c r="B122" s="79" t="s">
        <v>1374</v>
      </c>
      <c r="C122" s="469">
        <f>+'PROGRAMA 1'!C73</f>
        <v>50000</v>
      </c>
      <c r="D122" s="469">
        <f>+'PROGRAMA 2'!C77</f>
        <v>225000</v>
      </c>
      <c r="E122" s="469">
        <v>0</v>
      </c>
      <c r="F122" s="450">
        <f>C122+D122+E122</f>
        <v>275000</v>
      </c>
    </row>
    <row r="123" spans="1:6" ht="12.75">
      <c r="A123" s="451" t="s">
        <v>608</v>
      </c>
      <c r="B123" s="79" t="s">
        <v>609</v>
      </c>
      <c r="C123" s="469">
        <f>+'PROGRAMA 1'!C74</f>
        <v>800000</v>
      </c>
      <c r="D123" s="469">
        <f>+'PROGRAMA 2'!C78</f>
        <v>2220000</v>
      </c>
      <c r="E123" s="469">
        <v>0</v>
      </c>
      <c r="F123" s="450">
        <f>C123+D123+E123</f>
        <v>3020000</v>
      </c>
    </row>
    <row r="124" spans="1:6" ht="13.5" thickBot="1">
      <c r="A124" s="454" t="s">
        <v>610</v>
      </c>
      <c r="B124" s="120" t="s">
        <v>238</v>
      </c>
      <c r="C124" s="471">
        <v>0</v>
      </c>
      <c r="D124" s="471">
        <f>+'PROGRAMA 2'!C79</f>
        <v>3205000</v>
      </c>
      <c r="E124" s="471">
        <v>0</v>
      </c>
      <c r="F124" s="455">
        <f>C124+D124+E124</f>
        <v>3205000</v>
      </c>
    </row>
    <row r="125" spans="1:6" ht="13.5" thickBot="1">
      <c r="A125" s="456">
        <v>2.02</v>
      </c>
      <c r="B125" s="9" t="s">
        <v>611</v>
      </c>
      <c r="C125" s="474">
        <f>SUM(C126:C127)</f>
        <v>0</v>
      </c>
      <c r="D125" s="474">
        <f>SUM(D126:D127)</f>
        <v>6750000</v>
      </c>
      <c r="E125" s="474">
        <f>SUM(E126:E127)</f>
        <v>0</v>
      </c>
      <c r="F125" s="457">
        <f>SUM(F126:F127)</f>
        <v>6750000</v>
      </c>
    </row>
    <row r="126" spans="1:6" ht="12.75">
      <c r="A126" s="451" t="s">
        <v>612</v>
      </c>
      <c r="B126" s="79" t="s">
        <v>243</v>
      </c>
      <c r="C126" s="469">
        <v>0</v>
      </c>
      <c r="D126" s="469">
        <f>+'PROGRAMA 2'!C82</f>
        <v>750000</v>
      </c>
      <c r="E126" s="469">
        <v>0</v>
      </c>
      <c r="F126" s="450">
        <f>C126+D126+E126</f>
        <v>750000</v>
      </c>
    </row>
    <row r="127" spans="1:6" ht="13.5" thickBot="1">
      <c r="A127" s="618" t="s">
        <v>613</v>
      </c>
      <c r="B127" s="79" t="s">
        <v>1029</v>
      </c>
      <c r="C127" s="469">
        <v>0</v>
      </c>
      <c r="D127" s="469">
        <f>+'PROGRAMA 2'!C83</f>
        <v>6000000</v>
      </c>
      <c r="E127" s="469">
        <v>0</v>
      </c>
      <c r="F127" s="450">
        <f>C127+D127+E127</f>
        <v>6000000</v>
      </c>
    </row>
    <row r="128" spans="1:6" ht="13.5" thickBot="1">
      <c r="A128" s="456">
        <v>2.03</v>
      </c>
      <c r="B128" s="9" t="s">
        <v>614</v>
      </c>
      <c r="C128" s="474">
        <f>SUM(C129:C134)</f>
        <v>250000</v>
      </c>
      <c r="D128" s="474">
        <f>SUM(D129:D134)</f>
        <v>20800000</v>
      </c>
      <c r="E128" s="474">
        <f>SUM(E129:E133)</f>
        <v>0</v>
      </c>
      <c r="F128" s="457">
        <f>SUM(F129:F134)</f>
        <v>21050000</v>
      </c>
    </row>
    <row r="129" spans="1:6" ht="12.75">
      <c r="A129" s="451" t="s">
        <v>615</v>
      </c>
      <c r="B129" s="79" t="s">
        <v>208</v>
      </c>
      <c r="C129" s="469">
        <v>0</v>
      </c>
      <c r="D129" s="469">
        <f>+'PROGRAMA 2'!C86</f>
        <v>2500000</v>
      </c>
      <c r="E129" s="469">
        <v>0</v>
      </c>
      <c r="F129" s="450">
        <f aca="true" t="shared" si="2" ref="F129:F134">C129+D129+E129</f>
        <v>2500000</v>
      </c>
    </row>
    <row r="130" spans="1:6" ht="12.75">
      <c r="A130" s="451" t="s">
        <v>616</v>
      </c>
      <c r="B130" s="79" t="s">
        <v>617</v>
      </c>
      <c r="C130" s="469">
        <v>0</v>
      </c>
      <c r="D130" s="469">
        <f>+'PROGRAMA 2'!C87</f>
        <v>13000000</v>
      </c>
      <c r="E130" s="469">
        <v>0</v>
      </c>
      <c r="F130" s="450">
        <f t="shared" si="2"/>
        <v>13000000</v>
      </c>
    </row>
    <row r="131" spans="1:6" ht="12.75">
      <c r="A131" s="451" t="s">
        <v>618</v>
      </c>
      <c r="B131" s="79" t="s">
        <v>209</v>
      </c>
      <c r="C131" s="469">
        <v>0</v>
      </c>
      <c r="D131" s="469">
        <f>+'PROGRAMA 2'!C88</f>
        <v>800000</v>
      </c>
      <c r="E131" s="469">
        <v>0</v>
      </c>
      <c r="F131" s="450">
        <f t="shared" si="2"/>
        <v>800000</v>
      </c>
    </row>
    <row r="132" spans="1:6" ht="12.75">
      <c r="A132" s="451" t="s">
        <v>619</v>
      </c>
      <c r="B132" s="79" t="s">
        <v>620</v>
      </c>
      <c r="C132" s="469">
        <f>+'PROGRAMA 1'!C77</f>
        <v>250000</v>
      </c>
      <c r="D132" s="469">
        <f>+'PROGRAMA 2'!C89</f>
        <v>200000</v>
      </c>
      <c r="E132" s="469">
        <v>0</v>
      </c>
      <c r="F132" s="450">
        <f t="shared" si="2"/>
        <v>450000</v>
      </c>
    </row>
    <row r="133" spans="1:6" ht="12.75">
      <c r="A133" s="451" t="s">
        <v>621</v>
      </c>
      <c r="B133" s="79" t="s">
        <v>1019</v>
      </c>
      <c r="C133" s="469">
        <v>0</v>
      </c>
      <c r="D133" s="469">
        <f>+'PROGRAMA 2'!C90</f>
        <v>2700000</v>
      </c>
      <c r="E133" s="469">
        <v>0</v>
      </c>
      <c r="F133" s="450">
        <f t="shared" si="2"/>
        <v>2700000</v>
      </c>
    </row>
    <row r="134" spans="1:6" ht="13.5" thickBot="1">
      <c r="A134" s="451" t="s">
        <v>1070</v>
      </c>
      <c r="B134" s="79" t="s">
        <v>1071</v>
      </c>
      <c r="C134" s="469">
        <v>0</v>
      </c>
      <c r="D134" s="469">
        <f>+'PROGRAMA 2'!C91</f>
        <v>1600000</v>
      </c>
      <c r="E134" s="469">
        <v>0</v>
      </c>
      <c r="F134" s="450">
        <f t="shared" si="2"/>
        <v>1600000</v>
      </c>
    </row>
    <row r="135" spans="1:6" ht="13.5" thickBot="1">
      <c r="A135" s="456">
        <v>2.04</v>
      </c>
      <c r="B135" s="9" t="s">
        <v>622</v>
      </c>
      <c r="C135" s="474">
        <f>SUM(C136:C137)</f>
        <v>290000</v>
      </c>
      <c r="D135" s="474">
        <f>SUM(D136:D137)</f>
        <v>8632000</v>
      </c>
      <c r="E135" s="474">
        <f>SUM(E136:E137)</f>
        <v>0</v>
      </c>
      <c r="F135" s="457">
        <f>SUM(F136:F137)</f>
        <v>8922000</v>
      </c>
    </row>
    <row r="136" spans="1:6" ht="12.75">
      <c r="A136" s="451" t="s">
        <v>623</v>
      </c>
      <c r="B136" s="79" t="s">
        <v>215</v>
      </c>
      <c r="C136" s="469">
        <f>+'PROGRAMA 1'!C80</f>
        <v>140000</v>
      </c>
      <c r="D136" s="469">
        <f>+'PROGRAMA 2'!C94</f>
        <v>3312000</v>
      </c>
      <c r="E136" s="469">
        <v>0</v>
      </c>
      <c r="F136" s="450">
        <f>C136+D136+E136</f>
        <v>3452000</v>
      </c>
    </row>
    <row r="137" spans="1:6" ht="13.5" thickBot="1">
      <c r="A137" s="451" t="s">
        <v>624</v>
      </c>
      <c r="B137" s="79" t="s">
        <v>1025</v>
      </c>
      <c r="C137" s="469">
        <f>+'PROGRAMA 1'!C81</f>
        <v>150000</v>
      </c>
      <c r="D137" s="469">
        <f>+'PROGRAMA 2'!C95</f>
        <v>5320000</v>
      </c>
      <c r="E137" s="469">
        <v>0</v>
      </c>
      <c r="F137" s="450">
        <f>C137+D137+E137</f>
        <v>5470000</v>
      </c>
    </row>
    <row r="138" spans="1:6" ht="13.5" thickBot="1">
      <c r="A138" s="456">
        <v>2.99</v>
      </c>
      <c r="B138" s="9" t="s">
        <v>625</v>
      </c>
      <c r="C138" s="474">
        <f>SUM(C139:C145)</f>
        <v>8450000</v>
      </c>
      <c r="D138" s="474">
        <f>SUM(D139:D145)</f>
        <v>9114273.99</v>
      </c>
      <c r="E138" s="474">
        <f>SUM(E139:E145)</f>
        <v>0</v>
      </c>
      <c r="F138" s="457">
        <f>SUM(F139:F145)</f>
        <v>17564273.990000002</v>
      </c>
    </row>
    <row r="139" spans="1:6" ht="12.75">
      <c r="A139" s="451" t="s">
        <v>626</v>
      </c>
      <c r="B139" s="79" t="s">
        <v>627</v>
      </c>
      <c r="C139" s="469">
        <f>+'PROGRAMA 1'!C84</f>
        <v>950000</v>
      </c>
      <c r="D139" s="469">
        <f>+'PROGRAMA 2'!C98</f>
        <v>150000</v>
      </c>
      <c r="E139" s="469">
        <v>0</v>
      </c>
      <c r="F139" s="450">
        <f aca="true" t="shared" si="3" ref="F139:F145">C139+D139+E139</f>
        <v>1100000</v>
      </c>
    </row>
    <row r="140" spans="1:6" ht="12.75">
      <c r="A140" s="451" t="s">
        <v>1669</v>
      </c>
      <c r="B140" s="79" t="s">
        <v>1670</v>
      </c>
      <c r="C140" s="469">
        <f>+'PROGRAMA 1'!C85</f>
        <v>150000</v>
      </c>
      <c r="D140" s="469">
        <v>0</v>
      </c>
      <c r="E140" s="469">
        <v>0</v>
      </c>
      <c r="F140" s="450">
        <f t="shared" si="3"/>
        <v>150000</v>
      </c>
    </row>
    <row r="141" spans="1:6" ht="12.75">
      <c r="A141" s="451" t="s">
        <v>628</v>
      </c>
      <c r="B141" s="79" t="s">
        <v>483</v>
      </c>
      <c r="C141" s="469">
        <f>+'PROGRAMA 1'!C86</f>
        <v>1800000</v>
      </c>
      <c r="D141" s="469">
        <f>+'PROGRAMA 2'!C99</f>
        <v>450000</v>
      </c>
      <c r="E141" s="469">
        <v>0</v>
      </c>
      <c r="F141" s="450">
        <f t="shared" si="3"/>
        <v>2250000</v>
      </c>
    </row>
    <row r="142" spans="1:6" ht="12.75">
      <c r="A142" s="451" t="s">
        <v>630</v>
      </c>
      <c r="B142" s="79" t="s">
        <v>706</v>
      </c>
      <c r="C142" s="469">
        <f>+'PROGRAMA 1'!C87</f>
        <v>3000000</v>
      </c>
      <c r="D142" s="469">
        <f>+'PROGRAMA 2'!C100</f>
        <v>3142273.99</v>
      </c>
      <c r="E142" s="469">
        <v>0</v>
      </c>
      <c r="F142" s="450">
        <f t="shared" si="3"/>
        <v>6142273.99</v>
      </c>
    </row>
    <row r="143" spans="1:6" ht="12.75">
      <c r="A143" s="451" t="s">
        <v>631</v>
      </c>
      <c r="B143" s="79" t="s">
        <v>205</v>
      </c>
      <c r="C143" s="469">
        <f>+'PROGRAMA 1'!C88</f>
        <v>2500000</v>
      </c>
      <c r="D143" s="469">
        <f>+'PROGRAMA 2'!C101</f>
        <v>600000</v>
      </c>
      <c r="E143" s="469">
        <v>0</v>
      </c>
      <c r="F143" s="450">
        <f t="shared" si="3"/>
        <v>3100000</v>
      </c>
    </row>
    <row r="144" spans="1:6" ht="12.75">
      <c r="A144" s="451" t="s">
        <v>1072</v>
      </c>
      <c r="B144" s="79" t="s">
        <v>1073</v>
      </c>
      <c r="C144" s="469">
        <v>0</v>
      </c>
      <c r="D144" s="469">
        <f>+'PROGRAMA 2'!C102</f>
        <v>1722000</v>
      </c>
      <c r="E144" s="469">
        <v>0</v>
      </c>
      <c r="F144" s="450">
        <f t="shared" si="3"/>
        <v>1722000</v>
      </c>
    </row>
    <row r="145" spans="1:6" ht="12.75">
      <c r="A145" s="451" t="s">
        <v>632</v>
      </c>
      <c r="B145" s="79" t="s">
        <v>633</v>
      </c>
      <c r="C145" s="469">
        <f>+'PROGRAMA 1'!C89</f>
        <v>50000</v>
      </c>
      <c r="D145" s="469">
        <f>+'PROGRAMA 2'!C103</f>
        <v>3050000</v>
      </c>
      <c r="E145" s="469">
        <v>0</v>
      </c>
      <c r="F145" s="450">
        <f t="shared" si="3"/>
        <v>3100000</v>
      </c>
    </row>
    <row r="146" spans="1:6" ht="12.75">
      <c r="A146" s="451"/>
      <c r="B146" s="79"/>
      <c r="C146" s="469"/>
      <c r="D146" s="469"/>
      <c r="E146" s="469"/>
      <c r="F146" s="450"/>
    </row>
    <row r="147" spans="1:6" ht="13.5" thickBot="1">
      <c r="A147" s="445">
        <v>3</v>
      </c>
      <c r="B147" s="463" t="s">
        <v>911</v>
      </c>
      <c r="C147" s="467">
        <f>C148</f>
        <v>5817542.76</v>
      </c>
      <c r="D147" s="467">
        <f>D148</f>
        <v>1429952.38</v>
      </c>
      <c r="E147" s="467">
        <f>E148</f>
        <v>0</v>
      </c>
      <c r="F147" s="446">
        <f>F148</f>
        <v>7247495.14</v>
      </c>
    </row>
    <row r="148" spans="1:6" ht="14.25" thickBot="1" thickTop="1">
      <c r="A148" s="452">
        <v>3.02</v>
      </c>
      <c r="B148" s="464" t="s">
        <v>912</v>
      </c>
      <c r="C148" s="470">
        <f>SUM(C149:C149)</f>
        <v>5817542.76</v>
      </c>
      <c r="D148" s="470">
        <f>SUM(D149:D149)</f>
        <v>1429952.38</v>
      </c>
      <c r="E148" s="470">
        <f>SUM(E149:E149)</f>
        <v>0</v>
      </c>
      <c r="F148" s="453">
        <f>SUM(F149:F149)</f>
        <v>7247495.14</v>
      </c>
    </row>
    <row r="149" spans="1:6" ht="12.75">
      <c r="A149" s="451" t="s">
        <v>634</v>
      </c>
      <c r="B149" s="79" t="s">
        <v>635</v>
      </c>
      <c r="C149" s="469">
        <f>+'PROGRAMA 1'!C93</f>
        <v>5817542.76</v>
      </c>
      <c r="D149" s="469">
        <f>+'PROGRAMA 2'!C107</f>
        <v>1429952.38</v>
      </c>
      <c r="E149" s="469">
        <v>0</v>
      </c>
      <c r="F149" s="450">
        <f>C149+D149+E149</f>
        <v>7247495.14</v>
      </c>
    </row>
    <row r="150" spans="1:6" ht="12.75">
      <c r="A150" s="451"/>
      <c r="B150" s="79"/>
      <c r="C150" s="469"/>
      <c r="D150" s="469"/>
      <c r="E150" s="469"/>
      <c r="F150" s="450"/>
    </row>
    <row r="151" spans="1:6" ht="13.5" thickBot="1">
      <c r="A151" s="445">
        <v>5</v>
      </c>
      <c r="B151" s="463" t="s">
        <v>914</v>
      </c>
      <c r="C151" s="467">
        <f>C152+C160+C165</f>
        <v>5000000</v>
      </c>
      <c r="D151" s="467">
        <f>D152+D160+D165</f>
        <v>47150000</v>
      </c>
      <c r="E151" s="467">
        <f>E152+E160+E165</f>
        <v>171911598.22</v>
      </c>
      <c r="F151" s="446">
        <f>F152+F160+F165</f>
        <v>224061598.22</v>
      </c>
    </row>
    <row r="152" spans="1:6" ht="14.25" thickBot="1" thickTop="1">
      <c r="A152" s="452">
        <v>5.01</v>
      </c>
      <c r="B152" s="464" t="s">
        <v>916</v>
      </c>
      <c r="C152" s="470">
        <f>SUM(C154:C158)</f>
        <v>5000000</v>
      </c>
      <c r="D152" s="470">
        <f>SUM(D153:D158)</f>
        <v>11900000</v>
      </c>
      <c r="E152" s="470">
        <f>SUM(E154:E158)</f>
        <v>0</v>
      </c>
      <c r="F152" s="453">
        <f>SUM(F153:F158)</f>
        <v>16900000</v>
      </c>
    </row>
    <row r="153" spans="1:6" ht="12.75">
      <c r="A153" s="451" t="s">
        <v>1672</v>
      </c>
      <c r="B153" s="503" t="s">
        <v>1673</v>
      </c>
      <c r="C153" s="504">
        <v>0</v>
      </c>
      <c r="D153" s="504">
        <f>+'PROGRAMA 2'!C112</f>
        <v>2500000</v>
      </c>
      <c r="E153" s="504">
        <v>0</v>
      </c>
      <c r="F153" s="450">
        <f aca="true" t="shared" si="4" ref="F153:F158">C153+D153+E153</f>
        <v>2500000</v>
      </c>
    </row>
    <row r="154" spans="1:6" ht="12.75">
      <c r="A154" s="449" t="s">
        <v>1478</v>
      </c>
      <c r="B154" s="79" t="s">
        <v>1468</v>
      </c>
      <c r="C154" s="469">
        <v>0</v>
      </c>
      <c r="D154" s="469">
        <v>0</v>
      </c>
      <c r="E154" s="469">
        <v>0</v>
      </c>
      <c r="F154" s="450">
        <f t="shared" si="4"/>
        <v>0</v>
      </c>
    </row>
    <row r="155" spans="1:6" ht="12.75">
      <c r="A155" s="449" t="s">
        <v>636</v>
      </c>
      <c r="B155" s="79" t="s">
        <v>256</v>
      </c>
      <c r="C155" s="469">
        <f>+'PROGRAMA 1'!C98</f>
        <v>500000</v>
      </c>
      <c r="D155" s="469">
        <f>+'PROGRAMA 2'!C113</f>
        <v>200000</v>
      </c>
      <c r="E155" s="469">
        <v>0</v>
      </c>
      <c r="F155" s="450">
        <f t="shared" si="4"/>
        <v>700000</v>
      </c>
    </row>
    <row r="156" spans="1:6" ht="12.75">
      <c r="A156" s="449" t="s">
        <v>637</v>
      </c>
      <c r="B156" s="79" t="s">
        <v>918</v>
      </c>
      <c r="C156" s="469">
        <f>+'PROGRAMA 1'!C99</f>
        <v>4500000</v>
      </c>
      <c r="D156" s="469">
        <f>+'PROGRAMA 2'!C114</f>
        <v>400000</v>
      </c>
      <c r="E156" s="469">
        <v>0</v>
      </c>
      <c r="F156" s="450">
        <f t="shared" si="4"/>
        <v>4900000</v>
      </c>
    </row>
    <row r="157" spans="1:6" ht="12.75">
      <c r="A157" s="771" t="s">
        <v>1375</v>
      </c>
      <c r="B157" s="33" t="s">
        <v>1376</v>
      </c>
      <c r="C157" s="469">
        <v>0</v>
      </c>
      <c r="D157" s="469">
        <f>+'PROGRAMA 2'!C115</f>
        <v>7000000</v>
      </c>
      <c r="E157" s="469">
        <v>0</v>
      </c>
      <c r="F157" s="450">
        <f t="shared" si="4"/>
        <v>7000000</v>
      </c>
    </row>
    <row r="158" spans="1:6" ht="13.5" thickBot="1">
      <c r="A158" s="511" t="s">
        <v>641</v>
      </c>
      <c r="B158" s="120" t="s">
        <v>642</v>
      </c>
      <c r="C158" s="471">
        <v>0</v>
      </c>
      <c r="D158" s="471">
        <f>+'PROGRAMA 2'!C116</f>
        <v>1800000</v>
      </c>
      <c r="E158" s="471">
        <v>0</v>
      </c>
      <c r="F158" s="455">
        <f t="shared" si="4"/>
        <v>1800000</v>
      </c>
    </row>
    <row r="159" spans="1:6" ht="13.5" thickBot="1">
      <c r="A159" s="510"/>
      <c r="B159" s="19"/>
      <c r="C159" s="509"/>
      <c r="D159" s="509"/>
      <c r="E159" s="509"/>
      <c r="F159" s="509"/>
    </row>
    <row r="160" spans="1:6" ht="13.5" thickBot="1">
      <c r="A160" s="456">
        <v>5.02</v>
      </c>
      <c r="B160" s="9" t="s">
        <v>638</v>
      </c>
      <c r="C160" s="474">
        <v>0</v>
      </c>
      <c r="D160" s="474">
        <f>SUM(D161:D164)</f>
        <v>35250000</v>
      </c>
      <c r="E160" s="474">
        <f>SUM(E161:E164)</f>
        <v>171911598.22</v>
      </c>
      <c r="F160" s="457">
        <f>SUM(F161:F164)</f>
        <v>207161598.22</v>
      </c>
    </row>
    <row r="161" spans="1:6" ht="12.75">
      <c r="A161" s="451" t="s">
        <v>639</v>
      </c>
      <c r="B161" s="79" t="s">
        <v>768</v>
      </c>
      <c r="C161" s="469">
        <v>0</v>
      </c>
      <c r="D161" s="469">
        <v>0</v>
      </c>
      <c r="E161" s="469">
        <v>0</v>
      </c>
      <c r="F161" s="450">
        <f>C161+D161+E161</f>
        <v>0</v>
      </c>
    </row>
    <row r="162" spans="1:6" ht="12.75">
      <c r="A162" s="451" t="s">
        <v>640</v>
      </c>
      <c r="B162" s="79" t="s">
        <v>759</v>
      </c>
      <c r="C162" s="469">
        <v>0</v>
      </c>
      <c r="D162" s="469">
        <v>0</v>
      </c>
      <c r="E162" s="469">
        <f>+'PROGRAMA 3'!C40</f>
        <v>171911598.22</v>
      </c>
      <c r="F162" s="450">
        <f>C162+D162+E162</f>
        <v>171911598.22</v>
      </c>
    </row>
    <row r="163" spans="1:6" ht="12.75">
      <c r="A163" s="451" t="s">
        <v>1074</v>
      </c>
      <c r="B163" s="79" t="s">
        <v>12</v>
      </c>
      <c r="C163" s="469">
        <v>0</v>
      </c>
      <c r="D163" s="469">
        <f>+'PROGRAMA 2'!C119</f>
        <v>30250000</v>
      </c>
      <c r="E163" s="469">
        <v>0</v>
      </c>
      <c r="F163" s="450">
        <f>C163+D163+E163</f>
        <v>30250000</v>
      </c>
    </row>
    <row r="164" spans="1:6" ht="12.75">
      <c r="A164" s="451" t="s">
        <v>1075</v>
      </c>
      <c r="B164" s="79" t="s">
        <v>13</v>
      </c>
      <c r="C164" s="469">
        <v>0</v>
      </c>
      <c r="D164" s="469">
        <f>+'PROGRAMA 2'!C120</f>
        <v>5000000</v>
      </c>
      <c r="E164" s="469">
        <v>0</v>
      </c>
      <c r="F164" s="450">
        <f>C164+D164+E164</f>
        <v>5000000</v>
      </c>
    </row>
    <row r="165" spans="1:6" ht="13.5" thickBot="1">
      <c r="A165" s="447">
        <v>5.99</v>
      </c>
      <c r="B165" s="122" t="s">
        <v>253</v>
      </c>
      <c r="C165" s="468">
        <v>0</v>
      </c>
      <c r="D165" s="468">
        <f>D166</f>
        <v>0</v>
      </c>
      <c r="E165" s="468">
        <f>E166</f>
        <v>0</v>
      </c>
      <c r="F165" s="448">
        <f>F166</f>
        <v>0</v>
      </c>
    </row>
    <row r="166" spans="1:6" ht="12.75">
      <c r="A166" s="451" t="s">
        <v>643</v>
      </c>
      <c r="B166" s="79" t="s">
        <v>254</v>
      </c>
      <c r="C166" s="469">
        <v>0</v>
      </c>
      <c r="D166" s="469">
        <v>0</v>
      </c>
      <c r="E166" s="469">
        <v>0</v>
      </c>
      <c r="F166" s="450">
        <f>C166+D166+E166</f>
        <v>0</v>
      </c>
    </row>
    <row r="167" spans="1:6" ht="13.5" thickBot="1">
      <c r="A167" s="454"/>
      <c r="B167" s="120"/>
      <c r="C167" s="471"/>
      <c r="D167" s="471"/>
      <c r="E167" s="471"/>
      <c r="F167" s="455"/>
    </row>
    <row r="168" spans="1:6" ht="13.5" thickBot="1">
      <c r="A168" s="458">
        <v>6</v>
      </c>
      <c r="B168" s="475" t="s">
        <v>812</v>
      </c>
      <c r="C168" s="476">
        <f>C169+C175+C177</f>
        <v>168611692.3552</v>
      </c>
      <c r="D168" s="476">
        <f>D169+D175+D177</f>
        <v>18750000</v>
      </c>
      <c r="E168" s="476">
        <f>E169+E175</f>
        <v>0</v>
      </c>
      <c r="F168" s="459">
        <f>F169+F175+F177</f>
        <v>187361692.3552</v>
      </c>
    </row>
    <row r="169" spans="1:6" ht="14.25" thickBot="1" thickTop="1">
      <c r="A169" s="452">
        <v>6.01</v>
      </c>
      <c r="B169" s="464" t="s">
        <v>644</v>
      </c>
      <c r="C169" s="470">
        <f>SUM(C170:C174)</f>
        <v>168611692.3552</v>
      </c>
      <c r="D169" s="470">
        <f>SUM(D170:D173)</f>
        <v>0</v>
      </c>
      <c r="E169" s="470">
        <f>SUM(E170:E173)</f>
        <v>0</v>
      </c>
      <c r="F169" s="453">
        <f>SUM(F170:F174)</f>
        <v>168611692.3552</v>
      </c>
    </row>
    <row r="170" spans="1:6" ht="12.75">
      <c r="A170" s="451" t="s">
        <v>645</v>
      </c>
      <c r="B170" s="79" t="s">
        <v>646</v>
      </c>
      <c r="C170" s="469">
        <f>+'PROGRAMA 1'!C103</f>
        <v>6400000</v>
      </c>
      <c r="D170" s="469">
        <v>0</v>
      </c>
      <c r="E170" s="469">
        <v>0</v>
      </c>
      <c r="F170" s="450">
        <f>C170+D170+E170</f>
        <v>6400000</v>
      </c>
    </row>
    <row r="171" spans="1:6" ht="12.75">
      <c r="A171" s="449" t="s">
        <v>647</v>
      </c>
      <c r="B171" s="79" t="s">
        <v>648</v>
      </c>
      <c r="C171" s="469">
        <f>+'PROGRAMA 1'!C106</f>
        <v>26500000</v>
      </c>
      <c r="D171" s="469">
        <v>0</v>
      </c>
      <c r="E171" s="469">
        <v>0</v>
      </c>
      <c r="F171" s="450">
        <f>C171+D171+E171</f>
        <v>26500000</v>
      </c>
    </row>
    <row r="172" spans="1:6" ht="12.75">
      <c r="A172" s="451" t="s">
        <v>649</v>
      </c>
      <c r="B172" s="79" t="s">
        <v>650</v>
      </c>
      <c r="C172" s="469">
        <f>+'PROGRAMA 1'!C111</f>
        <v>72768641.2076</v>
      </c>
      <c r="D172" s="469">
        <v>0</v>
      </c>
      <c r="E172" s="469">
        <v>0</v>
      </c>
      <c r="F172" s="450">
        <f>C172+D172+E172</f>
        <v>72768641.2076</v>
      </c>
    </row>
    <row r="173" spans="1:6" ht="12.75">
      <c r="A173" s="451" t="s">
        <v>1064</v>
      </c>
      <c r="B173" s="79" t="s">
        <v>651</v>
      </c>
      <c r="C173" s="469">
        <f>+'PROGRAMA 1'!C118</f>
        <v>60443051.147599995</v>
      </c>
      <c r="D173" s="469">
        <v>0</v>
      </c>
      <c r="E173" s="469">
        <v>0</v>
      </c>
      <c r="F173" s="450">
        <f>C173+D173+E173</f>
        <v>60443051.147599995</v>
      </c>
    </row>
    <row r="174" spans="1:6" ht="12.75">
      <c r="A174" s="451" t="s">
        <v>1082</v>
      </c>
      <c r="B174" s="79" t="s">
        <v>1083</v>
      </c>
      <c r="C174" s="469">
        <f>+'PROGRAMA 1'!C122</f>
        <v>2500000</v>
      </c>
      <c r="D174" s="469">
        <v>0</v>
      </c>
      <c r="E174" s="469">
        <v>0</v>
      </c>
      <c r="F174" s="450">
        <f>C174+D174+E174</f>
        <v>2500000</v>
      </c>
    </row>
    <row r="175" spans="1:6" ht="13.5" thickBot="1">
      <c r="A175" s="447">
        <v>6.02</v>
      </c>
      <c r="B175" s="122" t="s">
        <v>660</v>
      </c>
      <c r="C175" s="468">
        <v>0</v>
      </c>
      <c r="D175" s="468">
        <f>D176</f>
        <v>18750000</v>
      </c>
      <c r="E175" s="468">
        <f>E176</f>
        <v>0</v>
      </c>
      <c r="F175" s="448">
        <f>F176</f>
        <v>18750000</v>
      </c>
    </row>
    <row r="176" spans="1:6" ht="12.75">
      <c r="A176" s="451" t="s">
        <v>661</v>
      </c>
      <c r="B176" s="79" t="s">
        <v>746</v>
      </c>
      <c r="C176" s="469">
        <v>0</v>
      </c>
      <c r="D176" s="469">
        <f>+'PROGRAMA 2'!C124</f>
        <v>18750000</v>
      </c>
      <c r="E176" s="469">
        <v>0</v>
      </c>
      <c r="F176" s="450">
        <f>C176+D176+E176</f>
        <v>18750000</v>
      </c>
    </row>
    <row r="177" spans="1:6" ht="13.5" thickBot="1">
      <c r="A177" s="447">
        <v>6.03</v>
      </c>
      <c r="B177" s="122" t="s">
        <v>1251</v>
      </c>
      <c r="C177" s="468">
        <f>C178</f>
        <v>0</v>
      </c>
      <c r="D177" s="468">
        <f>D178</f>
        <v>0</v>
      </c>
      <c r="E177" s="468">
        <f>E178</f>
        <v>0</v>
      </c>
      <c r="F177" s="448">
        <f>F178</f>
        <v>0</v>
      </c>
    </row>
    <row r="178" spans="1:6" ht="12.75">
      <c r="A178" s="502" t="s">
        <v>1254</v>
      </c>
      <c r="B178" s="503" t="s">
        <v>1252</v>
      </c>
      <c r="C178" s="469">
        <v>0</v>
      </c>
      <c r="D178" s="469">
        <v>0</v>
      </c>
      <c r="E178" s="469">
        <v>0</v>
      </c>
      <c r="F178" s="450">
        <f>C178+D178+E178</f>
        <v>0</v>
      </c>
    </row>
    <row r="179" spans="1:6" ht="12.75">
      <c r="A179" s="451"/>
      <c r="B179" s="79"/>
      <c r="C179" s="469"/>
      <c r="D179" s="469"/>
      <c r="E179" s="469"/>
      <c r="F179" s="450"/>
    </row>
    <row r="180" spans="1:6" ht="13.5" thickBot="1">
      <c r="A180" s="445">
        <v>7</v>
      </c>
      <c r="B180" s="463" t="s">
        <v>662</v>
      </c>
      <c r="C180" s="467">
        <f>C184</f>
        <v>0</v>
      </c>
      <c r="D180" s="467">
        <f>D184</f>
        <v>0</v>
      </c>
      <c r="E180" s="467">
        <f>E184+E181</f>
        <v>27000000</v>
      </c>
      <c r="F180" s="446">
        <f>F184+F181</f>
        <v>27000000</v>
      </c>
    </row>
    <row r="181" spans="1:6" s="19" customFormat="1" ht="14.25" thickBot="1" thickTop="1">
      <c r="A181" s="447" t="s">
        <v>1077</v>
      </c>
      <c r="B181" s="122" t="s">
        <v>1078</v>
      </c>
      <c r="C181" s="468">
        <f>C182</f>
        <v>0</v>
      </c>
      <c r="D181" s="468">
        <f>D182</f>
        <v>0</v>
      </c>
      <c r="E181" s="468">
        <f>E182</f>
        <v>0</v>
      </c>
      <c r="F181" s="448">
        <f>F182</f>
        <v>0</v>
      </c>
    </row>
    <row r="182" spans="1:6" ht="12.75">
      <c r="A182" s="502" t="s">
        <v>1079</v>
      </c>
      <c r="B182" s="503" t="s">
        <v>1080</v>
      </c>
      <c r="C182" s="504">
        <v>0</v>
      </c>
      <c r="D182" s="504">
        <v>0</v>
      </c>
      <c r="E182" s="504">
        <v>0</v>
      </c>
      <c r="F182" s="505">
        <f>C182+D182+E182</f>
        <v>0</v>
      </c>
    </row>
    <row r="183" spans="1:6" ht="12.75">
      <c r="A183" s="506" t="s">
        <v>1076</v>
      </c>
      <c r="B183" s="500" t="s">
        <v>663</v>
      </c>
      <c r="C183" s="501"/>
      <c r="D183" s="501"/>
      <c r="E183" s="501"/>
      <c r="F183" s="507"/>
    </row>
    <row r="184" spans="1:6" ht="13.5" thickBot="1">
      <c r="A184" s="447"/>
      <c r="B184" s="122" t="s">
        <v>263</v>
      </c>
      <c r="C184" s="468">
        <v>0</v>
      </c>
      <c r="D184" s="468">
        <v>0</v>
      </c>
      <c r="E184" s="468">
        <f>E185</f>
        <v>27000000</v>
      </c>
      <c r="F184" s="448">
        <f>F185</f>
        <v>27000000</v>
      </c>
    </row>
    <row r="185" spans="1:6" ht="12.75">
      <c r="A185" s="451" t="s">
        <v>664</v>
      </c>
      <c r="B185" s="79" t="s">
        <v>665</v>
      </c>
      <c r="C185" s="469">
        <v>0</v>
      </c>
      <c r="D185" s="469">
        <v>0</v>
      </c>
      <c r="E185" s="469">
        <f>+'PROGRAMA 3'!C44</f>
        <v>27000000</v>
      </c>
      <c r="F185" s="450">
        <f>C185+D185+E185</f>
        <v>27000000</v>
      </c>
    </row>
    <row r="186" spans="1:6" ht="12.75">
      <c r="A186" s="451"/>
      <c r="B186" s="79"/>
      <c r="C186" s="469"/>
      <c r="D186" s="469"/>
      <c r="E186" s="469"/>
      <c r="F186" s="450"/>
    </row>
    <row r="187" spans="1:6" ht="13.5" thickBot="1">
      <c r="A187" s="445">
        <v>8</v>
      </c>
      <c r="B187" s="463" t="s">
        <v>1031</v>
      </c>
      <c r="C187" s="467">
        <f>C188</f>
        <v>18904459.92</v>
      </c>
      <c r="D187" s="467">
        <f>D188</f>
        <v>7444628.02</v>
      </c>
      <c r="E187" s="467">
        <f>E188</f>
        <v>0</v>
      </c>
      <c r="F187" s="446">
        <f>F188</f>
        <v>26349087.94</v>
      </c>
    </row>
    <row r="188" spans="1:6" ht="14.25" thickBot="1" thickTop="1">
      <c r="A188" s="452">
        <v>8.02</v>
      </c>
      <c r="B188" s="464" t="s">
        <v>1081</v>
      </c>
      <c r="C188" s="470">
        <f>SUM(C189:C189)</f>
        <v>18904459.92</v>
      </c>
      <c r="D188" s="470">
        <f>SUM(D189:D189)</f>
        <v>7444628.02</v>
      </c>
      <c r="E188" s="470">
        <f>SUM(E189:E189)</f>
        <v>0</v>
      </c>
      <c r="F188" s="453">
        <f>SUM(F189:F189)</f>
        <v>26349087.94</v>
      </c>
    </row>
    <row r="189" spans="1:6" ht="12.75">
      <c r="A189" s="451" t="s">
        <v>666</v>
      </c>
      <c r="B189" s="79" t="s">
        <v>667</v>
      </c>
      <c r="C189" s="469">
        <f>+'PROGRAMA 1'!C127</f>
        <v>18904459.92</v>
      </c>
      <c r="D189" s="469">
        <f>+'PROGRAMA 2'!C128</f>
        <v>7444628.02</v>
      </c>
      <c r="E189" s="469">
        <v>0</v>
      </c>
      <c r="F189" s="450">
        <f>C189+D189+E189</f>
        <v>26349087.94</v>
      </c>
    </row>
    <row r="190" spans="1:6" ht="12.75">
      <c r="A190" s="451"/>
      <c r="B190" s="79"/>
      <c r="C190" s="469"/>
      <c r="D190" s="469"/>
      <c r="E190" s="469"/>
      <c r="F190" s="450"/>
    </row>
    <row r="191" spans="1:6" ht="13.5" thickBot="1">
      <c r="A191" s="460"/>
      <c r="B191" s="463" t="s">
        <v>168</v>
      </c>
      <c r="C191" s="467">
        <f>C192</f>
        <v>0</v>
      </c>
      <c r="D191" s="467">
        <f>D192</f>
        <v>0</v>
      </c>
      <c r="E191" s="467">
        <f>E192</f>
        <v>17343003.9</v>
      </c>
      <c r="F191" s="446">
        <f>F192</f>
        <v>17343003.9</v>
      </c>
    </row>
    <row r="192" spans="1:6" ht="14.25" thickBot="1" thickTop="1">
      <c r="A192" s="452">
        <v>9.02</v>
      </c>
      <c r="B192" s="464" t="s">
        <v>668</v>
      </c>
      <c r="C192" s="477">
        <f>C194+C193</f>
        <v>0</v>
      </c>
      <c r="D192" s="477">
        <f>D194+D193</f>
        <v>0</v>
      </c>
      <c r="E192" s="477">
        <f>E194+E193</f>
        <v>17343003.9</v>
      </c>
      <c r="F192" s="461">
        <f>F194+F193</f>
        <v>17343003.9</v>
      </c>
    </row>
    <row r="193" spans="1:6" ht="12.75">
      <c r="A193" s="502" t="s">
        <v>1265</v>
      </c>
      <c r="B193" s="503" t="s">
        <v>1262</v>
      </c>
      <c r="C193" s="649">
        <v>0</v>
      </c>
      <c r="D193" s="649">
        <v>0</v>
      </c>
      <c r="E193" s="649">
        <v>0</v>
      </c>
      <c r="F193" s="450">
        <f>C193+D193+E193</f>
        <v>0</v>
      </c>
    </row>
    <row r="194" spans="1:6" ht="12.75">
      <c r="A194" s="451" t="s">
        <v>669</v>
      </c>
      <c r="B194" s="79" t="s">
        <v>670</v>
      </c>
      <c r="C194" s="469">
        <v>0</v>
      </c>
      <c r="D194" s="469">
        <v>0</v>
      </c>
      <c r="E194" s="469">
        <f>+'PROGRAMA 3'!C55</f>
        <v>17343003.9</v>
      </c>
      <c r="F194" s="450">
        <f>C194+D194+E194</f>
        <v>17343003.9</v>
      </c>
    </row>
    <row r="195" spans="1:6" ht="13.5" thickBot="1">
      <c r="A195" s="454"/>
      <c r="B195" s="120"/>
      <c r="C195" s="120"/>
      <c r="D195" s="120"/>
      <c r="E195" s="120"/>
      <c r="F195" s="2"/>
    </row>
    <row r="196" ht="12.75">
      <c r="A196" s="435"/>
    </row>
    <row r="197" ht="12.75">
      <c r="A197" s="435"/>
    </row>
    <row r="198" ht="12.75">
      <c r="A198" s="435"/>
    </row>
    <row r="199" ht="12.75">
      <c r="A199" s="435"/>
    </row>
    <row r="200" ht="12.75">
      <c r="A200" s="435"/>
    </row>
    <row r="201" ht="12.75">
      <c r="A201" s="435"/>
    </row>
    <row r="202" ht="12.75">
      <c r="A202" s="435"/>
    </row>
    <row r="203" ht="12.75">
      <c r="A203" s="435"/>
    </row>
  </sheetData>
  <sheetProtection/>
  <mergeCells count="6">
    <mergeCell ref="A40:F40"/>
    <mergeCell ref="A41:F41"/>
    <mergeCell ref="A1:F1"/>
    <mergeCell ref="A2:F2"/>
    <mergeCell ref="A3:F3"/>
    <mergeCell ref="A39:F39"/>
  </mergeCells>
  <printOptions/>
  <pageMargins left="0" right="0" top="0.984251968503937" bottom="0.984251968503937" header="0" footer="0"/>
  <pageSetup horizontalDpi="300" verticalDpi="300" orientation="landscape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49.7109375" style="0" customWidth="1"/>
    <col min="2" max="2" width="13.28125" style="0" customWidth="1"/>
    <col min="3" max="3" width="9.00390625" style="0" customWidth="1"/>
  </cols>
  <sheetData>
    <row r="1" spans="1:3" ht="15.75">
      <c r="A1" s="214" t="s">
        <v>823</v>
      </c>
      <c r="B1" s="215"/>
      <c r="C1" s="215"/>
    </row>
    <row r="2" spans="1:3" ht="15.75">
      <c r="A2" s="214" t="s">
        <v>47</v>
      </c>
      <c r="B2" s="215"/>
      <c r="C2" s="215"/>
    </row>
    <row r="3" spans="1:3" ht="15.75">
      <c r="A3" s="214" t="s">
        <v>49</v>
      </c>
      <c r="B3" s="215"/>
      <c r="C3" s="215"/>
    </row>
    <row r="4" spans="1:3" ht="15.75">
      <c r="A4" s="214" t="s">
        <v>50</v>
      </c>
      <c r="B4" s="215"/>
      <c r="C4" s="215"/>
    </row>
    <row r="6" ht="13.5" thickBot="1"/>
    <row r="7" spans="1:2" ht="15.75">
      <c r="A7" s="920" t="s">
        <v>49</v>
      </c>
      <c r="B7" s="921"/>
    </row>
    <row r="8" spans="1:2" ht="13.5" thickBot="1">
      <c r="A8" s="922"/>
      <c r="B8" s="923"/>
    </row>
    <row r="9" spans="1:3" ht="12.75">
      <c r="A9" s="483"/>
      <c r="B9" s="484"/>
      <c r="C9" s="485"/>
    </row>
    <row r="10" spans="1:3" ht="12.75">
      <c r="A10" s="486" t="s">
        <v>51</v>
      </c>
      <c r="B10" s="487">
        <v>3500000</v>
      </c>
      <c r="C10" s="488">
        <f>C11+C12</f>
        <v>1</v>
      </c>
    </row>
    <row r="11" spans="1:3" ht="12.75">
      <c r="A11" s="483" t="s">
        <v>52</v>
      </c>
      <c r="B11" s="489">
        <v>1050000</v>
      </c>
      <c r="C11" s="490">
        <f>B11/B10</f>
        <v>0.3</v>
      </c>
    </row>
    <row r="12" spans="1:3" ht="12.75">
      <c r="A12" s="483" t="s">
        <v>53</v>
      </c>
      <c r="B12" s="489">
        <v>2450000</v>
      </c>
      <c r="C12" s="490">
        <f>B12/B10</f>
        <v>0.7</v>
      </c>
    </row>
    <row r="13" spans="1:3" ht="12.75">
      <c r="A13" s="483"/>
      <c r="B13" s="491"/>
      <c r="C13" s="492"/>
    </row>
    <row r="14" spans="1:3" ht="13.5" thickBot="1">
      <c r="A14" s="493"/>
      <c r="B14" s="494"/>
      <c r="C14" s="495"/>
    </row>
    <row r="16" spans="1:4" ht="12.75">
      <c r="A16" s="30" t="s">
        <v>431</v>
      </c>
      <c r="B16" s="26"/>
      <c r="C16" s="26"/>
      <c r="D16" s="26"/>
    </row>
    <row r="17" spans="1:4" ht="12.75">
      <c r="A17" s="30" t="s">
        <v>1666</v>
      </c>
      <c r="B17" s="26"/>
      <c r="C17" s="26"/>
      <c r="D17" s="26"/>
    </row>
  </sheetData>
  <sheetProtection/>
  <mergeCells count="2">
    <mergeCell ref="A7:B7"/>
    <mergeCell ref="A8:B8"/>
  </mergeCells>
  <printOptions horizontalCentered="1"/>
  <pageMargins left="0.15748031496062992" right="0.15748031496062992" top="0.3937007874015748" bottom="0.3937007874015748" header="0" footer="0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54.421875" style="0" customWidth="1"/>
    <col min="2" max="2" width="23.00390625" style="0" customWidth="1"/>
  </cols>
  <sheetData>
    <row r="2" spans="1:2" ht="12.75">
      <c r="A2" s="924" t="s">
        <v>823</v>
      </c>
      <c r="B2" s="924"/>
    </row>
    <row r="3" spans="1:2" ht="12.75">
      <c r="A3" s="924" t="s">
        <v>788</v>
      </c>
      <c r="B3" s="924"/>
    </row>
    <row r="4" spans="1:2" ht="12.75">
      <c r="A4" s="925" t="s">
        <v>1255</v>
      </c>
      <c r="B4" s="925"/>
    </row>
    <row r="5" ht="12.75">
      <c r="A5" s="26" t="s">
        <v>1256</v>
      </c>
    </row>
    <row r="6" ht="13.5" thickBot="1"/>
    <row r="7" spans="1:2" ht="12.75">
      <c r="A7" s="512" t="s">
        <v>789</v>
      </c>
      <c r="B7" s="513" t="s">
        <v>773</v>
      </c>
    </row>
    <row r="8" spans="1:2" ht="12.75">
      <c r="A8" s="514"/>
      <c r="B8" s="515"/>
    </row>
    <row r="9" spans="1:2" ht="12.75">
      <c r="A9" s="516" t="s">
        <v>790</v>
      </c>
      <c r="B9" s="517">
        <f>+'Egr.X part'!F11</f>
        <v>499054110.42999995</v>
      </c>
    </row>
    <row r="10" spans="1:2" ht="12.75">
      <c r="A10" s="514"/>
      <c r="B10" s="515"/>
    </row>
    <row r="11" spans="1:2" ht="12.75">
      <c r="A11" s="516" t="s">
        <v>791</v>
      </c>
      <c r="B11" s="517">
        <f>+'Egr.X part'!F13</f>
        <v>71606273.99000001</v>
      </c>
    </row>
    <row r="12" spans="1:2" ht="12.75">
      <c r="A12" s="514"/>
      <c r="B12" s="515"/>
    </row>
    <row r="13" spans="1:2" ht="12.75">
      <c r="A13" s="516" t="s">
        <v>792</v>
      </c>
      <c r="B13" s="517">
        <f>+'Egr.X part'!F17</f>
        <v>224061598.22</v>
      </c>
    </row>
    <row r="14" spans="1:2" ht="12.75">
      <c r="A14" s="514"/>
      <c r="B14" s="515"/>
    </row>
    <row r="15" spans="1:2" ht="15.75" thickBot="1">
      <c r="A15" s="518" t="s">
        <v>826</v>
      </c>
      <c r="B15" s="519">
        <f>B9+B11+B13</f>
        <v>794721982.64</v>
      </c>
    </row>
    <row r="17" spans="1:2" ht="12.75">
      <c r="A17" s="30" t="s">
        <v>431</v>
      </c>
      <c r="B17" s="26"/>
    </row>
    <row r="18" spans="1:2" ht="12.75">
      <c r="A18" s="30" t="s">
        <v>1667</v>
      </c>
      <c r="B18" s="26"/>
    </row>
  </sheetData>
  <sheetProtection/>
  <mergeCells count="3">
    <mergeCell ref="A2:B2"/>
    <mergeCell ref="A3:B3"/>
    <mergeCell ref="A4:B4"/>
  </mergeCells>
  <printOptions horizontalCentered="1"/>
  <pageMargins left="0.15748031496062992" right="0.15748031496062992" top="0.3937007874015748" bottom="0.3937007874015748" header="0" footer="0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38.28125" style="0" customWidth="1"/>
    <col min="2" max="2" width="20.00390625" style="0" customWidth="1"/>
    <col min="3" max="3" width="24.421875" style="0" customWidth="1"/>
    <col min="4" max="4" width="32.28125" style="0" customWidth="1"/>
  </cols>
  <sheetData>
    <row r="1" spans="1:4" s="370" customFormat="1" ht="14.25" customHeight="1">
      <c r="A1" s="745"/>
      <c r="B1" s="745"/>
      <c r="C1" s="745"/>
      <c r="D1" s="745"/>
    </row>
    <row r="2" spans="1:4" ht="15.75">
      <c r="A2" s="863" t="s">
        <v>823</v>
      </c>
      <c r="B2" s="863"/>
      <c r="C2" s="863"/>
      <c r="D2" s="863"/>
    </row>
    <row r="3" spans="1:4" ht="15.75">
      <c r="A3" s="863" t="s">
        <v>1388</v>
      </c>
      <c r="B3" s="863"/>
      <c r="C3" s="863"/>
      <c r="D3" s="863"/>
    </row>
    <row r="4" spans="1:4" ht="15.75">
      <c r="A4" s="863" t="s">
        <v>1389</v>
      </c>
      <c r="B4" s="863"/>
      <c r="C4" s="863"/>
      <c r="D4" s="863"/>
    </row>
    <row r="6" ht="13.5" thickBot="1"/>
    <row r="7" spans="1:4" ht="28.5" customHeight="1">
      <c r="A7" s="746" t="s">
        <v>1390</v>
      </c>
      <c r="B7" s="747" t="s">
        <v>1391</v>
      </c>
      <c r="C7" s="839" t="s">
        <v>1392</v>
      </c>
      <c r="D7" s="840" t="s">
        <v>1393</v>
      </c>
    </row>
    <row r="8" spans="1:4" ht="12.75">
      <c r="A8" s="751" t="s">
        <v>1395</v>
      </c>
      <c r="B8" s="162" t="s">
        <v>1399</v>
      </c>
      <c r="C8" s="752" t="s">
        <v>1401</v>
      </c>
      <c r="D8" s="748"/>
    </row>
    <row r="9" spans="1:4" ht="12.75">
      <c r="A9" s="751" t="s">
        <v>1396</v>
      </c>
      <c r="B9" s="162" t="s">
        <v>1398</v>
      </c>
      <c r="C9" s="752" t="s">
        <v>1402</v>
      </c>
      <c r="D9" s="748"/>
    </row>
    <row r="10" spans="1:4" ht="12.75">
      <c r="A10" s="751" t="s">
        <v>1397</v>
      </c>
      <c r="B10" s="162" t="s">
        <v>1400</v>
      </c>
      <c r="C10" s="752" t="s">
        <v>1403</v>
      </c>
      <c r="D10" s="748"/>
    </row>
    <row r="11" spans="1:4" ht="12.75">
      <c r="A11" s="514"/>
      <c r="B11" s="4"/>
      <c r="C11" s="4"/>
      <c r="D11" s="748"/>
    </row>
    <row r="12" spans="1:4" ht="12.75">
      <c r="A12" s="514"/>
      <c r="B12" s="4"/>
      <c r="C12" s="4"/>
      <c r="D12" s="748"/>
    </row>
    <row r="13" spans="1:4" ht="12.75">
      <c r="A13" s="514"/>
      <c r="B13" s="4"/>
      <c r="C13" s="4"/>
      <c r="D13" s="748"/>
    </row>
    <row r="14" spans="1:4" ht="12.75">
      <c r="A14" s="514"/>
      <c r="B14" s="4"/>
      <c r="C14" s="4"/>
      <c r="D14" s="748"/>
    </row>
    <row r="15" spans="1:4" ht="12.75">
      <c r="A15" s="514"/>
      <c r="B15" s="4"/>
      <c r="C15" s="4"/>
      <c r="D15" s="748"/>
    </row>
    <row r="16" spans="1:4" ht="12.75">
      <c r="A16" s="514"/>
      <c r="B16" s="4"/>
      <c r="C16" s="4"/>
      <c r="D16" s="748"/>
    </row>
    <row r="17" spans="1:4" ht="12.75">
      <c r="A17" s="514"/>
      <c r="B17" s="4"/>
      <c r="C17" s="4"/>
      <c r="D17" s="748"/>
    </row>
    <row r="18" spans="1:4" ht="12.75">
      <c r="A18" s="514"/>
      <c r="B18" s="4"/>
      <c r="C18" s="4"/>
      <c r="D18" s="748"/>
    </row>
    <row r="19" spans="1:4" ht="12.75">
      <c r="A19" s="514"/>
      <c r="B19" s="4"/>
      <c r="C19" s="4"/>
      <c r="D19" s="748"/>
    </row>
    <row r="20" spans="1:4" ht="12.75">
      <c r="A20" s="514"/>
      <c r="B20" s="4"/>
      <c r="C20" s="4"/>
      <c r="D20" s="748"/>
    </row>
    <row r="21" spans="1:4" ht="12.75">
      <c r="A21" s="514"/>
      <c r="B21" s="4"/>
      <c r="C21" s="4"/>
      <c r="D21" s="748"/>
    </row>
    <row r="22" spans="1:4" ht="12.75">
      <c r="A22" s="514"/>
      <c r="B22" s="4"/>
      <c r="C22" s="4"/>
      <c r="D22" s="748"/>
    </row>
    <row r="23" spans="1:4" ht="13.5" thickBot="1">
      <c r="A23" s="749"/>
      <c r="B23" s="112"/>
      <c r="C23" s="112"/>
      <c r="D23" s="750"/>
    </row>
    <row r="24" ht="13.5" thickBot="1"/>
    <row r="25" spans="1:4" ht="44.25" customHeight="1" thickBot="1">
      <c r="A25" s="926" t="s">
        <v>1394</v>
      </c>
      <c r="B25" s="927"/>
      <c r="C25" s="927"/>
      <c r="D25" s="928"/>
    </row>
    <row r="27" s="26" customFormat="1" ht="12.75">
      <c r="A27" s="30" t="s">
        <v>431</v>
      </c>
    </row>
    <row r="28" s="26" customFormat="1" ht="18" customHeight="1">
      <c r="A28" s="30" t="s">
        <v>1666</v>
      </c>
    </row>
    <row r="29" s="26" customFormat="1" ht="12.75">
      <c r="A29" s="30"/>
    </row>
  </sheetData>
  <sheetProtection/>
  <mergeCells count="4">
    <mergeCell ref="A2:D2"/>
    <mergeCell ref="A3:D3"/>
    <mergeCell ref="A4:D4"/>
    <mergeCell ref="A25:D2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34">
      <selection activeCell="A55" sqref="A55"/>
    </sheetView>
  </sheetViews>
  <sheetFormatPr defaultColWidth="11.421875" defaultRowHeight="12.75"/>
  <cols>
    <col min="1" max="1" width="3.00390625" style="0" customWidth="1"/>
    <col min="2" max="2" width="28.57421875" style="0" customWidth="1"/>
    <col min="3" max="3" width="15.8515625" style="0" customWidth="1"/>
    <col min="4" max="4" width="17.7109375" style="0" customWidth="1"/>
    <col min="5" max="6" width="14.8515625" style="0" customWidth="1"/>
    <col min="7" max="7" width="12.8515625" style="0" customWidth="1"/>
    <col min="8" max="9" width="13.57421875" style="0" customWidth="1"/>
  </cols>
  <sheetData>
    <row r="1" spans="1:12" ht="15.75">
      <c r="A1" s="214" t="s">
        <v>823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15.75">
      <c r="A2" s="214" t="s">
        <v>266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15.75">
      <c r="A3" s="214" t="s">
        <v>267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3.5" thickBot="1">
      <c r="A4" s="850"/>
      <c r="B4" s="850"/>
      <c r="C4" s="850"/>
      <c r="D4" s="850"/>
      <c r="E4" s="850"/>
      <c r="F4" s="850"/>
      <c r="G4" s="850"/>
      <c r="H4" s="850"/>
      <c r="I4" s="850"/>
      <c r="J4" s="850"/>
      <c r="K4" s="850"/>
      <c r="L4" s="850"/>
    </row>
    <row r="5" spans="1:12" ht="12.75">
      <c r="A5" s="216"/>
      <c r="B5" s="217" t="s">
        <v>268</v>
      </c>
      <c r="C5" s="218" t="s">
        <v>269</v>
      </c>
      <c r="D5" s="219" t="s">
        <v>270</v>
      </c>
      <c r="E5" s="218" t="s">
        <v>271</v>
      </c>
      <c r="F5" s="219" t="s">
        <v>106</v>
      </c>
      <c r="G5" s="575" t="s">
        <v>370</v>
      </c>
      <c r="H5" s="218" t="s">
        <v>272</v>
      </c>
      <c r="I5" s="219" t="s">
        <v>273</v>
      </c>
      <c r="J5" s="218" t="s">
        <v>274</v>
      </c>
      <c r="K5" s="218" t="s">
        <v>275</v>
      </c>
      <c r="L5" s="220" t="s">
        <v>276</v>
      </c>
    </row>
    <row r="6" spans="1:12" ht="13.5" thickBot="1">
      <c r="A6" s="221"/>
      <c r="B6" s="222" t="s">
        <v>277</v>
      </c>
      <c r="C6" s="223" t="s">
        <v>278</v>
      </c>
      <c r="D6" s="213" t="s">
        <v>279</v>
      </c>
      <c r="E6" s="223"/>
      <c r="F6" s="213"/>
      <c r="G6" s="222" t="s">
        <v>371</v>
      </c>
      <c r="H6" s="223"/>
      <c r="I6" s="213"/>
      <c r="J6" s="223" t="s">
        <v>279</v>
      </c>
      <c r="K6" s="223"/>
      <c r="L6" s="224"/>
    </row>
    <row r="7" spans="1:12" ht="12.75">
      <c r="A7" s="225"/>
      <c r="B7" s="226"/>
      <c r="C7" s="227"/>
      <c r="D7" s="227"/>
      <c r="E7" s="227"/>
      <c r="F7" s="227"/>
      <c r="G7" s="227"/>
      <c r="H7" s="227"/>
      <c r="I7" s="227"/>
      <c r="J7" s="227"/>
      <c r="K7" s="227"/>
      <c r="L7" s="228"/>
    </row>
    <row r="8" spans="1:12" ht="12.75">
      <c r="A8" s="229">
        <v>1</v>
      </c>
      <c r="B8" s="230" t="s">
        <v>280</v>
      </c>
      <c r="C8" s="231">
        <f>+INGRESOS!C45</f>
        <v>500000</v>
      </c>
      <c r="D8" s="231">
        <f>+INGRESOS!C44</f>
        <v>208000000</v>
      </c>
      <c r="E8" s="231">
        <f>+INGRESOS!C37</f>
        <v>228000000</v>
      </c>
      <c r="F8" s="231">
        <f>+INGRESOS!C42</f>
        <v>37000000</v>
      </c>
      <c r="G8" s="231">
        <f>+INGRESOS!C40</f>
        <v>9500000</v>
      </c>
      <c r="H8" s="231">
        <v>0</v>
      </c>
      <c r="I8" s="231">
        <v>0</v>
      </c>
      <c r="J8" s="231">
        <v>0</v>
      </c>
      <c r="K8" s="231">
        <v>0</v>
      </c>
      <c r="L8" s="232">
        <v>0</v>
      </c>
    </row>
    <row r="9" spans="1:12" ht="12.75">
      <c r="A9" s="233">
        <v>2</v>
      </c>
      <c r="B9" s="234" t="s">
        <v>281</v>
      </c>
      <c r="C9" s="235"/>
      <c r="D9" s="235"/>
      <c r="E9" s="235"/>
      <c r="F9" s="235"/>
      <c r="G9" s="235"/>
      <c r="H9" s="235"/>
      <c r="I9" s="235"/>
      <c r="J9" s="235"/>
      <c r="K9" s="235"/>
      <c r="L9" s="236"/>
    </row>
    <row r="10" spans="1:12" ht="12.75">
      <c r="A10" s="229"/>
      <c r="B10" s="230" t="s">
        <v>282</v>
      </c>
      <c r="C10" s="237">
        <f>C43</f>
        <v>550000</v>
      </c>
      <c r="D10" s="237">
        <f aca="true" t="shared" si="0" ref="D10:L10">D43</f>
        <v>227966390.4087809</v>
      </c>
      <c r="E10" s="237">
        <f t="shared" si="0"/>
        <v>250800000.00894895</v>
      </c>
      <c r="F10" s="237">
        <f t="shared" si="0"/>
        <v>40084477.29528394</v>
      </c>
      <c r="G10" s="237">
        <f t="shared" si="0"/>
        <v>11644742.01554698</v>
      </c>
      <c r="H10" s="237">
        <f t="shared" si="0"/>
        <v>0</v>
      </c>
      <c r="I10" s="237">
        <f t="shared" si="0"/>
        <v>0</v>
      </c>
      <c r="J10" s="237">
        <f t="shared" si="0"/>
        <v>0</v>
      </c>
      <c r="K10" s="237">
        <f t="shared" si="0"/>
        <v>0</v>
      </c>
      <c r="L10" s="238">
        <f t="shared" si="0"/>
        <v>0</v>
      </c>
    </row>
    <row r="11" spans="1:12" ht="12.75">
      <c r="A11" s="233">
        <v>3</v>
      </c>
      <c r="B11" s="234" t="s">
        <v>283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6"/>
    </row>
    <row r="12" spans="1:12" ht="12.75">
      <c r="A12" s="233"/>
      <c r="B12" s="234" t="s">
        <v>284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6"/>
    </row>
    <row r="13" spans="1:12" ht="12.75">
      <c r="A13" s="229"/>
      <c r="B13" s="230" t="s">
        <v>285</v>
      </c>
      <c r="C13" s="237">
        <f>C8-C10</f>
        <v>-50000</v>
      </c>
      <c r="D13" s="237">
        <f aca="true" t="shared" si="1" ref="D13:L13">D8-D10</f>
        <v>-19966390.408780903</v>
      </c>
      <c r="E13" s="237">
        <f t="shared" si="1"/>
        <v>-22800000.008948952</v>
      </c>
      <c r="F13" s="237">
        <f t="shared" si="1"/>
        <v>-3084477.2952839434</v>
      </c>
      <c r="G13" s="237">
        <f t="shared" si="1"/>
        <v>-2144742.0155469794</v>
      </c>
      <c r="H13" s="237">
        <f t="shared" si="1"/>
        <v>0</v>
      </c>
      <c r="I13" s="237">
        <f t="shared" si="1"/>
        <v>0</v>
      </c>
      <c r="J13" s="237">
        <f t="shared" si="1"/>
        <v>0</v>
      </c>
      <c r="K13" s="237">
        <f t="shared" si="1"/>
        <v>0</v>
      </c>
      <c r="L13" s="238">
        <f t="shared" si="1"/>
        <v>0</v>
      </c>
    </row>
    <row r="14" spans="1:12" ht="12.75">
      <c r="A14" s="233">
        <v>4</v>
      </c>
      <c r="B14" s="234" t="s">
        <v>298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2.75">
      <c r="A15" s="233"/>
      <c r="B15" s="234" t="s">
        <v>299</v>
      </c>
      <c r="C15" s="239">
        <f>SUM(C16:C18)</f>
        <v>0</v>
      </c>
      <c r="D15" s="239">
        <f aca="true" t="shared" si="2" ref="D15:L15">SUM(D16:D18)</f>
        <v>0</v>
      </c>
      <c r="E15" s="239">
        <f t="shared" si="2"/>
        <v>820000</v>
      </c>
      <c r="F15" s="239">
        <f t="shared" si="2"/>
        <v>0</v>
      </c>
      <c r="G15" s="239">
        <f t="shared" si="2"/>
        <v>0</v>
      </c>
      <c r="H15" s="239">
        <f t="shared" si="2"/>
        <v>0</v>
      </c>
      <c r="I15" s="239">
        <f t="shared" si="2"/>
        <v>0</v>
      </c>
      <c r="J15" s="239">
        <f t="shared" si="2"/>
        <v>0</v>
      </c>
      <c r="K15" s="239">
        <f t="shared" si="2"/>
        <v>0</v>
      </c>
      <c r="L15" s="240">
        <f t="shared" si="2"/>
        <v>0</v>
      </c>
    </row>
    <row r="16" spans="1:12" ht="12.75">
      <c r="A16" s="233"/>
      <c r="B16" s="241" t="s">
        <v>300</v>
      </c>
      <c r="C16" s="242">
        <v>0</v>
      </c>
      <c r="D16" s="242">
        <v>0</v>
      </c>
      <c r="E16" s="242">
        <f>+INGRESOS!C41</f>
        <v>820000</v>
      </c>
      <c r="F16" s="242"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v>0</v>
      </c>
      <c r="L16" s="243">
        <v>0</v>
      </c>
    </row>
    <row r="17" spans="1:12" ht="12.75">
      <c r="A17" s="233"/>
      <c r="B17" s="241" t="s">
        <v>301</v>
      </c>
      <c r="C17" s="242">
        <v>0</v>
      </c>
      <c r="D17" s="242">
        <v>0</v>
      </c>
      <c r="E17" s="242">
        <v>0</v>
      </c>
      <c r="F17" s="242">
        <v>0</v>
      </c>
      <c r="G17" s="242">
        <v>0</v>
      </c>
      <c r="H17" s="242">
        <v>0</v>
      </c>
      <c r="I17" s="242">
        <v>0</v>
      </c>
      <c r="J17" s="242">
        <v>0</v>
      </c>
      <c r="K17" s="242">
        <v>0</v>
      </c>
      <c r="L17" s="243">
        <v>0</v>
      </c>
    </row>
    <row r="18" spans="1:12" ht="12.75">
      <c r="A18" s="229"/>
      <c r="B18" s="241" t="s">
        <v>301</v>
      </c>
      <c r="C18" s="242">
        <v>0</v>
      </c>
      <c r="D18" s="242">
        <v>0</v>
      </c>
      <c r="E18" s="242"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0</v>
      </c>
      <c r="L18" s="243">
        <v>0</v>
      </c>
    </row>
    <row r="19" spans="1:12" ht="12.75">
      <c r="A19" s="233">
        <v>5</v>
      </c>
      <c r="B19" s="234" t="s">
        <v>302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6"/>
    </row>
    <row r="20" spans="1:12" ht="12.75">
      <c r="A20" s="229"/>
      <c r="B20" s="230" t="s">
        <v>303</v>
      </c>
      <c r="C20" s="237">
        <f>C13+C15</f>
        <v>-50000</v>
      </c>
      <c r="D20" s="237">
        <f aca="true" t="shared" si="3" ref="D20:L20">D13+D15</f>
        <v>-19966390.408780903</v>
      </c>
      <c r="E20" s="237">
        <f t="shared" si="3"/>
        <v>-21980000.008948952</v>
      </c>
      <c r="F20" s="237">
        <f t="shared" si="3"/>
        <v>-3084477.2952839434</v>
      </c>
      <c r="G20" s="237">
        <f t="shared" si="3"/>
        <v>-2144742.0155469794</v>
      </c>
      <c r="H20" s="237">
        <f t="shared" si="3"/>
        <v>0</v>
      </c>
      <c r="I20" s="237">
        <f t="shared" si="3"/>
        <v>0</v>
      </c>
      <c r="J20" s="237">
        <f t="shared" si="3"/>
        <v>0</v>
      </c>
      <c r="K20" s="237">
        <f t="shared" si="3"/>
        <v>0</v>
      </c>
      <c r="L20" s="238">
        <f t="shared" si="3"/>
        <v>0</v>
      </c>
    </row>
    <row r="21" spans="1:12" ht="25.5">
      <c r="A21" s="233">
        <v>6</v>
      </c>
      <c r="B21" s="244" t="s">
        <v>304</v>
      </c>
      <c r="C21" s="245">
        <f>C22+C23+C24</f>
        <v>0</v>
      </c>
      <c r="D21" s="245">
        <f aca="true" t="shared" si="4" ref="D21:L21">D22+D23+D24</f>
        <v>0</v>
      </c>
      <c r="E21" s="245">
        <f t="shared" si="4"/>
        <v>0</v>
      </c>
      <c r="F21" s="245">
        <f t="shared" si="4"/>
        <v>0</v>
      </c>
      <c r="G21" s="245">
        <f t="shared" si="4"/>
        <v>0</v>
      </c>
      <c r="H21" s="245">
        <f t="shared" si="4"/>
        <v>0</v>
      </c>
      <c r="I21" s="245">
        <f t="shared" si="4"/>
        <v>0</v>
      </c>
      <c r="J21" s="245">
        <f t="shared" si="4"/>
        <v>0</v>
      </c>
      <c r="K21" s="245">
        <f t="shared" si="4"/>
        <v>0</v>
      </c>
      <c r="L21" s="246">
        <f t="shared" si="4"/>
        <v>0</v>
      </c>
    </row>
    <row r="22" spans="1:12" ht="12.75">
      <c r="A22" s="233"/>
      <c r="B22" s="247" t="s">
        <v>305</v>
      </c>
      <c r="C22" s="248">
        <f>C38</f>
        <v>0</v>
      </c>
      <c r="D22" s="248">
        <f aca="true" t="shared" si="5" ref="D22:L22">D38</f>
        <v>0</v>
      </c>
      <c r="E22" s="248">
        <f t="shared" si="5"/>
        <v>0</v>
      </c>
      <c r="F22" s="248">
        <f t="shared" si="5"/>
        <v>0</v>
      </c>
      <c r="G22" s="248">
        <f t="shared" si="5"/>
        <v>0</v>
      </c>
      <c r="H22" s="248">
        <f t="shared" si="5"/>
        <v>0</v>
      </c>
      <c r="I22" s="248">
        <f t="shared" si="5"/>
        <v>0</v>
      </c>
      <c r="J22" s="248">
        <f t="shared" si="5"/>
        <v>0</v>
      </c>
      <c r="K22" s="248">
        <f t="shared" si="5"/>
        <v>0</v>
      </c>
      <c r="L22" s="249">
        <f t="shared" si="5"/>
        <v>0</v>
      </c>
    </row>
    <row r="23" spans="1:12" ht="12.75">
      <c r="A23" s="233"/>
      <c r="B23" s="247" t="s">
        <v>306</v>
      </c>
      <c r="C23" s="248">
        <f>C37</f>
        <v>0</v>
      </c>
      <c r="D23" s="248">
        <f aca="true" t="shared" si="6" ref="D23:L23">D37</f>
        <v>0</v>
      </c>
      <c r="E23" s="248">
        <f t="shared" si="6"/>
        <v>0</v>
      </c>
      <c r="F23" s="248">
        <f t="shared" si="6"/>
        <v>0</v>
      </c>
      <c r="G23" s="248">
        <f t="shared" si="6"/>
        <v>0</v>
      </c>
      <c r="H23" s="248">
        <f t="shared" si="6"/>
        <v>0</v>
      </c>
      <c r="I23" s="248">
        <f t="shared" si="6"/>
        <v>0</v>
      </c>
      <c r="J23" s="248">
        <f t="shared" si="6"/>
        <v>0</v>
      </c>
      <c r="K23" s="248">
        <f t="shared" si="6"/>
        <v>0</v>
      </c>
      <c r="L23" s="249">
        <f t="shared" si="6"/>
        <v>0</v>
      </c>
    </row>
    <row r="24" spans="1:12" ht="12.75">
      <c r="A24" s="229"/>
      <c r="B24" s="250" t="s">
        <v>307</v>
      </c>
      <c r="C24" s="251">
        <v>0</v>
      </c>
      <c r="D24" s="251">
        <v>0</v>
      </c>
      <c r="E24" s="251">
        <v>0</v>
      </c>
      <c r="F24" s="251">
        <v>0</v>
      </c>
      <c r="G24" s="251">
        <v>0</v>
      </c>
      <c r="H24" s="251">
        <v>0</v>
      </c>
      <c r="I24" s="251">
        <v>0</v>
      </c>
      <c r="J24" s="251">
        <v>0</v>
      </c>
      <c r="K24" s="251">
        <v>0</v>
      </c>
      <c r="L24" s="243">
        <v>0</v>
      </c>
    </row>
    <row r="25" spans="1:12" ht="12.75">
      <c r="A25" s="233">
        <v>7</v>
      </c>
      <c r="B25" s="234" t="s">
        <v>308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6"/>
    </row>
    <row r="26" spans="1:12" ht="12.75">
      <c r="A26" s="229"/>
      <c r="B26" s="230" t="s">
        <v>309</v>
      </c>
      <c r="C26" s="237">
        <f>C20-C21</f>
        <v>-50000</v>
      </c>
      <c r="D26" s="237">
        <f aca="true" t="shared" si="7" ref="D26:L26">D20-D21</f>
        <v>-19966390.408780903</v>
      </c>
      <c r="E26" s="237">
        <f t="shared" si="7"/>
        <v>-21980000.008948952</v>
      </c>
      <c r="F26" s="237">
        <f t="shared" si="7"/>
        <v>-3084477.2952839434</v>
      </c>
      <c r="G26" s="237">
        <f t="shared" si="7"/>
        <v>-2144742.0155469794</v>
      </c>
      <c r="H26" s="237">
        <f t="shared" si="7"/>
        <v>0</v>
      </c>
      <c r="I26" s="237">
        <f t="shared" si="7"/>
        <v>0</v>
      </c>
      <c r="J26" s="237">
        <f t="shared" si="7"/>
        <v>0</v>
      </c>
      <c r="K26" s="237">
        <f t="shared" si="7"/>
        <v>0</v>
      </c>
      <c r="L26" s="238">
        <f t="shared" si="7"/>
        <v>0</v>
      </c>
    </row>
    <row r="27" spans="1:12" ht="12.75">
      <c r="A27" s="233">
        <v>8</v>
      </c>
      <c r="B27" s="234" t="s">
        <v>310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6"/>
    </row>
    <row r="28" spans="1:12" ht="12.75">
      <c r="A28" s="233"/>
      <c r="B28" s="234" t="s">
        <v>311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6"/>
    </row>
    <row r="29" spans="1:12" ht="13.5" thickBot="1">
      <c r="A29" s="252"/>
      <c r="B29" s="253" t="s">
        <v>312</v>
      </c>
      <c r="C29" s="254">
        <f>(C8+C15)/(C10+C21)</f>
        <v>0.9090909090909091</v>
      </c>
      <c r="D29" s="254">
        <f aca="true" t="shared" si="8" ref="D29:L29">(D8+D15)/(D10+D21)</f>
        <v>0.9124152013242921</v>
      </c>
      <c r="E29" s="254">
        <f t="shared" si="8"/>
        <v>0.9123604465384184</v>
      </c>
      <c r="F29" s="254">
        <f t="shared" si="8"/>
        <v>0.9230505795906476</v>
      </c>
      <c r="G29" s="254">
        <f t="shared" si="8"/>
        <v>0.8158188465932934</v>
      </c>
      <c r="H29" s="254" t="e">
        <f t="shared" si="8"/>
        <v>#DIV/0!</v>
      </c>
      <c r="I29" s="254" t="e">
        <f t="shared" si="8"/>
        <v>#DIV/0!</v>
      </c>
      <c r="J29" s="254" t="e">
        <f t="shared" si="8"/>
        <v>#DIV/0!</v>
      </c>
      <c r="K29" s="254" t="e">
        <f t="shared" si="8"/>
        <v>#DIV/0!</v>
      </c>
      <c r="L29" s="255" t="e">
        <f t="shared" si="8"/>
        <v>#DIV/0!</v>
      </c>
    </row>
    <row r="30" spans="1:1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3.5" thickBot="1">
      <c r="A31" s="929" t="s">
        <v>313</v>
      </c>
      <c r="B31" s="929"/>
      <c r="C31" s="929"/>
      <c r="D31" s="929"/>
      <c r="E31" s="929"/>
      <c r="F31" s="929"/>
      <c r="G31" s="929"/>
      <c r="H31" s="929"/>
      <c r="I31" s="929"/>
      <c r="J31" s="929"/>
      <c r="K31" s="929"/>
      <c r="L31" s="929"/>
    </row>
    <row r="32" spans="1:12" ht="12.75">
      <c r="A32" s="216"/>
      <c r="B32" s="217" t="s">
        <v>314</v>
      </c>
      <c r="C32" s="218" t="s">
        <v>315</v>
      </c>
      <c r="D32" s="219" t="s">
        <v>270</v>
      </c>
      <c r="E32" s="218" t="s">
        <v>271</v>
      </c>
      <c r="F32" s="219" t="s">
        <v>316</v>
      </c>
      <c r="G32" s="575" t="s">
        <v>370</v>
      </c>
      <c r="H32" s="218" t="s">
        <v>272</v>
      </c>
      <c r="I32" s="219" t="s">
        <v>273</v>
      </c>
      <c r="J32" s="218" t="s">
        <v>274</v>
      </c>
      <c r="K32" s="218" t="s">
        <v>317</v>
      </c>
      <c r="L32" s="220" t="s">
        <v>317</v>
      </c>
    </row>
    <row r="33" spans="1:12" ht="13.5" thickBot="1">
      <c r="A33" s="221"/>
      <c r="B33" s="222"/>
      <c r="C33" s="223" t="s">
        <v>318</v>
      </c>
      <c r="D33" s="213" t="s">
        <v>319</v>
      </c>
      <c r="E33" s="223"/>
      <c r="F33" s="213"/>
      <c r="G33" s="222" t="s">
        <v>371</v>
      </c>
      <c r="H33" s="223"/>
      <c r="I33" s="213"/>
      <c r="J33" s="223" t="s">
        <v>279</v>
      </c>
      <c r="K33" s="223"/>
      <c r="L33" s="224"/>
    </row>
    <row r="34" spans="1:12" ht="12.75">
      <c r="A34" s="225"/>
      <c r="B34" s="226"/>
      <c r="C34" s="227"/>
      <c r="D34" s="227"/>
      <c r="E34" s="227"/>
      <c r="F34" s="227"/>
      <c r="G34" s="227"/>
      <c r="H34" s="227"/>
      <c r="I34" s="227"/>
      <c r="J34" s="227"/>
      <c r="K34" s="227"/>
      <c r="L34" s="228"/>
    </row>
    <row r="35" spans="1:12" ht="12.75">
      <c r="A35" s="233">
        <v>1</v>
      </c>
      <c r="B35" s="256" t="s">
        <v>320</v>
      </c>
      <c r="C35" s="257">
        <f>+'PROGRAMA 2'!D193</f>
        <v>500000</v>
      </c>
      <c r="D35" s="257">
        <f>+'PROGRAMA 2'!D228</f>
        <v>207242173.09889174</v>
      </c>
      <c r="E35" s="257">
        <f>+'PROGRAMA 2'!D452</f>
        <v>228000000.0081354</v>
      </c>
      <c r="F35" s="257">
        <f>+'PROGRAMA 2'!D350</f>
        <v>36440433.90480358</v>
      </c>
      <c r="G35" s="257">
        <f>+'PROGRAMA 2'!D564</f>
        <v>10586129.105042709</v>
      </c>
      <c r="H35" s="257">
        <v>0</v>
      </c>
      <c r="I35" s="257"/>
      <c r="J35" s="257"/>
      <c r="K35" s="257"/>
      <c r="L35" s="258"/>
    </row>
    <row r="36" spans="1:12" ht="25.5">
      <c r="A36" s="259">
        <v>2</v>
      </c>
      <c r="B36" s="260" t="s">
        <v>321</v>
      </c>
      <c r="C36" s="237">
        <f>SUM(C37:C38)</f>
        <v>0</v>
      </c>
      <c r="D36" s="237">
        <f aca="true" t="shared" si="9" ref="D36:L36">SUM(D37:D38)</f>
        <v>0</v>
      </c>
      <c r="E36" s="237">
        <f t="shared" si="9"/>
        <v>0</v>
      </c>
      <c r="F36" s="237">
        <f t="shared" si="9"/>
        <v>0</v>
      </c>
      <c r="G36" s="237">
        <f t="shared" si="9"/>
        <v>0</v>
      </c>
      <c r="H36" s="237">
        <f t="shared" si="9"/>
        <v>0</v>
      </c>
      <c r="I36" s="237">
        <f t="shared" si="9"/>
        <v>0</v>
      </c>
      <c r="J36" s="237">
        <f t="shared" si="9"/>
        <v>0</v>
      </c>
      <c r="K36" s="237">
        <f t="shared" si="9"/>
        <v>0</v>
      </c>
      <c r="L36" s="238">
        <f t="shared" si="9"/>
        <v>0</v>
      </c>
    </row>
    <row r="37" spans="1:12" ht="25.5">
      <c r="A37" s="229"/>
      <c r="B37" s="261" t="s">
        <v>322</v>
      </c>
      <c r="C37" s="251"/>
      <c r="D37" s="251"/>
      <c r="E37" s="251">
        <v>0</v>
      </c>
      <c r="F37" s="251"/>
      <c r="G37" s="251"/>
      <c r="H37" s="251"/>
      <c r="I37" s="251"/>
      <c r="J37" s="251"/>
      <c r="K37" s="251"/>
      <c r="L37" s="243"/>
    </row>
    <row r="38" spans="1:12" ht="25.5">
      <c r="A38" s="229"/>
      <c r="B38" s="261" t="s">
        <v>323</v>
      </c>
      <c r="C38" s="262"/>
      <c r="D38" s="262"/>
      <c r="E38" s="262">
        <v>0</v>
      </c>
      <c r="F38" s="262">
        <v>0</v>
      </c>
      <c r="G38" s="262"/>
      <c r="H38" s="262"/>
      <c r="I38" s="262"/>
      <c r="J38" s="262"/>
      <c r="K38" s="262"/>
      <c r="L38" s="263"/>
    </row>
    <row r="39" spans="1:12" ht="12.75">
      <c r="A39" s="264">
        <v>5</v>
      </c>
      <c r="B39" s="265" t="s">
        <v>324</v>
      </c>
      <c r="C39" s="245">
        <f>C35-C36</f>
        <v>500000</v>
      </c>
      <c r="D39" s="245">
        <f aca="true" t="shared" si="10" ref="D39:L39">D35-D36</f>
        <v>207242173.09889174</v>
      </c>
      <c r="E39" s="245">
        <f t="shared" si="10"/>
        <v>228000000.0081354</v>
      </c>
      <c r="F39" s="245">
        <f t="shared" si="10"/>
        <v>36440433.90480358</v>
      </c>
      <c r="G39" s="245">
        <f t="shared" si="10"/>
        <v>10586129.105042709</v>
      </c>
      <c r="H39" s="245">
        <f t="shared" si="10"/>
        <v>0</v>
      </c>
      <c r="I39" s="245">
        <f t="shared" si="10"/>
        <v>0</v>
      </c>
      <c r="J39" s="245">
        <f t="shared" si="10"/>
        <v>0</v>
      </c>
      <c r="K39" s="245">
        <f t="shared" si="10"/>
        <v>0</v>
      </c>
      <c r="L39" s="246">
        <f t="shared" si="10"/>
        <v>0</v>
      </c>
    </row>
    <row r="40" spans="1:12" ht="12.75">
      <c r="A40" s="264">
        <v>6</v>
      </c>
      <c r="B40" s="265" t="s">
        <v>325</v>
      </c>
      <c r="C40" s="266">
        <f aca="true" t="shared" si="11" ref="C40:L40">C39*0.1</f>
        <v>50000</v>
      </c>
      <c r="D40" s="266">
        <f t="shared" si="11"/>
        <v>20724217.309889175</v>
      </c>
      <c r="E40" s="266">
        <f t="shared" si="11"/>
        <v>22800000.000813544</v>
      </c>
      <c r="F40" s="266">
        <f t="shared" si="11"/>
        <v>3644043.390480358</v>
      </c>
      <c r="G40" s="266">
        <f t="shared" si="11"/>
        <v>1058612.910504271</v>
      </c>
      <c r="H40" s="266">
        <f t="shared" si="11"/>
        <v>0</v>
      </c>
      <c r="I40" s="266">
        <f t="shared" si="11"/>
        <v>0</v>
      </c>
      <c r="J40" s="266">
        <f t="shared" si="11"/>
        <v>0</v>
      </c>
      <c r="K40" s="266">
        <f t="shared" si="11"/>
        <v>0</v>
      </c>
      <c r="L40" s="267">
        <f t="shared" si="11"/>
        <v>0</v>
      </c>
    </row>
    <row r="41" spans="1:12" ht="12.75">
      <c r="A41" s="233">
        <v>7</v>
      </c>
      <c r="B41" s="234" t="s">
        <v>326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40"/>
    </row>
    <row r="42" spans="1:12" ht="12.75">
      <c r="A42" s="233"/>
      <c r="B42" s="234" t="s">
        <v>327</v>
      </c>
      <c r="C42" s="268"/>
      <c r="D42" s="268"/>
      <c r="E42" s="268"/>
      <c r="F42" s="268"/>
      <c r="G42" s="268"/>
      <c r="H42" s="268"/>
      <c r="I42" s="268"/>
      <c r="J42" s="268"/>
      <c r="K42" s="268"/>
      <c r="L42" s="240"/>
    </row>
    <row r="43" spans="1:12" ht="13.5" thickBot="1">
      <c r="A43" s="252"/>
      <c r="B43" s="253" t="s">
        <v>328</v>
      </c>
      <c r="C43" s="269">
        <f>C39+C40</f>
        <v>550000</v>
      </c>
      <c r="D43" s="269">
        <f aca="true" t="shared" si="12" ref="D43:L43">D39+D40</f>
        <v>227966390.4087809</v>
      </c>
      <c r="E43" s="269">
        <f t="shared" si="12"/>
        <v>250800000.00894895</v>
      </c>
      <c r="F43" s="269">
        <f t="shared" si="12"/>
        <v>40084477.29528394</v>
      </c>
      <c r="G43" s="269">
        <f t="shared" si="12"/>
        <v>11644742.01554698</v>
      </c>
      <c r="H43" s="269">
        <f t="shared" si="12"/>
        <v>0</v>
      </c>
      <c r="I43" s="269">
        <f t="shared" si="12"/>
        <v>0</v>
      </c>
      <c r="J43" s="269">
        <f t="shared" si="12"/>
        <v>0</v>
      </c>
      <c r="K43" s="269">
        <f t="shared" si="12"/>
        <v>0</v>
      </c>
      <c r="L43" s="270">
        <f t="shared" si="12"/>
        <v>0</v>
      </c>
    </row>
    <row r="44" spans="1:12" ht="12.75">
      <c r="A44" s="137"/>
      <c r="B44" s="19"/>
      <c r="C44" s="271"/>
      <c r="D44" s="271"/>
      <c r="E44" s="271"/>
      <c r="F44" s="271"/>
      <c r="G44" s="271"/>
      <c r="H44" s="271"/>
      <c r="I44" s="19"/>
      <c r="J44" s="19"/>
      <c r="K44" s="19"/>
      <c r="L44" s="19"/>
    </row>
    <row r="45" spans="1:12" ht="12.75">
      <c r="A45" s="272" t="s">
        <v>329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</row>
    <row r="46" spans="1:12" ht="12.75">
      <c r="A46" s="272" t="s">
        <v>330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</row>
    <row r="47" spans="1:12" ht="12.75">
      <c r="A47" s="272"/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</row>
    <row r="48" spans="1:12" ht="12.75">
      <c r="A48" s="272" t="s">
        <v>331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</row>
    <row r="49" spans="1:12" ht="12.75">
      <c r="A49" s="272" t="s">
        <v>332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</row>
    <row r="50" spans="1:12" ht="12.75">
      <c r="A50" s="272" t="s">
        <v>333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</row>
    <row r="51" spans="1:12" ht="12.75">
      <c r="A51" s="272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</row>
    <row r="52" spans="1:12" ht="12.75">
      <c r="A52" s="272" t="s">
        <v>334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</row>
    <row r="54" ht="12.75">
      <c r="A54" s="272" t="s">
        <v>431</v>
      </c>
    </row>
    <row r="55" ht="12.75">
      <c r="A55" s="272" t="s">
        <v>1667</v>
      </c>
    </row>
  </sheetData>
  <sheetProtection/>
  <mergeCells count="2">
    <mergeCell ref="A4:L4"/>
    <mergeCell ref="A31:L31"/>
  </mergeCells>
  <printOptions/>
  <pageMargins left="0.3937007874015748" right="0.3937007874015748" top="0" bottom="0" header="0" footer="0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191"/>
  <sheetViews>
    <sheetView zoomScalePageLayoutView="0" workbookViewId="0" topLeftCell="A169">
      <selection activeCell="C12" sqref="C12"/>
    </sheetView>
  </sheetViews>
  <sheetFormatPr defaultColWidth="11.421875" defaultRowHeight="12.75"/>
  <cols>
    <col min="1" max="1" width="5.7109375" style="0" customWidth="1"/>
    <col min="2" max="2" width="45.7109375" style="0" customWidth="1"/>
    <col min="3" max="3" width="20.7109375" style="0" customWidth="1"/>
    <col min="4" max="4" width="10.7109375" style="0" customWidth="1"/>
    <col min="6" max="6" width="17.140625" style="0" bestFit="1" customWidth="1"/>
  </cols>
  <sheetData>
    <row r="6" spans="1:4" ht="18">
      <c r="A6" s="847" t="s">
        <v>823</v>
      </c>
      <c r="B6" s="847"/>
      <c r="C6" s="847"/>
      <c r="D6" s="847"/>
    </row>
    <row r="7" spans="1:4" ht="18">
      <c r="A7" s="847" t="s">
        <v>1572</v>
      </c>
      <c r="B7" s="847"/>
      <c r="C7" s="847"/>
      <c r="D7" s="847"/>
    </row>
    <row r="9" spans="1:4" ht="18">
      <c r="A9" s="848" t="s">
        <v>1033</v>
      </c>
      <c r="B9" s="848"/>
      <c r="C9" s="848"/>
      <c r="D9" s="848"/>
    </row>
    <row r="10" spans="1:4" ht="18">
      <c r="A10" s="848" t="s">
        <v>1034</v>
      </c>
      <c r="B10" s="848"/>
      <c r="C10" s="848"/>
      <c r="D10" s="848"/>
    </row>
    <row r="11" ht="13.5" thickBot="1"/>
    <row r="12" spans="1:6" ht="16.5" thickBot="1">
      <c r="A12" s="54"/>
      <c r="B12" s="63" t="s">
        <v>1032</v>
      </c>
      <c r="C12" s="64">
        <f>SUM(C14:C31)</f>
        <v>1843728241.517751</v>
      </c>
      <c r="D12" s="65">
        <f>SUM(D14:D31)</f>
        <v>0.9999999999999997</v>
      </c>
      <c r="F12" s="3"/>
    </row>
    <row r="13" spans="1:4" ht="18">
      <c r="A13" s="60"/>
      <c r="B13" s="159"/>
      <c r="C13" s="160"/>
      <c r="D13" s="161"/>
    </row>
    <row r="14" spans="1:4" ht="15">
      <c r="A14" s="56">
        <v>0</v>
      </c>
      <c r="B14" s="45" t="s">
        <v>833</v>
      </c>
      <c r="C14" s="46">
        <f>C80+C144+C182</f>
        <v>783704979.5425507</v>
      </c>
      <c r="D14" s="47">
        <f>C14/C12</f>
        <v>0.4250653441731778</v>
      </c>
    </row>
    <row r="15" spans="1:4" ht="15">
      <c r="A15" s="56"/>
      <c r="B15" s="45"/>
      <c r="C15" s="46"/>
      <c r="D15" s="47"/>
    </row>
    <row r="16" spans="1:4" ht="15">
      <c r="A16" s="56">
        <v>1</v>
      </c>
      <c r="B16" s="45" t="s">
        <v>867</v>
      </c>
      <c r="C16" s="46">
        <f>C82+C146+C184</f>
        <v>499054110.42999995</v>
      </c>
      <c r="D16" s="47">
        <f>C16/C12</f>
        <v>0.27067661013815153</v>
      </c>
    </row>
    <row r="17" spans="1:4" ht="15">
      <c r="A17" s="56"/>
      <c r="B17" s="45"/>
      <c r="C17" s="46"/>
      <c r="D17" s="47"/>
    </row>
    <row r="18" spans="1:4" ht="15">
      <c r="A18" s="56">
        <v>2</v>
      </c>
      <c r="B18" s="45" t="s">
        <v>889</v>
      </c>
      <c r="C18" s="46">
        <f>C84+C148</f>
        <v>71606273.99000001</v>
      </c>
      <c r="D18" s="47">
        <f>C18/C12</f>
        <v>0.038837759479701826</v>
      </c>
    </row>
    <row r="19" spans="1:4" ht="15">
      <c r="A19" s="56"/>
      <c r="B19" s="45"/>
      <c r="C19" s="46"/>
      <c r="D19" s="47"/>
    </row>
    <row r="20" spans="1:4" ht="15">
      <c r="A20" s="56">
        <v>3</v>
      </c>
      <c r="B20" s="45" t="s">
        <v>911</v>
      </c>
      <c r="C20" s="46">
        <f>C86+C150</f>
        <v>7247495.14</v>
      </c>
      <c r="D20" s="47">
        <f>C20/C12</f>
        <v>0.003930891210970379</v>
      </c>
    </row>
    <row r="21" spans="1:4" ht="15">
      <c r="A21" s="56"/>
      <c r="B21" s="45"/>
      <c r="C21" s="46"/>
      <c r="D21" s="47"/>
    </row>
    <row r="22" spans="1:4" ht="15">
      <c r="A22" s="56">
        <v>5</v>
      </c>
      <c r="B22" s="45" t="s">
        <v>914</v>
      </c>
      <c r="C22" s="46">
        <f>C88+C152+C186</f>
        <v>224061598.22</v>
      </c>
      <c r="D22" s="47">
        <f>C22/C12</f>
        <v>0.12152636878608164</v>
      </c>
    </row>
    <row r="23" spans="1:4" ht="15">
      <c r="A23" s="56"/>
      <c r="B23" s="45"/>
      <c r="C23" s="46"/>
      <c r="D23" s="47"/>
    </row>
    <row r="24" spans="1:4" ht="15">
      <c r="A24" s="56">
        <v>6</v>
      </c>
      <c r="B24" s="45" t="s">
        <v>812</v>
      </c>
      <c r="C24" s="46">
        <f>C90+C154</f>
        <v>187361692.3552</v>
      </c>
      <c r="D24" s="47">
        <f>C24/C12</f>
        <v>0.10162110019042962</v>
      </c>
    </row>
    <row r="25" spans="1:4" ht="15">
      <c r="A25" s="56"/>
      <c r="B25" s="45"/>
      <c r="C25" s="46"/>
      <c r="D25" s="47"/>
    </row>
    <row r="26" spans="1:4" ht="15">
      <c r="A26" s="44">
        <v>7</v>
      </c>
      <c r="B26" s="119" t="s">
        <v>819</v>
      </c>
      <c r="C26" s="46">
        <f>C188</f>
        <v>27000000</v>
      </c>
      <c r="D26" s="47">
        <f>C26/C12</f>
        <v>0.014644240616379391</v>
      </c>
    </row>
    <row r="27" spans="1:4" ht="15">
      <c r="A27" s="44"/>
      <c r="B27" s="80"/>
      <c r="C27" s="46"/>
      <c r="D27" s="47"/>
    </row>
    <row r="28" spans="1:4" ht="15">
      <c r="A28" s="44">
        <v>8</v>
      </c>
      <c r="B28" s="80" t="s">
        <v>1031</v>
      </c>
      <c r="C28" s="46">
        <f>C92+C156</f>
        <v>26349087.94</v>
      </c>
      <c r="D28" s="47">
        <f>C28/C12</f>
        <v>0.014291199400574089</v>
      </c>
    </row>
    <row r="29" spans="1:4" ht="15">
      <c r="A29" s="44"/>
      <c r="B29" s="80"/>
      <c r="C29" s="46"/>
      <c r="D29" s="47"/>
    </row>
    <row r="30" spans="1:4" ht="15">
      <c r="A30" s="44">
        <v>9</v>
      </c>
      <c r="B30" s="119" t="s">
        <v>168</v>
      </c>
      <c r="C30" s="46">
        <f>C190</f>
        <v>17343003.9</v>
      </c>
      <c r="D30" s="47">
        <f>C30/C12</f>
        <v>0.009406486004533561</v>
      </c>
    </row>
    <row r="31" spans="1:4" ht="15.75" thickBot="1">
      <c r="A31" s="48"/>
      <c r="B31" s="90"/>
      <c r="C31" s="50"/>
      <c r="D31" s="51"/>
    </row>
    <row r="32" spans="1:3" ht="12.75">
      <c r="A32" s="39"/>
      <c r="C32" s="3"/>
    </row>
    <row r="33" spans="1:3" ht="12.75">
      <c r="A33" s="39"/>
      <c r="C33" s="3"/>
    </row>
    <row r="34" spans="1:3" ht="12.75">
      <c r="A34" s="39"/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59" spans="1:4" ht="18">
      <c r="A59" s="847" t="s">
        <v>823</v>
      </c>
      <c r="B59" s="847"/>
      <c r="C59" s="847"/>
      <c r="D59" s="847"/>
    </row>
    <row r="60" spans="1:4" ht="18">
      <c r="A60" s="847" t="s">
        <v>1572</v>
      </c>
      <c r="B60" s="847"/>
      <c r="C60" s="847"/>
      <c r="D60" s="847"/>
    </row>
    <row r="62" spans="1:4" ht="18">
      <c r="A62" s="848" t="s">
        <v>1047</v>
      </c>
      <c r="B62" s="848"/>
      <c r="C62" s="848"/>
      <c r="D62" s="848"/>
    </row>
    <row r="63" ht="13.5" thickBot="1"/>
    <row r="64" spans="1:4" ht="16.5" thickBot="1">
      <c r="A64" s="54" t="s">
        <v>776</v>
      </c>
      <c r="B64" s="77" t="s">
        <v>1048</v>
      </c>
      <c r="C64" s="78" t="s">
        <v>1049</v>
      </c>
      <c r="D64" s="76" t="s">
        <v>1050</v>
      </c>
    </row>
    <row r="65" spans="1:4" ht="12.75">
      <c r="A65" s="85"/>
      <c r="B65" s="41"/>
      <c r="C65" s="79"/>
      <c r="D65" s="86"/>
    </row>
    <row r="66" spans="1:4" ht="15">
      <c r="A66" s="91" t="s">
        <v>1051</v>
      </c>
      <c r="B66" s="45" t="s">
        <v>1052</v>
      </c>
      <c r="C66" s="46">
        <f>+'PROGRAMA 1'!D268</f>
        <v>583428536.691905</v>
      </c>
      <c r="D66" s="47">
        <f>C66/C72</f>
        <v>0.7276859548128668</v>
      </c>
    </row>
    <row r="67" spans="1:4" ht="15">
      <c r="A67" s="57"/>
      <c r="B67" s="41"/>
      <c r="C67" s="80"/>
      <c r="D67" s="47"/>
    </row>
    <row r="68" spans="1:4" ht="15">
      <c r="A68" s="91" t="s">
        <v>1053</v>
      </c>
      <c r="B68" s="45" t="s">
        <v>1054</v>
      </c>
      <c r="C68" s="46">
        <f>+'PROGRAMA 1'!D304</f>
        <v>24996456.664703593</v>
      </c>
      <c r="D68" s="47">
        <f>C68/C72</f>
        <v>0.03117703247449956</v>
      </c>
    </row>
    <row r="69" spans="1:4" ht="15">
      <c r="A69" s="87"/>
      <c r="B69" s="41"/>
      <c r="C69" s="80"/>
      <c r="D69" s="47"/>
    </row>
    <row r="70" spans="1:4" ht="15">
      <c r="A70" s="91" t="s">
        <v>1055</v>
      </c>
      <c r="B70" s="41" t="s">
        <v>1059</v>
      </c>
      <c r="C70" s="46">
        <f>+'PROGRAMA 1'!D338</f>
        <v>193333695.0352</v>
      </c>
      <c r="D70" s="47">
        <f>C70/C72</f>
        <v>0.2411370127126336</v>
      </c>
    </row>
    <row r="71" spans="1:4" ht="15.75" thickBot="1">
      <c r="A71" s="88"/>
      <c r="B71" s="89"/>
      <c r="C71" s="90"/>
      <c r="D71" s="51"/>
    </row>
    <row r="72" spans="1:4" ht="16.5" thickBot="1">
      <c r="A72" s="39"/>
      <c r="B72" s="83" t="s">
        <v>1042</v>
      </c>
      <c r="C72" s="94">
        <f>SUM(C66:C70)</f>
        <v>801758688.3918086</v>
      </c>
      <c r="D72" s="84">
        <f>SUM(D66:D70)</f>
        <v>1</v>
      </c>
    </row>
    <row r="73" ht="12.75">
      <c r="A73" s="39"/>
    </row>
    <row r="74" ht="12.75">
      <c r="A74" s="39"/>
    </row>
    <row r="75" spans="1:4" ht="12.75">
      <c r="A75" s="66"/>
      <c r="B75" s="66"/>
      <c r="C75" s="66"/>
      <c r="D75" s="66"/>
    </row>
    <row r="76" spans="1:4" ht="18">
      <c r="A76" s="848" t="s">
        <v>1035</v>
      </c>
      <c r="B76" s="848"/>
      <c r="C76" s="848"/>
      <c r="D76" s="848"/>
    </row>
    <row r="77" ht="13.5" thickBot="1"/>
    <row r="78" spans="1:4" ht="16.5" thickBot="1">
      <c r="A78" s="54"/>
      <c r="B78" s="399" t="s">
        <v>1036</v>
      </c>
      <c r="C78" s="400">
        <f>SUM(C80:C93)</f>
        <v>801758688.3918086</v>
      </c>
      <c r="D78" s="401">
        <f>SUM(D80:D93)</f>
        <v>1</v>
      </c>
    </row>
    <row r="79" spans="1:4" ht="15">
      <c r="A79" s="404"/>
      <c r="B79" s="406"/>
      <c r="C79" s="53"/>
      <c r="D79" s="402"/>
    </row>
    <row r="80" spans="1:4" ht="15">
      <c r="A80" s="44">
        <v>0</v>
      </c>
      <c r="B80" s="407" t="s">
        <v>833</v>
      </c>
      <c r="C80" s="53">
        <f>+'PROGRAMA 1'!D5</f>
        <v>515055412.4066086</v>
      </c>
      <c r="D80" s="402">
        <f>C80/C78</f>
        <v>0.6424070232899154</v>
      </c>
    </row>
    <row r="81" spans="1:4" ht="15">
      <c r="A81" s="44"/>
      <c r="B81" s="407"/>
      <c r="C81" s="53"/>
      <c r="D81" s="402"/>
    </row>
    <row r="82" spans="1:4" ht="15">
      <c r="A82" s="44">
        <v>1</v>
      </c>
      <c r="B82" s="407" t="s">
        <v>867</v>
      </c>
      <c r="C82" s="53">
        <f>+'PROGRAMA 1'!D31</f>
        <v>77029580.95</v>
      </c>
      <c r="D82" s="402">
        <f>C82/C78</f>
        <v>0.09607576701726578</v>
      </c>
    </row>
    <row r="83" spans="1:4" ht="15">
      <c r="A83" s="44"/>
      <c r="B83" s="407"/>
      <c r="C83" s="53"/>
      <c r="D83" s="402"/>
    </row>
    <row r="84" spans="1:4" ht="15">
      <c r="A84" s="44">
        <v>2</v>
      </c>
      <c r="B84" s="407" t="s">
        <v>889</v>
      </c>
      <c r="C84" s="53">
        <f>+'PROGRAMA 1'!D70</f>
        <v>11340000</v>
      </c>
      <c r="D84" s="402">
        <f>C84/C78</f>
        <v>0.014143906594571628</v>
      </c>
    </row>
    <row r="85" spans="1:4" ht="15">
      <c r="A85" s="44"/>
      <c r="B85" s="407"/>
      <c r="C85" s="53"/>
      <c r="D85" s="402"/>
    </row>
    <row r="86" spans="1:4" ht="15">
      <c r="A86" s="44">
        <v>3</v>
      </c>
      <c r="B86" s="407" t="s">
        <v>911</v>
      </c>
      <c r="C86" s="53">
        <f>+'PROGRAMA 1'!D91</f>
        <v>5817542.76</v>
      </c>
      <c r="D86" s="402">
        <f>C86/C78</f>
        <v>0.007255977196416792</v>
      </c>
    </row>
    <row r="87" spans="1:4" ht="15">
      <c r="A87" s="44"/>
      <c r="B87" s="407"/>
      <c r="C87" s="53"/>
      <c r="D87" s="402"/>
    </row>
    <row r="88" spans="1:4" ht="15">
      <c r="A88" s="44">
        <v>5</v>
      </c>
      <c r="B88" s="407" t="s">
        <v>914</v>
      </c>
      <c r="C88" s="53">
        <f>+'PROGRAMA 1'!D96</f>
        <v>5000000</v>
      </c>
      <c r="D88" s="402">
        <f>C88/C78</f>
        <v>0.006236290385613592</v>
      </c>
    </row>
    <row r="89" spans="1:4" ht="12.75">
      <c r="A89" s="405"/>
      <c r="B89" s="408"/>
      <c r="C89" s="20"/>
      <c r="D89" s="403"/>
    </row>
    <row r="90" spans="1:4" ht="15">
      <c r="A90" s="44">
        <v>6</v>
      </c>
      <c r="B90" s="407" t="s">
        <v>812</v>
      </c>
      <c r="C90" s="53">
        <f>+'PROGRAMA 1'!D101</f>
        <v>168611692.3552</v>
      </c>
      <c r="D90" s="402">
        <f>C90/C78</f>
        <v>0.2103022951873541</v>
      </c>
    </row>
    <row r="91" spans="1:4" ht="12.75">
      <c r="A91" s="405"/>
      <c r="B91" s="408"/>
      <c r="C91" s="20"/>
      <c r="D91" s="403"/>
    </row>
    <row r="92" spans="1:4" ht="15">
      <c r="A92" s="619">
        <v>8</v>
      </c>
      <c r="B92" s="620" t="s">
        <v>1031</v>
      </c>
      <c r="C92" s="621">
        <f>+'PROGRAMA 1'!D125</f>
        <v>18904459.92</v>
      </c>
      <c r="D92" s="622">
        <f>C92/C78</f>
        <v>0.023578740328862702</v>
      </c>
    </row>
    <row r="93" spans="1:4" ht="15.75" thickBot="1">
      <c r="A93" s="662"/>
      <c r="B93" s="663"/>
      <c r="C93" s="664"/>
      <c r="D93" s="665"/>
    </row>
    <row r="94" spans="1:4" ht="15">
      <c r="A94" s="67"/>
      <c r="B94" s="52"/>
      <c r="C94" s="53"/>
      <c r="D94" s="68"/>
    </row>
    <row r="95" spans="1:4" ht="15">
      <c r="A95" s="67"/>
      <c r="B95" s="52"/>
      <c r="C95" s="53"/>
      <c r="D95" s="68"/>
    </row>
    <row r="96" spans="1:4" ht="15">
      <c r="A96" s="67"/>
      <c r="B96" s="52"/>
      <c r="C96" s="53"/>
      <c r="D96" s="68"/>
    </row>
    <row r="97" spans="1:4" ht="15">
      <c r="A97" s="67"/>
      <c r="B97" s="52"/>
      <c r="C97" s="53"/>
      <c r="D97" s="68"/>
    </row>
    <row r="98" spans="1:4" ht="15">
      <c r="A98" s="67"/>
      <c r="B98" s="52"/>
      <c r="C98" s="53"/>
      <c r="D98" s="68"/>
    </row>
    <row r="99" spans="1:4" ht="15">
      <c r="A99" s="67"/>
      <c r="B99" s="52"/>
      <c r="C99" s="53"/>
      <c r="D99" s="68"/>
    </row>
    <row r="100" spans="1:4" ht="15">
      <c r="A100" s="67"/>
      <c r="B100" s="52"/>
      <c r="C100" s="53"/>
      <c r="D100" s="68"/>
    </row>
    <row r="101" spans="1:4" ht="15">
      <c r="A101" s="67"/>
      <c r="B101" s="52"/>
      <c r="C101" s="53"/>
      <c r="D101" s="68"/>
    </row>
    <row r="102" spans="1:4" ht="15">
      <c r="A102" s="67"/>
      <c r="B102" s="52"/>
      <c r="C102" s="53"/>
      <c r="D102" s="68"/>
    </row>
    <row r="103" spans="1:4" ht="15">
      <c r="A103" s="67"/>
      <c r="B103" s="52"/>
      <c r="C103" s="53"/>
      <c r="D103" s="68"/>
    </row>
    <row r="104" spans="1:4" ht="15">
      <c r="A104" s="67"/>
      <c r="B104" s="52"/>
      <c r="C104" s="53"/>
      <c r="D104" s="68"/>
    </row>
    <row r="105" spans="1:4" ht="15">
      <c r="A105" s="67"/>
      <c r="B105" s="52"/>
      <c r="C105" s="53"/>
      <c r="D105" s="68"/>
    </row>
    <row r="106" spans="1:4" ht="15">
      <c r="A106" s="67"/>
      <c r="B106" s="52"/>
      <c r="C106" s="53"/>
      <c r="D106" s="68"/>
    </row>
    <row r="107" spans="1:4" ht="15">
      <c r="A107" s="67"/>
      <c r="B107" s="52"/>
      <c r="C107" s="53"/>
      <c r="D107" s="68"/>
    </row>
    <row r="108" spans="1:4" ht="15">
      <c r="A108" s="67"/>
      <c r="B108" s="52"/>
      <c r="C108" s="53"/>
      <c r="D108" s="68"/>
    </row>
    <row r="109" spans="1:4" ht="15">
      <c r="A109" s="67"/>
      <c r="B109" s="52"/>
      <c r="C109" s="53"/>
      <c r="D109" s="68"/>
    </row>
    <row r="110" spans="1:4" ht="15">
      <c r="A110" s="67"/>
      <c r="B110" s="52"/>
      <c r="C110" s="53"/>
      <c r="D110" s="68"/>
    </row>
    <row r="111" spans="1:4" ht="18">
      <c r="A111" s="847" t="s">
        <v>823</v>
      </c>
      <c r="B111" s="847"/>
      <c r="C111" s="847"/>
      <c r="D111" s="847"/>
    </row>
    <row r="112" spans="1:4" ht="18">
      <c r="A112" s="847" t="s">
        <v>1572</v>
      </c>
      <c r="B112" s="847"/>
      <c r="C112" s="847"/>
      <c r="D112" s="847"/>
    </row>
    <row r="113" spans="1:4" ht="18.75" thickBot="1">
      <c r="A113" s="848" t="s">
        <v>1060</v>
      </c>
      <c r="B113" s="848"/>
      <c r="C113" s="848"/>
      <c r="D113" s="848"/>
    </row>
    <row r="114" spans="1:4" ht="16.5" thickBot="1">
      <c r="A114" s="54" t="s">
        <v>776</v>
      </c>
      <c r="B114" s="77" t="s">
        <v>1048</v>
      </c>
      <c r="C114" s="78" t="s">
        <v>1049</v>
      </c>
      <c r="D114" s="76" t="s">
        <v>1050</v>
      </c>
    </row>
    <row r="115" spans="1:4" ht="15.75">
      <c r="A115" s="92"/>
      <c r="B115" s="480"/>
      <c r="C115" s="481"/>
      <c r="D115" s="482"/>
    </row>
    <row r="116" spans="1:4" ht="15">
      <c r="A116" s="91" t="s">
        <v>1051</v>
      </c>
      <c r="B116" s="538" t="s">
        <v>361</v>
      </c>
      <c r="C116" s="539">
        <f>+'PROGRAMA 2'!D193</f>
        <v>500000</v>
      </c>
      <c r="D116" s="540">
        <f>C116/C137</f>
        <v>0.0007221382899810226</v>
      </c>
    </row>
    <row r="117" spans="1:4" ht="15.75">
      <c r="A117" s="91"/>
      <c r="B117" s="535"/>
      <c r="C117" s="536"/>
      <c r="D117" s="537"/>
    </row>
    <row r="118" spans="1:4" ht="15">
      <c r="A118" s="91" t="s">
        <v>1053</v>
      </c>
      <c r="B118" s="45" t="s">
        <v>1084</v>
      </c>
      <c r="C118" s="46">
        <f>+'PROGRAMA 2'!D228</f>
        <v>207242173.09889174</v>
      </c>
      <c r="D118" s="47">
        <f>C118/C137</f>
        <v>0.2993150169871695</v>
      </c>
    </row>
    <row r="119" spans="1:4" ht="15">
      <c r="A119" s="91"/>
      <c r="B119" s="45"/>
      <c r="C119" s="46"/>
      <c r="D119" s="47"/>
    </row>
    <row r="120" spans="1:4" ht="15">
      <c r="A120" s="91" t="s">
        <v>1085</v>
      </c>
      <c r="B120" s="45" t="s">
        <v>1086</v>
      </c>
      <c r="C120" s="46">
        <f>+'PROGRAMA 2'!D308</f>
        <v>147254035.01851895</v>
      </c>
      <c r="D120" s="47">
        <f>C120/C137</f>
        <v>0.21267555408215777</v>
      </c>
    </row>
    <row r="121" spans="1:4" ht="15">
      <c r="A121" s="91"/>
      <c r="B121" s="45"/>
      <c r="C121" s="46"/>
      <c r="D121" s="47"/>
    </row>
    <row r="122" spans="1:4" ht="15">
      <c r="A122" s="91" t="s">
        <v>1055</v>
      </c>
      <c r="B122" s="45" t="s">
        <v>1087</v>
      </c>
      <c r="C122" s="46">
        <f>+'PROGRAMA 2'!D350</f>
        <v>36440433.90480358</v>
      </c>
      <c r="D122" s="47">
        <f>C122/C137</f>
        <v>0.05263006525236267</v>
      </c>
    </row>
    <row r="123" spans="1:4" ht="15">
      <c r="A123" s="91"/>
      <c r="B123" s="45"/>
      <c r="C123" s="46"/>
      <c r="D123" s="47"/>
    </row>
    <row r="124" spans="1:4" ht="15">
      <c r="A124" s="91" t="s">
        <v>1088</v>
      </c>
      <c r="B124" s="45" t="s">
        <v>1089</v>
      </c>
      <c r="C124" s="46">
        <f>+'PROGRAMA 2'!D452</f>
        <v>228000000.0081354</v>
      </c>
      <c r="D124" s="47">
        <f>C124/C137</f>
        <v>0.32929506024309607</v>
      </c>
    </row>
    <row r="125" spans="1:4" ht="15">
      <c r="A125" s="91"/>
      <c r="B125" s="45"/>
      <c r="C125" s="46"/>
      <c r="D125" s="47"/>
    </row>
    <row r="126" spans="1:4" ht="15">
      <c r="A126" s="668" t="s">
        <v>1681</v>
      </c>
      <c r="B126" s="533" t="s">
        <v>1682</v>
      </c>
      <c r="C126" s="46">
        <f>+'PROGRAMA 2'!D459</f>
        <v>5600000</v>
      </c>
      <c r="D126" s="47">
        <f>+C126/C137</f>
        <v>0.008087948847787452</v>
      </c>
    </row>
    <row r="127" spans="1:4" ht="15">
      <c r="A127" s="91"/>
      <c r="B127" s="45"/>
      <c r="C127" s="46"/>
      <c r="D127" s="47"/>
    </row>
    <row r="128" spans="1:4" ht="15">
      <c r="A128" s="91" t="s">
        <v>751</v>
      </c>
      <c r="B128" s="45" t="s">
        <v>752</v>
      </c>
      <c r="C128" s="46">
        <f>+'PROGRAMA 2'!D508</f>
        <v>53991386.28129828</v>
      </c>
      <c r="D128" s="47">
        <f>C128/C137</f>
        <v>0.07797849472576315</v>
      </c>
    </row>
    <row r="129" spans="1:4" ht="15">
      <c r="A129" s="91"/>
      <c r="B129" s="45"/>
      <c r="C129" s="46"/>
      <c r="D129" s="47"/>
    </row>
    <row r="130" spans="1:4" ht="15">
      <c r="A130" s="91" t="s">
        <v>362</v>
      </c>
      <c r="B130" s="45" t="s">
        <v>363</v>
      </c>
      <c r="C130" s="46">
        <f>+'PROGRAMA 2'!D564</f>
        <v>10586129.105042709</v>
      </c>
      <c r="D130" s="47">
        <f>C130/C137</f>
        <v>0.01528929833886775</v>
      </c>
    </row>
    <row r="131" spans="1:4" ht="15">
      <c r="A131" s="91"/>
      <c r="B131" s="45"/>
      <c r="C131" s="46"/>
      <c r="D131" s="47"/>
    </row>
    <row r="132" spans="1:4" ht="15">
      <c r="A132" s="91" t="s">
        <v>753</v>
      </c>
      <c r="B132" s="45" t="s">
        <v>754</v>
      </c>
      <c r="C132" s="46">
        <f>+'PROGRAMA 2'!D582</f>
        <v>534000</v>
      </c>
      <c r="D132" s="47">
        <f>C132/C137</f>
        <v>0.0007712436936997321</v>
      </c>
    </row>
    <row r="133" spans="1:4" ht="15">
      <c r="A133" s="91"/>
      <c r="B133" s="45"/>
      <c r="C133" s="46"/>
      <c r="D133" s="47"/>
    </row>
    <row r="134" spans="1:4" ht="15">
      <c r="A134" s="91" t="s">
        <v>1090</v>
      </c>
      <c r="B134" s="45" t="s">
        <v>1091</v>
      </c>
      <c r="C134" s="46">
        <f>+'PROGRAMA 2'!D596</f>
        <v>1240000</v>
      </c>
      <c r="D134" s="47">
        <f>C134/C137</f>
        <v>0.001790902959152936</v>
      </c>
    </row>
    <row r="135" spans="1:4" ht="15">
      <c r="A135" s="91"/>
      <c r="B135" s="45"/>
      <c r="C135" s="46"/>
      <c r="D135" s="47"/>
    </row>
    <row r="136" spans="1:4" ht="15.75" thickBot="1">
      <c r="A136" s="93" t="s">
        <v>228</v>
      </c>
      <c r="B136" s="49" t="s">
        <v>229</v>
      </c>
      <c r="C136" s="50">
        <f>+'PROGRAMA 2'!D605</f>
        <v>1000000</v>
      </c>
      <c r="D136" s="51">
        <f>C136/C137</f>
        <v>0.0014442765799620452</v>
      </c>
    </row>
    <row r="137" spans="1:4" ht="16.5" thickBot="1">
      <c r="A137" s="82"/>
      <c r="B137" s="478" t="s">
        <v>1044</v>
      </c>
      <c r="C137" s="479">
        <f>SUM(C116:C136)</f>
        <v>692388157.4166906</v>
      </c>
      <c r="D137" s="84">
        <f>SUM(D116:D136)</f>
        <v>1</v>
      </c>
    </row>
    <row r="138" spans="1:4" ht="15.75">
      <c r="A138" s="82"/>
      <c r="B138" s="629"/>
      <c r="C138" s="630"/>
      <c r="D138" s="631"/>
    </row>
    <row r="139" spans="1:6" ht="15.75">
      <c r="A139" s="82"/>
      <c r="B139" s="629"/>
      <c r="C139" s="630"/>
      <c r="D139" s="631"/>
      <c r="F139" s="3"/>
    </row>
    <row r="140" spans="1:4" ht="15">
      <c r="A140" s="82"/>
      <c r="B140" s="52"/>
      <c r="C140" s="53"/>
      <c r="D140" s="68"/>
    </row>
    <row r="141" spans="1:4" ht="18.75" thickBot="1">
      <c r="A141" s="848" t="s">
        <v>1037</v>
      </c>
      <c r="B141" s="848"/>
      <c r="C141" s="848"/>
      <c r="D141" s="848"/>
    </row>
    <row r="142" spans="1:4" ht="16.5" thickBot="1">
      <c r="A142" s="62" t="s">
        <v>776</v>
      </c>
      <c r="B142" s="63" t="s">
        <v>1038</v>
      </c>
      <c r="C142" s="64">
        <f>SUM(C144:C157)</f>
        <v>692388157.4166907</v>
      </c>
      <c r="D142" s="65">
        <f>SUM(D144:D157)</f>
        <v>0.9999999999999998</v>
      </c>
    </row>
    <row r="143" spans="1:4" ht="15">
      <c r="A143" s="98"/>
      <c r="B143" s="166"/>
      <c r="C143" s="167"/>
      <c r="D143" s="97"/>
    </row>
    <row r="144" spans="1:4" ht="15">
      <c r="A144" s="56">
        <v>0</v>
      </c>
      <c r="B144" s="45" t="s">
        <v>833</v>
      </c>
      <c r="C144" s="46">
        <f>+'PROGRAMA 2'!D5</f>
        <v>240810405.51669067</v>
      </c>
      <c r="D144" s="47">
        <f>C144/C142</f>
        <v>0.34779682889891916</v>
      </c>
    </row>
    <row r="145" spans="1:4" ht="15">
      <c r="A145" s="56"/>
      <c r="B145" s="45"/>
      <c r="C145" s="46"/>
      <c r="D145" s="47"/>
    </row>
    <row r="146" spans="1:4" ht="15">
      <c r="A146" s="56">
        <v>1</v>
      </c>
      <c r="B146" s="45" t="s">
        <v>867</v>
      </c>
      <c r="C146" s="46">
        <f>+'PROGRAMA 2'!D29</f>
        <v>316536897.51</v>
      </c>
      <c r="D146" s="47">
        <f>C146/C142</f>
        <v>0.4571668277675391</v>
      </c>
    </row>
    <row r="147" spans="1:4" ht="15">
      <c r="A147" s="56"/>
      <c r="B147" s="45"/>
      <c r="C147" s="46"/>
      <c r="D147" s="47"/>
    </row>
    <row r="148" spans="1:4" ht="15">
      <c r="A148" s="56">
        <v>2</v>
      </c>
      <c r="B148" s="45" t="s">
        <v>889</v>
      </c>
      <c r="C148" s="46">
        <f>+'PROGRAMA 2'!D74</f>
        <v>60266273.99</v>
      </c>
      <c r="D148" s="47">
        <f>C148/C142</f>
        <v>0.08704116808533274</v>
      </c>
    </row>
    <row r="149" spans="1:4" ht="15">
      <c r="A149" s="56"/>
      <c r="B149" s="45"/>
      <c r="C149" s="46"/>
      <c r="D149" s="47"/>
    </row>
    <row r="150" spans="1:4" ht="15">
      <c r="A150" s="56">
        <v>3</v>
      </c>
      <c r="B150" s="45" t="s">
        <v>911</v>
      </c>
      <c r="C150" s="46">
        <f>+'PROGRAMA 2'!D105</f>
        <v>1429952.38</v>
      </c>
      <c r="D150" s="47">
        <f>C150/C142</f>
        <v>0.002065246732894986</v>
      </c>
    </row>
    <row r="151" spans="1:4" ht="15">
      <c r="A151" s="56"/>
      <c r="B151" s="45"/>
      <c r="C151" s="46"/>
      <c r="D151" s="47"/>
    </row>
    <row r="152" spans="1:4" ht="15">
      <c r="A152" s="56">
        <v>5</v>
      </c>
      <c r="B152" s="80" t="s">
        <v>914</v>
      </c>
      <c r="C152" s="46">
        <f>+'PROGRAMA 2'!D110</f>
        <v>47150000</v>
      </c>
      <c r="D152" s="47">
        <f>C152/C142</f>
        <v>0.06809764074521041</v>
      </c>
    </row>
    <row r="153" spans="1:4" ht="15">
      <c r="A153" s="56"/>
      <c r="B153" s="80"/>
      <c r="C153" s="46"/>
      <c r="D153" s="47"/>
    </row>
    <row r="154" spans="1:4" ht="15">
      <c r="A154" s="56">
        <v>6</v>
      </c>
      <c r="B154" s="80" t="s">
        <v>812</v>
      </c>
      <c r="C154" s="46">
        <f>+'PROGRAMA 2'!D122</f>
        <v>18750000</v>
      </c>
      <c r="D154" s="47">
        <f>C154/C142</f>
        <v>0.027080185874288343</v>
      </c>
    </row>
    <row r="155" spans="1:4" ht="15">
      <c r="A155" s="56"/>
      <c r="B155" s="80"/>
      <c r="C155" s="46"/>
      <c r="D155" s="47"/>
    </row>
    <row r="156" spans="1:4" ht="15">
      <c r="A156" s="650">
        <v>8</v>
      </c>
      <c r="B156" s="52" t="s">
        <v>1031</v>
      </c>
      <c r="C156" s="46">
        <f>+'PROGRAMA 2'!D126</f>
        <v>7444628.02</v>
      </c>
      <c r="D156" s="47">
        <f>C156/C142</f>
        <v>0.010752101895815208</v>
      </c>
    </row>
    <row r="157" spans="1:4" ht="15.75" thickBot="1">
      <c r="A157" s="666"/>
      <c r="B157" s="667"/>
      <c r="C157" s="50"/>
      <c r="D157" s="51"/>
    </row>
    <row r="158" spans="1:4" ht="15">
      <c r="A158" s="67"/>
      <c r="B158" s="52"/>
      <c r="C158" s="53"/>
      <c r="D158" s="68"/>
    </row>
    <row r="159" spans="1:4" ht="15">
      <c r="A159" s="67"/>
      <c r="B159" s="52"/>
      <c r="C159" s="53"/>
      <c r="D159" s="68"/>
    </row>
    <row r="160" spans="1:4" ht="15">
      <c r="A160" s="67"/>
      <c r="B160" s="52"/>
      <c r="C160" s="53"/>
      <c r="D160" s="68"/>
    </row>
    <row r="161" spans="1:4" ht="15">
      <c r="A161" s="67"/>
      <c r="B161" s="52"/>
      <c r="C161" s="53"/>
      <c r="D161" s="68"/>
    </row>
    <row r="162" spans="1:4" ht="18">
      <c r="A162" s="847" t="s">
        <v>823</v>
      </c>
      <c r="B162" s="847"/>
      <c r="C162" s="847"/>
      <c r="D162" s="847"/>
    </row>
    <row r="163" spans="1:4" ht="18">
      <c r="A163" s="847" t="s">
        <v>1572</v>
      </c>
      <c r="B163" s="847"/>
      <c r="C163" s="847"/>
      <c r="D163" s="847"/>
    </row>
    <row r="165" spans="1:4" ht="18">
      <c r="A165" s="848" t="s">
        <v>1092</v>
      </c>
      <c r="B165" s="848"/>
      <c r="C165" s="848"/>
      <c r="D165" s="848"/>
    </row>
    <row r="166" spans="1:4" ht="15.75" thickBot="1">
      <c r="A166" s="67"/>
      <c r="B166" s="52"/>
      <c r="C166" s="53"/>
      <c r="D166" s="68"/>
    </row>
    <row r="167" spans="1:4" ht="16.5" thickBot="1">
      <c r="A167" s="54" t="s">
        <v>776</v>
      </c>
      <c r="B167" s="77" t="s">
        <v>1048</v>
      </c>
      <c r="C167" s="78" t="s">
        <v>1049</v>
      </c>
      <c r="D167" s="76" t="s">
        <v>1050</v>
      </c>
    </row>
    <row r="168" spans="1:4" ht="15">
      <c r="A168" s="98"/>
      <c r="B168" s="99"/>
      <c r="C168" s="100"/>
      <c r="D168" s="97"/>
    </row>
    <row r="169" spans="1:4" ht="15">
      <c r="A169" s="91" t="s">
        <v>1053</v>
      </c>
      <c r="B169" s="80" t="s">
        <v>1093</v>
      </c>
      <c r="C169" s="101">
        <f>+'PROGRAMA 3'!D104</f>
        <v>215238391.80925137</v>
      </c>
      <c r="D169" s="47">
        <f>C169/C175</f>
        <v>0.6157032223427195</v>
      </c>
    </row>
    <row r="170" spans="1:4" ht="15">
      <c r="A170" s="91"/>
      <c r="B170" s="80"/>
      <c r="C170" s="101"/>
      <c r="D170" s="47"/>
    </row>
    <row r="171" spans="1:4" ht="15">
      <c r="A171" s="668" t="s">
        <v>1088</v>
      </c>
      <c r="B171" s="119" t="s">
        <v>1470</v>
      </c>
      <c r="C171" s="101">
        <f>+'PROGRAMA 3'!D111</f>
        <v>90000000</v>
      </c>
      <c r="D171" s="47">
        <f>C171/C175</f>
        <v>0.257450771421639</v>
      </c>
    </row>
    <row r="172" spans="1:4" ht="15">
      <c r="A172" s="91"/>
      <c r="B172" s="80"/>
      <c r="C172" s="101"/>
      <c r="D172" s="47"/>
    </row>
    <row r="173" spans="1:4" ht="15">
      <c r="A173" s="91" t="s">
        <v>1094</v>
      </c>
      <c r="B173" s="80" t="s">
        <v>1095</v>
      </c>
      <c r="C173" s="101">
        <f>+'PROGRAMA 3'!D134</f>
        <v>44343003.9</v>
      </c>
      <c r="D173" s="47">
        <f>C173/C175</f>
        <v>0.12684600623564163</v>
      </c>
    </row>
    <row r="174" spans="1:4" ht="15.75" thickBot="1">
      <c r="A174" s="93"/>
      <c r="B174" s="90"/>
      <c r="C174" s="102"/>
      <c r="D174" s="51"/>
    </row>
    <row r="175" spans="1:4" ht="15.75" thickBot="1">
      <c r="A175" s="96"/>
      <c r="B175" s="54" t="s">
        <v>1046</v>
      </c>
      <c r="C175" s="95">
        <f>SUM(C169:C173)</f>
        <v>349581395.70925134</v>
      </c>
      <c r="D175" s="81">
        <f>SUM(D169:D173)</f>
        <v>1</v>
      </c>
    </row>
    <row r="176" spans="1:4" ht="15">
      <c r="A176" s="96"/>
      <c r="B176" s="42"/>
      <c r="C176" s="40"/>
      <c r="D176" s="43"/>
    </row>
    <row r="177" spans="1:4" ht="15">
      <c r="A177" s="38"/>
      <c r="B177" s="42"/>
      <c r="C177" s="40"/>
      <c r="D177" s="43"/>
    </row>
    <row r="178" spans="1:4" ht="18">
      <c r="A178" s="848" t="s">
        <v>1039</v>
      </c>
      <c r="B178" s="848"/>
      <c r="C178" s="848"/>
      <c r="D178" s="848"/>
    </row>
    <row r="179" ht="13.5" thickBot="1">
      <c r="C179" s="3"/>
    </row>
    <row r="180" spans="1:4" ht="16.5" thickBot="1">
      <c r="A180" s="54"/>
      <c r="B180" s="63" t="s">
        <v>1040</v>
      </c>
      <c r="C180" s="64">
        <f>SUM(C182:C190)</f>
        <v>349581395.70925134</v>
      </c>
      <c r="D180" s="65">
        <f>SUM(D182:D190)</f>
        <v>1</v>
      </c>
    </row>
    <row r="181" spans="1:4" ht="15.75">
      <c r="A181" s="55"/>
      <c r="B181" s="497"/>
      <c r="C181" s="498"/>
      <c r="D181" s="499"/>
    </row>
    <row r="182" spans="1:4" ht="15">
      <c r="A182" s="56">
        <v>0</v>
      </c>
      <c r="B182" s="533" t="s">
        <v>833</v>
      </c>
      <c r="C182" s="121">
        <f>+'PROGRAMA 3'!D4</f>
        <v>27839161.61925136</v>
      </c>
      <c r="D182" s="534">
        <f>C182/C180</f>
        <v>0.0796357070511994</v>
      </c>
    </row>
    <row r="183" spans="1:4" ht="15.75">
      <c r="A183" s="529"/>
      <c r="B183" s="530"/>
      <c r="C183" s="531"/>
      <c r="D183" s="532"/>
    </row>
    <row r="184" spans="1:4" ht="15">
      <c r="A184" s="56">
        <v>1</v>
      </c>
      <c r="B184" s="533" t="s">
        <v>867</v>
      </c>
      <c r="C184" s="121">
        <f>+'PROGRAMA 3'!D27</f>
        <v>105487631.97</v>
      </c>
      <c r="D184" s="534">
        <f>C184/C180</f>
        <v>0.30175413584576055</v>
      </c>
    </row>
    <row r="185" spans="1:4" ht="15.75">
      <c r="A185" s="529"/>
      <c r="B185" s="530"/>
      <c r="C185" s="531"/>
      <c r="D185" s="532"/>
    </row>
    <row r="186" spans="1:4" ht="15">
      <c r="A186" s="56">
        <v>5</v>
      </c>
      <c r="B186" s="45" t="s">
        <v>914</v>
      </c>
      <c r="C186" s="46">
        <f>+'PROGRAMA 3'!D38</f>
        <v>171911598.22</v>
      </c>
      <c r="D186" s="47">
        <f>C186/C180</f>
        <v>0.49176415086739844</v>
      </c>
    </row>
    <row r="187" spans="1:4" ht="15">
      <c r="A187" s="56"/>
      <c r="B187" s="45"/>
      <c r="C187" s="46"/>
      <c r="D187" s="47"/>
    </row>
    <row r="188" spans="1:4" ht="15">
      <c r="A188" s="56">
        <v>7</v>
      </c>
      <c r="B188" s="533" t="s">
        <v>819</v>
      </c>
      <c r="C188" s="46">
        <f>+'PROGRAMA 3'!D42</f>
        <v>27000000</v>
      </c>
      <c r="D188" s="47">
        <f>C188/C180</f>
        <v>0.0772352314264917</v>
      </c>
    </row>
    <row r="189" spans="1:4" ht="15">
      <c r="A189" s="56"/>
      <c r="B189" s="45"/>
      <c r="C189" s="46"/>
      <c r="D189" s="47"/>
    </row>
    <row r="190" spans="1:4" ht="15.75" thickBot="1">
      <c r="A190" s="58">
        <v>9</v>
      </c>
      <c r="B190" s="49" t="s">
        <v>168</v>
      </c>
      <c r="C190" s="50">
        <f>+'PROGRAMA 3'!D53</f>
        <v>17343003.9</v>
      </c>
      <c r="D190" s="51">
        <f>C190/C180</f>
        <v>0.049610774809149924</v>
      </c>
    </row>
    <row r="191" spans="1:4" ht="15">
      <c r="A191" s="38"/>
      <c r="B191" s="42"/>
      <c r="C191" s="42"/>
      <c r="D191" s="42"/>
    </row>
  </sheetData>
  <sheetProtection/>
  <mergeCells count="16">
    <mergeCell ref="A62:D62"/>
    <mergeCell ref="A111:D111"/>
    <mergeCell ref="A6:D6"/>
    <mergeCell ref="A7:D7"/>
    <mergeCell ref="A9:D9"/>
    <mergeCell ref="A10:D10"/>
    <mergeCell ref="A59:D59"/>
    <mergeCell ref="A60:D60"/>
    <mergeCell ref="A178:D178"/>
    <mergeCell ref="A76:D76"/>
    <mergeCell ref="A141:D141"/>
    <mergeCell ref="A112:D112"/>
    <mergeCell ref="A113:D113"/>
    <mergeCell ref="A162:D162"/>
    <mergeCell ref="A163:D163"/>
    <mergeCell ref="A165:D165"/>
  </mergeCells>
  <printOptions/>
  <pageMargins left="0.7874015748031497" right="0.3937007874015748" top="0" bottom="0" header="0" footer="0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E6" sqref="E6"/>
    </sheetView>
  </sheetViews>
  <sheetFormatPr defaultColWidth="11.421875" defaultRowHeight="12.75"/>
  <cols>
    <col min="5" max="5" width="25.7109375" style="0" customWidth="1"/>
  </cols>
  <sheetData>
    <row r="1" ht="13.5" thickBot="1"/>
    <row r="2" spans="1:5" ht="18.75" thickBot="1">
      <c r="A2" s="525" t="s">
        <v>1494</v>
      </c>
      <c r="B2" s="525"/>
      <c r="C2" s="525"/>
      <c r="D2" s="525"/>
      <c r="E2" s="528">
        <f>+INGRESOS!C9</f>
        <v>1843728241.52</v>
      </c>
    </row>
    <row r="3" spans="1:5" ht="18">
      <c r="A3" s="525"/>
      <c r="B3" s="525"/>
      <c r="C3" s="525"/>
      <c r="D3" s="525"/>
      <c r="E3" s="525"/>
    </row>
    <row r="4" spans="1:5" ht="18">
      <c r="A4" s="525" t="s">
        <v>502</v>
      </c>
      <c r="B4" s="525"/>
      <c r="C4" s="525"/>
      <c r="D4" s="525"/>
      <c r="E4" s="526">
        <f>+'PROGRAMA 1'!D130</f>
        <v>801758688.3918085</v>
      </c>
    </row>
    <row r="5" spans="1:5" ht="18">
      <c r="A5" s="525" t="s">
        <v>503</v>
      </c>
      <c r="B5" s="525"/>
      <c r="C5" s="525"/>
      <c r="D5" s="525"/>
      <c r="E5" s="526">
        <f>+'PROGRAMA 2'!D131</f>
        <v>692388157.4166907</v>
      </c>
    </row>
    <row r="6" spans="1:5" ht="18.75" thickBot="1">
      <c r="A6" s="525" t="s">
        <v>504</v>
      </c>
      <c r="B6" s="525"/>
      <c r="C6" s="525"/>
      <c r="D6" s="525"/>
      <c r="E6" s="527">
        <f>+'PROGRAMA 3'!D57</f>
        <v>349581395.70925134</v>
      </c>
    </row>
    <row r="7" spans="1:5" ht="18.75" thickTop="1">
      <c r="A7" s="525" t="s">
        <v>826</v>
      </c>
      <c r="B7" s="525"/>
      <c r="C7" s="525"/>
      <c r="D7" s="525"/>
      <c r="E7" s="526">
        <f>SUM(E4:E6)</f>
        <v>1843728241.5177507</v>
      </c>
    </row>
    <row r="8" spans="1:5" ht="18.75" thickBot="1">
      <c r="A8" s="525"/>
      <c r="B8" s="525"/>
      <c r="C8" s="525"/>
      <c r="D8" s="525"/>
      <c r="E8" s="526"/>
    </row>
    <row r="9" spans="1:5" ht="18.75" thickBot="1">
      <c r="A9" s="525" t="s">
        <v>505</v>
      </c>
      <c r="B9" s="525"/>
      <c r="C9" s="525"/>
      <c r="D9" s="525"/>
      <c r="E9" s="528">
        <f>E2-E7</f>
        <v>0.0022492408752441406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0"/>
  <sheetViews>
    <sheetView zoomScalePageLayoutView="0" workbookViewId="0" topLeftCell="A318">
      <selection activeCell="C341" sqref="C341"/>
    </sheetView>
  </sheetViews>
  <sheetFormatPr defaultColWidth="11.421875" defaultRowHeight="12.75"/>
  <cols>
    <col min="1" max="1" width="15.7109375" style="0" customWidth="1"/>
    <col min="2" max="2" width="45.7109375" style="0" customWidth="1"/>
    <col min="3" max="4" width="15.7109375" style="0" customWidth="1"/>
    <col min="6" max="6" width="11.421875" style="843" customWidth="1"/>
  </cols>
  <sheetData>
    <row r="1" spans="1:4" ht="18">
      <c r="A1" s="847" t="s">
        <v>823</v>
      </c>
      <c r="B1" s="847"/>
      <c r="C1" s="847"/>
      <c r="D1" s="847"/>
    </row>
    <row r="2" spans="1:4" ht="18">
      <c r="A2" s="847" t="s">
        <v>1572</v>
      </c>
      <c r="B2" s="847"/>
      <c r="C2" s="847"/>
      <c r="D2" s="847"/>
    </row>
    <row r="3" spans="1:4" ht="15.75">
      <c r="A3" s="851" t="s">
        <v>1041</v>
      </c>
      <c r="B3" s="851"/>
      <c r="C3" s="851"/>
      <c r="D3" s="851"/>
    </row>
    <row r="4" spans="1:4" ht="13.5" thickBot="1">
      <c r="A4" s="105"/>
      <c r="B4" s="105"/>
      <c r="C4" s="105"/>
      <c r="D4" s="105"/>
    </row>
    <row r="5" spans="1:4" ht="13.5" thickBot="1">
      <c r="A5" s="30" t="s">
        <v>844</v>
      </c>
      <c r="B5" s="729" t="s">
        <v>833</v>
      </c>
      <c r="C5" s="27"/>
      <c r="D5" s="730">
        <f>C6+C11+C15+C21+C26</f>
        <v>515055412.4066086</v>
      </c>
    </row>
    <row r="6" spans="1:4" ht="13.5" thickTop="1">
      <c r="A6" s="25" t="s">
        <v>843</v>
      </c>
      <c r="B6" s="28" t="s">
        <v>834</v>
      </c>
      <c r="C6" s="29">
        <f>SUM(C7:C9)</f>
        <v>241644251.57473987</v>
      </c>
      <c r="D6" s="3"/>
    </row>
    <row r="7" spans="1:4" ht="12.75">
      <c r="A7" s="24" t="s">
        <v>842</v>
      </c>
      <c r="B7" t="s">
        <v>835</v>
      </c>
      <c r="C7" s="3">
        <f>C179+C273</f>
        <v>230617071.57473987</v>
      </c>
      <c r="D7" s="3"/>
    </row>
    <row r="8" spans="1:4" ht="12.75">
      <c r="A8" s="24" t="s">
        <v>134</v>
      </c>
      <c r="B8" t="s">
        <v>41</v>
      </c>
      <c r="C8" s="3">
        <f>C180</f>
        <v>6027180</v>
      </c>
      <c r="D8" s="3"/>
    </row>
    <row r="9" spans="1:4" ht="12.75">
      <c r="A9" s="24" t="s">
        <v>841</v>
      </c>
      <c r="B9" t="s">
        <v>836</v>
      </c>
      <c r="C9" s="3">
        <f>C181</f>
        <v>5000000</v>
      </c>
      <c r="D9" s="3"/>
    </row>
    <row r="10" spans="1:4" ht="12.75">
      <c r="A10" s="24"/>
      <c r="C10" s="3"/>
      <c r="D10" s="3"/>
    </row>
    <row r="11" spans="1:4" ht="12.75">
      <c r="A11" s="30" t="s">
        <v>840</v>
      </c>
      <c r="B11" s="28" t="s">
        <v>837</v>
      </c>
      <c r="C11" s="29">
        <f>SUM(C12:C13)</f>
        <v>24702191.76241387</v>
      </c>
      <c r="D11" s="3"/>
    </row>
    <row r="12" spans="1:4" ht="12.75">
      <c r="A12" s="24" t="s">
        <v>838</v>
      </c>
      <c r="B12" t="s">
        <v>498</v>
      </c>
      <c r="C12" s="3">
        <f>C184</f>
        <v>2500000</v>
      </c>
      <c r="D12" s="3"/>
    </row>
    <row r="13" spans="1:4" ht="12.75">
      <c r="A13" s="24" t="s">
        <v>845</v>
      </c>
      <c r="B13" t="s">
        <v>846</v>
      </c>
      <c r="C13" s="3">
        <f>C185</f>
        <v>22202191.76241387</v>
      </c>
      <c r="D13" s="3"/>
    </row>
    <row r="14" spans="1:4" ht="12.75">
      <c r="A14" s="24"/>
      <c r="C14" s="3"/>
      <c r="D14" s="3"/>
    </row>
    <row r="15" spans="1:4" ht="12.75">
      <c r="A15" s="30" t="s">
        <v>847</v>
      </c>
      <c r="B15" s="28" t="s">
        <v>848</v>
      </c>
      <c r="C15" s="29">
        <f>SUM(C16:C19)</f>
        <v>173893352.50023702</v>
      </c>
      <c r="D15" s="3"/>
    </row>
    <row r="16" spans="1:4" ht="12.75">
      <c r="A16" s="24" t="s">
        <v>849</v>
      </c>
      <c r="B16" t="s">
        <v>850</v>
      </c>
      <c r="C16" s="3">
        <f>C188+C276</f>
        <v>59813436.10862541</v>
      </c>
      <c r="D16" s="3"/>
    </row>
    <row r="17" spans="1:4" ht="12.75">
      <c r="A17" s="24" t="s">
        <v>851</v>
      </c>
      <c r="B17" t="s">
        <v>852</v>
      </c>
      <c r="C17" s="3">
        <f>C189+C277</f>
        <v>67964855.4190818</v>
      </c>
      <c r="D17" s="3"/>
    </row>
    <row r="18" spans="1:4" ht="12.75">
      <c r="A18" s="24" t="s">
        <v>853</v>
      </c>
      <c r="B18" t="s">
        <v>854</v>
      </c>
      <c r="C18" s="3">
        <f>C190+C278</f>
        <v>30993545.25853726</v>
      </c>
      <c r="D18" s="3"/>
    </row>
    <row r="19" spans="1:4" ht="12.75">
      <c r="A19" s="24" t="s">
        <v>1549</v>
      </c>
      <c r="B19" t="s">
        <v>1550</v>
      </c>
      <c r="C19" s="3">
        <f>C191+C279</f>
        <v>15121515.713992538</v>
      </c>
      <c r="D19" s="3"/>
    </row>
    <row r="20" spans="1:4" ht="12.75">
      <c r="A20" s="24"/>
      <c r="C20" s="3"/>
      <c r="D20" s="3"/>
    </row>
    <row r="21" spans="1:4" ht="12.75">
      <c r="A21" s="30" t="s">
        <v>855</v>
      </c>
      <c r="B21" s="28" t="s">
        <v>856</v>
      </c>
      <c r="C21" s="29">
        <f>SUM(C23:C24)</f>
        <v>57398633.922478005</v>
      </c>
      <c r="D21" s="3"/>
    </row>
    <row r="22" spans="1:4" ht="12.75">
      <c r="A22" s="24"/>
      <c r="B22" s="31" t="s">
        <v>857</v>
      </c>
      <c r="C22" s="3"/>
      <c r="D22" s="3"/>
    </row>
    <row r="23" spans="1:4" ht="12.75">
      <c r="A23" s="24" t="s">
        <v>858</v>
      </c>
      <c r="B23" t="s">
        <v>859</v>
      </c>
      <c r="C23" s="3">
        <f>C195+C283</f>
        <v>55463413.6283958</v>
      </c>
      <c r="D23" s="3"/>
    </row>
    <row r="24" spans="1:4" ht="12.75">
      <c r="A24" s="24" t="s">
        <v>860</v>
      </c>
      <c r="B24" t="s">
        <v>861</v>
      </c>
      <c r="C24" s="3">
        <f>C196+C284</f>
        <v>1935220.2940821983</v>
      </c>
      <c r="D24" s="3"/>
    </row>
    <row r="25" spans="1:4" ht="12.75">
      <c r="A25" s="24"/>
      <c r="C25" s="3"/>
      <c r="D25" s="3"/>
    </row>
    <row r="26" spans="1:4" ht="12.75">
      <c r="A26" s="30" t="s">
        <v>862</v>
      </c>
      <c r="B26" s="28" t="s">
        <v>863</v>
      </c>
      <c r="C26" s="29">
        <f>SUM(C28:C29)</f>
        <v>17416982.646739785</v>
      </c>
      <c r="D26" s="3"/>
    </row>
    <row r="27" spans="1:4" ht="12.75">
      <c r="A27" s="30"/>
      <c r="B27" s="31" t="s">
        <v>864</v>
      </c>
      <c r="C27" s="27"/>
      <c r="D27" s="3"/>
    </row>
    <row r="28" spans="1:4" ht="12.75">
      <c r="A28" s="158" t="s">
        <v>1407</v>
      </c>
      <c r="B28" s="33" t="s">
        <v>1406</v>
      </c>
      <c r="C28" s="3">
        <f>C200+C288</f>
        <v>5805660.882246595</v>
      </c>
      <c r="D28" s="3"/>
    </row>
    <row r="29" spans="1:4" ht="12.75">
      <c r="A29" s="24" t="s">
        <v>865</v>
      </c>
      <c r="B29" t="s">
        <v>866</v>
      </c>
      <c r="C29" s="3">
        <f>C201+C289</f>
        <v>11611321.76449319</v>
      </c>
      <c r="D29" s="3"/>
    </row>
    <row r="30" spans="1:4" ht="12.75">
      <c r="A30" s="24"/>
      <c r="C30" s="3"/>
      <c r="D30" s="3"/>
    </row>
    <row r="31" spans="1:4" ht="13.5" thickBot="1">
      <c r="A31" s="30" t="s">
        <v>779</v>
      </c>
      <c r="B31" s="729" t="s">
        <v>867</v>
      </c>
      <c r="C31" s="157"/>
      <c r="D31" s="730">
        <f>C32+C36+C41+C47+C53+C57+C60+C63+C67</f>
        <v>77029580.95</v>
      </c>
    </row>
    <row r="32" spans="1:4" ht="13.5" thickTop="1">
      <c r="A32" s="30" t="s">
        <v>174</v>
      </c>
      <c r="B32" s="28" t="s">
        <v>982</v>
      </c>
      <c r="C32" s="29">
        <f>C33+C34</f>
        <v>22200000</v>
      </c>
      <c r="D32" s="107"/>
    </row>
    <row r="33" spans="1:4" ht="12.75">
      <c r="A33" s="158" t="s">
        <v>175</v>
      </c>
      <c r="B33" s="36" t="s">
        <v>286</v>
      </c>
      <c r="C33" s="157">
        <f>C205</f>
        <v>14700000</v>
      </c>
      <c r="D33" s="107"/>
    </row>
    <row r="34" spans="1:4" ht="12.75">
      <c r="A34" s="158" t="s">
        <v>1282</v>
      </c>
      <c r="B34" s="34" t="s">
        <v>1281</v>
      </c>
      <c r="C34" s="157">
        <f>C206</f>
        <v>7500000</v>
      </c>
      <c r="D34" s="107"/>
    </row>
    <row r="35" spans="1:4" ht="12.75">
      <c r="A35" s="69"/>
      <c r="B35" s="106"/>
      <c r="C35" s="71"/>
      <c r="D35" s="107"/>
    </row>
    <row r="36" spans="1:4" ht="12.75">
      <c r="A36" s="30" t="s">
        <v>868</v>
      </c>
      <c r="B36" s="28" t="s">
        <v>869</v>
      </c>
      <c r="C36" s="29">
        <f>SUM(C37:C39)</f>
        <v>9015000</v>
      </c>
      <c r="D36" s="3"/>
    </row>
    <row r="37" spans="1:4" ht="12.75">
      <c r="A37" s="24" t="s">
        <v>870</v>
      </c>
      <c r="B37" t="s">
        <v>871</v>
      </c>
      <c r="C37" s="3">
        <f>C209</f>
        <v>6000000</v>
      </c>
      <c r="D37" s="3"/>
    </row>
    <row r="38" spans="1:4" ht="12.75">
      <c r="A38" s="24" t="s">
        <v>1285</v>
      </c>
      <c r="B38" t="s">
        <v>1284</v>
      </c>
      <c r="C38" s="3">
        <f>C210</f>
        <v>15000</v>
      </c>
      <c r="D38" s="3"/>
    </row>
    <row r="39" spans="1:3" ht="12.75">
      <c r="A39" s="24" t="s">
        <v>872</v>
      </c>
      <c r="B39" t="s">
        <v>873</v>
      </c>
      <c r="C39" s="3">
        <f>C211</f>
        <v>3000000</v>
      </c>
    </row>
    <row r="41" spans="1:3" ht="12.75">
      <c r="A41" s="30" t="s">
        <v>874</v>
      </c>
      <c r="B41" s="28" t="s">
        <v>875</v>
      </c>
      <c r="C41" s="29">
        <f>SUM(C42:C45)</f>
        <v>20300000</v>
      </c>
    </row>
    <row r="42" spans="1:3" ht="12.75">
      <c r="A42" t="s">
        <v>501</v>
      </c>
      <c r="B42" t="s">
        <v>500</v>
      </c>
      <c r="C42" s="3">
        <f>C214</f>
        <v>2500000</v>
      </c>
    </row>
    <row r="43" spans="1:3" ht="12.75">
      <c r="A43" t="s">
        <v>288</v>
      </c>
      <c r="B43" t="s">
        <v>557</v>
      </c>
      <c r="C43" s="3">
        <f>C215</f>
        <v>1000000</v>
      </c>
    </row>
    <row r="44" spans="1:3" ht="12.75">
      <c r="A44" s="33" t="s">
        <v>876</v>
      </c>
      <c r="B44" s="33" t="s">
        <v>1367</v>
      </c>
      <c r="C44" s="3">
        <f>C216</f>
        <v>500000</v>
      </c>
    </row>
    <row r="45" spans="1:3" ht="12.75">
      <c r="A45" t="s">
        <v>189</v>
      </c>
      <c r="B45" t="str">
        <f>B217</f>
        <v>Comisiónes y gastos por servicios Financieros y Com.</v>
      </c>
      <c r="C45" s="3">
        <f>C217</f>
        <v>16300000</v>
      </c>
    </row>
    <row r="46" ht="12.75">
      <c r="C46" s="3"/>
    </row>
    <row r="47" spans="1:3" ht="12.75">
      <c r="A47" s="26" t="s">
        <v>878</v>
      </c>
      <c r="B47" s="28" t="s">
        <v>879</v>
      </c>
      <c r="C47" s="29">
        <f>SUM(C48:C51)</f>
        <v>11660000</v>
      </c>
    </row>
    <row r="48" spans="1:3" ht="12.75">
      <c r="A48" s="33" t="s">
        <v>192</v>
      </c>
      <c r="B48" s="36" t="str">
        <f>B220</f>
        <v>Servicios Jurídicos</v>
      </c>
      <c r="C48" s="37">
        <f>C220</f>
        <v>5200000</v>
      </c>
    </row>
    <row r="49" spans="1:3" ht="12.75">
      <c r="A49" s="33" t="s">
        <v>1691</v>
      </c>
      <c r="B49" s="36" t="s">
        <v>1692</v>
      </c>
      <c r="C49" s="37">
        <f>+C222</f>
        <v>5000000</v>
      </c>
    </row>
    <row r="50" spans="1:3" ht="12.75">
      <c r="A50" s="33" t="s">
        <v>1588</v>
      </c>
      <c r="B50" s="36" t="s">
        <v>987</v>
      </c>
      <c r="C50" s="37">
        <f>C221</f>
        <v>580000</v>
      </c>
    </row>
    <row r="51" spans="1:3" ht="12.75">
      <c r="A51" s="33" t="s">
        <v>1289</v>
      </c>
      <c r="B51" s="34" t="s">
        <v>1287</v>
      </c>
      <c r="C51" s="37">
        <f>C223</f>
        <v>880000</v>
      </c>
    </row>
    <row r="52" spans="1:3" ht="12.75">
      <c r="A52" s="33"/>
      <c r="B52" s="34"/>
      <c r="C52" s="37"/>
    </row>
    <row r="53" spans="1:3" ht="12.75">
      <c r="A53" s="26" t="s">
        <v>1294</v>
      </c>
      <c r="B53" s="28" t="s">
        <v>570</v>
      </c>
      <c r="C53" s="29">
        <f>SUM(C54:C55)</f>
        <v>100000</v>
      </c>
    </row>
    <row r="54" spans="1:3" ht="12.75">
      <c r="A54" s="33" t="s">
        <v>1295</v>
      </c>
      <c r="B54" s="34" t="s">
        <v>48</v>
      </c>
      <c r="C54" s="37">
        <f>C226</f>
        <v>50000</v>
      </c>
    </row>
    <row r="55" spans="1:3" ht="12.75">
      <c r="A55" s="33" t="s">
        <v>1296</v>
      </c>
      <c r="B55" s="34" t="s">
        <v>193</v>
      </c>
      <c r="C55" s="37">
        <f>C227</f>
        <v>50000</v>
      </c>
    </row>
    <row r="56" spans="1:3" ht="12.75">
      <c r="A56" s="33"/>
      <c r="B56" s="34"/>
      <c r="C56" s="37"/>
    </row>
    <row r="57" spans="1:3" ht="12.75">
      <c r="A57" s="26" t="s">
        <v>880</v>
      </c>
      <c r="B57" s="28" t="s">
        <v>881</v>
      </c>
      <c r="C57" s="29">
        <f>C58</f>
        <v>6554580.95</v>
      </c>
    </row>
    <row r="58" spans="1:3" ht="12.75">
      <c r="A58" t="s">
        <v>882</v>
      </c>
      <c r="B58" t="s">
        <v>883</v>
      </c>
      <c r="C58" s="3">
        <f>C230+C295</f>
        <v>6554580.95</v>
      </c>
    </row>
    <row r="59" ht="12.75">
      <c r="C59" s="3"/>
    </row>
    <row r="60" spans="1:3" ht="12.75">
      <c r="A60" s="26" t="s">
        <v>176</v>
      </c>
      <c r="B60" s="28" t="s">
        <v>994</v>
      </c>
      <c r="C60" s="29">
        <f>SUM(C61:C61)</f>
        <v>5500000</v>
      </c>
    </row>
    <row r="61" spans="1:3" ht="12.75">
      <c r="A61" t="s">
        <v>197</v>
      </c>
      <c r="B61" t="s">
        <v>166</v>
      </c>
      <c r="C61" s="3">
        <f>C233+C298</f>
        <v>5500000</v>
      </c>
    </row>
    <row r="62" ht="12.75">
      <c r="C62" s="3"/>
    </row>
    <row r="63" spans="1:3" ht="12.75">
      <c r="A63" s="26" t="s">
        <v>884</v>
      </c>
      <c r="B63" s="28" t="s">
        <v>885</v>
      </c>
      <c r="C63" s="29">
        <f>SUM(C64:C65)</f>
        <v>1500000</v>
      </c>
    </row>
    <row r="64" spans="1:3" ht="12.75">
      <c r="A64" t="s">
        <v>886</v>
      </c>
      <c r="B64" t="s">
        <v>887</v>
      </c>
      <c r="C64" s="3">
        <f>C236</f>
        <v>1000000</v>
      </c>
    </row>
    <row r="65" spans="1:3" ht="12.75">
      <c r="A65" s="33" t="s">
        <v>1485</v>
      </c>
      <c r="B65" s="33" t="s">
        <v>1486</v>
      </c>
      <c r="C65" s="3">
        <f>C237</f>
        <v>500000</v>
      </c>
    </row>
    <row r="66" ht="12.75">
      <c r="C66" s="3"/>
    </row>
    <row r="67" spans="1:3" ht="12.75">
      <c r="A67" s="26" t="s">
        <v>1301</v>
      </c>
      <c r="B67" s="28" t="s">
        <v>1298</v>
      </c>
      <c r="C67" s="29">
        <f>SUM(C68:C70)</f>
        <v>200000</v>
      </c>
    </row>
    <row r="68" spans="1:3" ht="12.75">
      <c r="A68" t="s">
        <v>1302</v>
      </c>
      <c r="B68" t="s">
        <v>1300</v>
      </c>
      <c r="C68" s="3">
        <f>C240</f>
        <v>200000</v>
      </c>
    </row>
    <row r="69" ht="12.75">
      <c r="C69" s="3"/>
    </row>
    <row r="70" spans="1:4" ht="13.5" thickBot="1">
      <c r="A70" s="26" t="s">
        <v>888</v>
      </c>
      <c r="B70" s="729" t="s">
        <v>889</v>
      </c>
      <c r="C70" s="157"/>
      <c r="D70" s="730">
        <f>C71+C83+C76+C79</f>
        <v>11340000</v>
      </c>
    </row>
    <row r="71" spans="1:3" ht="13.5" thickTop="1">
      <c r="A71" s="26" t="s">
        <v>890</v>
      </c>
      <c r="B71" s="28" t="s">
        <v>891</v>
      </c>
      <c r="C71" s="29">
        <f>SUM(C72:C74)</f>
        <v>2350000</v>
      </c>
    </row>
    <row r="72" spans="1:3" ht="12.75">
      <c r="A72" t="s">
        <v>892</v>
      </c>
      <c r="B72" t="s">
        <v>902</v>
      </c>
      <c r="C72" s="3">
        <f>C244</f>
        <v>1500000</v>
      </c>
    </row>
    <row r="73" spans="1:3" ht="12.75">
      <c r="A73" t="s">
        <v>1305</v>
      </c>
      <c r="B73" t="s">
        <v>1304</v>
      </c>
      <c r="C73" s="3">
        <f>C245</f>
        <v>50000</v>
      </c>
    </row>
    <row r="74" spans="1:3" ht="12.75">
      <c r="A74" t="s">
        <v>903</v>
      </c>
      <c r="B74" t="s">
        <v>904</v>
      </c>
      <c r="C74" s="3">
        <f>C246</f>
        <v>800000</v>
      </c>
    </row>
    <row r="75" ht="12.75">
      <c r="C75" s="3"/>
    </row>
    <row r="76" spans="1:3" ht="12.75">
      <c r="A76" s="26" t="s">
        <v>201</v>
      </c>
      <c r="B76" s="28" t="str">
        <f>B248</f>
        <v>MATER. Y PRODUC. USO CONSTRUC. MANTEN.</v>
      </c>
      <c r="C76" s="29">
        <f>SUM(C77:C77)</f>
        <v>250000</v>
      </c>
    </row>
    <row r="77" spans="1:3" ht="12.75">
      <c r="A77" s="33" t="s">
        <v>1308</v>
      </c>
      <c r="B77" s="34" t="s">
        <v>1309</v>
      </c>
      <c r="C77" s="37">
        <f>C249</f>
        <v>250000</v>
      </c>
    </row>
    <row r="78" spans="1:3" ht="12.75">
      <c r="A78" s="33"/>
      <c r="B78" s="33"/>
      <c r="C78" s="3"/>
    </row>
    <row r="79" spans="1:3" ht="12.75">
      <c r="A79" s="26" t="s">
        <v>1313</v>
      </c>
      <c r="B79" s="28" t="str">
        <f>B251</f>
        <v>HERRAMIENTAS REPUESTOS Y ACCESORIOS</v>
      </c>
      <c r="C79" s="29">
        <f>SUM(C80:C81)</f>
        <v>290000</v>
      </c>
    </row>
    <row r="80" spans="1:3" ht="12.75">
      <c r="A80" s="33" t="s">
        <v>1314</v>
      </c>
      <c r="B80" s="33" t="s">
        <v>215</v>
      </c>
      <c r="C80" s="3">
        <f>C252</f>
        <v>140000</v>
      </c>
    </row>
    <row r="81" spans="1:3" ht="12.75">
      <c r="A81" s="33" t="s">
        <v>1315</v>
      </c>
      <c r="B81" s="33" t="s">
        <v>1025</v>
      </c>
      <c r="C81" s="3">
        <f>C253</f>
        <v>150000</v>
      </c>
    </row>
    <row r="82" ht="12.75">
      <c r="C82" s="3"/>
    </row>
    <row r="83" spans="1:3" ht="12.75">
      <c r="A83" s="26" t="s">
        <v>905</v>
      </c>
      <c r="B83" s="28" t="s">
        <v>906</v>
      </c>
      <c r="C83" s="29">
        <f>SUM(C84:C89)</f>
        <v>8450000</v>
      </c>
    </row>
    <row r="84" spans="1:3" ht="12.75">
      <c r="A84" t="s">
        <v>907</v>
      </c>
      <c r="B84" t="s">
        <v>908</v>
      </c>
      <c r="C84" s="3">
        <f>C256+C302</f>
        <v>950000</v>
      </c>
    </row>
    <row r="85" spans="1:3" ht="12.75">
      <c r="A85" t="s">
        <v>1591</v>
      </c>
      <c r="B85" t="s">
        <v>1590</v>
      </c>
      <c r="C85" s="3">
        <f>C257</f>
        <v>150000</v>
      </c>
    </row>
    <row r="86" spans="1:3" ht="12.75">
      <c r="A86" t="s">
        <v>1593</v>
      </c>
      <c r="B86" t="s">
        <v>481</v>
      </c>
      <c r="C86" s="3">
        <f>C258</f>
        <v>1800000</v>
      </c>
    </row>
    <row r="87" spans="1:3" ht="12.75">
      <c r="A87" t="s">
        <v>204</v>
      </c>
      <c r="B87" t="str">
        <f>B259</f>
        <v>Textiles y Vestuario</v>
      </c>
      <c r="C87" s="3">
        <f>C259</f>
        <v>3000000</v>
      </c>
    </row>
    <row r="88" spans="1:3" ht="12.75">
      <c r="A88" s="33" t="s">
        <v>909</v>
      </c>
      <c r="B88" s="33" t="s">
        <v>205</v>
      </c>
      <c r="C88" s="3">
        <f>C260</f>
        <v>2500000</v>
      </c>
    </row>
    <row r="89" spans="1:3" ht="12.75">
      <c r="A89" s="33" t="s">
        <v>1357</v>
      </c>
      <c r="B89" s="33" t="s">
        <v>633</v>
      </c>
      <c r="C89" s="3">
        <f>C261</f>
        <v>50000</v>
      </c>
    </row>
    <row r="90" ht="12.75">
      <c r="C90" s="3"/>
    </row>
    <row r="91" spans="1:4" ht="13.5" thickBot="1">
      <c r="A91" s="30">
        <v>1.3</v>
      </c>
      <c r="B91" s="729" t="s">
        <v>911</v>
      </c>
      <c r="C91" s="27"/>
      <c r="D91" s="730">
        <f>C92</f>
        <v>5817542.76</v>
      </c>
    </row>
    <row r="92" spans="1:3" ht="13.5" thickTop="1">
      <c r="A92" s="26" t="s">
        <v>493</v>
      </c>
      <c r="B92" s="28" t="s">
        <v>912</v>
      </c>
      <c r="C92" s="29">
        <f>C93</f>
        <v>5817542.76</v>
      </c>
    </row>
    <row r="93" spans="1:3" ht="12.75">
      <c r="A93" t="s">
        <v>494</v>
      </c>
      <c r="B93" t="s">
        <v>487</v>
      </c>
      <c r="C93" s="3">
        <f>C309</f>
        <v>5817542.76</v>
      </c>
    </row>
    <row r="94" spans="2:3" ht="12.75">
      <c r="B94" t="s">
        <v>249</v>
      </c>
      <c r="C94" s="3"/>
    </row>
    <row r="95" ht="12.75">
      <c r="C95" s="3"/>
    </row>
    <row r="96" spans="1:4" ht="13.5" thickBot="1">
      <c r="A96" s="26" t="s">
        <v>913</v>
      </c>
      <c r="B96" s="729" t="s">
        <v>914</v>
      </c>
      <c r="C96" s="27"/>
      <c r="D96" s="730">
        <f>C97</f>
        <v>5000000</v>
      </c>
    </row>
    <row r="97" spans="1:3" ht="13.5" thickTop="1">
      <c r="A97" s="26" t="s">
        <v>915</v>
      </c>
      <c r="B97" s="28" t="s">
        <v>916</v>
      </c>
      <c r="C97" s="29">
        <f>SUM(C98:C99)</f>
        <v>5000000</v>
      </c>
    </row>
    <row r="98" spans="1:3" ht="12.75">
      <c r="A98" t="s">
        <v>921</v>
      </c>
      <c r="B98" t="s">
        <v>917</v>
      </c>
      <c r="C98" s="3">
        <f>C265</f>
        <v>500000</v>
      </c>
    </row>
    <row r="99" spans="1:3" ht="12.75">
      <c r="A99" s="33" t="s">
        <v>922</v>
      </c>
      <c r="B99" s="33" t="s">
        <v>918</v>
      </c>
      <c r="C99" s="3">
        <f>C266</f>
        <v>4500000</v>
      </c>
    </row>
    <row r="100" ht="12.75">
      <c r="C100" s="3"/>
    </row>
    <row r="101" spans="1:4" ht="13.5" thickBot="1">
      <c r="A101" s="26" t="s">
        <v>919</v>
      </c>
      <c r="B101" s="729" t="s">
        <v>812</v>
      </c>
      <c r="C101" s="27"/>
      <c r="D101" s="730">
        <f>C102+C122</f>
        <v>168611692.3552</v>
      </c>
    </row>
    <row r="102" spans="1:3" ht="13.5" thickTop="1">
      <c r="A102" s="26" t="s">
        <v>920</v>
      </c>
      <c r="B102" s="28" t="s">
        <v>923</v>
      </c>
      <c r="C102" s="29">
        <f>C103+C106+C111+C118</f>
        <v>166111692.3552</v>
      </c>
    </row>
    <row r="103" spans="1:3" ht="12.75">
      <c r="A103" s="26" t="s">
        <v>924</v>
      </c>
      <c r="B103" s="31" t="s">
        <v>925</v>
      </c>
      <c r="C103" s="32">
        <f>C104</f>
        <v>6400000</v>
      </c>
    </row>
    <row r="104" spans="1:3" ht="12.75">
      <c r="A104" t="s">
        <v>926</v>
      </c>
      <c r="B104" t="s">
        <v>927</v>
      </c>
      <c r="C104" s="3">
        <f>C315</f>
        <v>6400000</v>
      </c>
    </row>
    <row r="105" ht="12.75">
      <c r="C105" s="3"/>
    </row>
    <row r="106" spans="1:3" ht="12.75">
      <c r="A106" s="26" t="s">
        <v>928</v>
      </c>
      <c r="B106" s="35" t="s">
        <v>929</v>
      </c>
      <c r="C106" s="29">
        <f>SUM(C107:C109)</f>
        <v>26500000</v>
      </c>
    </row>
    <row r="107" spans="1:3" ht="12.75">
      <c r="A107" s="33" t="s">
        <v>930</v>
      </c>
      <c r="B107" s="34" t="s">
        <v>931</v>
      </c>
      <c r="C107" s="3">
        <f>C318</f>
        <v>19200000</v>
      </c>
    </row>
    <row r="108" spans="1:3" ht="12.75">
      <c r="A108" s="33" t="s">
        <v>932</v>
      </c>
      <c r="B108" s="34" t="s">
        <v>933</v>
      </c>
      <c r="C108" s="3">
        <f>C319</f>
        <v>1000000</v>
      </c>
    </row>
    <row r="109" spans="1:3" ht="12.75">
      <c r="A109" s="33" t="s">
        <v>219</v>
      </c>
      <c r="B109" s="34" t="str">
        <f>B320</f>
        <v>Fondo Parques Nacionales</v>
      </c>
      <c r="C109" s="3">
        <f>C320</f>
        <v>6300000</v>
      </c>
    </row>
    <row r="110" spans="1:3" ht="12.75">
      <c r="A110" s="33"/>
      <c r="B110" s="34"/>
      <c r="C110" s="3"/>
    </row>
    <row r="111" spans="1:3" ht="12.75">
      <c r="A111" s="26" t="s">
        <v>934</v>
      </c>
      <c r="B111" s="28" t="s">
        <v>935</v>
      </c>
      <c r="C111" s="29">
        <f>SUM(C112:C113)</f>
        <v>72768641.2076</v>
      </c>
    </row>
    <row r="112" spans="1:3" ht="12.75">
      <c r="A112" t="s">
        <v>936</v>
      </c>
      <c r="B112" t="s">
        <v>937</v>
      </c>
      <c r="C112" s="3">
        <f>C323</f>
        <v>64000000</v>
      </c>
    </row>
    <row r="113" spans="1:3" ht="12.75">
      <c r="A113" t="s">
        <v>938</v>
      </c>
      <c r="B113" t="s">
        <v>939</v>
      </c>
      <c r="C113" s="3">
        <f>C324</f>
        <v>8768641.2076</v>
      </c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spans="1:3" ht="12.75">
      <c r="A118" s="26" t="s">
        <v>940</v>
      </c>
      <c r="B118" s="28" t="s">
        <v>941</v>
      </c>
      <c r="C118" s="29">
        <f>SUM(C119:C120)</f>
        <v>60443051.147599995</v>
      </c>
    </row>
    <row r="119" spans="1:3" ht="12.75">
      <c r="A119" t="s">
        <v>942</v>
      </c>
      <c r="B119" t="s">
        <v>943</v>
      </c>
      <c r="C119" s="3">
        <f>C327</f>
        <v>51674409.94</v>
      </c>
    </row>
    <row r="120" spans="1:3" ht="12.75">
      <c r="A120" t="s">
        <v>944</v>
      </c>
      <c r="B120" t="s">
        <v>181</v>
      </c>
      <c r="C120" s="3">
        <f>C328</f>
        <v>8768641.2076</v>
      </c>
    </row>
    <row r="121" ht="12.75">
      <c r="C121" s="3"/>
    </row>
    <row r="122" spans="1:3" ht="12.75">
      <c r="A122" s="103" t="s">
        <v>1495</v>
      </c>
      <c r="B122" s="28" t="s">
        <v>40</v>
      </c>
      <c r="C122" s="29">
        <f>+C123</f>
        <v>2500000</v>
      </c>
    </row>
    <row r="123" spans="1:3" ht="12.75">
      <c r="A123" s="34" t="s">
        <v>1496</v>
      </c>
      <c r="B123" s="34" t="s">
        <v>1489</v>
      </c>
      <c r="C123" s="37">
        <f>C331</f>
        <v>2500000</v>
      </c>
    </row>
    <row r="124" spans="1:3" ht="12.75">
      <c r="A124" s="34"/>
      <c r="B124" s="34"/>
      <c r="C124" s="37"/>
    </row>
    <row r="125" spans="1:4" ht="13.5" thickBot="1">
      <c r="A125" s="30">
        <v>1.8</v>
      </c>
      <c r="B125" s="729" t="s">
        <v>1031</v>
      </c>
      <c r="C125" s="27"/>
      <c r="D125" s="730">
        <f>C126</f>
        <v>18904459.92</v>
      </c>
    </row>
    <row r="126" spans="1:3" ht="13.5" thickTop="1">
      <c r="A126" s="210" t="s">
        <v>496</v>
      </c>
      <c r="B126" s="28" t="s">
        <v>967</v>
      </c>
      <c r="C126" s="29">
        <f>C127</f>
        <v>18904459.92</v>
      </c>
    </row>
    <row r="127" spans="1:3" ht="12.75">
      <c r="A127" t="s">
        <v>495</v>
      </c>
      <c r="B127" t="s">
        <v>497</v>
      </c>
      <c r="C127" s="3">
        <f>C335</f>
        <v>18904459.92</v>
      </c>
    </row>
    <row r="128" spans="2:3" ht="12.75">
      <c r="B128" t="s">
        <v>249</v>
      </c>
      <c r="C128" s="3"/>
    </row>
    <row r="129" ht="13.5" customHeight="1" thickBot="1">
      <c r="C129" s="3"/>
    </row>
    <row r="130" spans="2:4" ht="13.5" thickBot="1">
      <c r="B130" s="731" t="s">
        <v>1042</v>
      </c>
      <c r="C130" s="732"/>
      <c r="D130" s="733">
        <f>D5+D31+D70+D91+D125+D96+D101</f>
        <v>801758688.3918085</v>
      </c>
    </row>
    <row r="131" spans="2:4" ht="12.75">
      <c r="B131" s="397"/>
      <c r="C131" s="106"/>
      <c r="D131" s="107"/>
    </row>
    <row r="132" spans="2:4" ht="12.75">
      <c r="B132" s="397"/>
      <c r="C132" s="106"/>
      <c r="D132" s="107"/>
    </row>
    <row r="133" spans="2:4" ht="12.75">
      <c r="B133" s="397"/>
      <c r="C133" s="106"/>
      <c r="D133" s="107"/>
    </row>
    <row r="134" spans="2:4" ht="12.75">
      <c r="B134" s="397"/>
      <c r="C134" s="106"/>
      <c r="D134" s="107"/>
    </row>
    <row r="135" spans="2:4" ht="12.75">
      <c r="B135" s="397"/>
      <c r="C135" s="106"/>
      <c r="D135" s="107"/>
    </row>
    <row r="136" spans="2:4" ht="12.75">
      <c r="B136" s="397"/>
      <c r="C136" s="106"/>
      <c r="D136" s="107"/>
    </row>
    <row r="137" spans="2:4" ht="12.75">
      <c r="B137" s="397"/>
      <c r="C137" s="106"/>
      <c r="D137" s="107"/>
    </row>
    <row r="138" spans="2:4" ht="12.75">
      <c r="B138" s="397"/>
      <c r="C138" s="106"/>
      <c r="D138" s="107"/>
    </row>
    <row r="139" spans="2:4" ht="12.75">
      <c r="B139" s="397"/>
      <c r="C139" s="106"/>
      <c r="D139" s="107"/>
    </row>
    <row r="140" spans="2:4" ht="12.75">
      <c r="B140" s="397"/>
      <c r="C140" s="106"/>
      <c r="D140" s="107"/>
    </row>
    <row r="141" spans="2:4" ht="12.75">
      <c r="B141" s="397"/>
      <c r="C141" s="106"/>
      <c r="D141" s="107"/>
    </row>
    <row r="142" spans="2:4" ht="12.75">
      <c r="B142" s="397"/>
      <c r="C142" s="106"/>
      <c r="D142" s="107"/>
    </row>
    <row r="143" spans="2:4" ht="12.75">
      <c r="B143" s="397"/>
      <c r="C143" s="106"/>
      <c r="D143" s="107"/>
    </row>
    <row r="144" spans="2:4" ht="12.75">
      <c r="B144" s="397"/>
      <c r="C144" s="106"/>
      <c r="D144" s="107"/>
    </row>
    <row r="145" spans="2:4" ht="12.75">
      <c r="B145" s="397"/>
      <c r="C145" s="106"/>
      <c r="D145" s="107"/>
    </row>
    <row r="146" spans="2:4" ht="12.75">
      <c r="B146" s="397"/>
      <c r="C146" s="106"/>
      <c r="D146" s="107"/>
    </row>
    <row r="147" spans="2:4" ht="12.75">
      <c r="B147" s="397"/>
      <c r="C147" s="106"/>
      <c r="D147" s="107"/>
    </row>
    <row r="148" spans="2:4" ht="12.75">
      <c r="B148" s="397"/>
      <c r="C148" s="106"/>
      <c r="D148" s="107"/>
    </row>
    <row r="149" spans="2:4" ht="12.75">
      <c r="B149" s="397"/>
      <c r="C149" s="106"/>
      <c r="D149" s="107"/>
    </row>
    <row r="150" spans="2:4" ht="12.75">
      <c r="B150" s="397"/>
      <c r="C150" s="106"/>
      <c r="D150" s="107"/>
    </row>
    <row r="151" spans="2:4" ht="12.75">
      <c r="B151" s="397"/>
      <c r="C151" s="106"/>
      <c r="D151" s="107"/>
    </row>
    <row r="152" spans="2:4" ht="12.75">
      <c r="B152" s="397"/>
      <c r="C152" s="106"/>
      <c r="D152" s="107"/>
    </row>
    <row r="153" spans="2:4" ht="12.75">
      <c r="B153" s="397"/>
      <c r="C153" s="106"/>
      <c r="D153" s="107"/>
    </row>
    <row r="154" spans="2:4" ht="12.75">
      <c r="B154" s="397"/>
      <c r="C154" s="106"/>
      <c r="D154" s="107"/>
    </row>
    <row r="155" spans="2:4" ht="12.75">
      <c r="B155" s="397"/>
      <c r="C155" s="106"/>
      <c r="D155" s="107"/>
    </row>
    <row r="156" spans="2:4" ht="12.75">
      <c r="B156" s="397"/>
      <c r="C156" s="106"/>
      <c r="D156" s="107"/>
    </row>
    <row r="157" spans="2:4" ht="12.75">
      <c r="B157" s="397"/>
      <c r="C157" s="106"/>
      <c r="D157" s="107"/>
    </row>
    <row r="158" spans="2:4" ht="12.75">
      <c r="B158" s="397"/>
      <c r="C158" s="106"/>
      <c r="D158" s="107"/>
    </row>
    <row r="159" spans="2:4" ht="12.75">
      <c r="B159" s="397"/>
      <c r="C159" s="106"/>
      <c r="D159" s="107"/>
    </row>
    <row r="160" spans="2:4" ht="12.75">
      <c r="B160" s="397"/>
      <c r="C160" s="106"/>
      <c r="D160" s="107"/>
    </row>
    <row r="161" spans="2:4" ht="12.75">
      <c r="B161" s="397"/>
      <c r="C161" s="106"/>
      <c r="D161" s="107"/>
    </row>
    <row r="162" spans="2:4" ht="12.75">
      <c r="B162" s="397"/>
      <c r="C162" s="106"/>
      <c r="D162" s="107"/>
    </row>
    <row r="163" spans="2:4" ht="12.75">
      <c r="B163" s="397"/>
      <c r="C163" s="106"/>
      <c r="D163" s="107"/>
    </row>
    <row r="164" spans="2:4" ht="12.75">
      <c r="B164" s="397"/>
      <c r="C164" s="106"/>
      <c r="D164" s="107"/>
    </row>
    <row r="165" spans="2:4" ht="12.75">
      <c r="B165" s="397"/>
      <c r="C165" s="106"/>
      <c r="D165" s="107"/>
    </row>
    <row r="166" spans="2:4" ht="12.75">
      <c r="B166" s="397"/>
      <c r="C166" s="106"/>
      <c r="D166" s="107"/>
    </row>
    <row r="167" spans="2:4" ht="12.75">
      <c r="B167" s="397"/>
      <c r="C167" s="106"/>
      <c r="D167" s="107"/>
    </row>
    <row r="168" spans="2:4" ht="12.75">
      <c r="B168" s="397"/>
      <c r="C168" s="106"/>
      <c r="D168" s="107"/>
    </row>
    <row r="169" spans="2:4" ht="12.75">
      <c r="B169" s="397"/>
      <c r="C169" s="106"/>
      <c r="D169" s="107"/>
    </row>
    <row r="170" spans="2:4" ht="12.75">
      <c r="B170" s="397"/>
      <c r="C170" s="106"/>
      <c r="D170" s="107"/>
    </row>
    <row r="171" spans="2:4" ht="12.75">
      <c r="B171" s="397"/>
      <c r="C171" s="106"/>
      <c r="D171" s="107"/>
    </row>
    <row r="172" spans="2:4" ht="12.75">
      <c r="B172" s="397"/>
      <c r="C172" s="106"/>
      <c r="D172" s="107"/>
    </row>
    <row r="173" spans="2:4" ht="12.75">
      <c r="B173" s="397"/>
      <c r="C173" s="106"/>
      <c r="D173" s="107"/>
    </row>
    <row r="174" spans="2:4" ht="12.75">
      <c r="B174" s="397"/>
      <c r="C174" s="106"/>
      <c r="D174" s="107"/>
    </row>
    <row r="175" spans="2:4" ht="12.75">
      <c r="B175" s="397"/>
      <c r="C175" s="106"/>
      <c r="D175" s="107"/>
    </row>
    <row r="176" spans="1:4" ht="16.5" thickBot="1">
      <c r="A176" s="849" t="s">
        <v>1041</v>
      </c>
      <c r="B176" s="849"/>
      <c r="C176" s="849"/>
      <c r="D176" s="849"/>
    </row>
    <row r="177" spans="1:6" ht="13.5" thickBot="1">
      <c r="A177" s="30" t="s">
        <v>1096</v>
      </c>
      <c r="B177" s="729" t="s">
        <v>833</v>
      </c>
      <c r="C177" s="27"/>
      <c r="D177" s="744">
        <f>C178+C183+C187+C193+C198</f>
        <v>490926465.57190496</v>
      </c>
      <c r="F177" s="843">
        <v>5</v>
      </c>
    </row>
    <row r="178" spans="1:4" ht="13.5" thickTop="1">
      <c r="A178" s="25" t="s">
        <v>1097</v>
      </c>
      <c r="B178" s="28" t="s">
        <v>834</v>
      </c>
      <c r="C178" s="29">
        <f>SUM(C179:C181)</f>
        <v>233105230.2772171</v>
      </c>
      <c r="D178" s="3"/>
    </row>
    <row r="179" spans="1:4" ht="12.75">
      <c r="A179" s="24" t="s">
        <v>1098</v>
      </c>
      <c r="B179" t="s">
        <v>835</v>
      </c>
      <c r="C179" s="623">
        <f>+'[5]Calculo de Salarios %'!$H$78</f>
        <v>222078050.2772171</v>
      </c>
      <c r="D179" s="3"/>
    </row>
    <row r="180" spans="1:4" ht="12.75">
      <c r="A180" s="24" t="s">
        <v>133</v>
      </c>
      <c r="B180" t="s">
        <v>41</v>
      </c>
      <c r="C180" s="623">
        <v>6027180</v>
      </c>
      <c r="D180" s="3"/>
    </row>
    <row r="181" spans="1:4" ht="12.75">
      <c r="A181" s="24" t="s">
        <v>1099</v>
      </c>
      <c r="B181" t="s">
        <v>836</v>
      </c>
      <c r="C181" s="623">
        <v>5000000</v>
      </c>
      <c r="D181" s="3"/>
    </row>
    <row r="182" spans="1:4" ht="12.75">
      <c r="A182" s="24"/>
      <c r="C182" s="623"/>
      <c r="D182" s="3"/>
    </row>
    <row r="183" spans="1:4" ht="12.75">
      <c r="A183" s="30" t="s">
        <v>1100</v>
      </c>
      <c r="B183" s="28" t="s">
        <v>837</v>
      </c>
      <c r="C183" s="624">
        <f>SUM(C184:C185)</f>
        <v>24702191.76241387</v>
      </c>
      <c r="D183" s="3"/>
    </row>
    <row r="184" spans="1:4" ht="12.75">
      <c r="A184" s="24" t="s">
        <v>1101</v>
      </c>
      <c r="B184" t="s">
        <v>498</v>
      </c>
      <c r="C184" s="623">
        <v>2500000</v>
      </c>
      <c r="D184" s="3"/>
    </row>
    <row r="185" spans="1:6" ht="12.75">
      <c r="A185" s="24" t="s">
        <v>1102</v>
      </c>
      <c r="B185" t="s">
        <v>846</v>
      </c>
      <c r="C185" s="623">
        <f>+'Anexo 3'!G20</f>
        <v>22202191.76241387</v>
      </c>
      <c r="D185" s="3"/>
      <c r="F185" s="843">
        <v>4</v>
      </c>
    </row>
    <row r="186" spans="1:4" ht="12.75">
      <c r="A186" s="24"/>
      <c r="C186" s="623"/>
      <c r="D186" s="3"/>
    </row>
    <row r="187" spans="1:4" ht="12.75">
      <c r="A187" s="30" t="s">
        <v>1104</v>
      </c>
      <c r="B187" s="28" t="s">
        <v>848</v>
      </c>
      <c r="C187" s="624">
        <f>SUM(C188:C191)</f>
        <v>161966500.11998594</v>
      </c>
      <c r="D187" s="3"/>
    </row>
    <row r="188" spans="1:4" ht="12.75">
      <c r="A188" s="24" t="s">
        <v>1105</v>
      </c>
      <c r="B188" t="s">
        <v>850</v>
      </c>
      <c r="C188" s="623">
        <f>+'[5]Calculo de Salarios %'!$K$78</f>
        <v>55714705.885814466</v>
      </c>
      <c r="D188" s="3"/>
    </row>
    <row r="189" spans="1:4" ht="12.75">
      <c r="A189" s="24" t="s">
        <v>165</v>
      </c>
      <c r="B189" t="s">
        <v>852</v>
      </c>
      <c r="C189" s="623">
        <f>+'[5]Calculo de Salarios %'!$I$78+'[5]Calculo de Salarios %'!$J$78</f>
        <v>62414491.57569198</v>
      </c>
      <c r="D189" s="3"/>
    </row>
    <row r="190" spans="1:4" ht="12.75">
      <c r="A190" s="24" t="s">
        <v>1106</v>
      </c>
      <c r="B190" t="s">
        <v>854</v>
      </c>
      <c r="C190" s="623">
        <f>(C179+C180+C181+C184+C188+C189)/12</f>
        <v>29477868.978226963</v>
      </c>
      <c r="D190" s="3"/>
    </row>
    <row r="191" spans="1:4" ht="12.75">
      <c r="A191" s="24" t="s">
        <v>1551</v>
      </c>
      <c r="B191" t="s">
        <v>1550</v>
      </c>
      <c r="C191" s="623">
        <f>(C179+C184+C188+C189)*4.19%</f>
        <v>14359433.68025252</v>
      </c>
      <c r="D191" s="3"/>
    </row>
    <row r="192" spans="1:4" ht="12.75">
      <c r="A192" s="24"/>
      <c r="C192" s="623"/>
      <c r="D192" s="3"/>
    </row>
    <row r="193" spans="1:4" ht="12.75">
      <c r="A193" s="30" t="s">
        <v>1107</v>
      </c>
      <c r="B193" s="28" t="s">
        <v>856</v>
      </c>
      <c r="C193" s="624">
        <f>SUM(C195:C196)</f>
        <v>54588319.648434155</v>
      </c>
      <c r="D193" s="3"/>
    </row>
    <row r="194" spans="1:4" ht="12.75">
      <c r="A194" s="24"/>
      <c r="B194" s="31" t="s">
        <v>857</v>
      </c>
      <c r="C194" s="623"/>
      <c r="D194" s="3"/>
    </row>
    <row r="195" spans="1:4" ht="12.75">
      <c r="A195" s="24" t="s">
        <v>1108</v>
      </c>
      <c r="B195" t="s">
        <v>859</v>
      </c>
      <c r="C195" s="623">
        <f>(C179+C180+C181+C184+C188+C189+C191)*14.33%</f>
        <v>52747850.341339275</v>
      </c>
      <c r="D195" s="3"/>
    </row>
    <row r="196" spans="1:4" ht="12.75">
      <c r="A196" s="24" t="s">
        <v>1109</v>
      </c>
      <c r="B196" t="s">
        <v>861</v>
      </c>
      <c r="C196" s="623">
        <f>(C179+C180+C181+C184+C188+C189+C191)*0.5%</f>
        <v>1840469.3070948804</v>
      </c>
      <c r="D196" s="3"/>
    </row>
    <row r="197" spans="1:4" ht="12.75">
      <c r="A197" s="24"/>
      <c r="C197" s="623"/>
      <c r="D197" s="3"/>
    </row>
    <row r="198" spans="1:4" ht="12.75">
      <c r="A198" s="30" t="s">
        <v>1110</v>
      </c>
      <c r="B198" s="28" t="s">
        <v>863</v>
      </c>
      <c r="C198" s="624">
        <f>SUM(C200:C201)</f>
        <v>16564223.763853922</v>
      </c>
      <c r="D198" s="3"/>
    </row>
    <row r="199" spans="1:4" ht="12.75">
      <c r="A199" s="30"/>
      <c r="B199" s="31" t="s">
        <v>864</v>
      </c>
      <c r="C199" s="818"/>
      <c r="D199" s="3"/>
    </row>
    <row r="200" spans="1:4" ht="12.75">
      <c r="A200" s="158" t="s">
        <v>1405</v>
      </c>
      <c r="B200" s="33" t="s">
        <v>1406</v>
      </c>
      <c r="C200" s="623">
        <f>(C179+C180+C181+C184+C188+C189+C191)*1.5%</f>
        <v>5521407.921284641</v>
      </c>
      <c r="D200" s="3"/>
    </row>
    <row r="201" spans="1:4" ht="12.75">
      <c r="A201" s="158" t="s">
        <v>1404</v>
      </c>
      <c r="B201" t="s">
        <v>866</v>
      </c>
      <c r="C201" s="623">
        <f>(C179+C180+C181+C184+C188+C189+C191)*3%</f>
        <v>11042815.842569282</v>
      </c>
      <c r="D201" s="3"/>
    </row>
    <row r="202" spans="1:4" ht="12.75">
      <c r="A202" s="24"/>
      <c r="C202" s="3"/>
      <c r="D202" s="3"/>
    </row>
    <row r="203" spans="1:4" ht="13.5" thickBot="1">
      <c r="A203" s="30" t="s">
        <v>1111</v>
      </c>
      <c r="B203" s="729" t="s">
        <v>867</v>
      </c>
      <c r="C203" s="157"/>
      <c r="D203" s="730">
        <f>C204+C208+C213+C219+C225+C229+C232+C235+C239</f>
        <v>76212071.12</v>
      </c>
    </row>
    <row r="204" spans="1:4" ht="13.5" thickTop="1">
      <c r="A204" s="30" t="s">
        <v>172</v>
      </c>
      <c r="B204" s="28" t="s">
        <v>982</v>
      </c>
      <c r="C204" s="29">
        <f>C205+C206</f>
        <v>22200000</v>
      </c>
      <c r="D204" s="107"/>
    </row>
    <row r="205" spans="1:6" ht="12.75">
      <c r="A205" s="158" t="s">
        <v>173</v>
      </c>
      <c r="B205" s="36" t="s">
        <v>286</v>
      </c>
      <c r="C205" s="628">
        <v>14700000</v>
      </c>
      <c r="D205" s="107"/>
      <c r="F205" s="843">
        <v>2</v>
      </c>
    </row>
    <row r="206" spans="1:6" ht="12.75">
      <c r="A206" s="158" t="s">
        <v>1280</v>
      </c>
      <c r="B206" s="34" t="s">
        <v>1281</v>
      </c>
      <c r="C206" s="628">
        <v>7500000</v>
      </c>
      <c r="D206" s="107"/>
      <c r="F206" s="843">
        <v>10</v>
      </c>
    </row>
    <row r="207" spans="1:4" ht="12.75">
      <c r="A207" s="69"/>
      <c r="B207" s="106"/>
      <c r="C207" s="817"/>
      <c r="D207" s="107"/>
    </row>
    <row r="208" spans="1:4" ht="12.75">
      <c r="A208" s="30" t="s">
        <v>1112</v>
      </c>
      <c r="B208" s="28" t="s">
        <v>869</v>
      </c>
      <c r="C208" s="624">
        <f>SUM(C209:C211)</f>
        <v>9015000</v>
      </c>
      <c r="D208" s="3"/>
    </row>
    <row r="209" spans="1:6" ht="12.75">
      <c r="A209" s="24" t="s">
        <v>1113</v>
      </c>
      <c r="B209" t="s">
        <v>871</v>
      </c>
      <c r="C209" s="623">
        <v>6000000</v>
      </c>
      <c r="D209" s="3"/>
      <c r="F209" s="843">
        <v>10</v>
      </c>
    </row>
    <row r="210" spans="1:6" ht="12.75">
      <c r="A210" s="24" t="s">
        <v>1283</v>
      </c>
      <c r="B210" t="s">
        <v>1284</v>
      </c>
      <c r="C210" s="623">
        <v>15000</v>
      </c>
      <c r="D210" s="3"/>
      <c r="F210" s="843">
        <v>10</v>
      </c>
    </row>
    <row r="211" spans="1:6" ht="12.75">
      <c r="A211" s="24" t="s">
        <v>1114</v>
      </c>
      <c r="B211" t="s">
        <v>873</v>
      </c>
      <c r="C211" s="623">
        <v>3000000</v>
      </c>
      <c r="F211" s="843">
        <v>10</v>
      </c>
    </row>
    <row r="212" ht="12.75">
      <c r="C212" s="370"/>
    </row>
    <row r="213" spans="1:3" ht="12.75">
      <c r="A213" s="30" t="s">
        <v>1115</v>
      </c>
      <c r="B213" s="28" t="s">
        <v>875</v>
      </c>
      <c r="C213" s="624">
        <f>SUM(C214:C217)</f>
        <v>20300000</v>
      </c>
    </row>
    <row r="214" spans="1:6" ht="12.75">
      <c r="A214" t="s">
        <v>499</v>
      </c>
      <c r="B214" t="s">
        <v>500</v>
      </c>
      <c r="C214" s="623">
        <v>2500000</v>
      </c>
      <c r="F214" s="843">
        <v>10</v>
      </c>
    </row>
    <row r="215" spans="1:6" ht="12.75">
      <c r="A215" t="s">
        <v>287</v>
      </c>
      <c r="B215" t="s">
        <v>557</v>
      </c>
      <c r="C215" s="623">
        <v>1000000</v>
      </c>
      <c r="F215" s="843">
        <v>10</v>
      </c>
    </row>
    <row r="216" spans="1:6" ht="12.75">
      <c r="A216" t="s">
        <v>1116</v>
      </c>
      <c r="B216" t="s">
        <v>877</v>
      </c>
      <c r="C216" s="623">
        <v>500000</v>
      </c>
      <c r="F216" s="843">
        <v>10</v>
      </c>
    </row>
    <row r="217" spans="1:6" ht="12.75">
      <c r="A217" t="s">
        <v>187</v>
      </c>
      <c r="B217" t="s">
        <v>188</v>
      </c>
      <c r="C217" s="623">
        <v>16300000</v>
      </c>
      <c r="F217" s="843">
        <v>11</v>
      </c>
    </row>
    <row r="218" ht="12.75">
      <c r="C218" s="623"/>
    </row>
    <row r="219" spans="1:3" ht="12.75">
      <c r="A219" s="26" t="s">
        <v>1117</v>
      </c>
      <c r="B219" s="28" t="s">
        <v>879</v>
      </c>
      <c r="C219" s="624">
        <f>SUM(C220:C223)</f>
        <v>11660000</v>
      </c>
    </row>
    <row r="220" spans="1:6" ht="12.75">
      <c r="A220" s="33" t="s">
        <v>190</v>
      </c>
      <c r="B220" s="36" t="s">
        <v>191</v>
      </c>
      <c r="C220" s="625">
        <v>5200000</v>
      </c>
      <c r="F220" s="843">
        <v>10</v>
      </c>
    </row>
    <row r="221" spans="1:6" ht="12.75">
      <c r="A221" s="33" t="s">
        <v>1587</v>
      </c>
      <c r="B221" s="34" t="s">
        <v>567</v>
      </c>
      <c r="C221" s="625">
        <v>580000</v>
      </c>
      <c r="F221" s="843">
        <v>10</v>
      </c>
    </row>
    <row r="222" spans="1:6" ht="12.75">
      <c r="A222" s="33" t="s">
        <v>1689</v>
      </c>
      <c r="B222" s="34" t="s">
        <v>1690</v>
      </c>
      <c r="C222" s="625">
        <v>5000000</v>
      </c>
      <c r="F222" s="843">
        <v>10</v>
      </c>
    </row>
    <row r="223" spans="1:6" ht="12.75">
      <c r="A223" s="33" t="s">
        <v>1286</v>
      </c>
      <c r="B223" s="34" t="s">
        <v>1287</v>
      </c>
      <c r="C223" s="625">
        <v>880000</v>
      </c>
      <c r="F223" s="843">
        <v>10</v>
      </c>
    </row>
    <row r="224" spans="1:3" ht="12.75">
      <c r="A224" s="33"/>
      <c r="B224" s="34"/>
      <c r="C224" s="625"/>
    </row>
    <row r="225" spans="1:3" ht="12.75">
      <c r="A225" s="26" t="s">
        <v>1290</v>
      </c>
      <c r="B225" s="28" t="s">
        <v>1291</v>
      </c>
      <c r="C225" s="624">
        <f>SUM(C226:C227)</f>
        <v>100000</v>
      </c>
    </row>
    <row r="226" spans="1:6" ht="12.75">
      <c r="A226" s="33" t="s">
        <v>1292</v>
      </c>
      <c r="B226" s="34" t="s">
        <v>48</v>
      </c>
      <c r="C226" s="625">
        <v>50000</v>
      </c>
      <c r="F226" s="843">
        <v>10</v>
      </c>
    </row>
    <row r="227" spans="1:6" ht="12.75">
      <c r="A227" s="33" t="s">
        <v>1293</v>
      </c>
      <c r="B227" s="34" t="s">
        <v>193</v>
      </c>
      <c r="C227" s="625">
        <v>50000</v>
      </c>
      <c r="F227" s="843">
        <v>10</v>
      </c>
    </row>
    <row r="228" ht="12.75">
      <c r="C228" s="623"/>
    </row>
    <row r="229" spans="1:3" ht="12.75">
      <c r="A229" s="26" t="s">
        <v>1118</v>
      </c>
      <c r="B229" s="28" t="s">
        <v>881</v>
      </c>
      <c r="C229" s="624">
        <f>C230</f>
        <v>6237071.12</v>
      </c>
    </row>
    <row r="230" spans="1:6" ht="12.75">
      <c r="A230" t="s">
        <v>1119</v>
      </c>
      <c r="B230" t="s">
        <v>883</v>
      </c>
      <c r="C230" s="623">
        <v>6237071.12</v>
      </c>
      <c r="F230" s="843">
        <v>10</v>
      </c>
    </row>
    <row r="231" ht="12.75">
      <c r="C231" s="623"/>
    </row>
    <row r="232" spans="1:3" ht="12.75">
      <c r="A232" s="26" t="s">
        <v>194</v>
      </c>
      <c r="B232" s="28" t="s">
        <v>994</v>
      </c>
      <c r="C232" s="624">
        <f>SUM(C233:C233)</f>
        <v>5000000</v>
      </c>
    </row>
    <row r="233" spans="1:6" ht="12.75">
      <c r="A233" t="s">
        <v>195</v>
      </c>
      <c r="B233" t="s">
        <v>196</v>
      </c>
      <c r="C233" s="623">
        <v>5000000</v>
      </c>
      <c r="F233" s="843">
        <v>3</v>
      </c>
    </row>
    <row r="234" ht="12.75">
      <c r="C234" s="623"/>
    </row>
    <row r="235" spans="1:3" ht="12.75">
      <c r="A235" s="26" t="s">
        <v>1120</v>
      </c>
      <c r="B235" s="28" t="s">
        <v>885</v>
      </c>
      <c r="C235" s="624">
        <f>SUM(C236:C237)</f>
        <v>1500000</v>
      </c>
    </row>
    <row r="236" spans="1:6" ht="12.75">
      <c r="A236" t="s">
        <v>1121</v>
      </c>
      <c r="B236" t="s">
        <v>887</v>
      </c>
      <c r="C236" s="623">
        <v>1000000</v>
      </c>
      <c r="F236" s="843">
        <v>10</v>
      </c>
    </row>
    <row r="237" spans="1:6" ht="12.75">
      <c r="A237" s="33" t="s">
        <v>1483</v>
      </c>
      <c r="B237" s="33" t="s">
        <v>1484</v>
      </c>
      <c r="C237" s="623">
        <v>500000</v>
      </c>
      <c r="F237" s="843">
        <v>10</v>
      </c>
    </row>
    <row r="238" ht="12.75">
      <c r="C238" s="623"/>
    </row>
    <row r="239" spans="1:3" ht="12.75">
      <c r="A239" s="26" t="s">
        <v>1297</v>
      </c>
      <c r="B239" s="28" t="s">
        <v>1298</v>
      </c>
      <c r="C239" s="624">
        <f>SUM(C240:C242)</f>
        <v>200000</v>
      </c>
    </row>
    <row r="240" spans="1:6" ht="12.75">
      <c r="A240" t="s">
        <v>1299</v>
      </c>
      <c r="B240" t="s">
        <v>1300</v>
      </c>
      <c r="C240" s="623">
        <v>200000</v>
      </c>
      <c r="F240" s="843">
        <v>10</v>
      </c>
    </row>
    <row r="241" ht="12.75">
      <c r="C241" s="623"/>
    </row>
    <row r="242" spans="1:4" ht="13.5" thickBot="1">
      <c r="A242" s="26" t="s">
        <v>1123</v>
      </c>
      <c r="B242" s="729" t="s">
        <v>889</v>
      </c>
      <c r="C242" s="628"/>
      <c r="D242" s="730">
        <f>C243+C248+C251+C255</f>
        <v>11290000</v>
      </c>
    </row>
    <row r="243" spans="1:3" ht="13.5" thickTop="1">
      <c r="A243" s="26" t="s">
        <v>1122</v>
      </c>
      <c r="B243" s="28" t="s">
        <v>891</v>
      </c>
      <c r="C243" s="624">
        <f>SUM(C244:C246)</f>
        <v>2350000</v>
      </c>
    </row>
    <row r="244" spans="1:6" ht="12.75">
      <c r="A244" t="s">
        <v>1124</v>
      </c>
      <c r="B244" t="s">
        <v>902</v>
      </c>
      <c r="C244" s="623">
        <v>1500000</v>
      </c>
      <c r="F244" s="843">
        <v>10</v>
      </c>
    </row>
    <row r="245" spans="1:6" ht="12.75">
      <c r="A245" t="s">
        <v>1303</v>
      </c>
      <c r="B245" t="s">
        <v>1304</v>
      </c>
      <c r="C245" s="623">
        <v>50000</v>
      </c>
      <c r="F245" s="843">
        <v>10</v>
      </c>
    </row>
    <row r="246" spans="1:6" ht="12.75">
      <c r="A246" t="s">
        <v>1125</v>
      </c>
      <c r="B246" t="s">
        <v>904</v>
      </c>
      <c r="C246" s="623">
        <v>800000</v>
      </c>
      <c r="F246" s="843">
        <v>10</v>
      </c>
    </row>
    <row r="247" ht="12.75">
      <c r="C247" s="623"/>
    </row>
    <row r="248" spans="1:3" ht="12.75">
      <c r="A248" s="26" t="s">
        <v>199</v>
      </c>
      <c r="B248" s="28" t="s">
        <v>200</v>
      </c>
      <c r="C248" s="624">
        <f>SUM(C249:C249)</f>
        <v>250000</v>
      </c>
    </row>
    <row r="249" spans="1:6" ht="12.75">
      <c r="A249" s="33" t="s">
        <v>1306</v>
      </c>
      <c r="B249" s="34" t="s">
        <v>1307</v>
      </c>
      <c r="C249" s="625">
        <v>250000</v>
      </c>
      <c r="F249" s="843">
        <v>10</v>
      </c>
    </row>
    <row r="250" spans="1:3" ht="12.75">
      <c r="A250" s="33"/>
      <c r="B250" s="33"/>
      <c r="C250" s="623"/>
    </row>
    <row r="251" spans="1:3" ht="12.75">
      <c r="A251" s="26" t="s">
        <v>1310</v>
      </c>
      <c r="B251" s="28" t="s">
        <v>1021</v>
      </c>
      <c r="C251" s="624">
        <f>SUM(C252:C253)</f>
        <v>290000</v>
      </c>
    </row>
    <row r="252" spans="1:6" ht="12.75">
      <c r="A252" s="33" t="s">
        <v>1311</v>
      </c>
      <c r="B252" s="33" t="s">
        <v>215</v>
      </c>
      <c r="C252" s="623">
        <v>140000</v>
      </c>
      <c r="F252" s="843">
        <v>10</v>
      </c>
    </row>
    <row r="253" spans="1:6" ht="12.75">
      <c r="A253" s="33" t="s">
        <v>1312</v>
      </c>
      <c r="B253" s="33" t="s">
        <v>1025</v>
      </c>
      <c r="C253" s="623">
        <v>150000</v>
      </c>
      <c r="F253" s="843">
        <v>10</v>
      </c>
    </row>
    <row r="254" ht="12.75">
      <c r="C254" s="623"/>
    </row>
    <row r="255" spans="1:3" ht="12.75">
      <c r="A255" s="26" t="s">
        <v>1126</v>
      </c>
      <c r="B255" s="28" t="s">
        <v>906</v>
      </c>
      <c r="C255" s="624">
        <f>SUM(C256:C261)</f>
        <v>8400000</v>
      </c>
    </row>
    <row r="256" spans="1:6" ht="12.75">
      <c r="A256" t="s">
        <v>1127</v>
      </c>
      <c r="B256" t="s">
        <v>908</v>
      </c>
      <c r="C256" s="623">
        <v>900000</v>
      </c>
      <c r="F256" s="843">
        <v>10</v>
      </c>
    </row>
    <row r="257" spans="1:6" ht="12.75">
      <c r="A257" t="s">
        <v>1589</v>
      </c>
      <c r="B257" t="s">
        <v>1590</v>
      </c>
      <c r="C257" s="623">
        <v>150000</v>
      </c>
      <c r="F257" s="843">
        <v>10</v>
      </c>
    </row>
    <row r="258" spans="1:6" ht="12.75">
      <c r="A258" t="s">
        <v>1592</v>
      </c>
      <c r="B258" t="s">
        <v>481</v>
      </c>
      <c r="C258" s="623">
        <v>1800000</v>
      </c>
      <c r="F258" s="843">
        <v>10</v>
      </c>
    </row>
    <row r="259" spans="1:6" ht="12.75">
      <c r="A259" t="s">
        <v>202</v>
      </c>
      <c r="B259" t="s">
        <v>203</v>
      </c>
      <c r="C259" s="623">
        <v>3000000</v>
      </c>
      <c r="F259" s="843">
        <v>10</v>
      </c>
    </row>
    <row r="260" spans="1:6" ht="12.75">
      <c r="A260" t="s">
        <v>1128</v>
      </c>
      <c r="B260" t="s">
        <v>910</v>
      </c>
      <c r="C260" s="623">
        <v>2500000</v>
      </c>
      <c r="F260" s="843">
        <v>10</v>
      </c>
    </row>
    <row r="261" spans="1:6" ht="12.75">
      <c r="A261" s="33" t="s">
        <v>1356</v>
      </c>
      <c r="B261" s="33" t="s">
        <v>633</v>
      </c>
      <c r="C261" s="623">
        <v>50000</v>
      </c>
      <c r="F261" s="843">
        <v>10</v>
      </c>
    </row>
    <row r="262" spans="1:3" ht="12.75">
      <c r="A262" s="33"/>
      <c r="B262" s="33"/>
      <c r="C262" s="623"/>
    </row>
    <row r="263" spans="1:4" ht="13.5" thickBot="1">
      <c r="A263" s="26" t="s">
        <v>1129</v>
      </c>
      <c r="B263" s="729" t="s">
        <v>914</v>
      </c>
      <c r="C263" s="818"/>
      <c r="D263" s="730">
        <f>C264</f>
        <v>5000000</v>
      </c>
    </row>
    <row r="264" spans="1:3" ht="13.5" thickTop="1">
      <c r="A264" s="26" t="s">
        <v>1130</v>
      </c>
      <c r="B264" s="28" t="s">
        <v>916</v>
      </c>
      <c r="C264" s="624">
        <f>SUM(C265:C266)</f>
        <v>5000000</v>
      </c>
    </row>
    <row r="265" spans="1:6" ht="12.75">
      <c r="A265" t="s">
        <v>1131</v>
      </c>
      <c r="B265" t="s">
        <v>917</v>
      </c>
      <c r="C265" s="623">
        <v>500000</v>
      </c>
      <c r="F265" s="843">
        <v>10</v>
      </c>
    </row>
    <row r="266" spans="1:6" ht="12.75">
      <c r="A266" t="s">
        <v>1132</v>
      </c>
      <c r="B266" t="s">
        <v>918</v>
      </c>
      <c r="C266" s="623">
        <v>4500000</v>
      </c>
      <c r="F266" s="843">
        <v>10</v>
      </c>
    </row>
    <row r="267" ht="13.5" thickBot="1">
      <c r="C267" s="623"/>
    </row>
    <row r="268" spans="2:4" ht="13.5" thickBot="1">
      <c r="B268" s="75" t="s">
        <v>1103</v>
      </c>
      <c r="C268" s="108"/>
      <c r="D268" s="74">
        <f>D177+D203+D242+D263+D61</f>
        <v>583428536.691905</v>
      </c>
    </row>
    <row r="269" spans="2:4" ht="12.75">
      <c r="B269" s="106"/>
      <c r="C269" s="107"/>
      <c r="D269" s="107"/>
    </row>
    <row r="270" spans="1:4" ht="16.5" thickBot="1">
      <c r="A270" s="849" t="s">
        <v>1133</v>
      </c>
      <c r="B270" s="849"/>
      <c r="C270" s="849"/>
      <c r="D270" s="849"/>
    </row>
    <row r="271" spans="1:6" ht="13.5" thickBot="1">
      <c r="A271" s="30" t="s">
        <v>1134</v>
      </c>
      <c r="B271" s="729" t="s">
        <v>833</v>
      </c>
      <c r="C271" s="27"/>
      <c r="D271" s="744">
        <f>C272+C275+C281+C286</f>
        <v>24128946.83470359</v>
      </c>
      <c r="F271" s="843">
        <v>1</v>
      </c>
    </row>
    <row r="272" spans="1:4" ht="13.5" thickTop="1">
      <c r="A272" s="25" t="s">
        <v>1135</v>
      </c>
      <c r="B272" s="28" t="s">
        <v>834</v>
      </c>
      <c r="C272" s="29">
        <f>SUM(C273:C273)</f>
        <v>8539021.297522798</v>
      </c>
      <c r="D272" s="3"/>
    </row>
    <row r="273" spans="1:4" ht="12.75">
      <c r="A273" s="24" t="s">
        <v>1136</v>
      </c>
      <c r="B273" t="s">
        <v>835</v>
      </c>
      <c r="C273" s="623">
        <f>+'[5]Calculo de Salarios %'!$H$79</f>
        <v>8539021.297522798</v>
      </c>
      <c r="D273" s="3"/>
    </row>
    <row r="274" spans="1:4" ht="12.75">
      <c r="A274" s="24"/>
      <c r="C274" s="623"/>
      <c r="D274" s="3"/>
    </row>
    <row r="275" spans="1:4" ht="12.75">
      <c r="A275" s="30" t="s">
        <v>1139</v>
      </c>
      <c r="B275" s="28" t="s">
        <v>848</v>
      </c>
      <c r="C275" s="624">
        <f>SUM(C276:C279)</f>
        <v>11926852.380251078</v>
      </c>
      <c r="D275" s="3"/>
    </row>
    <row r="276" spans="1:4" ht="12.75">
      <c r="A276" s="24" t="s">
        <v>1140</v>
      </c>
      <c r="B276" t="s">
        <v>850</v>
      </c>
      <c r="C276" s="623">
        <f>+'[5]Calculo de Salarios %'!$K$79</f>
        <v>4098730.2228109436</v>
      </c>
      <c r="D276" s="3"/>
    </row>
    <row r="277" spans="1:4" ht="12.75">
      <c r="A277" s="24" t="s">
        <v>1137</v>
      </c>
      <c r="B277" t="s">
        <v>852</v>
      </c>
      <c r="C277" s="623">
        <f>+'[5]Calculo de Salarios %'!$I$79</f>
        <v>5550363.84338982</v>
      </c>
      <c r="D277" s="3"/>
    </row>
    <row r="278" spans="1:4" ht="12.75">
      <c r="A278" s="24" t="s">
        <v>1141</v>
      </c>
      <c r="B278" t="s">
        <v>854</v>
      </c>
      <c r="C278" s="623">
        <f>(C273+C276+C277)/12</f>
        <v>1515676.2803102967</v>
      </c>
      <c r="D278" s="3"/>
    </row>
    <row r="279" spans="1:4" ht="12.75">
      <c r="A279" s="24" t="s">
        <v>1552</v>
      </c>
      <c r="B279" t="s">
        <v>1550</v>
      </c>
      <c r="C279" s="623">
        <f>(C273+C276+C277)*4.19%</f>
        <v>762082.0337400173</v>
      </c>
      <c r="D279" s="3"/>
    </row>
    <row r="280" spans="1:4" ht="12.75">
      <c r="A280" s="24"/>
      <c r="C280" s="623"/>
      <c r="D280" s="3"/>
    </row>
    <row r="281" spans="1:4" ht="12.75">
      <c r="A281" s="30" t="s">
        <v>1142</v>
      </c>
      <c r="B281" s="28" t="s">
        <v>856</v>
      </c>
      <c r="C281" s="624">
        <f>SUM(C283:C284)</f>
        <v>2810314.2740438487</v>
      </c>
      <c r="D281" s="3"/>
    </row>
    <row r="282" spans="1:4" ht="12.75">
      <c r="A282" s="24"/>
      <c r="B282" s="31" t="s">
        <v>857</v>
      </c>
      <c r="C282" s="623"/>
      <c r="D282" s="3"/>
    </row>
    <row r="283" spans="1:4" ht="12.75">
      <c r="A283" s="24" t="s">
        <v>1143</v>
      </c>
      <c r="B283" t="s">
        <v>859</v>
      </c>
      <c r="C283" s="623">
        <f>(C273+C276+C277+C279)*14.33%</f>
        <v>2715563.287056531</v>
      </c>
      <c r="D283" s="3"/>
    </row>
    <row r="284" spans="1:4" ht="12.75">
      <c r="A284" s="24" t="s">
        <v>1144</v>
      </c>
      <c r="B284" t="s">
        <v>861</v>
      </c>
      <c r="C284" s="623">
        <f>(C273+C276+C277+C279)*0.5%</f>
        <v>94750.9869873179</v>
      </c>
      <c r="D284" s="3"/>
    </row>
    <row r="285" spans="1:4" ht="12.75">
      <c r="A285" s="24"/>
      <c r="C285" s="623"/>
      <c r="D285" s="3"/>
    </row>
    <row r="286" spans="1:4" ht="12.75">
      <c r="A286" s="30" t="s">
        <v>1145</v>
      </c>
      <c r="B286" s="28" t="s">
        <v>863</v>
      </c>
      <c r="C286" s="624">
        <f>SUM(C288:C289)</f>
        <v>852758.882885861</v>
      </c>
      <c r="D286" s="3"/>
    </row>
    <row r="287" spans="1:4" ht="12.75">
      <c r="A287" s="30"/>
      <c r="B287" s="31" t="s">
        <v>864</v>
      </c>
      <c r="C287" s="818"/>
      <c r="D287" s="3"/>
    </row>
    <row r="288" spans="1:4" ht="12.75">
      <c r="A288" s="158" t="s">
        <v>1405</v>
      </c>
      <c r="B288" s="33" t="s">
        <v>1406</v>
      </c>
      <c r="C288" s="623">
        <f>(C273+C276+C277+C279)*1.5%</f>
        <v>284252.9609619537</v>
      </c>
      <c r="D288" s="3"/>
    </row>
    <row r="289" spans="1:4" ht="12.75">
      <c r="A289" s="24" t="s">
        <v>1146</v>
      </c>
      <c r="B289" t="s">
        <v>866</v>
      </c>
      <c r="C289" s="623">
        <f>(C273+C276+C277+C279)*3%</f>
        <v>568505.9219239074</v>
      </c>
      <c r="D289" s="3"/>
    </row>
    <row r="290" spans="1:4" ht="12.75">
      <c r="A290" s="24"/>
      <c r="C290" s="623"/>
      <c r="D290" s="3"/>
    </row>
    <row r="291" spans="1:4" ht="12.75">
      <c r="A291" s="24"/>
      <c r="C291" s="623"/>
      <c r="D291" s="3"/>
    </row>
    <row r="292" spans="1:4" ht="12.75">
      <c r="A292" s="24"/>
      <c r="C292" s="623"/>
      <c r="D292" s="3"/>
    </row>
    <row r="293" spans="1:6" ht="13.5" thickBot="1">
      <c r="A293" s="30" t="s">
        <v>1147</v>
      </c>
      <c r="B293" s="729" t="s">
        <v>867</v>
      </c>
      <c r="C293" s="628"/>
      <c r="D293" s="730">
        <f>+C294+C297</f>
        <v>817509.8300000001</v>
      </c>
      <c r="F293" s="843">
        <v>1</v>
      </c>
    </row>
    <row r="294" spans="1:3" ht="13.5" thickTop="1">
      <c r="A294" s="26" t="s">
        <v>1148</v>
      </c>
      <c r="B294" s="28" t="s">
        <v>881</v>
      </c>
      <c r="C294" s="624">
        <f>C295</f>
        <v>317509.83</v>
      </c>
    </row>
    <row r="295" spans="1:3" ht="12.75">
      <c r="A295" t="s">
        <v>1149</v>
      </c>
      <c r="B295" t="s">
        <v>883</v>
      </c>
      <c r="C295" s="623">
        <v>317509.83</v>
      </c>
    </row>
    <row r="296" ht="12.75">
      <c r="C296" s="623"/>
    </row>
    <row r="297" spans="1:3" ht="12.75">
      <c r="A297" s="26" t="s">
        <v>1426</v>
      </c>
      <c r="B297" s="28" t="s">
        <v>994</v>
      </c>
      <c r="C297" s="624">
        <f>C298</f>
        <v>500000</v>
      </c>
    </row>
    <row r="298" spans="1:3" ht="12.75">
      <c r="A298" s="33" t="s">
        <v>1427</v>
      </c>
      <c r="B298" s="34" t="s">
        <v>196</v>
      </c>
      <c r="C298" s="623">
        <v>500000</v>
      </c>
    </row>
    <row r="299" ht="12.75">
      <c r="C299" s="623"/>
    </row>
    <row r="300" spans="1:6" ht="13.5" thickBot="1">
      <c r="A300" s="26" t="s">
        <v>1150</v>
      </c>
      <c r="B300" s="729" t="s">
        <v>889</v>
      </c>
      <c r="C300" s="628"/>
      <c r="D300" s="730">
        <f>+C301</f>
        <v>50000</v>
      </c>
      <c r="F300" s="843">
        <v>1</v>
      </c>
    </row>
    <row r="301" spans="1:3" ht="13.5" thickTop="1">
      <c r="A301" s="26" t="s">
        <v>1151</v>
      </c>
      <c r="B301" s="28" t="s">
        <v>906</v>
      </c>
      <c r="C301" s="624">
        <f>SUM(C302:C302)</f>
        <v>50000</v>
      </c>
    </row>
    <row r="302" spans="1:3" ht="12.75">
      <c r="A302" t="s">
        <v>1152</v>
      </c>
      <c r="B302" t="s">
        <v>908</v>
      </c>
      <c r="C302" s="623">
        <v>50000</v>
      </c>
    </row>
    <row r="303" spans="1:3" ht="13.5" thickBot="1">
      <c r="A303" s="33"/>
      <c r="B303" s="33"/>
      <c r="C303" s="623"/>
    </row>
    <row r="304" spans="2:4" ht="13.5" thickBot="1">
      <c r="B304" s="734" t="s">
        <v>1138</v>
      </c>
      <c r="C304" s="735"/>
      <c r="D304" s="736">
        <f>D271+D293+D300</f>
        <v>24996456.664703593</v>
      </c>
    </row>
    <row r="305" spans="2:4" ht="12.75">
      <c r="B305" s="106"/>
      <c r="C305" s="107"/>
      <c r="D305" s="107"/>
    </row>
    <row r="306" spans="1:4" ht="13.5" thickBot="1">
      <c r="A306" s="850" t="s">
        <v>1153</v>
      </c>
      <c r="B306" s="850"/>
      <c r="C306" s="850"/>
      <c r="D306" s="850"/>
    </row>
    <row r="307" spans="1:4" ht="13.5" thickBot="1">
      <c r="A307" s="208" t="s">
        <v>484</v>
      </c>
      <c r="B307" s="737" t="s">
        <v>911</v>
      </c>
      <c r="C307" s="209"/>
      <c r="D307" s="738">
        <f>C308</f>
        <v>5817542.76</v>
      </c>
    </row>
    <row r="308" spans="1:4" ht="13.5" thickTop="1">
      <c r="A308" s="208" t="s">
        <v>485</v>
      </c>
      <c r="B308" s="210" t="s">
        <v>912</v>
      </c>
      <c r="C308" s="212">
        <f>C309</f>
        <v>5817542.76</v>
      </c>
      <c r="D308" s="207"/>
    </row>
    <row r="309" spans="1:6" ht="12.75">
      <c r="A309" s="211" t="s">
        <v>486</v>
      </c>
      <c r="B309" s="211" t="s">
        <v>487</v>
      </c>
      <c r="C309" s="753">
        <v>5817542.76</v>
      </c>
      <c r="D309" s="207"/>
      <c r="F309" s="843">
        <v>12</v>
      </c>
    </row>
    <row r="310" spans="1:4" ht="12.75">
      <c r="A310" s="211"/>
      <c r="B310" s="211" t="s">
        <v>488</v>
      </c>
      <c r="C310" s="819"/>
      <c r="D310" s="207"/>
    </row>
    <row r="311" spans="1:4" ht="12.75">
      <c r="A311" s="207"/>
      <c r="B311" s="207"/>
      <c r="C311" s="820"/>
      <c r="D311" s="207"/>
    </row>
    <row r="312" spans="1:4" ht="13.5" thickBot="1">
      <c r="A312" s="26" t="s">
        <v>1155</v>
      </c>
      <c r="B312" s="729" t="s">
        <v>812</v>
      </c>
      <c r="C312" s="818"/>
      <c r="D312" s="730">
        <f>C313+C330</f>
        <v>168611692.3552</v>
      </c>
    </row>
    <row r="313" spans="1:3" ht="13.5" thickTop="1">
      <c r="A313" s="26" t="s">
        <v>1156</v>
      </c>
      <c r="B313" s="28" t="s">
        <v>923</v>
      </c>
      <c r="C313" s="624">
        <f>C314+C317+C322+C326</f>
        <v>166111692.3552</v>
      </c>
    </row>
    <row r="314" spans="1:3" ht="12.75">
      <c r="A314" s="26" t="s">
        <v>1157</v>
      </c>
      <c r="B314" s="31" t="s">
        <v>925</v>
      </c>
      <c r="C314" s="821">
        <f>C315</f>
        <v>6400000</v>
      </c>
    </row>
    <row r="315" spans="1:6" ht="12.75">
      <c r="A315" t="s">
        <v>1158</v>
      </c>
      <c r="B315" t="s">
        <v>927</v>
      </c>
      <c r="C315" s="623">
        <f>+INGRESOS!C15*1%</f>
        <v>6400000</v>
      </c>
      <c r="F315" s="843">
        <v>8</v>
      </c>
    </row>
    <row r="316" ht="12.75">
      <c r="C316" s="370"/>
    </row>
    <row r="317" spans="1:3" ht="12.75">
      <c r="A317" s="26" t="s">
        <v>1159</v>
      </c>
      <c r="B317" s="35" t="s">
        <v>929</v>
      </c>
      <c r="C317" s="624">
        <f>SUM(C318:C320)</f>
        <v>26500000</v>
      </c>
    </row>
    <row r="318" spans="1:6" ht="12.75">
      <c r="A318" s="33" t="s">
        <v>1160</v>
      </c>
      <c r="B318" s="34" t="s">
        <v>931</v>
      </c>
      <c r="C318" s="623">
        <f>+INGRESOS!C15*3%</f>
        <v>19200000</v>
      </c>
      <c r="F318" s="843">
        <v>8</v>
      </c>
    </row>
    <row r="319" spans="1:6" ht="12.75">
      <c r="A319" s="33" t="s">
        <v>1161</v>
      </c>
      <c r="B319" s="34" t="s">
        <v>933</v>
      </c>
      <c r="C319" s="623">
        <f>+INGRESOS!C32*10%</f>
        <v>1000000</v>
      </c>
      <c r="F319" s="843">
        <v>8</v>
      </c>
    </row>
    <row r="320" spans="1:6" ht="12.75">
      <c r="A320" s="33" t="s">
        <v>218</v>
      </c>
      <c r="B320" s="34" t="s">
        <v>966</v>
      </c>
      <c r="C320" s="623">
        <f>(+INGRESOS!C32-C319)*70%</f>
        <v>6300000</v>
      </c>
      <c r="F320" s="843">
        <v>8</v>
      </c>
    </row>
    <row r="321" ht="12.75">
      <c r="C321" s="623"/>
    </row>
    <row r="322" spans="1:3" ht="12.75">
      <c r="A322" s="26" t="s">
        <v>1162</v>
      </c>
      <c r="B322" s="28" t="s">
        <v>935</v>
      </c>
      <c r="C322" s="624">
        <f>SUM(C323:C324)</f>
        <v>72768641.2076</v>
      </c>
    </row>
    <row r="323" spans="1:6" ht="12.75">
      <c r="A323" t="s">
        <v>1163</v>
      </c>
      <c r="B323" t="s">
        <v>937</v>
      </c>
      <c r="C323" s="623">
        <f>+INGRESOS!C15*10%</f>
        <v>64000000</v>
      </c>
      <c r="F323" s="843">
        <v>7</v>
      </c>
    </row>
    <row r="324" spans="1:6" ht="12.75">
      <c r="A324" t="s">
        <v>770</v>
      </c>
      <c r="B324" t="s">
        <v>939</v>
      </c>
      <c r="C324" s="623">
        <f>+(INGRESOS!C9-INGRESOS!C82)*0.5%</f>
        <v>8768641.2076</v>
      </c>
      <c r="F324" s="843">
        <v>8</v>
      </c>
    </row>
    <row r="325" ht="12.75">
      <c r="C325" s="623"/>
    </row>
    <row r="326" spans="1:3" ht="12.75">
      <c r="A326" s="26" t="s">
        <v>1164</v>
      </c>
      <c r="B326" s="28" t="s">
        <v>941</v>
      </c>
      <c r="C326" s="624">
        <f>SUM(C327:C328)</f>
        <v>60443051.147599995</v>
      </c>
    </row>
    <row r="327" spans="1:6" ht="12.75">
      <c r="A327" t="s">
        <v>1165</v>
      </c>
      <c r="B327" t="s">
        <v>943</v>
      </c>
      <c r="C327" s="623">
        <v>51674409.94</v>
      </c>
      <c r="F327" s="843">
        <v>6</v>
      </c>
    </row>
    <row r="328" spans="1:6" ht="12.75">
      <c r="A328" t="s">
        <v>1166</v>
      </c>
      <c r="B328" t="s">
        <v>769</v>
      </c>
      <c r="C328" s="623">
        <f>+(INGRESOS!C9-INGRESOS!C82)*0.5%</f>
        <v>8768641.2076</v>
      </c>
      <c r="F328" s="843">
        <v>8</v>
      </c>
    </row>
    <row r="329" ht="12.75">
      <c r="C329" s="623"/>
    </row>
    <row r="330" spans="1:3" ht="12.75">
      <c r="A330" s="26" t="s">
        <v>38</v>
      </c>
      <c r="B330" s="28" t="s">
        <v>39</v>
      </c>
      <c r="C330" s="624">
        <f>+C331</f>
        <v>2500000</v>
      </c>
    </row>
    <row r="331" spans="1:6" ht="12.75">
      <c r="A331" s="33" t="s">
        <v>1487</v>
      </c>
      <c r="B331" s="34" t="s">
        <v>1488</v>
      </c>
      <c r="C331" s="623">
        <v>2500000</v>
      </c>
      <c r="F331" s="843">
        <v>10</v>
      </c>
    </row>
    <row r="332" ht="12.75">
      <c r="C332" s="623"/>
    </row>
    <row r="333" spans="1:4" ht="13.5" thickBot="1">
      <c r="A333" s="26" t="s">
        <v>489</v>
      </c>
      <c r="B333" s="729" t="s">
        <v>1031</v>
      </c>
      <c r="C333" s="818"/>
      <c r="D333" s="730">
        <f>C334</f>
        <v>18904459.92</v>
      </c>
    </row>
    <row r="334" spans="1:3" ht="13.5" thickTop="1">
      <c r="A334" s="26" t="s">
        <v>490</v>
      </c>
      <c r="B334" s="28" t="s">
        <v>967</v>
      </c>
      <c r="C334" s="624">
        <f>C335</f>
        <v>18904459.92</v>
      </c>
    </row>
    <row r="335" spans="1:6" ht="12.75">
      <c r="A335" s="26" t="s">
        <v>491</v>
      </c>
      <c r="B335" s="36" t="s">
        <v>492</v>
      </c>
      <c r="C335" s="625">
        <v>18904459.92</v>
      </c>
      <c r="F335" s="843">
        <v>9</v>
      </c>
    </row>
    <row r="336" spans="2:3" ht="12.75">
      <c r="B336" t="s">
        <v>249</v>
      </c>
      <c r="C336" s="623"/>
    </row>
    <row r="337" ht="13.5" thickBot="1">
      <c r="C337" s="3"/>
    </row>
    <row r="338" spans="2:4" ht="13.5" thickBot="1">
      <c r="B338" s="731" t="s">
        <v>1154</v>
      </c>
      <c r="C338" s="739"/>
      <c r="D338" s="736">
        <f>D307+D333+D312</f>
        <v>193333695.0352</v>
      </c>
    </row>
    <row r="339" spans="2:6" ht="13.5" thickBot="1">
      <c r="B339" s="734" t="s">
        <v>1042</v>
      </c>
      <c r="C339" s="732"/>
      <c r="D339" s="733">
        <f>D268+D304+D338</f>
        <v>801758688.3918086</v>
      </c>
      <c r="F339" s="844"/>
    </row>
    <row r="340" spans="3:4" ht="12.75">
      <c r="C340" s="204"/>
      <c r="D340" s="205" t="s">
        <v>776</v>
      </c>
    </row>
  </sheetData>
  <sheetProtection/>
  <mergeCells count="6">
    <mergeCell ref="A270:D270"/>
    <mergeCell ref="A306:D306"/>
    <mergeCell ref="A2:D2"/>
    <mergeCell ref="A1:D1"/>
    <mergeCell ref="A3:D3"/>
    <mergeCell ref="A176:D176"/>
  </mergeCells>
  <printOptions/>
  <pageMargins left="0.3937007874015748" right="0.3937007874015748" top="0.3937007874015748" bottom="0.3937007874015748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9"/>
  <sheetViews>
    <sheetView tabSelected="1" zoomScalePageLayoutView="0" workbookViewId="0" topLeftCell="A479">
      <selection activeCell="C363" sqref="C363"/>
    </sheetView>
  </sheetViews>
  <sheetFormatPr defaultColWidth="11.421875" defaultRowHeight="12.75"/>
  <cols>
    <col min="1" max="1" width="15.7109375" style="0" customWidth="1"/>
    <col min="2" max="2" width="45.7109375" style="0" customWidth="1"/>
    <col min="3" max="4" width="15.7109375" style="0" customWidth="1"/>
    <col min="5" max="5" width="14.00390625" style="0" bestFit="1" customWidth="1"/>
    <col min="6" max="6" width="13.28125" style="845" bestFit="1" customWidth="1"/>
  </cols>
  <sheetData>
    <row r="1" spans="1:4" ht="18">
      <c r="A1" s="847" t="s">
        <v>823</v>
      </c>
      <c r="B1" s="847"/>
      <c r="C1" s="847"/>
      <c r="D1" s="847"/>
    </row>
    <row r="2" spans="1:4" ht="18">
      <c r="A2" s="847" t="s">
        <v>1572</v>
      </c>
      <c r="B2" s="847"/>
      <c r="C2" s="847"/>
      <c r="D2" s="847"/>
    </row>
    <row r="3" spans="1:4" ht="15.75">
      <c r="A3" s="851" t="s">
        <v>1043</v>
      </c>
      <c r="B3" s="851"/>
      <c r="C3" s="851"/>
      <c r="D3" s="851"/>
    </row>
    <row r="4" spans="1:4" ht="16.5" thickBot="1">
      <c r="A4" s="105"/>
      <c r="B4" s="105"/>
      <c r="C4" s="105"/>
      <c r="D4" s="105"/>
    </row>
    <row r="5" spans="1:4" ht="16.5" thickBot="1">
      <c r="A5" s="30" t="s">
        <v>970</v>
      </c>
      <c r="B5" s="729" t="s">
        <v>833</v>
      </c>
      <c r="C5" s="27"/>
      <c r="D5" s="730">
        <f>C6+C10+C13+C19+C24</f>
        <v>240810405.51669067</v>
      </c>
    </row>
    <row r="6" spans="1:4" ht="16.5" thickTop="1">
      <c r="A6" s="25" t="s">
        <v>969</v>
      </c>
      <c r="B6" s="28" t="s">
        <v>834</v>
      </c>
      <c r="C6" s="29">
        <f>SUM(C7:C8)</f>
        <v>121658516.487032</v>
      </c>
      <c r="D6" s="3"/>
    </row>
    <row r="7" spans="1:4" ht="15.75">
      <c r="A7" s="24" t="s">
        <v>968</v>
      </c>
      <c r="B7" t="s">
        <v>835</v>
      </c>
      <c r="C7" s="3">
        <f>C233+C313+C355+C464+C198+C513</f>
        <v>113958516.487032</v>
      </c>
      <c r="D7" s="3"/>
    </row>
    <row r="8" spans="1:4" ht="15.75">
      <c r="A8" s="24" t="s">
        <v>206</v>
      </c>
      <c r="B8" t="s">
        <v>836</v>
      </c>
      <c r="C8" s="3">
        <f>C234+C356</f>
        <v>7700000</v>
      </c>
      <c r="D8" s="3"/>
    </row>
    <row r="9" spans="1:4" ht="15.75">
      <c r="A9" s="24"/>
      <c r="C9" s="3"/>
      <c r="D9" s="3"/>
    </row>
    <row r="10" spans="1:4" ht="15.75">
      <c r="A10" s="30" t="s">
        <v>971</v>
      </c>
      <c r="B10" s="28" t="s">
        <v>837</v>
      </c>
      <c r="C10" s="29">
        <f>SUM(C11:C11)</f>
        <v>4250000</v>
      </c>
      <c r="D10" s="3"/>
    </row>
    <row r="11" spans="1:4" ht="15.75">
      <c r="A11" s="24" t="s">
        <v>972</v>
      </c>
      <c r="B11" t="s">
        <v>839</v>
      </c>
      <c r="C11" s="3">
        <f>C201+C237+C316+C359</f>
        <v>4250000</v>
      </c>
      <c r="D11" s="3"/>
    </row>
    <row r="12" spans="1:4" ht="15.75">
      <c r="A12" s="24"/>
      <c r="C12" s="3"/>
      <c r="D12" s="3"/>
    </row>
    <row r="13" spans="1:4" ht="15.75">
      <c r="A13" s="30" t="s">
        <v>973</v>
      </c>
      <c r="B13" s="28" t="s">
        <v>848</v>
      </c>
      <c r="C13" s="29">
        <f>SUM(C14:C17)</f>
        <v>78384689.33821885</v>
      </c>
      <c r="D13" s="3"/>
    </row>
    <row r="14" spans="1:4" ht="15.75">
      <c r="A14" s="24" t="s">
        <v>974</v>
      </c>
      <c r="B14" t="s">
        <v>850</v>
      </c>
      <c r="C14" s="3">
        <f>C240+C319+C362+C467+C204+C516</f>
        <v>46967839.81951371</v>
      </c>
      <c r="D14" s="3"/>
    </row>
    <row r="15" spans="1:4" ht="15.75">
      <c r="A15" s="24" t="s">
        <v>237</v>
      </c>
      <c r="B15" t="s">
        <v>236</v>
      </c>
      <c r="C15" s="3">
        <f>C363+C468</f>
        <v>8966671.05837195</v>
      </c>
      <c r="D15" s="3"/>
    </row>
    <row r="16" spans="1:4" ht="15.75">
      <c r="A16" s="24" t="s">
        <v>975</v>
      </c>
      <c r="B16" t="s">
        <v>854</v>
      </c>
      <c r="C16" s="3">
        <f>C241+C320+C364+C469+C205+C517</f>
        <v>15153585.61374314</v>
      </c>
      <c r="D16" s="3"/>
    </row>
    <row r="17" spans="1:4" ht="15.75">
      <c r="A17" s="24" t="s">
        <v>1554</v>
      </c>
      <c r="B17" t="s">
        <v>1550</v>
      </c>
      <c r="C17" s="3">
        <f>C206+C242+C321+C365+C470+C518</f>
        <v>7296592.8465900505</v>
      </c>
      <c r="D17" s="3"/>
    </row>
    <row r="18" spans="1:4" ht="15.75">
      <c r="A18" s="24"/>
      <c r="C18" s="3"/>
      <c r="D18" s="3"/>
    </row>
    <row r="19" spans="1:4" ht="15.75">
      <c r="A19" s="30" t="s">
        <v>976</v>
      </c>
      <c r="B19" s="28" t="s">
        <v>856</v>
      </c>
      <c r="C19" s="29">
        <f>SUM(C21:C22)</f>
        <v>28016040.94278594</v>
      </c>
      <c r="D19" s="3"/>
    </row>
    <row r="20" spans="1:4" ht="15.75">
      <c r="A20" s="24"/>
      <c r="B20" s="31" t="s">
        <v>857</v>
      </c>
      <c r="C20" s="3"/>
      <c r="D20" s="3"/>
    </row>
    <row r="21" spans="1:4" ht="15.75">
      <c r="A21" s="24" t="s">
        <v>977</v>
      </c>
      <c r="B21" t="s">
        <v>859</v>
      </c>
      <c r="C21" s="3">
        <f>C246+C325+C369+C474+C210+C522</f>
        <v>27071467.748491067</v>
      </c>
      <c r="D21" s="3"/>
    </row>
    <row r="22" spans="1:4" ht="15.75">
      <c r="A22" s="24" t="s">
        <v>978</v>
      </c>
      <c r="B22" t="s">
        <v>861</v>
      </c>
      <c r="C22" s="3">
        <f>C247+C326+C370+C475+C211+C523</f>
        <v>944573.194294873</v>
      </c>
      <c r="D22" s="3"/>
    </row>
    <row r="23" spans="1:4" ht="15.75">
      <c r="A23" s="24"/>
      <c r="C23" s="3"/>
      <c r="D23" s="3"/>
    </row>
    <row r="24" spans="1:4" ht="15.75">
      <c r="A24" s="30" t="s">
        <v>979</v>
      </c>
      <c r="B24" s="28" t="s">
        <v>863</v>
      </c>
      <c r="C24" s="29">
        <f>SUM(C26:C27)</f>
        <v>8501158.748653857</v>
      </c>
      <c r="D24" s="3"/>
    </row>
    <row r="25" spans="1:4" ht="15.75">
      <c r="A25" s="30"/>
      <c r="B25" s="31" t="s">
        <v>864</v>
      </c>
      <c r="C25" s="27"/>
      <c r="D25" s="3"/>
    </row>
    <row r="26" spans="1:4" ht="15.75">
      <c r="A26" s="158" t="s">
        <v>1408</v>
      </c>
      <c r="B26" s="33" t="s">
        <v>1406</v>
      </c>
      <c r="C26" s="3">
        <f>C251+C330+C374+C479+C215+C527</f>
        <v>2833719.582884619</v>
      </c>
      <c r="D26" s="3"/>
    </row>
    <row r="27" spans="1:4" ht="15.75">
      <c r="A27" s="24" t="s">
        <v>980</v>
      </c>
      <c r="B27" t="s">
        <v>866</v>
      </c>
      <c r="C27" s="3">
        <f>C252+C331+C375+C480+C216+C528</f>
        <v>5667439.165769238</v>
      </c>
      <c r="D27" s="3"/>
    </row>
    <row r="28" spans="1:4" ht="15.75">
      <c r="A28" s="24"/>
      <c r="C28" s="3"/>
      <c r="D28" s="3"/>
    </row>
    <row r="29" spans="1:4" ht="16.5" thickBot="1">
      <c r="A29" s="30" t="s">
        <v>817</v>
      </c>
      <c r="B29" s="729" t="s">
        <v>867</v>
      </c>
      <c r="C29" s="157"/>
      <c r="D29" s="730">
        <f>C30+C34+C43+C48+C51+C54+C61+C71+C39+C68</f>
        <v>316536897.51</v>
      </c>
    </row>
    <row r="30" spans="1:4" ht="16.5" thickTop="1">
      <c r="A30" s="30" t="s">
        <v>981</v>
      </c>
      <c r="B30" s="28" t="s">
        <v>982</v>
      </c>
      <c r="C30" s="29">
        <f>SUM(C31:C32)</f>
        <v>13150000</v>
      </c>
      <c r="D30" s="3"/>
    </row>
    <row r="31" spans="1:4" ht="15.75">
      <c r="A31" s="158" t="s">
        <v>1678</v>
      </c>
      <c r="B31" s="36" t="s">
        <v>1679</v>
      </c>
      <c r="C31" s="37">
        <f>C220</f>
        <v>12000000</v>
      </c>
      <c r="D31" s="3"/>
    </row>
    <row r="32" spans="1:4" ht="15.75">
      <c r="A32" s="24" t="s">
        <v>983</v>
      </c>
      <c r="B32" t="s">
        <v>984</v>
      </c>
      <c r="C32" s="3">
        <f>+C379+C256+C569</f>
        <v>1150000</v>
      </c>
      <c r="D32" s="3"/>
    </row>
    <row r="33" spans="1:4" ht="15.75">
      <c r="A33" s="24"/>
      <c r="C33" s="3"/>
      <c r="D33" s="3"/>
    </row>
    <row r="34" spans="1:4" ht="15.75">
      <c r="A34" s="30" t="s">
        <v>988</v>
      </c>
      <c r="B34" s="28" t="s">
        <v>869</v>
      </c>
      <c r="C34" s="29">
        <f>C35+C36+C37</f>
        <v>60691838.43</v>
      </c>
      <c r="D34" s="3"/>
    </row>
    <row r="35" spans="1:4" ht="15.75">
      <c r="A35" s="158" t="s">
        <v>1564</v>
      </c>
      <c r="B35" s="36" t="s">
        <v>1565</v>
      </c>
      <c r="C35" s="37">
        <f>C382</f>
        <v>600000</v>
      </c>
      <c r="D35" s="3"/>
    </row>
    <row r="36" spans="1:4" ht="15.75">
      <c r="A36" s="24" t="s">
        <v>989</v>
      </c>
      <c r="B36" s="34" t="s">
        <v>990</v>
      </c>
      <c r="C36" s="3">
        <f>C383+C532</f>
        <v>60041838.43</v>
      </c>
      <c r="D36" s="3"/>
    </row>
    <row r="37" spans="1:4" ht="15.75">
      <c r="A37" s="158" t="s">
        <v>1441</v>
      </c>
      <c r="B37" s="34" t="s">
        <v>554</v>
      </c>
      <c r="C37" s="3">
        <f>C384</f>
        <v>50000</v>
      </c>
      <c r="D37" s="3"/>
    </row>
    <row r="38" spans="1:4" ht="15.75">
      <c r="A38" s="24"/>
      <c r="B38" s="34"/>
      <c r="C38" s="3"/>
      <c r="D38" s="3"/>
    </row>
    <row r="39" spans="1:4" ht="15.75">
      <c r="A39" s="30" t="s">
        <v>748</v>
      </c>
      <c r="B39" s="35" t="s">
        <v>875</v>
      </c>
      <c r="C39" s="29">
        <f>+C41+C40</f>
        <v>60000</v>
      </c>
      <c r="D39" s="3"/>
    </row>
    <row r="40" spans="1:4" ht="15.75">
      <c r="A40" s="158" t="s">
        <v>1351</v>
      </c>
      <c r="B40" s="34" t="s">
        <v>500</v>
      </c>
      <c r="C40" s="37">
        <f>+C387</f>
        <v>10000</v>
      </c>
      <c r="D40" s="3"/>
    </row>
    <row r="41" spans="1:4" ht="15.75">
      <c r="A41" s="158" t="s">
        <v>1229</v>
      </c>
      <c r="B41" s="34" t="s">
        <v>557</v>
      </c>
      <c r="C41" s="37">
        <f>C388</f>
        <v>50000</v>
      </c>
      <c r="D41" s="3"/>
    </row>
    <row r="42" ht="15.75">
      <c r="C42" s="3"/>
    </row>
    <row r="43" spans="1:3" ht="15.75">
      <c r="A43" s="26" t="s">
        <v>985</v>
      </c>
      <c r="B43" s="28" t="s">
        <v>879</v>
      </c>
      <c r="C43" s="29">
        <f>SUM(C44:C46)</f>
        <v>195941578.62</v>
      </c>
    </row>
    <row r="44" spans="1:3" ht="15.75">
      <c r="A44" s="33" t="s">
        <v>1324</v>
      </c>
      <c r="B44" s="34" t="s">
        <v>1325</v>
      </c>
      <c r="C44" s="37">
        <f>+C391</f>
        <v>5000000</v>
      </c>
    </row>
    <row r="45" spans="1:3" ht="15.75">
      <c r="A45" t="s">
        <v>986</v>
      </c>
      <c r="B45" t="s">
        <v>987</v>
      </c>
      <c r="C45" s="3">
        <f>+C392+C484+C603+C223+C535</f>
        <v>190631578.62</v>
      </c>
    </row>
    <row r="46" spans="1:3" ht="15.75">
      <c r="A46" t="s">
        <v>714</v>
      </c>
      <c r="B46" t="s">
        <v>715</v>
      </c>
      <c r="C46" s="3">
        <f>C393+C259</f>
        <v>310000</v>
      </c>
    </row>
    <row r="47" ht="15.75">
      <c r="C47" s="3"/>
    </row>
    <row r="48" spans="1:3" ht="15.75">
      <c r="A48" s="26" t="s">
        <v>1342</v>
      </c>
      <c r="B48" s="28" t="s">
        <v>1291</v>
      </c>
      <c r="C48" s="29">
        <f>SUM(C49:C49)</f>
        <v>50000</v>
      </c>
    </row>
    <row r="49" spans="1:3" ht="15.75">
      <c r="A49" s="33" t="s">
        <v>1343</v>
      </c>
      <c r="B49" s="33" t="s">
        <v>48</v>
      </c>
      <c r="C49" s="3">
        <f>C396</f>
        <v>50000</v>
      </c>
    </row>
    <row r="50" ht="15.75">
      <c r="C50" s="3"/>
    </row>
    <row r="51" spans="1:3" ht="15.75">
      <c r="A51" s="26" t="s">
        <v>991</v>
      </c>
      <c r="B51" s="28" t="s">
        <v>881</v>
      </c>
      <c r="C51" s="29">
        <f>C52</f>
        <v>2930634.81</v>
      </c>
    </row>
    <row r="52" spans="1:3" ht="15.75">
      <c r="A52" t="s">
        <v>992</v>
      </c>
      <c r="B52" t="s">
        <v>883</v>
      </c>
      <c r="C52" s="3">
        <f>C262+C335+C399+C487+C226</f>
        <v>2930634.81</v>
      </c>
    </row>
    <row r="53" ht="15.75">
      <c r="C53" s="3"/>
    </row>
    <row r="54" spans="1:3" ht="15.75">
      <c r="A54" s="26" t="s">
        <v>993</v>
      </c>
      <c r="B54" s="28" t="s">
        <v>994</v>
      </c>
      <c r="C54" s="29">
        <f>SUM(C55:C56)</f>
        <v>7000000</v>
      </c>
    </row>
    <row r="55" spans="1:3" ht="15.75">
      <c r="A55" s="33" t="s">
        <v>1335</v>
      </c>
      <c r="B55" s="36" t="s">
        <v>196</v>
      </c>
      <c r="C55" s="37">
        <f>C402+C572</f>
        <v>400000</v>
      </c>
    </row>
    <row r="56" spans="1:3" ht="15.75">
      <c r="A56" t="s">
        <v>995</v>
      </c>
      <c r="B56" t="s">
        <v>996</v>
      </c>
      <c r="C56" s="3">
        <f>C490+C457</f>
        <v>6600000</v>
      </c>
    </row>
    <row r="57" ht="15.75">
      <c r="C57" s="3"/>
    </row>
    <row r="58" ht="15.75">
      <c r="C58" s="3"/>
    </row>
    <row r="59" ht="15.75">
      <c r="C59" s="3"/>
    </row>
    <row r="60" ht="15.75">
      <c r="C60" s="3"/>
    </row>
    <row r="61" spans="1:3" ht="15.75">
      <c r="A61" s="26" t="s">
        <v>997</v>
      </c>
      <c r="B61" s="28" t="s">
        <v>885</v>
      </c>
      <c r="C61" s="29">
        <f>SUM(C62:C66)</f>
        <v>33737845.65</v>
      </c>
    </row>
    <row r="62" spans="1:3" ht="15.75">
      <c r="A62" s="33" t="s">
        <v>999</v>
      </c>
      <c r="B62" s="34" t="s">
        <v>1000</v>
      </c>
      <c r="C62" s="37">
        <f>C405+C539+C338</f>
        <v>30037845.65</v>
      </c>
    </row>
    <row r="63" spans="1:3" ht="15.75">
      <c r="A63" s="33" t="s">
        <v>1221</v>
      </c>
      <c r="B63" s="34" t="s">
        <v>1222</v>
      </c>
      <c r="C63" s="37">
        <f>C265+C406</f>
        <v>2000000</v>
      </c>
    </row>
    <row r="64" spans="1:3" ht="15.75">
      <c r="A64" t="s">
        <v>998</v>
      </c>
      <c r="B64" t="s">
        <v>887</v>
      </c>
      <c r="C64" s="3">
        <f>C407</f>
        <v>1200000</v>
      </c>
    </row>
    <row r="65" spans="1:3" ht="15.75">
      <c r="A65" s="33" t="s">
        <v>1446</v>
      </c>
      <c r="B65" s="33" t="s">
        <v>1447</v>
      </c>
      <c r="C65" s="3">
        <f>C408</f>
        <v>100000</v>
      </c>
    </row>
    <row r="66" spans="1:3" ht="15.75">
      <c r="A66" s="33" t="s">
        <v>1326</v>
      </c>
      <c r="B66" s="33" t="s">
        <v>1323</v>
      </c>
      <c r="C66" s="3">
        <f>C266+C184</f>
        <v>400000</v>
      </c>
    </row>
    <row r="67" spans="1:3" ht="15.75">
      <c r="A67" s="33"/>
      <c r="B67" s="33"/>
      <c r="C67" s="3"/>
    </row>
    <row r="68" spans="1:3" ht="15.75">
      <c r="A68" s="26" t="s">
        <v>1329</v>
      </c>
      <c r="B68" s="28" t="s">
        <v>1298</v>
      </c>
      <c r="C68" s="29">
        <f>C69</f>
        <v>450000</v>
      </c>
    </row>
    <row r="69" spans="1:3" ht="15.75">
      <c r="A69" s="33" t="s">
        <v>1330</v>
      </c>
      <c r="B69" s="33" t="s">
        <v>1300</v>
      </c>
      <c r="C69" s="3">
        <f>C269+C411</f>
        <v>450000</v>
      </c>
    </row>
    <row r="70" ht="15.75">
      <c r="C70" s="3"/>
    </row>
    <row r="71" spans="1:3" ht="15.75">
      <c r="A71" s="26" t="s">
        <v>1001</v>
      </c>
      <c r="B71" s="28" t="s">
        <v>1002</v>
      </c>
      <c r="C71" s="29">
        <f>C72</f>
        <v>2525000</v>
      </c>
    </row>
    <row r="72" spans="1:3" ht="15.75">
      <c r="A72" t="s">
        <v>1003</v>
      </c>
      <c r="B72" t="s">
        <v>1004</v>
      </c>
      <c r="C72" s="3">
        <f>C414+C542</f>
        <v>2525000</v>
      </c>
    </row>
    <row r="73" ht="15.75">
      <c r="C73" s="3"/>
    </row>
    <row r="74" spans="1:4" ht="16.5" thickBot="1">
      <c r="A74" s="26" t="s">
        <v>1005</v>
      </c>
      <c r="B74" s="729" t="s">
        <v>889</v>
      </c>
      <c r="C74" s="157"/>
      <c r="D74" s="730">
        <f>C75+C81+C85+C93+C97</f>
        <v>60266273.99</v>
      </c>
    </row>
    <row r="75" spans="1:3" ht="16.5" thickTop="1">
      <c r="A75" s="26" t="s">
        <v>1006</v>
      </c>
      <c r="B75" s="28" t="s">
        <v>891</v>
      </c>
      <c r="C75" s="29">
        <f>SUM(C76:C79)</f>
        <v>14970000</v>
      </c>
    </row>
    <row r="76" spans="1:3" ht="15.75">
      <c r="A76" t="s">
        <v>1007</v>
      </c>
      <c r="B76" t="s">
        <v>902</v>
      </c>
      <c r="C76" s="3">
        <f>+C273+C418+C546+C342</f>
        <v>9320000</v>
      </c>
    </row>
    <row r="77" spans="1:3" ht="15.75">
      <c r="A77" s="33" t="s">
        <v>1498</v>
      </c>
      <c r="B77" s="33" t="s">
        <v>1304</v>
      </c>
      <c r="C77" s="3">
        <f>C274+C547</f>
        <v>225000</v>
      </c>
    </row>
    <row r="78" spans="1:3" ht="15.75">
      <c r="A78" t="s">
        <v>1008</v>
      </c>
      <c r="B78" t="s">
        <v>904</v>
      </c>
      <c r="C78" s="3">
        <f>+C419+C494+C275+C343</f>
        <v>2220000</v>
      </c>
    </row>
    <row r="79" spans="1:3" ht="15.75">
      <c r="A79" t="s">
        <v>207</v>
      </c>
      <c r="B79" t="s">
        <v>238</v>
      </c>
      <c r="C79" s="3">
        <f>+C188+C420+C276+C558+C548+C344</f>
        <v>3205000</v>
      </c>
    </row>
    <row r="80" ht="15.75">
      <c r="C80" s="3"/>
    </row>
    <row r="81" spans="1:3" ht="15.75">
      <c r="A81" s="26" t="s">
        <v>1026</v>
      </c>
      <c r="B81" s="28" t="s">
        <v>1027</v>
      </c>
      <c r="C81" s="29">
        <f>SUM(C82:C83)</f>
        <v>6750000</v>
      </c>
    </row>
    <row r="82" spans="1:3" ht="15.75">
      <c r="A82" s="33" t="s">
        <v>244</v>
      </c>
      <c r="B82" s="36" t="s">
        <v>243</v>
      </c>
      <c r="C82" s="37">
        <f>C587</f>
        <v>750000</v>
      </c>
    </row>
    <row r="83" spans="1:3" ht="15.75">
      <c r="A83" t="s">
        <v>1028</v>
      </c>
      <c r="B83" t="s">
        <v>1029</v>
      </c>
      <c r="C83" s="3">
        <f>+C497</f>
        <v>6000000</v>
      </c>
    </row>
    <row r="84" ht="15.75">
      <c r="C84" s="3"/>
    </row>
    <row r="85" spans="1:3" ht="15.75">
      <c r="A85" s="26" t="s">
        <v>1009</v>
      </c>
      <c r="B85" s="28" t="s">
        <v>1253</v>
      </c>
      <c r="C85" s="29">
        <f>SUM(C86:C91)</f>
        <v>20800000</v>
      </c>
    </row>
    <row r="86" spans="1:3" ht="15.75">
      <c r="A86" t="s">
        <v>1012</v>
      </c>
      <c r="B86" t="s">
        <v>1013</v>
      </c>
      <c r="C86" s="3">
        <f>+C424</f>
        <v>2500000</v>
      </c>
    </row>
    <row r="87" spans="1:3" ht="15.75">
      <c r="A87" t="s">
        <v>1014</v>
      </c>
      <c r="B87" t="s">
        <v>1015</v>
      </c>
      <c r="C87" s="3">
        <f>C280+C425</f>
        <v>13000000</v>
      </c>
    </row>
    <row r="88" spans="1:3" ht="15.75">
      <c r="A88" t="s">
        <v>1016</v>
      </c>
      <c r="B88" t="s">
        <v>1017</v>
      </c>
      <c r="C88" s="3">
        <f>+C191+C281+C590</f>
        <v>800000</v>
      </c>
    </row>
    <row r="89" spans="1:3" ht="15.75">
      <c r="A89" s="33" t="s">
        <v>1339</v>
      </c>
      <c r="B89" s="33" t="s">
        <v>1340</v>
      </c>
      <c r="C89" s="3">
        <f>C426</f>
        <v>200000</v>
      </c>
    </row>
    <row r="90" spans="1:3" ht="15.75">
      <c r="A90" t="s">
        <v>1018</v>
      </c>
      <c r="B90" t="s">
        <v>1019</v>
      </c>
      <c r="C90" s="3">
        <f>+C427+C282</f>
        <v>2700000</v>
      </c>
    </row>
    <row r="91" spans="1:3" ht="15.75">
      <c r="A91" t="s">
        <v>2</v>
      </c>
      <c r="B91" t="s">
        <v>3</v>
      </c>
      <c r="C91" s="3">
        <f>+C283</f>
        <v>1600000</v>
      </c>
    </row>
    <row r="92" ht="15.75">
      <c r="C92" s="3"/>
    </row>
    <row r="93" spans="1:3" ht="15.75">
      <c r="A93" s="26" t="s">
        <v>1020</v>
      </c>
      <c r="B93" s="28" t="s">
        <v>1021</v>
      </c>
      <c r="C93" s="29">
        <f>SUM(C94:C95)</f>
        <v>8632000</v>
      </c>
    </row>
    <row r="94" spans="1:3" ht="15.75">
      <c r="A94" t="s">
        <v>1022</v>
      </c>
      <c r="B94" t="s">
        <v>1023</v>
      </c>
      <c r="C94" s="3">
        <f>+C430+C286+C551+C576+C347</f>
        <v>3312000</v>
      </c>
    </row>
    <row r="95" spans="1:3" ht="15.75">
      <c r="A95" t="s">
        <v>1024</v>
      </c>
      <c r="B95" t="s">
        <v>1025</v>
      </c>
      <c r="C95" s="3">
        <f>+C287+C431+C552+C348</f>
        <v>5320000</v>
      </c>
    </row>
    <row r="96" ht="15.75">
      <c r="C96" s="3"/>
    </row>
    <row r="97" spans="1:3" ht="15.75">
      <c r="A97" s="26" t="s">
        <v>210</v>
      </c>
      <c r="B97" s="28" t="s">
        <v>906</v>
      </c>
      <c r="C97" s="29">
        <f>SUM(C98:C103)</f>
        <v>9114273.99</v>
      </c>
    </row>
    <row r="98" spans="1:3" ht="15.75">
      <c r="A98" s="33" t="s">
        <v>296</v>
      </c>
      <c r="B98" s="36" t="s">
        <v>297</v>
      </c>
      <c r="C98" s="37">
        <f>C434+C500</f>
        <v>150000</v>
      </c>
    </row>
    <row r="99" spans="1:3" ht="15.75">
      <c r="A99" s="33" t="s">
        <v>482</v>
      </c>
      <c r="B99" s="36" t="s">
        <v>483</v>
      </c>
      <c r="C99" s="37">
        <f>C435+C501+C593</f>
        <v>450000</v>
      </c>
    </row>
    <row r="100" spans="1:3" ht="15.75">
      <c r="A100" t="s">
        <v>211</v>
      </c>
      <c r="B100" t="s">
        <v>239</v>
      </c>
      <c r="C100" s="3">
        <f>C290+C436+C594+C555</f>
        <v>3142273.99</v>
      </c>
    </row>
    <row r="101" spans="1:3" ht="15.75">
      <c r="A101" s="33" t="s">
        <v>1317</v>
      </c>
      <c r="B101" s="33" t="s">
        <v>205</v>
      </c>
      <c r="C101" s="3">
        <f>C291+C556</f>
        <v>600000</v>
      </c>
    </row>
    <row r="102" spans="1:3" ht="15.75">
      <c r="A102" s="33" t="s">
        <v>1331</v>
      </c>
      <c r="B102" t="s">
        <v>9</v>
      </c>
      <c r="C102" s="623">
        <f>C292+C437+C557+C580</f>
        <v>1722000</v>
      </c>
    </row>
    <row r="103" spans="1:3" ht="15.75">
      <c r="A103" t="s">
        <v>705</v>
      </c>
      <c r="B103" s="33" t="s">
        <v>290</v>
      </c>
      <c r="C103" s="3">
        <f>+C502+C438</f>
        <v>3050000</v>
      </c>
    </row>
    <row r="104" ht="15.75">
      <c r="C104" s="3"/>
    </row>
    <row r="105" spans="1:4" ht="16.5" thickBot="1">
      <c r="A105" s="30">
        <v>2.3</v>
      </c>
      <c r="B105" s="729" t="s">
        <v>911</v>
      </c>
      <c r="C105" s="27"/>
      <c r="D105" s="730">
        <f>C106</f>
        <v>1429952.38</v>
      </c>
    </row>
    <row r="106" spans="1:3" ht="16.5" thickTop="1">
      <c r="A106" s="26" t="s">
        <v>250</v>
      </c>
      <c r="B106" s="28" t="s">
        <v>912</v>
      </c>
      <c r="C106" s="29">
        <f>C107</f>
        <v>1429952.38</v>
      </c>
    </row>
    <row r="107" spans="1:3" ht="15.75">
      <c r="A107" t="s">
        <v>251</v>
      </c>
      <c r="B107" t="s">
        <v>252</v>
      </c>
      <c r="C107" s="3">
        <f>C296</f>
        <v>1429952.38</v>
      </c>
    </row>
    <row r="108" spans="2:3" ht="15.75">
      <c r="B108" t="s">
        <v>249</v>
      </c>
      <c r="C108" s="3"/>
    </row>
    <row r="109" ht="15.75">
      <c r="C109" s="3"/>
    </row>
    <row r="110" spans="1:4" ht="16.5" thickBot="1">
      <c r="A110" s="30">
        <v>2.5</v>
      </c>
      <c r="B110" s="729" t="s">
        <v>914</v>
      </c>
      <c r="C110" s="27"/>
      <c r="D110" s="730">
        <f>C111+C118</f>
        <v>47150000</v>
      </c>
    </row>
    <row r="111" spans="1:3" ht="16.5" thickTop="1">
      <c r="A111" s="26" t="s">
        <v>231</v>
      </c>
      <c r="B111" s="28" t="s">
        <v>177</v>
      </c>
      <c r="C111" s="29">
        <f>SUM(C112:C116)</f>
        <v>11900000</v>
      </c>
    </row>
    <row r="112" spans="1:3" ht="15.75">
      <c r="A112" s="33" t="s">
        <v>1632</v>
      </c>
      <c r="B112" s="36" t="s">
        <v>1631</v>
      </c>
      <c r="C112" s="37">
        <f>C442</f>
        <v>2500000</v>
      </c>
    </row>
    <row r="113" spans="1:3" ht="15.75">
      <c r="A113" s="33" t="s">
        <v>257</v>
      </c>
      <c r="B113" s="36" t="s">
        <v>917</v>
      </c>
      <c r="C113" s="37">
        <f>C443</f>
        <v>200000</v>
      </c>
    </row>
    <row r="114" spans="1:3" ht="15.75">
      <c r="A114" s="33" t="s">
        <v>1450</v>
      </c>
      <c r="B114" s="34" t="s">
        <v>918</v>
      </c>
      <c r="C114" s="37">
        <f>C444</f>
        <v>400000</v>
      </c>
    </row>
    <row r="115" spans="1:3" ht="15.75">
      <c r="A115" s="33" t="s">
        <v>1503</v>
      </c>
      <c r="B115" s="34" t="s">
        <v>1316</v>
      </c>
      <c r="C115" s="37">
        <f>C445</f>
        <v>7000000</v>
      </c>
    </row>
    <row r="116" spans="1:3" ht="15.75">
      <c r="A116" t="s">
        <v>232</v>
      </c>
      <c r="B116" t="s">
        <v>721</v>
      </c>
      <c r="C116" s="3">
        <f>C301+C446</f>
        <v>1800000</v>
      </c>
    </row>
    <row r="117" ht="15.75">
      <c r="C117" s="3"/>
    </row>
    <row r="118" spans="1:3" ht="15.75">
      <c r="A118" s="28" t="s">
        <v>14</v>
      </c>
      <c r="B118" s="28" t="s">
        <v>757</v>
      </c>
      <c r="C118" s="29">
        <f>SUM(C119:C120)</f>
        <v>35250000</v>
      </c>
    </row>
    <row r="119" spans="1:3" ht="15.75">
      <c r="A119" t="s">
        <v>15</v>
      </c>
      <c r="B119" t="s">
        <v>12</v>
      </c>
      <c r="C119" s="3">
        <f>C449+C562</f>
        <v>30250000</v>
      </c>
    </row>
    <row r="120" spans="1:3" ht="15.75">
      <c r="A120" s="33" t="s">
        <v>1452</v>
      </c>
      <c r="B120" s="33" t="s">
        <v>13</v>
      </c>
      <c r="C120" s="3">
        <f>C450</f>
        <v>5000000</v>
      </c>
    </row>
    <row r="121" ht="15.75">
      <c r="C121" s="3"/>
    </row>
    <row r="122" spans="1:4" ht="16.5" thickBot="1">
      <c r="A122" s="30">
        <v>2.6</v>
      </c>
      <c r="B122" s="729" t="str">
        <f>B504</f>
        <v>TRANSFERENCIAS CORRIENTES</v>
      </c>
      <c r="C122" s="27"/>
      <c r="D122" s="730">
        <f>C123</f>
        <v>18750000</v>
      </c>
    </row>
    <row r="123" spans="1:3" ht="16.5" thickTop="1">
      <c r="A123" s="26" t="s">
        <v>233</v>
      </c>
      <c r="B123" s="28" t="str">
        <f>B505</f>
        <v>TRANSFERENCIAS CORRIENTES A PERSONAS</v>
      </c>
      <c r="C123" s="29">
        <f>C124</f>
        <v>18750000</v>
      </c>
    </row>
    <row r="124" spans="1:3" ht="15.75">
      <c r="A124" t="s">
        <v>234</v>
      </c>
      <c r="B124" t="str">
        <f>B506</f>
        <v>Becas a terceras personas</v>
      </c>
      <c r="C124" s="3">
        <f>C506</f>
        <v>18750000</v>
      </c>
    </row>
    <row r="125" ht="15.75">
      <c r="C125" s="3"/>
    </row>
    <row r="126" spans="1:4" ht="16.5" thickBot="1">
      <c r="A126" s="26" t="s">
        <v>898</v>
      </c>
      <c r="B126" s="729" t="s">
        <v>1031</v>
      </c>
      <c r="C126" s="27"/>
      <c r="D126" s="730">
        <f>C127</f>
        <v>7444628.02</v>
      </c>
    </row>
    <row r="127" spans="1:4" ht="16.5" thickTop="1">
      <c r="A127" s="28" t="s">
        <v>899</v>
      </c>
      <c r="B127" s="28" t="s">
        <v>967</v>
      </c>
      <c r="C127" s="29">
        <f>C128</f>
        <v>7444628.02</v>
      </c>
      <c r="D127" s="72"/>
    </row>
    <row r="128" spans="1:4" ht="15.75">
      <c r="A128" s="36" t="s">
        <v>900</v>
      </c>
      <c r="B128" s="36" t="s">
        <v>901</v>
      </c>
      <c r="C128" s="37">
        <f>C305</f>
        <v>7444628.02</v>
      </c>
      <c r="D128" s="72"/>
    </row>
    <row r="129" spans="1:3" ht="15.75">
      <c r="A129" s="33"/>
      <c r="B129" s="34" t="s">
        <v>897</v>
      </c>
      <c r="C129" s="3"/>
    </row>
    <row r="130" spans="1:3" ht="16.5" thickBot="1">
      <c r="A130" s="33"/>
      <c r="B130" s="34"/>
      <c r="C130" s="3"/>
    </row>
    <row r="131" spans="2:4" ht="16.5" thickBot="1">
      <c r="B131" s="734" t="s">
        <v>1044</v>
      </c>
      <c r="C131" s="732"/>
      <c r="D131" s="733">
        <f>D5+D29+D74+D105+D110+D122+D126</f>
        <v>692388157.4166907</v>
      </c>
    </row>
    <row r="132" spans="2:4" ht="15.75">
      <c r="B132" s="106"/>
      <c r="C132" s="106"/>
      <c r="D132" s="107"/>
    </row>
    <row r="133" spans="2:4" ht="15.75">
      <c r="B133" s="106"/>
      <c r="C133" s="106"/>
      <c r="D133" s="107"/>
    </row>
    <row r="134" spans="2:4" ht="15.75">
      <c r="B134" s="106"/>
      <c r="C134" s="106"/>
      <c r="D134" s="107"/>
    </row>
    <row r="135" spans="2:4" ht="15.75">
      <c r="B135" s="106"/>
      <c r="C135" s="106"/>
      <c r="D135" s="107"/>
    </row>
    <row r="136" spans="2:4" ht="15.75">
      <c r="B136" s="106"/>
      <c r="C136" s="106"/>
      <c r="D136" s="107"/>
    </row>
    <row r="137" spans="2:4" ht="15.75">
      <c r="B137" s="106"/>
      <c r="C137" s="106"/>
      <c r="D137" s="107"/>
    </row>
    <row r="138" spans="2:4" ht="15.75">
      <c r="B138" s="106"/>
      <c r="C138" s="106"/>
      <c r="D138" s="107"/>
    </row>
    <row r="139" spans="2:4" ht="15.75">
      <c r="B139" s="106"/>
      <c r="C139" s="106"/>
      <c r="D139" s="107"/>
    </row>
    <row r="140" spans="2:4" ht="15.75">
      <c r="B140" s="106"/>
      <c r="C140" s="106"/>
      <c r="D140" s="107"/>
    </row>
    <row r="141" spans="2:4" ht="15.75">
      <c r="B141" s="106"/>
      <c r="C141" s="106"/>
      <c r="D141" s="107"/>
    </row>
    <row r="142" spans="2:4" ht="15.75">
      <c r="B142" s="106"/>
      <c r="C142" s="106"/>
      <c r="D142" s="107"/>
    </row>
    <row r="143" spans="2:4" ht="15.75">
      <c r="B143" s="106"/>
      <c r="C143" s="106"/>
      <c r="D143" s="107"/>
    </row>
    <row r="144" spans="2:4" ht="15.75">
      <c r="B144" s="106"/>
      <c r="C144" s="106"/>
      <c r="D144" s="107"/>
    </row>
    <row r="145" spans="2:4" ht="15.75">
      <c r="B145" s="106"/>
      <c r="C145" s="106"/>
      <c r="D145" s="107"/>
    </row>
    <row r="146" spans="2:4" ht="15.75">
      <c r="B146" s="106"/>
      <c r="C146" s="106"/>
      <c r="D146" s="107"/>
    </row>
    <row r="147" spans="2:4" ht="15.75">
      <c r="B147" s="106"/>
      <c r="C147" s="106"/>
      <c r="D147" s="107"/>
    </row>
    <row r="148" spans="2:4" ht="15.75">
      <c r="B148" s="106"/>
      <c r="C148" s="106"/>
      <c r="D148" s="107"/>
    </row>
    <row r="149" spans="2:4" ht="15.75">
      <c r="B149" s="106"/>
      <c r="C149" s="106"/>
      <c r="D149" s="107"/>
    </row>
    <row r="150" spans="2:4" ht="15.75">
      <c r="B150" s="106"/>
      <c r="C150" s="106"/>
      <c r="D150" s="107"/>
    </row>
    <row r="151" spans="2:4" ht="15.75">
      <c r="B151" s="106"/>
      <c r="C151" s="106"/>
      <c r="D151" s="107"/>
    </row>
    <row r="152" spans="2:4" ht="15.75">
      <c r="B152" s="106"/>
      <c r="C152" s="106"/>
      <c r="D152" s="107"/>
    </row>
    <row r="153" spans="2:4" ht="15.75">
      <c r="B153" s="106"/>
      <c r="C153" s="106"/>
      <c r="D153" s="107"/>
    </row>
    <row r="154" spans="2:4" ht="15.75">
      <c r="B154" s="106"/>
      <c r="C154" s="106"/>
      <c r="D154" s="107"/>
    </row>
    <row r="155" spans="2:4" ht="15.75">
      <c r="B155" s="106"/>
      <c r="C155" s="106"/>
      <c r="D155" s="107"/>
    </row>
    <row r="156" spans="2:4" ht="15.75">
      <c r="B156" s="106"/>
      <c r="C156" s="106"/>
      <c r="D156" s="107"/>
    </row>
    <row r="157" spans="2:4" ht="15.75">
      <c r="B157" s="106"/>
      <c r="C157" s="106"/>
      <c r="D157" s="107"/>
    </row>
    <row r="158" spans="2:4" ht="15.75">
      <c r="B158" s="106"/>
      <c r="C158" s="106"/>
      <c r="D158" s="107"/>
    </row>
    <row r="159" spans="2:4" ht="15.75">
      <c r="B159" s="106"/>
      <c r="C159" s="106"/>
      <c r="D159" s="107"/>
    </row>
    <row r="160" spans="2:4" ht="15.75">
      <c r="B160" s="106"/>
      <c r="C160" s="106"/>
      <c r="D160" s="107"/>
    </row>
    <row r="161" spans="2:4" ht="15.75">
      <c r="B161" s="106"/>
      <c r="C161" s="106"/>
      <c r="D161" s="107"/>
    </row>
    <row r="162" spans="2:4" ht="15.75">
      <c r="B162" s="106"/>
      <c r="C162" s="106"/>
      <c r="D162" s="107"/>
    </row>
    <row r="163" spans="2:4" ht="15.75">
      <c r="B163" s="106"/>
      <c r="C163" s="106"/>
      <c r="D163" s="107"/>
    </row>
    <row r="164" spans="2:4" ht="15.75">
      <c r="B164" s="106"/>
      <c r="C164" s="106"/>
      <c r="D164" s="107"/>
    </row>
    <row r="165" spans="2:4" ht="15.75">
      <c r="B165" s="106"/>
      <c r="C165" s="106"/>
      <c r="D165" s="107"/>
    </row>
    <row r="166" spans="2:4" ht="15.75">
      <c r="B166" s="106"/>
      <c r="C166" s="106"/>
      <c r="D166" s="107"/>
    </row>
    <row r="167" spans="2:4" ht="15.75">
      <c r="B167" s="106"/>
      <c r="C167" s="106"/>
      <c r="D167" s="107"/>
    </row>
    <row r="168" spans="2:4" ht="15.75">
      <c r="B168" s="106"/>
      <c r="C168" s="106"/>
      <c r="D168" s="107"/>
    </row>
    <row r="169" spans="2:4" ht="15.75">
      <c r="B169" s="106"/>
      <c r="C169" s="106"/>
      <c r="D169" s="107"/>
    </row>
    <row r="170" spans="2:4" ht="15.75">
      <c r="B170" s="106"/>
      <c r="C170" s="106"/>
      <c r="D170" s="107"/>
    </row>
    <row r="171" spans="2:4" ht="15.75">
      <c r="B171" s="106"/>
      <c r="C171" s="106"/>
      <c r="D171" s="107"/>
    </row>
    <row r="172" spans="2:4" ht="15.75">
      <c r="B172" s="106"/>
      <c r="C172" s="106"/>
      <c r="D172" s="107"/>
    </row>
    <row r="173" spans="2:4" ht="15.75">
      <c r="B173" s="106"/>
      <c r="C173" s="106"/>
      <c r="D173" s="107"/>
    </row>
    <row r="174" spans="2:4" ht="15.75">
      <c r="B174" s="106"/>
      <c r="C174" s="106"/>
      <c r="D174" s="107"/>
    </row>
    <row r="175" spans="2:4" ht="15.75">
      <c r="B175" s="106"/>
      <c r="C175" s="106"/>
      <c r="D175" s="107"/>
    </row>
    <row r="176" spans="2:4" ht="15.75">
      <c r="B176" s="106"/>
      <c r="C176" s="106"/>
      <c r="D176" s="107"/>
    </row>
    <row r="177" spans="2:4" ht="15.75">
      <c r="B177" s="106"/>
      <c r="C177" s="106"/>
      <c r="D177" s="107"/>
    </row>
    <row r="178" spans="2:4" ht="15.75">
      <c r="B178" s="106"/>
      <c r="C178" s="106"/>
      <c r="D178" s="107"/>
    </row>
    <row r="179" spans="2:4" ht="15.75">
      <c r="B179" s="106"/>
      <c r="C179" s="106"/>
      <c r="D179" s="107"/>
    </row>
    <row r="180" spans="2:4" ht="15.75">
      <c r="B180" s="106"/>
      <c r="C180" s="106"/>
      <c r="D180" s="107"/>
    </row>
    <row r="181" spans="1:4" ht="16.5" thickBot="1">
      <c r="A181" s="849" t="s">
        <v>506</v>
      </c>
      <c r="B181" s="849"/>
      <c r="C181" s="849"/>
      <c r="D181" s="849"/>
    </row>
    <row r="182" spans="1:4" ht="16.5" thickBot="1">
      <c r="A182" s="208" t="s">
        <v>1428</v>
      </c>
      <c r="B182" s="737" t="s">
        <v>867</v>
      </c>
      <c r="C182" s="209"/>
      <c r="D182" s="742">
        <f>C183</f>
        <v>100000</v>
      </c>
    </row>
    <row r="183" spans="1:4" ht="16.5" thickTop="1">
      <c r="A183" s="208" t="s">
        <v>1429</v>
      </c>
      <c r="B183" s="210" t="s">
        <v>885</v>
      </c>
      <c r="C183" s="822">
        <f>C184</f>
        <v>100000</v>
      </c>
      <c r="D183" s="209"/>
    </row>
    <row r="184" spans="1:6" ht="15.75">
      <c r="A184" s="211" t="s">
        <v>1430</v>
      </c>
      <c r="B184" s="211" t="s">
        <v>1323</v>
      </c>
      <c r="C184" s="823">
        <v>100000</v>
      </c>
      <c r="D184" s="209"/>
      <c r="F184" s="845">
        <v>20</v>
      </c>
    </row>
    <row r="185" spans="1:4" ht="15.75">
      <c r="A185" s="209"/>
      <c r="B185" s="209"/>
      <c r="C185" s="828"/>
      <c r="D185" s="209"/>
    </row>
    <row r="186" spans="1:4" ht="16.5" thickBot="1">
      <c r="A186" s="30" t="s">
        <v>1223</v>
      </c>
      <c r="B186" s="729" t="s">
        <v>889</v>
      </c>
      <c r="C186" s="779"/>
      <c r="D186" s="730">
        <f>+C187+C190</f>
        <v>400000</v>
      </c>
    </row>
    <row r="187" spans="1:4" ht="16.5" thickTop="1">
      <c r="A187" s="30" t="s">
        <v>1431</v>
      </c>
      <c r="B187" s="28" t="s">
        <v>708</v>
      </c>
      <c r="C187" s="624">
        <f>+C188</f>
        <v>250000</v>
      </c>
      <c r="D187" s="104"/>
    </row>
    <row r="188" spans="1:6" ht="15.75">
      <c r="A188" s="158" t="s">
        <v>1432</v>
      </c>
      <c r="B188" s="36" t="s">
        <v>238</v>
      </c>
      <c r="C188" s="625">
        <v>250000</v>
      </c>
      <c r="D188" s="104"/>
      <c r="F188" s="845">
        <v>20</v>
      </c>
    </row>
    <row r="189" spans="1:4" ht="15.75">
      <c r="A189" s="158"/>
      <c r="B189" s="36"/>
      <c r="C189" s="625"/>
      <c r="D189" s="104"/>
    </row>
    <row r="190" spans="1:4" ht="15.75">
      <c r="A190" s="30" t="s">
        <v>1433</v>
      </c>
      <c r="B190" s="35" t="s">
        <v>1434</v>
      </c>
      <c r="C190" s="624">
        <f>C191</f>
        <v>150000</v>
      </c>
      <c r="D190" s="104"/>
    </row>
    <row r="191" spans="1:6" ht="15.75">
      <c r="A191" s="158" t="s">
        <v>1435</v>
      </c>
      <c r="B191" s="34" t="s">
        <v>209</v>
      </c>
      <c r="C191" s="625">
        <v>150000</v>
      </c>
      <c r="D191" s="104"/>
      <c r="F191" s="845">
        <v>20</v>
      </c>
    </row>
    <row r="192" spans="1:4" ht="16.5" thickBot="1">
      <c r="A192" s="30"/>
      <c r="B192" s="103"/>
      <c r="C192" s="103"/>
      <c r="D192" s="104"/>
    </row>
    <row r="193" spans="2:4" ht="16.5" thickBot="1">
      <c r="B193" s="734" t="s">
        <v>507</v>
      </c>
      <c r="C193" s="732"/>
      <c r="D193" s="736">
        <f>D182+D186</f>
        <v>500000</v>
      </c>
    </row>
    <row r="194" spans="2:4" ht="15.75">
      <c r="B194" s="106"/>
      <c r="C194" s="106"/>
      <c r="D194" s="107"/>
    </row>
    <row r="195" spans="1:4" ht="16.5" thickBot="1">
      <c r="A195" s="849" t="s">
        <v>1209</v>
      </c>
      <c r="B195" s="849"/>
      <c r="C195" s="849"/>
      <c r="D195" s="849"/>
    </row>
    <row r="196" spans="1:4" ht="16.5" thickBot="1">
      <c r="A196" s="208" t="s">
        <v>1536</v>
      </c>
      <c r="B196" s="729" t="s">
        <v>833</v>
      </c>
      <c r="C196" s="741"/>
      <c r="D196" s="742">
        <f>C197+C200+C203+C208+C213</f>
        <v>12686998.038891718</v>
      </c>
    </row>
    <row r="197" spans="1:4" ht="16.5" thickTop="1">
      <c r="A197" s="208" t="s">
        <v>1537</v>
      </c>
      <c r="B197" s="28" t="s">
        <v>834</v>
      </c>
      <c r="C197" s="523">
        <f>C198</f>
        <v>7087161.072915</v>
      </c>
      <c r="D197" s="496"/>
    </row>
    <row r="198" spans="1:6" ht="15.75">
      <c r="A198" s="211" t="s">
        <v>1538</v>
      </c>
      <c r="B198" t="s">
        <v>835</v>
      </c>
      <c r="C198" s="823">
        <f>+'[5]Calculo de Salarios %'!$H$84</f>
        <v>7087161.072915</v>
      </c>
      <c r="D198" s="496"/>
      <c r="F198" s="845">
        <v>23</v>
      </c>
    </row>
    <row r="199" spans="1:4" ht="15.75">
      <c r="A199" s="211"/>
      <c r="C199" s="823"/>
      <c r="D199" s="496"/>
    </row>
    <row r="200" spans="1:4" ht="15.75">
      <c r="A200" s="30" t="s">
        <v>1575</v>
      </c>
      <c r="B200" s="28" t="s">
        <v>837</v>
      </c>
      <c r="C200" s="822">
        <f>C201</f>
        <v>350000</v>
      </c>
      <c r="D200" s="496"/>
    </row>
    <row r="201" spans="1:6" ht="15.75">
      <c r="A201" s="24" t="s">
        <v>1576</v>
      </c>
      <c r="B201" t="s">
        <v>498</v>
      </c>
      <c r="C201" s="823">
        <v>350000</v>
      </c>
      <c r="D201" s="496"/>
      <c r="F201" s="845">
        <v>23</v>
      </c>
    </row>
    <row r="202" spans="1:4" ht="15.75">
      <c r="A202" s="211"/>
      <c r="C202" s="823"/>
      <c r="D202" s="496"/>
    </row>
    <row r="203" spans="1:4" ht="15.75">
      <c r="A203" s="208" t="s">
        <v>1539</v>
      </c>
      <c r="B203" s="28" t="s">
        <v>848</v>
      </c>
      <c r="C203" s="822">
        <f>C204+C205+C206</f>
        <v>3323793.4350819713</v>
      </c>
      <c r="D203" s="496"/>
    </row>
    <row r="204" spans="1:6" ht="15.75">
      <c r="A204" s="211" t="s">
        <v>1540</v>
      </c>
      <c r="B204" t="s">
        <v>850</v>
      </c>
      <c r="C204" s="823">
        <f>+'[5]Calculo de Salarios %'!$K$84</f>
        <v>2126148.3218745</v>
      </c>
      <c r="D204" s="496"/>
      <c r="F204" s="845">
        <v>23</v>
      </c>
    </row>
    <row r="205" spans="1:6" ht="15.75">
      <c r="A205" s="211" t="s">
        <v>1541</v>
      </c>
      <c r="B205" t="s">
        <v>854</v>
      </c>
      <c r="C205" s="823">
        <f>(C198+C201+C204)/12</f>
        <v>796942.4495657916</v>
      </c>
      <c r="D205" s="496"/>
      <c r="F205" s="845">
        <v>23</v>
      </c>
    </row>
    <row r="206" spans="1:6" ht="15.75">
      <c r="A206" s="211" t="s">
        <v>1553</v>
      </c>
      <c r="B206" t="s">
        <v>1550</v>
      </c>
      <c r="C206" s="823">
        <f>(C198+C201+C204)*4.19%</f>
        <v>400702.66364168015</v>
      </c>
      <c r="D206" s="496"/>
      <c r="F206" s="845">
        <v>23</v>
      </c>
    </row>
    <row r="207" spans="1:4" ht="15.75">
      <c r="A207" s="211"/>
      <c r="C207" s="823"/>
      <c r="D207" s="496"/>
    </row>
    <row r="208" spans="1:4" ht="15.75">
      <c r="A208" s="30" t="s">
        <v>1542</v>
      </c>
      <c r="B208" s="28" t="s">
        <v>856</v>
      </c>
      <c r="C208" s="822">
        <f>C210+C211</f>
        <v>1477662.9882653442</v>
      </c>
      <c r="D208" s="496"/>
    </row>
    <row r="209" spans="1:4" ht="15.75">
      <c r="A209" s="24"/>
      <c r="B209" s="31" t="s">
        <v>857</v>
      </c>
      <c r="C209" s="827"/>
      <c r="D209" s="496"/>
    </row>
    <row r="210" spans="1:6" ht="15.75">
      <c r="A210" s="158" t="s">
        <v>1543</v>
      </c>
      <c r="B210" t="s">
        <v>859</v>
      </c>
      <c r="C210" s="823">
        <f>(C198+C201+C204+C206)*14.33%</f>
        <v>1427842.9279731882</v>
      </c>
      <c r="D210" s="496"/>
      <c r="F210" s="845">
        <v>23</v>
      </c>
    </row>
    <row r="211" spans="1:6" ht="15.75">
      <c r="A211" s="158" t="s">
        <v>1544</v>
      </c>
      <c r="B211" t="s">
        <v>861</v>
      </c>
      <c r="C211" s="823">
        <f>(C198+C201+C204+C206)*0.5%</f>
        <v>49820.060292155904</v>
      </c>
      <c r="D211" s="496"/>
      <c r="F211" s="845">
        <v>23</v>
      </c>
    </row>
    <row r="212" spans="1:4" ht="15.75">
      <c r="A212" s="496"/>
      <c r="B212" s="496"/>
      <c r="C212" s="827"/>
      <c r="D212" s="496"/>
    </row>
    <row r="213" spans="1:4" ht="15.75">
      <c r="A213" s="30" t="s">
        <v>1545</v>
      </c>
      <c r="B213" s="28" t="s">
        <v>863</v>
      </c>
      <c r="C213" s="822">
        <f>C215+C216</f>
        <v>448380.54262940306</v>
      </c>
      <c r="D213" s="496"/>
    </row>
    <row r="214" spans="1:4" ht="15.75">
      <c r="A214" s="30"/>
      <c r="B214" s="31" t="s">
        <v>864</v>
      </c>
      <c r="C214" s="827"/>
      <c r="D214" s="496"/>
    </row>
    <row r="215" spans="1:6" ht="15.75">
      <c r="A215" s="158" t="s">
        <v>1546</v>
      </c>
      <c r="B215" s="33" t="s">
        <v>1406</v>
      </c>
      <c r="C215" s="823">
        <f>(C198+C201+C204+C206)*1.5%</f>
        <v>149460.1808764677</v>
      </c>
      <c r="D215" s="496"/>
      <c r="F215" s="845">
        <v>23</v>
      </c>
    </row>
    <row r="216" spans="1:6" ht="15.75">
      <c r="A216" s="158" t="s">
        <v>1547</v>
      </c>
      <c r="B216" t="s">
        <v>866</v>
      </c>
      <c r="C216" s="823">
        <f>(C198+C201+C204+C206)*3%</f>
        <v>298920.3617529354</v>
      </c>
      <c r="D216" s="496"/>
      <c r="F216" s="845">
        <v>23</v>
      </c>
    </row>
    <row r="217" spans="1:4" ht="15.75">
      <c r="A217" s="209"/>
      <c r="B217" s="209"/>
      <c r="C217" s="828"/>
      <c r="D217" s="209"/>
    </row>
    <row r="218" spans="1:4" ht="16.5" thickBot="1">
      <c r="A218" s="30" t="s">
        <v>1167</v>
      </c>
      <c r="B218" s="729" t="s">
        <v>867</v>
      </c>
      <c r="C218" s="628"/>
      <c r="D218" s="730">
        <f>C222+C225+C219</f>
        <v>194555175.06</v>
      </c>
    </row>
    <row r="219" spans="1:4" ht="16.5" thickTop="1">
      <c r="A219" s="30" t="s">
        <v>1675</v>
      </c>
      <c r="B219" s="28" t="s">
        <v>982</v>
      </c>
      <c r="C219" s="624">
        <f>C220</f>
        <v>12000000</v>
      </c>
      <c r="D219" s="104"/>
    </row>
    <row r="220" spans="1:6" ht="15.75">
      <c r="A220" s="158" t="s">
        <v>1676</v>
      </c>
      <c r="B220" s="36" t="s">
        <v>1677</v>
      </c>
      <c r="C220" s="628">
        <v>12000000</v>
      </c>
      <c r="D220" s="104"/>
      <c r="F220" s="845">
        <v>22</v>
      </c>
    </row>
    <row r="221" spans="1:4" ht="15.75">
      <c r="A221" s="30"/>
      <c r="B221" s="103"/>
      <c r="C221" s="628"/>
      <c r="D221" s="104"/>
    </row>
    <row r="222" spans="1:3" ht="15.75">
      <c r="A222" s="26" t="s">
        <v>1263</v>
      </c>
      <c r="B222" s="28" t="s">
        <v>879</v>
      </c>
      <c r="C222" s="624">
        <f>SUM(C223:C223)</f>
        <v>182399365.1</v>
      </c>
    </row>
    <row r="223" spans="1:6" ht="15.75">
      <c r="A223" s="33" t="s">
        <v>1264</v>
      </c>
      <c r="B223" s="33" t="s">
        <v>987</v>
      </c>
      <c r="C223" s="623">
        <v>182399365.1</v>
      </c>
      <c r="F223" s="845">
        <v>21</v>
      </c>
    </row>
    <row r="224" spans="1:3" ht="15.75">
      <c r="A224" s="33"/>
      <c r="B224" s="33"/>
      <c r="C224" s="623"/>
    </row>
    <row r="225" spans="1:3" ht="15.75">
      <c r="A225" s="26" t="s">
        <v>1534</v>
      </c>
      <c r="B225" s="28" t="s">
        <v>1268</v>
      </c>
      <c r="C225" s="624">
        <f>C226</f>
        <v>155809.96</v>
      </c>
    </row>
    <row r="226" spans="1:6" ht="15.75">
      <c r="A226" s="33" t="s">
        <v>1535</v>
      </c>
      <c r="B226" s="34" t="s">
        <v>883</v>
      </c>
      <c r="C226" s="623">
        <v>155809.96</v>
      </c>
      <c r="F226" s="845">
        <v>23</v>
      </c>
    </row>
    <row r="227" spans="1:3" ht="16.5" thickBot="1">
      <c r="A227" s="33"/>
      <c r="B227" s="33"/>
      <c r="C227" s="623"/>
    </row>
    <row r="228" spans="2:4" ht="16.5" thickBot="1">
      <c r="B228" s="734" t="s">
        <v>1168</v>
      </c>
      <c r="C228" s="732"/>
      <c r="D228" s="736">
        <f>D218+D196</f>
        <v>207242173.09889174</v>
      </c>
    </row>
    <row r="229" spans="2:4" ht="15.75">
      <c r="B229" s="103"/>
      <c r="C229" s="103"/>
      <c r="D229" s="652"/>
    </row>
    <row r="230" spans="1:4" ht="16.5" thickBot="1">
      <c r="A230" s="852" t="s">
        <v>1210</v>
      </c>
      <c r="B230" s="852"/>
      <c r="C230" s="852"/>
      <c r="D230" s="852"/>
    </row>
    <row r="231" spans="1:4" ht="16.5" thickBot="1">
      <c r="A231" s="30" t="s">
        <v>1169</v>
      </c>
      <c r="B231" s="729" t="s">
        <v>833</v>
      </c>
      <c r="C231" s="27"/>
      <c r="D231" s="730">
        <f>C232+C236+C239+C244+C249</f>
        <v>100664234.51851897</v>
      </c>
    </row>
    <row r="232" spans="1:4" ht="16.5" thickTop="1">
      <c r="A232" s="25" t="s">
        <v>1170</v>
      </c>
      <c r="B232" s="28" t="s">
        <v>834</v>
      </c>
      <c r="C232" s="624">
        <f>SUM(C233:C234)</f>
        <v>56187654.378294796</v>
      </c>
      <c r="D232" s="3"/>
    </row>
    <row r="233" spans="1:6" ht="15.75">
      <c r="A233" s="24" t="s">
        <v>1171</v>
      </c>
      <c r="B233" t="s">
        <v>835</v>
      </c>
      <c r="C233" s="623">
        <f>+'[5]Calculo de Salarios %'!$H$80</f>
        <v>49687654.378294796</v>
      </c>
      <c r="D233" s="3"/>
      <c r="F233" s="845">
        <v>18</v>
      </c>
    </row>
    <row r="234" spans="1:6" ht="15.75">
      <c r="A234" s="24" t="s">
        <v>212</v>
      </c>
      <c r="B234" t="s">
        <v>836</v>
      </c>
      <c r="C234" s="623">
        <v>6500000</v>
      </c>
      <c r="D234" s="3"/>
      <c r="F234" s="845">
        <v>18</v>
      </c>
    </row>
    <row r="235" spans="1:4" ht="15.75">
      <c r="A235" s="24"/>
      <c r="C235" s="623"/>
      <c r="D235" s="3"/>
    </row>
    <row r="236" spans="1:4" ht="15.75">
      <c r="A236" s="30" t="s">
        <v>1172</v>
      </c>
      <c r="B236" s="28" t="s">
        <v>837</v>
      </c>
      <c r="C236" s="624">
        <f>SUM(C237:C237)</f>
        <v>2000000</v>
      </c>
      <c r="D236" s="3"/>
    </row>
    <row r="237" spans="1:6" ht="15.75">
      <c r="A237" s="24" t="s">
        <v>1173</v>
      </c>
      <c r="B237" t="s">
        <v>498</v>
      </c>
      <c r="C237" s="623">
        <v>2000000</v>
      </c>
      <c r="D237" s="3"/>
      <c r="F237" s="845">
        <v>18</v>
      </c>
    </row>
    <row r="238" spans="1:4" ht="15.75">
      <c r="A238" s="24"/>
      <c r="C238" s="623"/>
      <c r="D238" s="3"/>
    </row>
    <row r="239" spans="1:4" ht="15.75">
      <c r="A239" s="30" t="s">
        <v>1174</v>
      </c>
      <c r="B239" s="28" t="s">
        <v>848</v>
      </c>
      <c r="C239" s="624">
        <f>SUM(C240:C242)</f>
        <v>27197808.767030146</v>
      </c>
      <c r="D239" s="3"/>
    </row>
    <row r="240" spans="1:6" ht="15.75">
      <c r="A240" s="24" t="s">
        <v>1175</v>
      </c>
      <c r="B240" t="s">
        <v>850</v>
      </c>
      <c r="C240" s="623">
        <f>+'[5]Calculo de Salarios %'!$K$80</f>
        <v>17936835.190083563</v>
      </c>
      <c r="D240" s="3"/>
      <c r="F240" s="845">
        <v>18</v>
      </c>
    </row>
    <row r="241" spans="1:6" ht="15.75">
      <c r="A241" s="24" t="s">
        <v>1176</v>
      </c>
      <c r="B241" t="s">
        <v>854</v>
      </c>
      <c r="C241" s="623">
        <f>(C233+C234+C237+C240)/12</f>
        <v>6343707.46403153</v>
      </c>
      <c r="D241" s="3"/>
      <c r="F241" s="845">
        <v>18</v>
      </c>
    </row>
    <row r="242" spans="1:6" ht="15.75">
      <c r="A242" s="24" t="s">
        <v>1555</v>
      </c>
      <c r="B242" t="s">
        <v>1550</v>
      </c>
      <c r="C242" s="623">
        <f>(C233+C237+C240)*4.19%</f>
        <v>2917266.1129150535</v>
      </c>
      <c r="D242" s="3"/>
      <c r="F242" s="845">
        <v>18</v>
      </c>
    </row>
    <row r="243" spans="1:4" ht="15.75">
      <c r="A243" s="24"/>
      <c r="C243" s="623"/>
      <c r="D243" s="3"/>
    </row>
    <row r="244" spans="1:4" ht="15.75">
      <c r="A244" s="30" t="s">
        <v>1177</v>
      </c>
      <c r="B244" s="28" t="s">
        <v>856</v>
      </c>
      <c r="C244" s="624">
        <f>SUM(C246:C247)</f>
        <v>11721892.367535815</v>
      </c>
      <c r="D244" s="3"/>
    </row>
    <row r="245" spans="1:4" ht="15.75">
      <c r="A245" s="24"/>
      <c r="B245" s="31" t="s">
        <v>857</v>
      </c>
      <c r="C245" s="623"/>
      <c r="D245" s="3"/>
    </row>
    <row r="246" spans="1:6" ht="15.75">
      <c r="A246" s="24" t="s">
        <v>1178</v>
      </c>
      <c r="B246" t="s">
        <v>859</v>
      </c>
      <c r="C246" s="623">
        <f>(C233+C234+C237+C240+C242)*14.33%</f>
        <v>11326683.589129347</v>
      </c>
      <c r="D246" s="3"/>
      <c r="F246" s="845">
        <v>18</v>
      </c>
    </row>
    <row r="247" spans="1:6" ht="15.75">
      <c r="A247" s="24" t="s">
        <v>1179</v>
      </c>
      <c r="B247" t="s">
        <v>861</v>
      </c>
      <c r="C247" s="623">
        <f>(C233+C234+C237+C240+C242)*0.5%</f>
        <v>395208.77840646706</v>
      </c>
      <c r="D247" s="3"/>
      <c r="F247" s="845">
        <v>18</v>
      </c>
    </row>
    <row r="248" spans="1:4" ht="15.75">
      <c r="A248" s="24"/>
      <c r="C248" s="623"/>
      <c r="D248" s="3"/>
    </row>
    <row r="249" spans="1:4" ht="15.75">
      <c r="A249" s="30" t="s">
        <v>1180</v>
      </c>
      <c r="B249" s="28" t="s">
        <v>863</v>
      </c>
      <c r="C249" s="624">
        <f>SUM(C251:C252)</f>
        <v>3556879.0056582037</v>
      </c>
      <c r="D249" s="3"/>
    </row>
    <row r="250" spans="1:4" ht="15.75">
      <c r="A250" s="30"/>
      <c r="B250" s="31" t="s">
        <v>864</v>
      </c>
      <c r="C250" s="818"/>
      <c r="D250" s="3"/>
    </row>
    <row r="251" spans="1:6" ht="15.75">
      <c r="A251" s="158" t="s">
        <v>1409</v>
      </c>
      <c r="B251" s="33" t="s">
        <v>1406</v>
      </c>
      <c r="C251" s="623">
        <f>(C233+C234+C237+C240+C242)*1.5%</f>
        <v>1185626.3352194012</v>
      </c>
      <c r="D251" s="3"/>
      <c r="F251" s="845">
        <v>18</v>
      </c>
    </row>
    <row r="252" spans="1:6" ht="15.75">
      <c r="A252" s="24" t="s">
        <v>1181</v>
      </c>
      <c r="B252" t="s">
        <v>866</v>
      </c>
      <c r="C252" s="623">
        <f>(C233+C234+C237+C240+C242)*3%</f>
        <v>2371252.6704388023</v>
      </c>
      <c r="D252" s="3"/>
      <c r="F252" s="845">
        <v>18</v>
      </c>
    </row>
    <row r="253" spans="1:4" ht="15.75">
      <c r="A253" s="24"/>
      <c r="C253" s="623"/>
      <c r="D253" s="3"/>
    </row>
    <row r="254" spans="1:4" ht="16.5" thickBot="1">
      <c r="A254" s="30" t="s">
        <v>1182</v>
      </c>
      <c r="B254" s="729" t="s">
        <v>867</v>
      </c>
      <c r="C254" s="628"/>
      <c r="D254" s="730">
        <f>+C256+C258+C261+C264+C268</f>
        <v>4215220.1</v>
      </c>
    </row>
    <row r="255" spans="1:4" ht="16.5" thickTop="1">
      <c r="A255" s="26" t="s">
        <v>1318</v>
      </c>
      <c r="B255" s="28" t="s">
        <v>982</v>
      </c>
      <c r="C255" s="624">
        <f>C256</f>
        <v>750000</v>
      </c>
      <c r="D255" s="107"/>
    </row>
    <row r="256" spans="1:6" ht="15.75">
      <c r="A256" s="158" t="s">
        <v>1319</v>
      </c>
      <c r="B256" s="36" t="s">
        <v>707</v>
      </c>
      <c r="C256" s="628">
        <v>750000</v>
      </c>
      <c r="D256" s="107"/>
      <c r="F256" s="845">
        <v>18</v>
      </c>
    </row>
    <row r="257" spans="1:4" ht="15.75">
      <c r="A257" s="69"/>
      <c r="B257" s="106"/>
      <c r="C257" s="817"/>
      <c r="D257" s="107"/>
    </row>
    <row r="258" spans="1:4" ht="15.75">
      <c r="A258" s="26" t="s">
        <v>1320</v>
      </c>
      <c r="B258" s="28" t="s">
        <v>879</v>
      </c>
      <c r="C258" s="624">
        <f>+C259</f>
        <v>160000</v>
      </c>
      <c r="D258" s="107"/>
    </row>
    <row r="259" spans="1:6" ht="15.75">
      <c r="A259" s="158" t="s">
        <v>1321</v>
      </c>
      <c r="B259" s="36" t="s">
        <v>1287</v>
      </c>
      <c r="C259" s="628">
        <v>160000</v>
      </c>
      <c r="D259" s="107"/>
      <c r="F259" s="845">
        <v>18</v>
      </c>
    </row>
    <row r="260" spans="1:4" ht="15.75">
      <c r="A260" s="69"/>
      <c r="B260" s="106"/>
      <c r="C260" s="817"/>
      <c r="D260" s="107"/>
    </row>
    <row r="261" spans="1:3" ht="15.75">
      <c r="A261" s="26" t="s">
        <v>1183</v>
      </c>
      <c r="B261" s="28" t="s">
        <v>881</v>
      </c>
      <c r="C261" s="624">
        <f>C262</f>
        <v>1255220.1</v>
      </c>
    </row>
    <row r="262" spans="1:6" ht="15.75">
      <c r="A262" t="s">
        <v>1184</v>
      </c>
      <c r="B262" t="s">
        <v>883</v>
      </c>
      <c r="C262" s="623">
        <v>1255220.1</v>
      </c>
      <c r="F262" s="845">
        <v>18</v>
      </c>
    </row>
    <row r="263" ht="15.75">
      <c r="C263" s="623"/>
    </row>
    <row r="264" spans="1:3" ht="15.75">
      <c r="A264" s="26" t="s">
        <v>1185</v>
      </c>
      <c r="B264" s="28" t="s">
        <v>885</v>
      </c>
      <c r="C264" s="624">
        <f>SUM(C265:C266)</f>
        <v>1800000</v>
      </c>
    </row>
    <row r="265" spans="1:6" ht="15.75">
      <c r="A265" s="33" t="s">
        <v>1219</v>
      </c>
      <c r="B265" s="36" t="s">
        <v>1220</v>
      </c>
      <c r="C265" s="625">
        <v>1500000</v>
      </c>
      <c r="F265" s="845">
        <v>18</v>
      </c>
    </row>
    <row r="266" spans="1:6" ht="15.75">
      <c r="A266" s="33" t="s">
        <v>1322</v>
      </c>
      <c r="B266" s="36" t="s">
        <v>1323</v>
      </c>
      <c r="C266" s="625">
        <v>300000</v>
      </c>
      <c r="F266" s="845">
        <v>18</v>
      </c>
    </row>
    <row r="267" spans="1:3" ht="15.75">
      <c r="A267" s="33"/>
      <c r="B267" s="36"/>
      <c r="C267" s="625"/>
    </row>
    <row r="268" spans="1:3" ht="15.75">
      <c r="A268" s="26" t="s">
        <v>1327</v>
      </c>
      <c r="B268" s="28" t="s">
        <v>1298</v>
      </c>
      <c r="C268" s="624">
        <f>SUM(C269:C270)</f>
        <v>250000</v>
      </c>
    </row>
    <row r="269" spans="1:6" ht="15.75">
      <c r="A269" s="33" t="s">
        <v>1328</v>
      </c>
      <c r="B269" s="34" t="s">
        <v>1300</v>
      </c>
      <c r="C269" s="625">
        <v>250000</v>
      </c>
      <c r="F269" s="845">
        <v>18</v>
      </c>
    </row>
    <row r="270" spans="1:3" ht="15.75">
      <c r="A270" s="33"/>
      <c r="B270" s="34"/>
      <c r="C270" s="625"/>
    </row>
    <row r="271" spans="1:4" ht="16.5" thickBot="1">
      <c r="A271" s="26" t="s">
        <v>1186</v>
      </c>
      <c r="B271" s="729" t="s">
        <v>889</v>
      </c>
      <c r="C271" s="628"/>
      <c r="D271" s="730">
        <f>C272+C278+C285+C289</f>
        <v>32700000</v>
      </c>
    </row>
    <row r="272" spans="1:3" ht="16.5" thickTop="1">
      <c r="A272" s="26" t="s">
        <v>1187</v>
      </c>
      <c r="B272" s="28" t="s">
        <v>891</v>
      </c>
      <c r="C272" s="624">
        <f>SUM(C273:C276)</f>
        <v>9700000</v>
      </c>
    </row>
    <row r="273" spans="1:6" ht="15.75">
      <c r="A273" t="s">
        <v>1188</v>
      </c>
      <c r="B273" t="s">
        <v>902</v>
      </c>
      <c r="C273" s="623">
        <v>7750000</v>
      </c>
      <c r="F273" s="845">
        <v>18</v>
      </c>
    </row>
    <row r="274" spans="1:6" ht="15.75">
      <c r="A274" s="33" t="s">
        <v>1497</v>
      </c>
      <c r="B274" s="33" t="s">
        <v>1304</v>
      </c>
      <c r="C274" s="623">
        <v>200000</v>
      </c>
      <c r="F274" s="845">
        <v>18</v>
      </c>
    </row>
    <row r="275" spans="1:6" ht="15.75">
      <c r="A275" s="33" t="s">
        <v>1499</v>
      </c>
      <c r="B275" s="33" t="s">
        <v>709</v>
      </c>
      <c r="C275" s="623">
        <v>1500000</v>
      </c>
      <c r="F275" s="845">
        <v>18</v>
      </c>
    </row>
    <row r="276" spans="1:6" ht="15.75">
      <c r="A276" s="33" t="s">
        <v>1336</v>
      </c>
      <c r="B276" s="33" t="s">
        <v>238</v>
      </c>
      <c r="C276" s="623">
        <v>250000</v>
      </c>
      <c r="F276" s="845">
        <v>18</v>
      </c>
    </row>
    <row r="277" ht="15.75">
      <c r="C277" s="3"/>
    </row>
    <row r="278" spans="1:3" ht="15.75">
      <c r="A278" s="26" t="s">
        <v>1189</v>
      </c>
      <c r="B278" s="28" t="s">
        <v>1010</v>
      </c>
      <c r="C278" s="29">
        <f>SUM(C280:C283)</f>
        <v>14500000</v>
      </c>
    </row>
    <row r="279" spans="1:3" ht="15.75">
      <c r="A279" s="26"/>
      <c r="B279" s="31" t="s">
        <v>1011</v>
      </c>
      <c r="C279" s="818"/>
    </row>
    <row r="280" spans="1:6" ht="15.75">
      <c r="A280" t="s">
        <v>1190</v>
      </c>
      <c r="B280" t="s">
        <v>1015</v>
      </c>
      <c r="C280" s="623">
        <v>12000000</v>
      </c>
      <c r="F280" s="845">
        <v>17</v>
      </c>
    </row>
    <row r="281" spans="1:6" ht="15.75">
      <c r="A281" t="s">
        <v>213</v>
      </c>
      <c r="B281" t="s">
        <v>209</v>
      </c>
      <c r="C281" s="623">
        <v>450000</v>
      </c>
      <c r="F281" s="845">
        <v>17</v>
      </c>
    </row>
    <row r="282" spans="1:6" ht="15.75">
      <c r="A282" s="33" t="s">
        <v>1225</v>
      </c>
      <c r="B282" s="33" t="s">
        <v>1019</v>
      </c>
      <c r="C282" s="623">
        <v>450000</v>
      </c>
      <c r="F282" s="845">
        <v>17</v>
      </c>
    </row>
    <row r="283" spans="1:6" ht="15.75">
      <c r="A283" t="s">
        <v>0</v>
      </c>
      <c r="B283" t="s">
        <v>1</v>
      </c>
      <c r="C283" s="623">
        <v>1600000</v>
      </c>
      <c r="F283" s="845">
        <v>17</v>
      </c>
    </row>
    <row r="284" ht="15.75">
      <c r="C284" s="623"/>
    </row>
    <row r="285" spans="1:3" ht="15.75">
      <c r="A285" s="26" t="s">
        <v>1191</v>
      </c>
      <c r="B285" s="28" t="s">
        <v>1021</v>
      </c>
      <c r="C285" s="624">
        <f>SUM(C286:C287)</f>
        <v>4700000</v>
      </c>
    </row>
    <row r="286" spans="1:6" ht="15.75">
      <c r="A286" s="33" t="s">
        <v>214</v>
      </c>
      <c r="B286" s="36" t="s">
        <v>215</v>
      </c>
      <c r="C286" s="625">
        <v>700000</v>
      </c>
      <c r="F286" s="845">
        <v>18</v>
      </c>
    </row>
    <row r="287" spans="1:6" ht="15.75">
      <c r="A287" s="33" t="s">
        <v>1436</v>
      </c>
      <c r="B287" s="34" t="s">
        <v>1025</v>
      </c>
      <c r="C287" s="625">
        <v>4000000</v>
      </c>
      <c r="F287" s="845">
        <v>18</v>
      </c>
    </row>
    <row r="288" spans="1:3" ht="15.75">
      <c r="A288" s="33"/>
      <c r="B288" s="34"/>
      <c r="C288" s="625"/>
    </row>
    <row r="289" spans="1:3" ht="15.75">
      <c r="A289" s="26" t="s">
        <v>216</v>
      </c>
      <c r="B289" s="28" t="s">
        <v>906</v>
      </c>
      <c r="C289" s="624">
        <f>SUM(C290:C292)</f>
        <v>3800000</v>
      </c>
    </row>
    <row r="290" spans="1:6" ht="15.75">
      <c r="A290" t="s">
        <v>217</v>
      </c>
      <c r="B290" t="s">
        <v>203</v>
      </c>
      <c r="C290" s="623">
        <v>2200000</v>
      </c>
      <c r="F290" s="845">
        <v>18</v>
      </c>
    </row>
    <row r="291" spans="1:6" ht="15.75">
      <c r="A291" s="33" t="s">
        <v>1358</v>
      </c>
      <c r="B291" s="33" t="s">
        <v>205</v>
      </c>
      <c r="C291" s="623">
        <v>500000</v>
      </c>
      <c r="F291" s="845">
        <v>18</v>
      </c>
    </row>
    <row r="292" spans="1:6" ht="15.75">
      <c r="A292" s="33" t="s">
        <v>1226</v>
      </c>
      <c r="B292" s="33" t="s">
        <v>9</v>
      </c>
      <c r="C292" s="623">
        <v>1100000</v>
      </c>
      <c r="F292" s="845">
        <v>18</v>
      </c>
    </row>
    <row r="293" spans="1:3" ht="15.75">
      <c r="A293" s="33"/>
      <c r="B293" s="33"/>
      <c r="C293" s="623"/>
    </row>
    <row r="294" spans="1:4" ht="16.5" thickBot="1">
      <c r="A294" s="26" t="s">
        <v>245</v>
      </c>
      <c r="B294" s="729" t="s">
        <v>911</v>
      </c>
      <c r="C294" s="818"/>
      <c r="D294" s="730">
        <f>C295</f>
        <v>1429952.38</v>
      </c>
    </row>
    <row r="295" spans="1:3" ht="16.5" thickTop="1">
      <c r="A295" s="26" t="s">
        <v>246</v>
      </c>
      <c r="B295" s="28" t="s">
        <v>912</v>
      </c>
      <c r="C295" s="624">
        <f>C296</f>
        <v>1429952.38</v>
      </c>
    </row>
    <row r="296" spans="1:6" ht="15.75">
      <c r="A296" t="s">
        <v>247</v>
      </c>
      <c r="B296" t="s">
        <v>248</v>
      </c>
      <c r="C296" s="623">
        <v>1429952.38</v>
      </c>
      <c r="F296" s="845">
        <v>19</v>
      </c>
    </row>
    <row r="297" spans="2:3" ht="15.75">
      <c r="B297" t="s">
        <v>249</v>
      </c>
      <c r="C297" s="623"/>
    </row>
    <row r="298" ht="15.75">
      <c r="C298" s="623"/>
    </row>
    <row r="299" spans="1:4" ht="16.5" thickBot="1">
      <c r="A299" s="26" t="s">
        <v>1437</v>
      </c>
      <c r="B299" s="729" t="s">
        <v>914</v>
      </c>
      <c r="C299" s="818"/>
      <c r="D299" s="730">
        <f>C300</f>
        <v>800000</v>
      </c>
    </row>
    <row r="300" spans="1:3" ht="16.5" thickTop="1">
      <c r="A300" s="26" t="s">
        <v>1438</v>
      </c>
      <c r="B300" s="28" t="s">
        <v>916</v>
      </c>
      <c r="C300" s="624">
        <f>C301</f>
        <v>800000</v>
      </c>
    </row>
    <row r="301" spans="1:6" ht="15.75">
      <c r="A301" s="33" t="s">
        <v>1439</v>
      </c>
      <c r="B301" s="36" t="s">
        <v>721</v>
      </c>
      <c r="C301" s="625">
        <v>800000</v>
      </c>
      <c r="F301" s="845">
        <v>18</v>
      </c>
    </row>
    <row r="302" ht="15.75">
      <c r="C302" s="623"/>
    </row>
    <row r="303" spans="1:4" ht="16.5" thickBot="1">
      <c r="A303" s="26" t="s">
        <v>893</v>
      </c>
      <c r="B303" s="729" t="s">
        <v>1031</v>
      </c>
      <c r="C303" s="818"/>
      <c r="D303" s="730">
        <f>C304</f>
        <v>7444628.02</v>
      </c>
    </row>
    <row r="304" spans="1:3" ht="16.5" thickTop="1">
      <c r="A304" s="26" t="s">
        <v>894</v>
      </c>
      <c r="B304" s="28" t="s">
        <v>967</v>
      </c>
      <c r="C304" s="624">
        <f>C305</f>
        <v>7444628.02</v>
      </c>
    </row>
    <row r="305" spans="1:6" ht="15.75">
      <c r="A305" s="26" t="s">
        <v>895</v>
      </c>
      <c r="B305" t="s">
        <v>896</v>
      </c>
      <c r="C305" s="625">
        <v>7444628.02</v>
      </c>
      <c r="F305" s="845">
        <v>19</v>
      </c>
    </row>
    <row r="306" spans="2:3" ht="15.75">
      <c r="B306" t="s">
        <v>897</v>
      </c>
      <c r="C306" s="3"/>
    </row>
    <row r="307" ht="16.5" thickBot="1">
      <c r="C307" s="3"/>
    </row>
    <row r="308" spans="2:4" ht="16.5" thickBot="1">
      <c r="B308" s="734" t="s">
        <v>1192</v>
      </c>
      <c r="C308" s="732"/>
      <c r="D308" s="736">
        <f>D231+D254+D271+D294+D299+D303</f>
        <v>147254035.01851895</v>
      </c>
    </row>
    <row r="309" spans="2:4" ht="15.75">
      <c r="B309" s="103"/>
      <c r="C309" s="103"/>
      <c r="D309" s="652"/>
    </row>
    <row r="310" spans="1:4" ht="16.5" thickBot="1">
      <c r="A310" s="849" t="s">
        <v>1211</v>
      </c>
      <c r="B310" s="849"/>
      <c r="C310" s="849"/>
      <c r="D310" s="849"/>
    </row>
    <row r="311" spans="1:4" ht="16.5" thickBot="1">
      <c r="A311" s="30" t="s">
        <v>1385</v>
      </c>
      <c r="B311" s="729" t="s">
        <v>833</v>
      </c>
      <c r="C311" s="818"/>
      <c r="D311" s="730">
        <f>C312+C315+C318+C323+C328</f>
        <v>18566118.57480358</v>
      </c>
    </row>
    <row r="312" spans="1:4" ht="16.5" thickTop="1">
      <c r="A312" s="25" t="s">
        <v>1193</v>
      </c>
      <c r="B312" s="28" t="s">
        <v>834</v>
      </c>
      <c r="C312" s="624">
        <f>SUM(C313:C313)</f>
        <v>7482812.0409756005</v>
      </c>
      <c r="D312" s="3"/>
    </row>
    <row r="313" spans="1:6" ht="15.75">
      <c r="A313" s="24" t="s">
        <v>1194</v>
      </c>
      <c r="B313" t="s">
        <v>835</v>
      </c>
      <c r="C313" s="623">
        <f>+'[5]Calculo de Salarios %'!$H$81</f>
        <v>7482812.0409756005</v>
      </c>
      <c r="D313" s="3"/>
      <c r="F313" s="845">
        <v>24</v>
      </c>
    </row>
    <row r="314" spans="1:4" ht="15.75">
      <c r="A314" s="24"/>
      <c r="C314" s="623"/>
      <c r="D314" s="3"/>
    </row>
    <row r="315" spans="1:4" ht="15.75">
      <c r="A315" s="30" t="s">
        <v>1195</v>
      </c>
      <c r="B315" s="28" t="s">
        <v>837</v>
      </c>
      <c r="C315" s="624">
        <f>SUM(C316:C316)</f>
        <v>900000</v>
      </c>
      <c r="D315" s="3"/>
    </row>
    <row r="316" spans="1:6" ht="15.75">
      <c r="A316" s="24" t="s">
        <v>1196</v>
      </c>
      <c r="B316" t="s">
        <v>498</v>
      </c>
      <c r="C316" s="623">
        <v>900000</v>
      </c>
      <c r="D316" s="3"/>
      <c r="F316" s="845">
        <v>24</v>
      </c>
    </row>
    <row r="317" spans="1:4" ht="15.75">
      <c r="A317" s="24"/>
      <c r="C317" s="623"/>
      <c r="D317" s="3"/>
    </row>
    <row r="318" spans="1:4" ht="15.75">
      <c r="A318" s="30" t="s">
        <v>1197</v>
      </c>
      <c r="B318" s="28" t="s">
        <v>848</v>
      </c>
      <c r="C318" s="624">
        <f>SUM(C319:C321)</f>
        <v>7364739.646278511</v>
      </c>
      <c r="D318" s="3"/>
    </row>
    <row r="319" spans="1:6" ht="15.75">
      <c r="A319" s="24" t="s">
        <v>1198</v>
      </c>
      <c r="B319" t="s">
        <v>850</v>
      </c>
      <c r="C319" s="623">
        <f>+'[5]Calculo de Salarios %'!$K$81</f>
        <v>5612109.0307317</v>
      </c>
      <c r="D319" s="3"/>
      <c r="F319" s="845">
        <v>24</v>
      </c>
    </row>
    <row r="320" spans="1:6" ht="15.75">
      <c r="A320" s="24" t="s">
        <v>1199</v>
      </c>
      <c r="B320" t="s">
        <v>854</v>
      </c>
      <c r="C320" s="623">
        <f>(C313+C316+C319)/12</f>
        <v>1166243.422642275</v>
      </c>
      <c r="D320" s="3"/>
      <c r="F320" s="845">
        <v>24</v>
      </c>
    </row>
    <row r="321" spans="1:6" ht="15.75">
      <c r="A321" s="24" t="s">
        <v>1556</v>
      </c>
      <c r="B321" t="s">
        <v>1550</v>
      </c>
      <c r="C321" s="623">
        <f>(C313+C316+C319)*4.19%</f>
        <v>586387.192904536</v>
      </c>
      <c r="D321" s="3"/>
      <c r="F321" s="845">
        <v>24</v>
      </c>
    </row>
    <row r="322" spans="1:4" ht="15.75">
      <c r="A322" s="24"/>
      <c r="C322" s="623"/>
      <c r="D322" s="3"/>
    </row>
    <row r="323" spans="1:4" ht="15.75">
      <c r="A323" s="30" t="s">
        <v>1200</v>
      </c>
      <c r="B323" s="28" t="s">
        <v>856</v>
      </c>
      <c r="C323" s="624">
        <f>SUM(C325:C326)</f>
        <v>2162408.0156419356</v>
      </c>
      <c r="D323" s="3"/>
    </row>
    <row r="324" spans="1:4" ht="15.75">
      <c r="A324" s="24"/>
      <c r="B324" s="31" t="s">
        <v>857</v>
      </c>
      <c r="C324" s="623"/>
      <c r="D324" s="3"/>
    </row>
    <row r="325" spans="1:6" ht="15.75">
      <c r="A325" s="24" t="s">
        <v>1201</v>
      </c>
      <c r="B325" t="s">
        <v>859</v>
      </c>
      <c r="C325" s="623">
        <f>(C313+C316+C319+C321)*14.33%</f>
        <v>2089501.4743188764</v>
      </c>
      <c r="D325" s="3"/>
      <c r="F325" s="845">
        <v>24</v>
      </c>
    </row>
    <row r="326" spans="1:6" ht="15.75">
      <c r="A326" s="24" t="s">
        <v>1202</v>
      </c>
      <c r="B326" t="s">
        <v>861</v>
      </c>
      <c r="C326" s="623">
        <f>(C313+C316+C319+C321)*0.5%</f>
        <v>72906.54132305918</v>
      </c>
      <c r="D326" s="3"/>
      <c r="F326" s="845">
        <v>24</v>
      </c>
    </row>
    <row r="327" spans="1:4" ht="15.75">
      <c r="A327" s="24"/>
      <c r="C327" s="623"/>
      <c r="D327" s="3"/>
    </row>
    <row r="328" spans="1:4" ht="15.75">
      <c r="A328" s="30" t="s">
        <v>1203</v>
      </c>
      <c r="B328" s="28" t="s">
        <v>863</v>
      </c>
      <c r="C328" s="624">
        <f>SUM(C330:C331)</f>
        <v>656158.8719075327</v>
      </c>
      <c r="D328" s="3"/>
    </row>
    <row r="329" spans="1:4" ht="15.75">
      <c r="A329" s="30"/>
      <c r="B329" s="31" t="s">
        <v>864</v>
      </c>
      <c r="C329" s="818"/>
      <c r="D329" s="3"/>
    </row>
    <row r="330" spans="1:6" ht="15.75">
      <c r="A330" s="158" t="s">
        <v>1410</v>
      </c>
      <c r="B330" s="33" t="s">
        <v>1406</v>
      </c>
      <c r="C330" s="623">
        <f>(C313+C316+C319+C321)*1.5%</f>
        <v>218719.62396917754</v>
      </c>
      <c r="D330" s="3"/>
      <c r="F330" s="845">
        <v>24</v>
      </c>
    </row>
    <row r="331" spans="1:6" ht="15.75">
      <c r="A331" s="24" t="s">
        <v>1204</v>
      </c>
      <c r="B331" t="s">
        <v>866</v>
      </c>
      <c r="C331" s="623">
        <f>(C313+C316+C319+C321)*3%</f>
        <v>437439.2479383551</v>
      </c>
      <c r="D331" s="3"/>
      <c r="F331" s="845">
        <v>24</v>
      </c>
    </row>
    <row r="332" spans="1:4" ht="15.75">
      <c r="A332" s="24"/>
      <c r="C332" s="623"/>
      <c r="D332" s="3"/>
    </row>
    <row r="333" spans="1:4" ht="16.5" thickBot="1">
      <c r="A333" s="30" t="s">
        <v>820</v>
      </c>
      <c r="B333" s="729" t="s">
        <v>867</v>
      </c>
      <c r="C333" s="628"/>
      <c r="D333" s="730">
        <f>+C334+C337</f>
        <v>14324315.33</v>
      </c>
    </row>
    <row r="334" spans="1:3" ht="16.5" thickTop="1">
      <c r="A334" s="26" t="s">
        <v>1205</v>
      </c>
      <c r="B334" s="28" t="s">
        <v>881</v>
      </c>
      <c r="C334" s="624">
        <f>C335</f>
        <v>247756</v>
      </c>
    </row>
    <row r="335" spans="1:6" ht="15.75">
      <c r="A335" t="s">
        <v>1206</v>
      </c>
      <c r="B335" t="s">
        <v>883</v>
      </c>
      <c r="C335" s="623">
        <v>247756</v>
      </c>
      <c r="F335" s="845">
        <v>24</v>
      </c>
    </row>
    <row r="336" ht="15.75">
      <c r="C336" s="623"/>
    </row>
    <row r="337" spans="1:3" ht="15.75">
      <c r="A337" s="26" t="s">
        <v>1693</v>
      </c>
      <c r="B337" s="28" t="s">
        <v>1694</v>
      </c>
      <c r="C337" s="624">
        <f>+C338</f>
        <v>14076559.33</v>
      </c>
    </row>
    <row r="338" spans="1:6" ht="15.75">
      <c r="A338" t="s">
        <v>1696</v>
      </c>
      <c r="B338" t="s">
        <v>1695</v>
      </c>
      <c r="C338" s="623">
        <v>14076559.33</v>
      </c>
      <c r="F338" s="845">
        <v>24</v>
      </c>
    </row>
    <row r="339" ht="15.75">
      <c r="C339" s="623"/>
    </row>
    <row r="340" spans="1:4" ht="16.5" thickBot="1">
      <c r="A340" s="26" t="s">
        <v>1635</v>
      </c>
      <c r="B340" s="729" t="s">
        <v>889</v>
      </c>
      <c r="C340" s="623"/>
      <c r="D340" s="730">
        <f>C341+C346</f>
        <v>3550000</v>
      </c>
    </row>
    <row r="341" spans="1:3" ht="16.5" thickTop="1">
      <c r="A341" s="26" t="s">
        <v>1636</v>
      </c>
      <c r="B341" s="28" t="s">
        <v>891</v>
      </c>
      <c r="C341" s="624">
        <f>SUM(C342:C344)</f>
        <v>550000</v>
      </c>
    </row>
    <row r="342" spans="1:6" ht="15.75">
      <c r="A342" t="s">
        <v>1637</v>
      </c>
      <c r="B342" t="s">
        <v>902</v>
      </c>
      <c r="C342" s="623">
        <v>250000</v>
      </c>
      <c r="F342" s="845">
        <v>24</v>
      </c>
    </row>
    <row r="343" spans="1:6" ht="15.75">
      <c r="A343" t="s">
        <v>1638</v>
      </c>
      <c r="B343" t="s">
        <v>709</v>
      </c>
      <c r="C343" s="623">
        <v>150000</v>
      </c>
      <c r="F343" s="845">
        <v>24</v>
      </c>
    </row>
    <row r="344" spans="1:6" ht="15.75">
      <c r="A344" t="s">
        <v>1639</v>
      </c>
      <c r="B344" t="s">
        <v>238</v>
      </c>
      <c r="C344" s="623">
        <v>150000</v>
      </c>
      <c r="F344" s="845">
        <v>24</v>
      </c>
    </row>
    <row r="345" ht="15.75">
      <c r="C345" s="623"/>
    </row>
    <row r="346" spans="1:3" ht="15.75">
      <c r="A346" s="26" t="s">
        <v>1640</v>
      </c>
      <c r="B346" s="28" t="s">
        <v>1021</v>
      </c>
      <c r="C346" s="624">
        <f>SUM(C347:C348)</f>
        <v>3000000</v>
      </c>
    </row>
    <row r="347" spans="1:6" ht="15.75">
      <c r="A347" t="s">
        <v>1641</v>
      </c>
      <c r="B347" t="s">
        <v>1023</v>
      </c>
      <c r="C347" s="623">
        <v>2000000</v>
      </c>
      <c r="F347" s="845">
        <v>24</v>
      </c>
    </row>
    <row r="348" spans="1:6" ht="15.75">
      <c r="A348" t="s">
        <v>1642</v>
      </c>
      <c r="B348" t="s">
        <v>1025</v>
      </c>
      <c r="C348" s="623">
        <v>1000000</v>
      </c>
      <c r="F348" s="845">
        <v>24</v>
      </c>
    </row>
    <row r="349" ht="16.5" thickBot="1">
      <c r="C349" s="3"/>
    </row>
    <row r="350" spans="2:4" ht="16.5" thickBot="1">
      <c r="B350" s="734" t="s">
        <v>1207</v>
      </c>
      <c r="C350" s="732"/>
      <c r="D350" s="736">
        <f>D311+D333+D340</f>
        <v>36440433.90480358</v>
      </c>
    </row>
    <row r="351" spans="2:4" ht="15.75">
      <c r="B351" s="103"/>
      <c r="C351" s="103"/>
      <c r="D351" s="652"/>
    </row>
    <row r="352" spans="1:4" ht="16.5" thickBot="1">
      <c r="A352" s="849" t="s">
        <v>1212</v>
      </c>
      <c r="B352" s="849"/>
      <c r="C352" s="849"/>
      <c r="D352" s="849"/>
    </row>
    <row r="353" spans="1:4" ht="16.5" thickBot="1">
      <c r="A353" s="30" t="s">
        <v>1208</v>
      </c>
      <c r="B353" s="729" t="s">
        <v>833</v>
      </c>
      <c r="C353" s="27"/>
      <c r="D353" s="730">
        <f>C354+C358+C361+C367+C372</f>
        <v>83075527.7081354</v>
      </c>
    </row>
    <row r="354" spans="1:4" ht="16.5" thickTop="1">
      <c r="A354" s="25" t="s">
        <v>1213</v>
      </c>
      <c r="B354" s="28" t="s">
        <v>834</v>
      </c>
      <c r="C354" s="624">
        <f>SUM(C355:C356)</f>
        <v>38647810.1513964</v>
      </c>
      <c r="D354" s="3"/>
    </row>
    <row r="355" spans="1:6" ht="15.75">
      <c r="A355" s="24" t="s">
        <v>1214</v>
      </c>
      <c r="B355" t="s">
        <v>835</v>
      </c>
      <c r="C355" s="623">
        <f>+'[5]Calculo de Salarios %'!$H$82</f>
        <v>37447810.1513964</v>
      </c>
      <c r="D355" s="3"/>
      <c r="F355" s="845">
        <v>14</v>
      </c>
    </row>
    <row r="356" spans="1:6" ht="15.75">
      <c r="A356" s="24" t="s">
        <v>710</v>
      </c>
      <c r="B356" t="s">
        <v>836</v>
      </c>
      <c r="C356" s="623">
        <v>1200000</v>
      </c>
      <c r="D356" s="3"/>
      <c r="F356" s="845">
        <v>14</v>
      </c>
    </row>
    <row r="357" spans="1:4" ht="15.75">
      <c r="A357" s="24"/>
      <c r="C357" s="623"/>
      <c r="D357" s="3"/>
    </row>
    <row r="358" spans="1:4" ht="15.75">
      <c r="A358" s="30" t="s">
        <v>1215</v>
      </c>
      <c r="B358" s="28" t="s">
        <v>837</v>
      </c>
      <c r="C358" s="624">
        <f>SUM(C359:C359)</f>
        <v>1000000</v>
      </c>
      <c r="D358" s="3"/>
    </row>
    <row r="359" spans="1:6" ht="15.75">
      <c r="A359" s="24" t="s">
        <v>1216</v>
      </c>
      <c r="B359" t="s">
        <v>498</v>
      </c>
      <c r="C359" s="623">
        <v>1000000</v>
      </c>
      <c r="D359" s="3"/>
      <c r="F359" s="845">
        <v>14</v>
      </c>
    </row>
    <row r="360" spans="1:4" ht="15.75">
      <c r="A360" s="24"/>
      <c r="C360" s="623"/>
      <c r="D360" s="3"/>
    </row>
    <row r="361" spans="1:4" ht="15.75">
      <c r="A361" s="30" t="s">
        <v>1217</v>
      </c>
      <c r="B361" s="28" t="s">
        <v>848</v>
      </c>
      <c r="C361" s="624">
        <f>SUM(C362:C365)</f>
        <v>30816433.4180516</v>
      </c>
      <c r="D361" s="3"/>
    </row>
    <row r="362" spans="1:6" ht="15.75">
      <c r="A362" s="24" t="s">
        <v>1218</v>
      </c>
      <c r="B362" t="s">
        <v>850</v>
      </c>
      <c r="C362" s="623">
        <f>+'[5]Calculo de Salarios %'!$K$82</f>
        <v>18465924.340769723</v>
      </c>
      <c r="D362" s="3"/>
      <c r="F362" s="845">
        <v>14</v>
      </c>
    </row>
    <row r="363" spans="1:6" ht="15.75">
      <c r="A363" s="24" t="s">
        <v>235</v>
      </c>
      <c r="B363" t="s">
        <v>236</v>
      </c>
      <c r="C363" s="623">
        <f>+'[5]Calculo de Salarios %'!$J$82</f>
        <v>4552844.5013297405</v>
      </c>
      <c r="D363" s="3"/>
      <c r="F363" s="845">
        <v>14</v>
      </c>
    </row>
    <row r="364" spans="1:6" ht="15.75">
      <c r="A364" s="24" t="s">
        <v>16</v>
      </c>
      <c r="B364" t="s">
        <v>854</v>
      </c>
      <c r="C364" s="623">
        <f>(C355+C356+C359+C362+C363)/12</f>
        <v>5222214.916124656</v>
      </c>
      <c r="D364" s="3"/>
      <c r="F364" s="845">
        <v>14</v>
      </c>
    </row>
    <row r="365" spans="1:6" ht="15.75">
      <c r="A365" s="24" t="s">
        <v>1557</v>
      </c>
      <c r="B365" t="s">
        <v>1550</v>
      </c>
      <c r="C365" s="623">
        <f>(C355+C359+C362+C363)*4.19%</f>
        <v>2575449.6598274773</v>
      </c>
      <c r="D365" s="3"/>
      <c r="F365" s="845">
        <v>14</v>
      </c>
    </row>
    <row r="366" spans="1:4" ht="15.75">
      <c r="A366" s="24"/>
      <c r="C366" s="623"/>
      <c r="D366" s="3"/>
    </row>
    <row r="367" spans="1:4" ht="15.75">
      <c r="A367" s="30" t="s">
        <v>17</v>
      </c>
      <c r="B367" s="28" t="s">
        <v>856</v>
      </c>
      <c r="C367" s="624">
        <f>SUM(C369:C370)</f>
        <v>9675392.849287853</v>
      </c>
      <c r="D367" s="3"/>
    </row>
    <row r="368" spans="1:4" ht="15.75">
      <c r="A368" s="24"/>
      <c r="B368" s="31" t="s">
        <v>857</v>
      </c>
      <c r="C368" s="623"/>
      <c r="D368" s="3"/>
    </row>
    <row r="369" spans="1:6" ht="15.75">
      <c r="A369" s="24" t="s">
        <v>18</v>
      </c>
      <c r="B369" t="s">
        <v>859</v>
      </c>
      <c r="C369" s="623">
        <f>(C355+C356+C359+C362+C363+C365)*14.33%</f>
        <v>9349182.706021236</v>
      </c>
      <c r="D369" s="3"/>
      <c r="F369" s="845">
        <v>14</v>
      </c>
    </row>
    <row r="370" spans="1:6" ht="15.75">
      <c r="A370" s="24" t="s">
        <v>19</v>
      </c>
      <c r="B370" t="s">
        <v>861</v>
      </c>
      <c r="C370" s="623">
        <f>(C355+C356+C359+C362+C363+C365)*0.5%</f>
        <v>326210.14326661674</v>
      </c>
      <c r="D370" s="3"/>
      <c r="F370" s="845">
        <v>14</v>
      </c>
    </row>
    <row r="371" spans="1:4" ht="15.75">
      <c r="A371" s="24"/>
      <c r="C371" s="623"/>
      <c r="D371" s="3"/>
    </row>
    <row r="372" spans="1:4" ht="15.75">
      <c r="A372" s="30" t="s">
        <v>20</v>
      </c>
      <c r="B372" s="28" t="s">
        <v>863</v>
      </c>
      <c r="C372" s="624">
        <f>SUM(C374:C375)</f>
        <v>2935891.2893995503</v>
      </c>
      <c r="D372" s="3"/>
    </row>
    <row r="373" spans="1:4" ht="15.75">
      <c r="A373" s="30"/>
      <c r="B373" s="31" t="s">
        <v>864</v>
      </c>
      <c r="C373" s="818"/>
      <c r="D373" s="3"/>
    </row>
    <row r="374" spans="1:6" ht="15.75">
      <c r="A374" s="158" t="s">
        <v>1411</v>
      </c>
      <c r="B374" s="33" t="s">
        <v>1406</v>
      </c>
      <c r="C374" s="623">
        <f>(C355+C356+C359+C362+C363+C365)*1.5%</f>
        <v>978630.4297998501</v>
      </c>
      <c r="D374" s="3"/>
      <c r="F374" s="845">
        <v>14</v>
      </c>
    </row>
    <row r="375" spans="1:6" ht="15.75">
      <c r="A375" s="24" t="s">
        <v>21</v>
      </c>
      <c r="B375" t="s">
        <v>866</v>
      </c>
      <c r="C375" s="623">
        <f>(C355+C356+C359+C362+C363+C365)*3%</f>
        <v>1957260.8595997002</v>
      </c>
      <c r="D375" s="3"/>
      <c r="F375" s="845">
        <v>14</v>
      </c>
    </row>
    <row r="376" spans="1:4" ht="15.75">
      <c r="A376" s="24"/>
      <c r="C376" s="623"/>
      <c r="D376" s="3"/>
    </row>
    <row r="377" spans="1:4" ht="16.5" thickBot="1">
      <c r="A377" s="30" t="s">
        <v>22</v>
      </c>
      <c r="B377" s="729" t="s">
        <v>867</v>
      </c>
      <c r="C377" s="628"/>
      <c r="D377" s="730">
        <f>C378+C381+C386+C395+C398+C401+C404+C410+C413+C390</f>
        <v>86272198.31</v>
      </c>
    </row>
    <row r="378" spans="1:4" ht="16.5" thickTop="1">
      <c r="A378" s="30" t="s">
        <v>23</v>
      </c>
      <c r="B378" s="28" t="s">
        <v>982</v>
      </c>
      <c r="C378" s="624">
        <f>SUM(C379:C379)</f>
        <v>200000</v>
      </c>
      <c r="D378" s="3"/>
    </row>
    <row r="379" spans="1:6" ht="15.75">
      <c r="A379" s="24" t="s">
        <v>24</v>
      </c>
      <c r="B379" t="s">
        <v>984</v>
      </c>
      <c r="C379" s="623">
        <v>200000</v>
      </c>
      <c r="D379" s="3"/>
      <c r="F379" s="845">
        <v>14</v>
      </c>
    </row>
    <row r="380" spans="1:4" ht="15.75">
      <c r="A380" s="24"/>
      <c r="C380" s="623"/>
      <c r="D380" s="3"/>
    </row>
    <row r="381" spans="1:4" ht="15.75">
      <c r="A381" s="30" t="s">
        <v>25</v>
      </c>
      <c r="B381" s="28" t="s">
        <v>869</v>
      </c>
      <c r="C381" s="624">
        <f>+C382+C383+C384</f>
        <v>60091838.43</v>
      </c>
      <c r="D381" s="3"/>
    </row>
    <row r="382" spans="1:6" ht="15.75">
      <c r="A382" s="158" t="s">
        <v>1562</v>
      </c>
      <c r="B382" s="36" t="s">
        <v>1563</v>
      </c>
      <c r="C382" s="625">
        <v>600000</v>
      </c>
      <c r="D382" s="3"/>
      <c r="F382" s="845">
        <v>14</v>
      </c>
    </row>
    <row r="383" spans="1:6" ht="15.75">
      <c r="A383" s="24" t="s">
        <v>26</v>
      </c>
      <c r="B383" s="34" t="s">
        <v>990</v>
      </c>
      <c r="C383" s="628">
        <v>59441838.43</v>
      </c>
      <c r="D383" s="3"/>
      <c r="F383" s="845">
        <v>14</v>
      </c>
    </row>
    <row r="384" spans="1:6" ht="15.75">
      <c r="A384" s="158" t="s">
        <v>1440</v>
      </c>
      <c r="B384" s="34" t="s">
        <v>554</v>
      </c>
      <c r="C384" s="623">
        <v>50000</v>
      </c>
      <c r="D384" s="3"/>
      <c r="F384" s="845">
        <v>14</v>
      </c>
    </row>
    <row r="385" spans="1:4" ht="15.75">
      <c r="A385" s="24"/>
      <c r="B385" s="34"/>
      <c r="C385" s="623"/>
      <c r="D385" s="3"/>
    </row>
    <row r="386" spans="1:4" ht="15.75">
      <c r="A386" s="30" t="s">
        <v>1227</v>
      </c>
      <c r="B386" s="35" t="s">
        <v>875</v>
      </c>
      <c r="C386" s="624">
        <f>C387+C388</f>
        <v>60000</v>
      </c>
      <c r="D386" s="3"/>
    </row>
    <row r="387" spans="1:6" ht="15.75">
      <c r="A387" s="158" t="s">
        <v>1500</v>
      </c>
      <c r="B387" s="34" t="s">
        <v>500</v>
      </c>
      <c r="C387" s="625">
        <v>10000</v>
      </c>
      <c r="D387" s="3"/>
      <c r="F387" s="845">
        <v>14</v>
      </c>
    </row>
    <row r="388" spans="1:6" ht="15.75">
      <c r="A388" s="158" t="s">
        <v>1228</v>
      </c>
      <c r="B388" s="34" t="s">
        <v>557</v>
      </c>
      <c r="C388" s="623">
        <v>50000</v>
      </c>
      <c r="D388" s="3"/>
      <c r="F388" s="845">
        <v>14</v>
      </c>
    </row>
    <row r="389" spans="1:4" ht="15.75">
      <c r="A389" s="24"/>
      <c r="B389" s="34"/>
      <c r="C389" s="623"/>
      <c r="D389" s="3"/>
    </row>
    <row r="390" spans="1:4" ht="15.75">
      <c r="A390" s="30" t="s">
        <v>711</v>
      </c>
      <c r="B390" s="35" t="s">
        <v>879</v>
      </c>
      <c r="C390" s="624">
        <f>SUM(C391:C393)</f>
        <v>6150000</v>
      </c>
      <c r="D390" s="3"/>
    </row>
    <row r="391" spans="1:6" ht="15.75">
      <c r="A391" s="158" t="s">
        <v>1332</v>
      </c>
      <c r="B391" s="34" t="s">
        <v>1063</v>
      </c>
      <c r="C391" s="625">
        <v>5000000</v>
      </c>
      <c r="D391" s="3"/>
      <c r="F391" s="845">
        <v>14</v>
      </c>
    </row>
    <row r="392" spans="1:6" ht="15.75">
      <c r="A392" s="158" t="s">
        <v>291</v>
      </c>
      <c r="B392" s="34" t="s">
        <v>567</v>
      </c>
      <c r="C392" s="625">
        <v>1000000</v>
      </c>
      <c r="D392" s="3"/>
      <c r="F392" s="845">
        <v>14</v>
      </c>
    </row>
    <row r="393" spans="1:6" ht="15.75">
      <c r="A393" s="24" t="s">
        <v>712</v>
      </c>
      <c r="B393" s="34" t="s">
        <v>713</v>
      </c>
      <c r="C393" s="623">
        <v>150000</v>
      </c>
      <c r="D393" s="3"/>
      <c r="F393" s="845">
        <v>14</v>
      </c>
    </row>
    <row r="394" spans="1:4" ht="15.75">
      <c r="A394" s="24"/>
      <c r="B394" s="34"/>
      <c r="C394" s="623"/>
      <c r="D394" s="3"/>
    </row>
    <row r="395" spans="1:4" ht="15.75">
      <c r="A395" s="30" t="s">
        <v>1442</v>
      </c>
      <c r="B395" s="35" t="s">
        <v>1291</v>
      </c>
      <c r="C395" s="624">
        <f>C396</f>
        <v>50000</v>
      </c>
      <c r="D395" s="3"/>
    </row>
    <row r="396" spans="1:6" ht="15.75">
      <c r="A396" s="158" t="s">
        <v>1443</v>
      </c>
      <c r="B396" s="34" t="s">
        <v>48</v>
      </c>
      <c r="C396" s="623">
        <v>50000</v>
      </c>
      <c r="D396" s="3"/>
      <c r="F396" s="845">
        <v>14</v>
      </c>
    </row>
    <row r="397" ht="15.75">
      <c r="C397" s="370"/>
    </row>
    <row r="398" spans="1:3" ht="15.75">
      <c r="A398" s="26" t="s">
        <v>27</v>
      </c>
      <c r="B398" s="28" t="s">
        <v>881</v>
      </c>
      <c r="C398" s="624">
        <f>C399</f>
        <v>1120359.88</v>
      </c>
    </row>
    <row r="399" spans="1:6" ht="15.75">
      <c r="A399" t="s">
        <v>28</v>
      </c>
      <c r="B399" t="s">
        <v>883</v>
      </c>
      <c r="C399" s="623">
        <v>1120359.88</v>
      </c>
      <c r="F399" s="845">
        <v>14</v>
      </c>
    </row>
    <row r="400" ht="15.75">
      <c r="C400" s="623"/>
    </row>
    <row r="401" spans="1:3" ht="15.75">
      <c r="A401" s="26" t="s">
        <v>1333</v>
      </c>
      <c r="B401" s="28" t="s">
        <v>994</v>
      </c>
      <c r="C401" s="624">
        <f>C402</f>
        <v>100000</v>
      </c>
    </row>
    <row r="402" spans="1:6" ht="15.75">
      <c r="A402" s="33" t="s">
        <v>1334</v>
      </c>
      <c r="B402" s="33" t="s">
        <v>196</v>
      </c>
      <c r="C402" s="623">
        <v>100000</v>
      </c>
      <c r="F402" s="845">
        <v>14</v>
      </c>
    </row>
    <row r="403" ht="15.75">
      <c r="C403" s="623"/>
    </row>
    <row r="404" spans="1:3" ht="15.75">
      <c r="A404" s="26" t="s">
        <v>29</v>
      </c>
      <c r="B404" s="28" t="s">
        <v>885</v>
      </c>
      <c r="C404" s="624">
        <f>SUM(C405:C408)</f>
        <v>15800000</v>
      </c>
    </row>
    <row r="405" spans="1:6" ht="15.75">
      <c r="A405" s="33" t="s">
        <v>30</v>
      </c>
      <c r="B405" s="34" t="s">
        <v>1000</v>
      </c>
      <c r="C405" s="625">
        <v>14000000</v>
      </c>
      <c r="F405" s="845">
        <v>14</v>
      </c>
    </row>
    <row r="406" spans="1:6" ht="15.75">
      <c r="A406" s="33" t="s">
        <v>1627</v>
      </c>
      <c r="B406" s="36" t="s">
        <v>1220</v>
      </c>
      <c r="C406" s="625">
        <v>500000</v>
      </c>
      <c r="F406" s="845">
        <v>14</v>
      </c>
    </row>
    <row r="407" spans="1:6" ht="15.75">
      <c r="A407" t="s">
        <v>31</v>
      </c>
      <c r="B407" t="s">
        <v>887</v>
      </c>
      <c r="C407" s="623">
        <v>1200000</v>
      </c>
      <c r="F407" s="845">
        <v>14</v>
      </c>
    </row>
    <row r="408" spans="1:6" ht="15.75">
      <c r="A408" s="33" t="s">
        <v>1444</v>
      </c>
      <c r="B408" s="33" t="s">
        <v>1445</v>
      </c>
      <c r="C408" s="623">
        <v>100000</v>
      </c>
      <c r="F408" s="845">
        <v>14</v>
      </c>
    </row>
    <row r="409" spans="1:3" ht="15.75">
      <c r="A409" s="33"/>
      <c r="B409" s="33"/>
      <c r="C409" s="623"/>
    </row>
    <row r="410" spans="1:3" ht="15.75">
      <c r="A410" s="26" t="s">
        <v>1581</v>
      </c>
      <c r="B410" s="28" t="s">
        <v>1298</v>
      </c>
      <c r="C410" s="624">
        <f>C411</f>
        <v>200000</v>
      </c>
    </row>
    <row r="411" spans="1:6" ht="15.75">
      <c r="A411" s="33" t="s">
        <v>1582</v>
      </c>
      <c r="B411" s="34" t="s">
        <v>1300</v>
      </c>
      <c r="C411" s="623">
        <v>200000</v>
      </c>
      <c r="F411" s="845">
        <v>14</v>
      </c>
    </row>
    <row r="412" ht="15.75">
      <c r="C412" s="623"/>
    </row>
    <row r="413" spans="1:3" ht="15.75">
      <c r="A413" s="26" t="s">
        <v>32</v>
      </c>
      <c r="B413" s="28" t="s">
        <v>1002</v>
      </c>
      <c r="C413" s="624">
        <f>C414</f>
        <v>2500000</v>
      </c>
    </row>
    <row r="414" spans="1:6" ht="15.75">
      <c r="A414" t="s">
        <v>33</v>
      </c>
      <c r="B414" t="s">
        <v>1004</v>
      </c>
      <c r="C414" s="623">
        <v>2500000</v>
      </c>
      <c r="F414" s="845">
        <v>14</v>
      </c>
    </row>
    <row r="415" ht="15.75">
      <c r="C415" s="623"/>
    </row>
    <row r="416" spans="1:4" ht="16.5" thickBot="1">
      <c r="A416" s="26" t="s">
        <v>34</v>
      </c>
      <c r="B416" s="729" t="s">
        <v>889</v>
      </c>
      <c r="C416" s="628"/>
      <c r="D416" s="730">
        <f>C417+C422+C429+C433</f>
        <v>12552273.99</v>
      </c>
    </row>
    <row r="417" spans="1:3" ht="16.5" thickTop="1">
      <c r="A417" s="26" t="s">
        <v>35</v>
      </c>
      <c r="B417" s="28" t="s">
        <v>891</v>
      </c>
      <c r="C417" s="624">
        <f>SUM(C418:C420)</f>
        <v>4200000</v>
      </c>
    </row>
    <row r="418" spans="1:6" ht="15.75">
      <c r="A418" t="s">
        <v>36</v>
      </c>
      <c r="B418" t="s">
        <v>902</v>
      </c>
      <c r="C418" s="623">
        <v>1200000</v>
      </c>
      <c r="F418" s="845">
        <v>14</v>
      </c>
    </row>
    <row r="419" spans="1:6" ht="15.75">
      <c r="A419" t="s">
        <v>5</v>
      </c>
      <c r="B419" t="s">
        <v>709</v>
      </c>
      <c r="C419" s="623">
        <v>500000</v>
      </c>
      <c r="F419" s="845">
        <v>14</v>
      </c>
    </row>
    <row r="420" spans="1:6" ht="15.75">
      <c r="A420" t="s">
        <v>6</v>
      </c>
      <c r="B420" t="s">
        <v>238</v>
      </c>
      <c r="C420" s="623">
        <v>2500000</v>
      </c>
      <c r="F420" s="845">
        <v>14</v>
      </c>
    </row>
    <row r="421" ht="15.75">
      <c r="C421" s="623"/>
    </row>
    <row r="422" spans="1:3" ht="15.75">
      <c r="A422" s="26" t="s">
        <v>37</v>
      </c>
      <c r="B422" s="28" t="s">
        <v>1010</v>
      </c>
      <c r="C422" s="624">
        <f>SUM(C424:C427)</f>
        <v>5950000</v>
      </c>
    </row>
    <row r="423" spans="1:3" ht="15.75">
      <c r="A423" s="26"/>
      <c r="B423" s="31" t="s">
        <v>1011</v>
      </c>
      <c r="C423" s="818"/>
    </row>
    <row r="424" spans="1:6" ht="15.75">
      <c r="A424" s="33" t="s">
        <v>292</v>
      </c>
      <c r="B424" s="36" t="s">
        <v>208</v>
      </c>
      <c r="C424" s="628">
        <v>2500000</v>
      </c>
      <c r="F424" s="845">
        <v>14</v>
      </c>
    </row>
    <row r="425" spans="1:6" ht="15.75">
      <c r="A425" s="33" t="s">
        <v>293</v>
      </c>
      <c r="B425" s="34" t="s">
        <v>294</v>
      </c>
      <c r="C425" s="628">
        <v>1000000</v>
      </c>
      <c r="F425" s="845">
        <v>14</v>
      </c>
    </row>
    <row r="426" spans="1:6" ht="15.75">
      <c r="A426" s="33" t="s">
        <v>1337</v>
      </c>
      <c r="B426" s="34" t="s">
        <v>1338</v>
      </c>
      <c r="C426" s="628">
        <v>200000</v>
      </c>
      <c r="F426" s="845">
        <v>14</v>
      </c>
    </row>
    <row r="427" spans="1:6" ht="15.75">
      <c r="A427" t="s">
        <v>42</v>
      </c>
      <c r="B427" t="s">
        <v>1019</v>
      </c>
      <c r="C427" s="623">
        <v>2250000</v>
      </c>
      <c r="F427" s="845">
        <v>14</v>
      </c>
    </row>
    <row r="428" ht="15.75">
      <c r="C428" s="623"/>
    </row>
    <row r="429" spans="1:3" ht="15.75">
      <c r="A429" s="26" t="s">
        <v>43</v>
      </c>
      <c r="B429" s="28" t="s">
        <v>1021</v>
      </c>
      <c r="C429" s="624">
        <f>SUM(C430:C431)</f>
        <v>800000</v>
      </c>
    </row>
    <row r="430" spans="1:6" ht="15.75">
      <c r="A430" t="s">
        <v>44</v>
      </c>
      <c r="B430" t="s">
        <v>1023</v>
      </c>
      <c r="C430" s="623">
        <v>500000</v>
      </c>
      <c r="F430" s="845">
        <v>14</v>
      </c>
    </row>
    <row r="431" spans="1:6" ht="15.75">
      <c r="A431" t="s">
        <v>45</v>
      </c>
      <c r="B431" t="s">
        <v>1025</v>
      </c>
      <c r="C431" s="623">
        <v>300000</v>
      </c>
      <c r="F431" s="845">
        <v>14</v>
      </c>
    </row>
    <row r="432" ht="15.75">
      <c r="C432" s="623"/>
    </row>
    <row r="433" spans="1:3" ht="15.75">
      <c r="A433" s="26" t="s">
        <v>716</v>
      </c>
      <c r="B433" s="28" t="s">
        <v>906</v>
      </c>
      <c r="C433" s="624">
        <f>SUM(C434:C438)</f>
        <v>1602273.99</v>
      </c>
    </row>
    <row r="434" spans="1:6" ht="15.75">
      <c r="A434" s="33" t="s">
        <v>295</v>
      </c>
      <c r="B434" s="36" t="s">
        <v>627</v>
      </c>
      <c r="C434" s="625">
        <v>100000</v>
      </c>
      <c r="F434" s="845">
        <v>14</v>
      </c>
    </row>
    <row r="435" spans="1:6" ht="15.75">
      <c r="A435" s="33" t="s">
        <v>7</v>
      </c>
      <c r="B435" s="36" t="s">
        <v>481</v>
      </c>
      <c r="C435" s="625">
        <v>100000</v>
      </c>
      <c r="F435" s="845">
        <v>14</v>
      </c>
    </row>
    <row r="436" spans="1:6" ht="15.75">
      <c r="A436" t="s">
        <v>717</v>
      </c>
      <c r="B436" t="s">
        <v>706</v>
      </c>
      <c r="C436" s="623">
        <v>852273.99</v>
      </c>
      <c r="F436" s="845">
        <v>14</v>
      </c>
    </row>
    <row r="437" spans="1:6" ht="15.75">
      <c r="A437" t="s">
        <v>8</v>
      </c>
      <c r="B437" t="s">
        <v>9</v>
      </c>
      <c r="C437" s="623">
        <v>500000</v>
      </c>
      <c r="F437" s="845">
        <v>14</v>
      </c>
    </row>
    <row r="438" spans="1:6" ht="15.75">
      <c r="A438" s="33" t="s">
        <v>1628</v>
      </c>
      <c r="B438" s="33" t="s">
        <v>1629</v>
      </c>
      <c r="C438" s="623">
        <v>50000</v>
      </c>
      <c r="F438" s="845">
        <v>14</v>
      </c>
    </row>
    <row r="439" ht="15.75">
      <c r="C439" s="623"/>
    </row>
    <row r="440" spans="1:4" ht="16.5" thickBot="1">
      <c r="A440" s="26" t="s">
        <v>718</v>
      </c>
      <c r="B440" s="729" t="s">
        <v>914</v>
      </c>
      <c r="C440" s="818"/>
      <c r="D440" s="730">
        <f>C441+C448</f>
        <v>46100000</v>
      </c>
    </row>
    <row r="441" spans="1:3" ht="16.5" thickTop="1">
      <c r="A441" s="26" t="s">
        <v>719</v>
      </c>
      <c r="B441" s="28" t="s">
        <v>916</v>
      </c>
      <c r="C441" s="624">
        <f>SUM(C442:C446)</f>
        <v>11100000</v>
      </c>
    </row>
    <row r="442" spans="1:6" ht="15.75">
      <c r="A442" s="33" t="s">
        <v>1630</v>
      </c>
      <c r="B442" s="36" t="s">
        <v>1631</v>
      </c>
      <c r="C442" s="625">
        <v>2500000</v>
      </c>
      <c r="F442" s="845">
        <v>14</v>
      </c>
    </row>
    <row r="443" spans="1:6" ht="15.75">
      <c r="A443" s="33" t="s">
        <v>1448</v>
      </c>
      <c r="B443" s="36" t="s">
        <v>256</v>
      </c>
      <c r="C443" s="625">
        <v>200000</v>
      </c>
      <c r="F443" s="845">
        <v>14</v>
      </c>
    </row>
    <row r="444" spans="1:6" ht="15.75">
      <c r="A444" s="33" t="s">
        <v>1449</v>
      </c>
      <c r="B444" s="34" t="s">
        <v>918</v>
      </c>
      <c r="C444" s="625">
        <v>400000</v>
      </c>
      <c r="F444" s="845">
        <v>14</v>
      </c>
    </row>
    <row r="445" spans="1:6" ht="15.75">
      <c r="A445" s="33" t="s">
        <v>1501</v>
      </c>
      <c r="B445" s="34" t="s">
        <v>1502</v>
      </c>
      <c r="C445" s="625">
        <v>7000000</v>
      </c>
      <c r="F445" s="845">
        <v>13</v>
      </c>
    </row>
    <row r="446" spans="1:6" ht="15.75">
      <c r="A446" t="s">
        <v>720</v>
      </c>
      <c r="B446" t="s">
        <v>721</v>
      </c>
      <c r="C446" s="623">
        <v>1000000</v>
      </c>
      <c r="F446" s="845">
        <v>14</v>
      </c>
    </row>
    <row r="447" ht="15.75">
      <c r="C447" s="623"/>
    </row>
    <row r="448" spans="1:3" ht="15.75">
      <c r="A448" s="28" t="s">
        <v>10</v>
      </c>
      <c r="B448" s="28" t="s">
        <v>757</v>
      </c>
      <c r="C448" s="624">
        <f>SUM(C449:C450)</f>
        <v>35000000</v>
      </c>
    </row>
    <row r="449" spans="1:6" ht="15.75">
      <c r="A449" t="s">
        <v>11</v>
      </c>
      <c r="B449" t="s">
        <v>12</v>
      </c>
      <c r="C449" s="623">
        <v>30000000</v>
      </c>
      <c r="F449" s="845">
        <v>15</v>
      </c>
    </row>
    <row r="450" spans="1:6" ht="15.75">
      <c r="A450" s="33" t="s">
        <v>1451</v>
      </c>
      <c r="B450" s="33" t="s">
        <v>13</v>
      </c>
      <c r="C450" s="623">
        <v>5000000</v>
      </c>
      <c r="F450" s="845">
        <v>16</v>
      </c>
    </row>
    <row r="451" ht="16.5" thickBot="1">
      <c r="C451" s="623"/>
    </row>
    <row r="452" spans="2:4" ht="16.5" thickBot="1">
      <c r="B452" s="734" t="s">
        <v>46</v>
      </c>
      <c r="C452" s="732"/>
      <c r="D452" s="736">
        <f>D353+D377+D416+D440</f>
        <v>228000000.0081354</v>
      </c>
    </row>
    <row r="453" spans="2:4" ht="15.75">
      <c r="B453" s="106"/>
      <c r="C453" s="106"/>
      <c r="D453" s="651"/>
    </row>
    <row r="454" spans="1:4" ht="16.5" thickBot="1">
      <c r="A454" s="852" t="s">
        <v>1643</v>
      </c>
      <c r="B454" s="852"/>
      <c r="C454" s="852"/>
      <c r="D454" s="852"/>
    </row>
    <row r="455" spans="1:4" ht="16.5" thickBot="1">
      <c r="A455" s="30" t="s">
        <v>1644</v>
      </c>
      <c r="B455" s="729" t="s">
        <v>867</v>
      </c>
      <c r="C455" s="106"/>
      <c r="D455" s="758">
        <f>C456</f>
        <v>5600000</v>
      </c>
    </row>
    <row r="456" spans="1:4" ht="16.5" thickTop="1">
      <c r="A456" s="30" t="s">
        <v>1645</v>
      </c>
      <c r="B456" s="35" t="s">
        <v>994</v>
      </c>
      <c r="C456" s="29">
        <f>C457</f>
        <v>5600000</v>
      </c>
      <c r="D456" s="651"/>
    </row>
    <row r="457" spans="1:6" ht="15.75">
      <c r="A457" s="24" t="s">
        <v>1646</v>
      </c>
      <c r="B457" s="34" t="s">
        <v>996</v>
      </c>
      <c r="C457" s="625">
        <v>5600000</v>
      </c>
      <c r="D457" s="651"/>
      <c r="F457" s="845">
        <v>25</v>
      </c>
    </row>
    <row r="458" spans="2:4" ht="16.5" thickBot="1">
      <c r="B458" s="106"/>
      <c r="C458" s="106"/>
      <c r="D458" s="651"/>
    </row>
    <row r="459" spans="2:4" ht="16.5" thickBot="1">
      <c r="B459" s="734" t="s">
        <v>1647</v>
      </c>
      <c r="C459" s="732"/>
      <c r="D459" s="736">
        <f>D455</f>
        <v>5600000</v>
      </c>
    </row>
    <row r="460" spans="2:4" ht="15.75">
      <c r="B460" s="106"/>
      <c r="C460" s="106"/>
      <c r="D460" s="651"/>
    </row>
    <row r="461" spans="1:4" ht="16.5" thickBot="1">
      <c r="A461" s="852" t="s">
        <v>722</v>
      </c>
      <c r="B461" s="852"/>
      <c r="C461" s="852"/>
      <c r="D461" s="852"/>
    </row>
    <row r="462" spans="1:6" ht="16.5" thickBot="1">
      <c r="A462" s="30" t="s">
        <v>723</v>
      </c>
      <c r="B462" s="729" t="s">
        <v>833</v>
      </c>
      <c r="C462" s="818"/>
      <c r="D462" s="730">
        <f>C463+C466+C472+C477</f>
        <v>18737683.891298275</v>
      </c>
      <c r="F462" s="845">
        <v>26</v>
      </c>
    </row>
    <row r="463" spans="1:4" ht="16.5" thickTop="1">
      <c r="A463" s="25" t="s">
        <v>724</v>
      </c>
      <c r="B463" s="28" t="s">
        <v>834</v>
      </c>
      <c r="C463" s="624">
        <f>SUM(C464:C464)</f>
        <v>8025139.1946222</v>
      </c>
      <c r="D463" s="3"/>
    </row>
    <row r="464" spans="1:4" ht="15.75">
      <c r="A464" s="24" t="s">
        <v>725</v>
      </c>
      <c r="B464" t="s">
        <v>835</v>
      </c>
      <c r="C464" s="623">
        <f>+'[5]Calculo de Salarios %'!$H$83</f>
        <v>8025139.1946222</v>
      </c>
      <c r="D464" s="3"/>
    </row>
    <row r="465" spans="1:4" ht="15.75">
      <c r="A465" s="24"/>
      <c r="C465" s="623"/>
      <c r="D465" s="3"/>
    </row>
    <row r="466" spans="1:4" ht="15.75">
      <c r="A466" s="30" t="s">
        <v>726</v>
      </c>
      <c r="B466" s="28" t="s">
        <v>848</v>
      </c>
      <c r="C466" s="624">
        <f>SUM(C467:C470)</f>
        <v>7867932.067892348</v>
      </c>
      <c r="D466" s="3"/>
    </row>
    <row r="467" spans="1:4" ht="15.75">
      <c r="A467" s="24" t="s">
        <v>727</v>
      </c>
      <c r="B467" t="s">
        <v>850</v>
      </c>
      <c r="C467" s="623">
        <f>+'[5]Calculo de Salarios %'!$K$83</f>
        <v>1685279.230870662</v>
      </c>
      <c r="D467" s="3"/>
    </row>
    <row r="468" spans="1:4" ht="15.75">
      <c r="A468" s="24" t="s">
        <v>1417</v>
      </c>
      <c r="B468" t="s">
        <v>236</v>
      </c>
      <c r="C468" s="623">
        <f>+'[5]Calculo de Salarios %'!$J$83</f>
        <v>4413826.55704221</v>
      </c>
      <c r="D468" s="3"/>
    </row>
    <row r="469" spans="1:4" ht="15.75">
      <c r="A469" s="24" t="s">
        <v>728</v>
      </c>
      <c r="B469" t="s">
        <v>854</v>
      </c>
      <c r="C469" s="623">
        <f>(C464+C467+C468)/12</f>
        <v>1177020.415211256</v>
      </c>
      <c r="D469" s="3"/>
    </row>
    <row r="470" spans="1:4" ht="15.75">
      <c r="A470" s="24" t="s">
        <v>1558</v>
      </c>
      <c r="B470" t="s">
        <v>1550</v>
      </c>
      <c r="C470" s="623">
        <f>(C464+C467+C468)*4.19%</f>
        <v>591805.8647682196</v>
      </c>
      <c r="D470" s="3"/>
    </row>
    <row r="471" spans="1:4" ht="15.75">
      <c r="A471" s="24"/>
      <c r="C471" s="623"/>
      <c r="D471" s="3"/>
    </row>
    <row r="472" spans="1:4" ht="15.75">
      <c r="A472" s="30" t="s">
        <v>729</v>
      </c>
      <c r="B472" s="28" t="s">
        <v>856</v>
      </c>
      <c r="C472" s="624">
        <f>SUM(C474:C475)</f>
        <v>2182390.340655078</v>
      </c>
      <c r="D472" s="3"/>
    </row>
    <row r="473" spans="1:4" ht="15.75">
      <c r="A473" s="24"/>
      <c r="B473" s="31" t="s">
        <v>857</v>
      </c>
      <c r="C473" s="623"/>
      <c r="D473" s="3"/>
    </row>
    <row r="474" spans="1:4" ht="15.75">
      <c r="A474" s="24" t="s">
        <v>730</v>
      </c>
      <c r="B474" t="s">
        <v>859</v>
      </c>
      <c r="C474" s="623">
        <f>(C464+C467+C468+C470)*14.33%</f>
        <v>2108810.0864185616</v>
      </c>
      <c r="D474" s="3"/>
    </row>
    <row r="475" spans="1:4" ht="15.75">
      <c r="A475" s="24" t="s">
        <v>731</v>
      </c>
      <c r="B475" t="s">
        <v>861</v>
      </c>
      <c r="C475" s="623">
        <f>(C464+C467+C468+C470)*0.5%</f>
        <v>73580.25423651646</v>
      </c>
      <c r="D475" s="3"/>
    </row>
    <row r="476" spans="1:4" ht="15.75">
      <c r="A476" s="24"/>
      <c r="C476" s="623"/>
      <c r="D476" s="3"/>
    </row>
    <row r="477" spans="1:4" ht="15.75">
      <c r="A477" s="30" t="s">
        <v>732</v>
      </c>
      <c r="B477" s="28" t="s">
        <v>863</v>
      </c>
      <c r="C477" s="624">
        <f>SUM(C479:C480)</f>
        <v>662222.2881286481</v>
      </c>
      <c r="D477" s="3"/>
    </row>
    <row r="478" spans="1:4" ht="15.75">
      <c r="A478" s="30"/>
      <c r="B478" s="31" t="s">
        <v>864</v>
      </c>
      <c r="C478" s="818"/>
      <c r="D478" s="3"/>
    </row>
    <row r="479" spans="1:4" ht="15.75">
      <c r="A479" s="158" t="s">
        <v>1412</v>
      </c>
      <c r="B479" s="33" t="s">
        <v>1406</v>
      </c>
      <c r="C479" s="623">
        <f>(C464+C467+C468+C470)*1.5%</f>
        <v>220740.76270954937</v>
      </c>
      <c r="D479" s="3"/>
    </row>
    <row r="480" spans="1:4" ht="15.75">
      <c r="A480" s="24" t="s">
        <v>733</v>
      </c>
      <c r="B480" t="s">
        <v>866</v>
      </c>
      <c r="C480" s="623">
        <f>(C464+C467+C468+C470)*3%</f>
        <v>441481.52541909873</v>
      </c>
      <c r="D480" s="3"/>
    </row>
    <row r="481" spans="1:4" ht="15.75">
      <c r="A481" s="24"/>
      <c r="C481" s="623"/>
      <c r="D481" s="3"/>
    </row>
    <row r="482" spans="1:4" ht="16.5" thickBot="1">
      <c r="A482" s="30" t="s">
        <v>734</v>
      </c>
      <c r="B482" s="729" t="s">
        <v>867</v>
      </c>
      <c r="C482" s="818"/>
      <c r="D482" s="730">
        <f>+C483+C486+C489</f>
        <v>7283702.39</v>
      </c>
    </row>
    <row r="483" spans="1:4" ht="16.5" thickTop="1">
      <c r="A483" s="30" t="s">
        <v>735</v>
      </c>
      <c r="B483" s="28" t="s">
        <v>736</v>
      </c>
      <c r="C483" s="624">
        <f>C484</f>
        <v>6132213.52</v>
      </c>
      <c r="D483" s="3"/>
    </row>
    <row r="484" spans="1:6" ht="15.75">
      <c r="A484" s="24" t="s">
        <v>737</v>
      </c>
      <c r="B484" s="33" t="s">
        <v>1341</v>
      </c>
      <c r="C484" s="623">
        <v>6132213.52</v>
      </c>
      <c r="D484" s="157"/>
      <c r="F484" s="845">
        <v>26</v>
      </c>
    </row>
    <row r="485" spans="1:4" ht="15.75">
      <c r="A485" s="24"/>
      <c r="B485" s="33"/>
      <c r="C485" s="623"/>
      <c r="D485" s="157"/>
    </row>
    <row r="486" spans="1:4" ht="15.75">
      <c r="A486" s="30" t="s">
        <v>738</v>
      </c>
      <c r="B486" s="28" t="s">
        <v>739</v>
      </c>
      <c r="C486" s="624">
        <f>C487</f>
        <v>151488.87</v>
      </c>
      <c r="D486" s="3"/>
    </row>
    <row r="487" spans="1:6" ht="15.75">
      <c r="A487" s="24" t="s">
        <v>740</v>
      </c>
      <c r="B487" s="34" t="s">
        <v>883</v>
      </c>
      <c r="C487" s="623">
        <v>151488.87</v>
      </c>
      <c r="D487" s="3"/>
      <c r="F487" s="845">
        <v>26</v>
      </c>
    </row>
    <row r="488" spans="1:4" ht="15.75">
      <c r="A488" s="24"/>
      <c r="C488" s="623"/>
      <c r="D488" s="3"/>
    </row>
    <row r="489" spans="1:4" ht="15.75">
      <c r="A489" s="30" t="s">
        <v>741</v>
      </c>
      <c r="B489" s="35" t="s">
        <v>994</v>
      </c>
      <c r="C489" s="624">
        <f>SUM(C490:C490)</f>
        <v>1000000</v>
      </c>
      <c r="D489" s="3"/>
    </row>
    <row r="490" spans="1:6" ht="15.75">
      <c r="A490" s="24" t="s">
        <v>742</v>
      </c>
      <c r="B490" s="34" t="s">
        <v>996</v>
      </c>
      <c r="C490" s="623">
        <v>1000000</v>
      </c>
      <c r="D490" s="3"/>
      <c r="F490" s="845">
        <v>38</v>
      </c>
    </row>
    <row r="491" spans="1:4" ht="15.75">
      <c r="A491" s="24"/>
      <c r="B491" s="34"/>
      <c r="C491" s="623"/>
      <c r="D491" s="3"/>
    </row>
    <row r="492" spans="1:4" ht="16.5" thickBot="1">
      <c r="A492" s="30" t="s">
        <v>258</v>
      </c>
      <c r="B492" s="740" t="s">
        <v>889</v>
      </c>
      <c r="C492" s="818"/>
      <c r="D492" s="730">
        <f>C493+C499+C496</f>
        <v>9220000</v>
      </c>
    </row>
    <row r="493" spans="1:4" ht="16.5" thickTop="1">
      <c r="A493" s="30" t="s">
        <v>477</v>
      </c>
      <c r="B493" s="35" t="s">
        <v>708</v>
      </c>
      <c r="C493" s="624">
        <f>C494</f>
        <v>70000</v>
      </c>
      <c r="D493" s="104"/>
    </row>
    <row r="494" spans="1:6" ht="15.75">
      <c r="A494" s="158" t="s">
        <v>478</v>
      </c>
      <c r="B494" s="34" t="s">
        <v>709</v>
      </c>
      <c r="C494" s="628">
        <v>70000</v>
      </c>
      <c r="D494" s="107"/>
      <c r="F494" s="845">
        <v>26</v>
      </c>
    </row>
    <row r="495" spans="1:4" ht="15.75">
      <c r="A495" s="158"/>
      <c r="B495" s="34"/>
      <c r="C495" s="628"/>
      <c r="D495" s="107"/>
    </row>
    <row r="496" spans="1:4" ht="15.75">
      <c r="A496" s="30" t="s">
        <v>259</v>
      </c>
      <c r="B496" s="35" t="s">
        <v>1027</v>
      </c>
      <c r="C496" s="624">
        <f>C497</f>
        <v>6000000</v>
      </c>
      <c r="D496" s="107"/>
    </row>
    <row r="497" spans="1:6" ht="15.75">
      <c r="A497" s="24" t="s">
        <v>260</v>
      </c>
      <c r="B497" s="34" t="s">
        <v>1029</v>
      </c>
      <c r="C497" s="623">
        <v>6000000</v>
      </c>
      <c r="D497" s="107"/>
      <c r="F497" s="845" t="s">
        <v>1699</v>
      </c>
    </row>
    <row r="498" spans="1:4" ht="15.75">
      <c r="A498" s="158"/>
      <c r="B498" s="34"/>
      <c r="C498" s="628"/>
      <c r="D498" s="107"/>
    </row>
    <row r="499" spans="1:4" ht="15.75">
      <c r="A499" s="30" t="s">
        <v>479</v>
      </c>
      <c r="B499" s="35" t="s">
        <v>906</v>
      </c>
      <c r="C499" s="624">
        <f>SUM(C500:C502)</f>
        <v>3150000</v>
      </c>
      <c r="D499" s="37"/>
    </row>
    <row r="500" spans="1:6" ht="15.75">
      <c r="A500" s="158" t="s">
        <v>1648</v>
      </c>
      <c r="B500" s="34" t="s">
        <v>627</v>
      </c>
      <c r="C500" s="625">
        <v>50000</v>
      </c>
      <c r="D500" s="37"/>
      <c r="F500" s="845">
        <v>26</v>
      </c>
    </row>
    <row r="501" spans="1:6" ht="15.75">
      <c r="A501" s="158" t="s">
        <v>480</v>
      </c>
      <c r="B501" s="34" t="s">
        <v>481</v>
      </c>
      <c r="C501" s="625">
        <v>100000</v>
      </c>
      <c r="D501" s="37"/>
      <c r="F501" s="845">
        <v>26</v>
      </c>
    </row>
    <row r="502" spans="1:6" ht="15.75">
      <c r="A502" s="158" t="s">
        <v>1230</v>
      </c>
      <c r="B502" s="34" t="s">
        <v>1231</v>
      </c>
      <c r="C502" s="625">
        <v>3000000</v>
      </c>
      <c r="D502" s="37"/>
      <c r="F502" s="845" t="s">
        <v>1698</v>
      </c>
    </row>
    <row r="503" spans="1:4" ht="15.75">
      <c r="A503" s="158"/>
      <c r="B503" s="34"/>
      <c r="C503" s="625"/>
      <c r="D503" s="37"/>
    </row>
    <row r="504" spans="1:4" ht="16.5" thickBot="1">
      <c r="A504" s="30" t="s">
        <v>743</v>
      </c>
      <c r="B504" s="740" t="s">
        <v>812</v>
      </c>
      <c r="C504" s="818"/>
      <c r="D504" s="730">
        <f>C505</f>
        <v>18750000</v>
      </c>
    </row>
    <row r="505" spans="1:4" ht="16.5" thickTop="1">
      <c r="A505" s="30" t="s">
        <v>744</v>
      </c>
      <c r="B505" s="35" t="s">
        <v>965</v>
      </c>
      <c r="C505" s="624">
        <f>C506</f>
        <v>18750000</v>
      </c>
      <c r="D505" s="107"/>
    </row>
    <row r="506" spans="1:6" ht="15.75">
      <c r="A506" s="24" t="s">
        <v>745</v>
      </c>
      <c r="B506" s="34" t="s">
        <v>746</v>
      </c>
      <c r="C506" s="623">
        <v>18750000</v>
      </c>
      <c r="D506" s="3"/>
      <c r="F506" s="845">
        <v>27</v>
      </c>
    </row>
    <row r="507" spans="1:4" ht="16.5" thickBot="1">
      <c r="A507" s="24"/>
      <c r="B507" s="34"/>
      <c r="C507" s="3"/>
      <c r="D507" s="3"/>
    </row>
    <row r="508" spans="1:4" ht="16.5" thickBot="1">
      <c r="A508" s="24"/>
      <c r="B508" s="734" t="s">
        <v>747</v>
      </c>
      <c r="C508" s="732"/>
      <c r="D508" s="736">
        <f>D462+D482+D492+D504</f>
        <v>53991386.28129828</v>
      </c>
    </row>
    <row r="509" spans="1:4" ht="15.75">
      <c r="A509" s="24"/>
      <c r="B509" s="106"/>
      <c r="C509" s="106"/>
      <c r="D509" s="107"/>
    </row>
    <row r="510" spans="1:4" ht="16.5" thickBot="1">
      <c r="A510" s="852" t="s">
        <v>1056</v>
      </c>
      <c r="B510" s="852"/>
      <c r="C510" s="852"/>
      <c r="D510" s="852"/>
    </row>
    <row r="511" spans="1:4" ht="16.5" thickBot="1">
      <c r="A511" s="30" t="s">
        <v>1594</v>
      </c>
      <c r="B511" s="729" t="s">
        <v>833</v>
      </c>
      <c r="C511" s="800"/>
      <c r="D511" s="742">
        <f>C512+C515+C520+C525</f>
        <v>7079842.785042709</v>
      </c>
    </row>
    <row r="512" spans="1:4" ht="16.5" thickTop="1">
      <c r="A512" s="25" t="s">
        <v>1595</v>
      </c>
      <c r="B512" s="28" t="s">
        <v>834</v>
      </c>
      <c r="C512" s="523">
        <f>C513</f>
        <v>4227939.648828</v>
      </c>
      <c r="D512" s="800"/>
    </row>
    <row r="513" spans="1:6" ht="15.75">
      <c r="A513" s="158" t="s">
        <v>1596</v>
      </c>
      <c r="B513" t="s">
        <v>835</v>
      </c>
      <c r="C513" s="823">
        <f>+'[5]Calculo de Salarios %'!$H$85</f>
        <v>4227939.648828</v>
      </c>
      <c r="D513" s="800"/>
      <c r="F513" s="845">
        <v>28</v>
      </c>
    </row>
    <row r="514" spans="1:4" ht="15.75">
      <c r="A514" s="24"/>
      <c r="C514" s="824"/>
      <c r="D514" s="800"/>
    </row>
    <row r="515" spans="1:4" ht="15.75">
      <c r="A515" s="30" t="s">
        <v>1597</v>
      </c>
      <c r="B515" s="28" t="s">
        <v>848</v>
      </c>
      <c r="C515" s="825">
        <f>SUM(C516:C518)</f>
        <v>1813982.0038842743</v>
      </c>
      <c r="D515" s="800"/>
    </row>
    <row r="516" spans="1:6" ht="15.75">
      <c r="A516" s="158" t="s">
        <v>1598</v>
      </c>
      <c r="B516" t="s">
        <v>850</v>
      </c>
      <c r="C516" s="823">
        <f>+'[5]Calculo de Salarios %'!$K$85</f>
        <v>1141543.70518356</v>
      </c>
      <c r="D516" s="800"/>
      <c r="F516" s="845">
        <v>28</v>
      </c>
    </row>
    <row r="517" spans="1:6" ht="15.75">
      <c r="A517" s="158" t="s">
        <v>1599</v>
      </c>
      <c r="B517" t="s">
        <v>854</v>
      </c>
      <c r="C517" s="823">
        <f>(C513+C516)/12</f>
        <v>447456.94616762997</v>
      </c>
      <c r="D517" s="800"/>
      <c r="F517" s="845">
        <v>28</v>
      </c>
    </row>
    <row r="518" spans="1:6" ht="15.75">
      <c r="A518" s="158" t="s">
        <v>1600</v>
      </c>
      <c r="B518" t="s">
        <v>1550</v>
      </c>
      <c r="C518" s="823">
        <f>(C513+C516)*4.19%</f>
        <v>224981.3525330844</v>
      </c>
      <c r="D518" s="800"/>
      <c r="F518" s="845">
        <v>28</v>
      </c>
    </row>
    <row r="519" spans="1:4" ht="15.75">
      <c r="A519" s="800"/>
      <c r="B519" s="800"/>
      <c r="C519" s="824"/>
      <c r="D519" s="800"/>
    </row>
    <row r="520" spans="1:4" ht="15.75">
      <c r="A520" s="30" t="s">
        <v>1601</v>
      </c>
      <c r="B520" s="28" t="s">
        <v>856</v>
      </c>
      <c r="C520" s="822">
        <f>SUM(C522:C523)</f>
        <v>796294.3813999144</v>
      </c>
      <c r="D520" s="800"/>
    </row>
    <row r="521" spans="1:4" ht="15.75">
      <c r="A521" s="24"/>
      <c r="B521" s="31" t="s">
        <v>857</v>
      </c>
      <c r="C521" s="824"/>
      <c r="D521" s="800"/>
    </row>
    <row r="522" spans="1:6" ht="15.75">
      <c r="A522" s="158" t="s">
        <v>1602</v>
      </c>
      <c r="B522" t="s">
        <v>859</v>
      </c>
      <c r="C522" s="823">
        <f>(C513+C516)*14.33%</f>
        <v>769446.9646298566</v>
      </c>
      <c r="D522" s="800"/>
      <c r="F522" s="845">
        <v>28</v>
      </c>
    </row>
    <row r="523" spans="1:6" ht="15.75">
      <c r="A523" s="158" t="s">
        <v>1603</v>
      </c>
      <c r="B523" t="s">
        <v>861</v>
      </c>
      <c r="C523" s="823">
        <f>(C513+C516)*0.5%</f>
        <v>26847.4167700578</v>
      </c>
      <c r="D523" s="800"/>
      <c r="F523" s="845">
        <v>28</v>
      </c>
    </row>
    <row r="524" spans="1:4" ht="15.75">
      <c r="A524" s="24"/>
      <c r="C524" s="824"/>
      <c r="D524" s="800"/>
    </row>
    <row r="525" spans="1:4" ht="15.75">
      <c r="A525" s="30" t="s">
        <v>1604</v>
      </c>
      <c r="B525" s="28" t="s">
        <v>863</v>
      </c>
      <c r="C525" s="822">
        <f>SUM(C527:C528)</f>
        <v>241626.75093052018</v>
      </c>
      <c r="D525" s="800"/>
    </row>
    <row r="526" spans="1:4" ht="15.75">
      <c r="A526" s="30"/>
      <c r="B526" s="31" t="s">
        <v>864</v>
      </c>
      <c r="C526" s="823"/>
      <c r="D526" s="800"/>
    </row>
    <row r="527" spans="1:6" ht="15.75">
      <c r="A527" s="158" t="s">
        <v>1605</v>
      </c>
      <c r="B527" s="33" t="s">
        <v>1406</v>
      </c>
      <c r="C527" s="823">
        <f>(C513+C516)*1.5%</f>
        <v>80542.25031017339</v>
      </c>
      <c r="D527" s="800"/>
      <c r="F527" s="845">
        <v>28</v>
      </c>
    </row>
    <row r="528" spans="1:6" ht="15.75">
      <c r="A528" s="158" t="s">
        <v>1606</v>
      </c>
      <c r="B528" t="s">
        <v>866</v>
      </c>
      <c r="C528" s="823">
        <f>(C513+C516)*3%</f>
        <v>161084.50062034678</v>
      </c>
      <c r="D528" s="800"/>
      <c r="F528" s="845">
        <v>28</v>
      </c>
    </row>
    <row r="529" spans="1:4" ht="15.75">
      <c r="A529" s="800"/>
      <c r="B529" s="800"/>
      <c r="C529" s="824"/>
      <c r="D529" s="800"/>
    </row>
    <row r="530" spans="1:4" ht="16.5" thickBot="1">
      <c r="A530" s="30" t="s">
        <v>1057</v>
      </c>
      <c r="B530" s="729" t="s">
        <v>867</v>
      </c>
      <c r="C530" s="628"/>
      <c r="D530" s="730">
        <f>C531+C534+C541+C538</f>
        <v>2686286.3200000003</v>
      </c>
    </row>
    <row r="531" spans="1:4" ht="16.5" thickTop="1">
      <c r="A531" s="30" t="s">
        <v>1607</v>
      </c>
      <c r="B531" s="28" t="s">
        <v>869</v>
      </c>
      <c r="C531" s="818">
        <f>C532</f>
        <v>600000</v>
      </c>
      <c r="D531" s="104"/>
    </row>
    <row r="532" spans="1:6" ht="15.75">
      <c r="A532" s="158" t="s">
        <v>1608</v>
      </c>
      <c r="B532" s="34" t="s">
        <v>990</v>
      </c>
      <c r="C532" s="628">
        <v>600000</v>
      </c>
      <c r="D532" s="104"/>
      <c r="F532" s="845">
        <v>28</v>
      </c>
    </row>
    <row r="533" spans="1:4" ht="15.75">
      <c r="A533" s="158"/>
      <c r="B533" s="34"/>
      <c r="C533" s="628"/>
      <c r="D533" s="104"/>
    </row>
    <row r="534" spans="1:4" ht="15.75">
      <c r="A534" s="30" t="s">
        <v>1609</v>
      </c>
      <c r="B534" s="28" t="s">
        <v>736</v>
      </c>
      <c r="C534" s="624">
        <f>C535</f>
        <v>100000</v>
      </c>
      <c r="D534" s="104"/>
    </row>
    <row r="535" spans="1:6" ht="15.75">
      <c r="A535" s="158" t="s">
        <v>1610</v>
      </c>
      <c r="B535" s="33" t="s">
        <v>987</v>
      </c>
      <c r="C535" s="628">
        <v>100000</v>
      </c>
      <c r="D535" s="104"/>
      <c r="F535" s="845">
        <v>28</v>
      </c>
    </row>
    <row r="536" spans="1:4" ht="15.75">
      <c r="A536" s="158"/>
      <c r="B536" s="33"/>
      <c r="C536" s="628"/>
      <c r="D536" s="104"/>
    </row>
    <row r="537" spans="1:4" ht="15.75">
      <c r="A537" s="158"/>
      <c r="B537" s="34"/>
      <c r="C537" s="628"/>
      <c r="D537" s="104"/>
    </row>
    <row r="538" spans="1:4" ht="15.75">
      <c r="A538" s="30" t="s">
        <v>1361</v>
      </c>
      <c r="B538" s="28" t="s">
        <v>885</v>
      </c>
      <c r="C538" s="624">
        <f>C539</f>
        <v>1961286.32</v>
      </c>
      <c r="D538" s="107"/>
    </row>
    <row r="539" spans="1:6" ht="15.75">
      <c r="A539" s="158" t="s">
        <v>1362</v>
      </c>
      <c r="B539" s="34" t="s">
        <v>1363</v>
      </c>
      <c r="C539" s="628">
        <v>1961286.32</v>
      </c>
      <c r="D539" s="107"/>
      <c r="F539" s="845">
        <v>28</v>
      </c>
    </row>
    <row r="540" spans="1:4" ht="15.75">
      <c r="A540" s="158"/>
      <c r="B540" s="34"/>
      <c r="C540" s="628"/>
      <c r="D540" s="107"/>
    </row>
    <row r="541" spans="1:4" ht="15.75">
      <c r="A541" s="26" t="s">
        <v>1611</v>
      </c>
      <c r="B541" s="28" t="s">
        <v>1002</v>
      </c>
      <c r="C541" s="624">
        <f>C542</f>
        <v>25000</v>
      </c>
      <c r="D541" s="107"/>
    </row>
    <row r="542" spans="1:6" ht="15.75">
      <c r="A542" s="33" t="s">
        <v>1612</v>
      </c>
      <c r="B542" t="s">
        <v>1004</v>
      </c>
      <c r="C542" s="628">
        <v>25000</v>
      </c>
      <c r="D542" s="107"/>
      <c r="F542" s="845">
        <v>28</v>
      </c>
    </row>
    <row r="543" spans="1:4" ht="15.75">
      <c r="A543" s="69"/>
      <c r="B543" s="106"/>
      <c r="C543" s="817"/>
      <c r="D543" s="107"/>
    </row>
    <row r="544" spans="1:4" ht="16.5" thickBot="1">
      <c r="A544" s="30" t="s">
        <v>1344</v>
      </c>
      <c r="B544" s="740" t="s">
        <v>889</v>
      </c>
      <c r="C544" s="818"/>
      <c r="D544" s="730">
        <f>C545+C550+C554</f>
        <v>570000</v>
      </c>
    </row>
    <row r="545" spans="1:4" ht="16.5" thickTop="1">
      <c r="A545" s="30" t="s">
        <v>1504</v>
      </c>
      <c r="B545" s="35" t="s">
        <v>891</v>
      </c>
      <c r="C545" s="624">
        <f>SUM(C546:C548)</f>
        <v>170000</v>
      </c>
      <c r="D545" s="104"/>
    </row>
    <row r="546" spans="1:6" ht="15.75">
      <c r="A546" s="158" t="s">
        <v>1505</v>
      </c>
      <c r="B546" s="34" t="s">
        <v>607</v>
      </c>
      <c r="C546" s="628">
        <v>120000</v>
      </c>
      <c r="D546" s="104"/>
      <c r="F546" s="845">
        <v>28</v>
      </c>
    </row>
    <row r="547" spans="1:6" ht="15.75">
      <c r="A547" s="158" t="s">
        <v>1506</v>
      </c>
      <c r="B547" s="34" t="s">
        <v>1304</v>
      </c>
      <c r="C547" s="628">
        <v>25000</v>
      </c>
      <c r="D547" s="104"/>
      <c r="F547" s="845">
        <v>28</v>
      </c>
    </row>
    <row r="548" spans="1:6" ht="15.75">
      <c r="A548" s="158" t="s">
        <v>1613</v>
      </c>
      <c r="B548" s="34" t="s">
        <v>1614</v>
      </c>
      <c r="C548" s="628">
        <v>25000</v>
      </c>
      <c r="D548" s="104"/>
      <c r="F548" s="845">
        <v>28</v>
      </c>
    </row>
    <row r="549" spans="1:4" ht="15.75">
      <c r="A549" s="30"/>
      <c r="B549" s="779"/>
      <c r="C549" s="818"/>
      <c r="D549" s="104"/>
    </row>
    <row r="550" spans="1:4" ht="15.75">
      <c r="A550" s="30" t="s">
        <v>1345</v>
      </c>
      <c r="B550" s="28" t="s">
        <v>1224</v>
      </c>
      <c r="C550" s="624">
        <f>C551+C552</f>
        <v>120000</v>
      </c>
      <c r="D550" s="107"/>
    </row>
    <row r="551" spans="1:6" ht="15.75">
      <c r="A551" s="158" t="s">
        <v>1346</v>
      </c>
      <c r="B551" s="36" t="s">
        <v>215</v>
      </c>
      <c r="C551" s="625">
        <v>100000</v>
      </c>
      <c r="D551" s="107"/>
      <c r="F551" s="845">
        <v>28</v>
      </c>
    </row>
    <row r="552" spans="1:6" ht="15.75">
      <c r="A552" s="158" t="s">
        <v>1615</v>
      </c>
      <c r="B552" s="34" t="s">
        <v>1025</v>
      </c>
      <c r="C552" s="625">
        <v>20000</v>
      </c>
      <c r="D552" s="107"/>
      <c r="F552" s="845">
        <v>28</v>
      </c>
    </row>
    <row r="553" spans="1:4" ht="15.75">
      <c r="A553" s="158"/>
      <c r="B553" s="36"/>
      <c r="C553" s="625"/>
      <c r="D553" s="107"/>
    </row>
    <row r="554" spans="1:4" ht="15.75">
      <c r="A554" s="30" t="s">
        <v>1347</v>
      </c>
      <c r="B554" s="28" t="s">
        <v>906</v>
      </c>
      <c r="C554" s="624">
        <f>C555+C556+C557+C558</f>
        <v>280000</v>
      </c>
      <c r="D554" s="107"/>
    </row>
    <row r="555" spans="1:6" ht="15.75">
      <c r="A555" s="158" t="s">
        <v>1616</v>
      </c>
      <c r="B555" s="36" t="s">
        <v>1233</v>
      </c>
      <c r="C555" s="625">
        <v>50000</v>
      </c>
      <c r="D555" s="107"/>
      <c r="F555" s="845">
        <v>28</v>
      </c>
    </row>
    <row r="556" spans="1:6" ht="15.75">
      <c r="A556" s="158" t="s">
        <v>1348</v>
      </c>
      <c r="B556" s="36" t="s">
        <v>205</v>
      </c>
      <c r="C556" s="625">
        <v>100000</v>
      </c>
      <c r="D556" s="107"/>
      <c r="F556" s="845">
        <v>28</v>
      </c>
    </row>
    <row r="557" spans="1:6" ht="15.75">
      <c r="A557" s="158" t="s">
        <v>1349</v>
      </c>
      <c r="B557" s="34" t="s">
        <v>9</v>
      </c>
      <c r="C557" s="625">
        <v>100000</v>
      </c>
      <c r="D557" s="107"/>
      <c r="F557" s="845">
        <v>28</v>
      </c>
    </row>
    <row r="558" spans="1:6" ht="15.75">
      <c r="A558" s="158" t="s">
        <v>1507</v>
      </c>
      <c r="B558" s="34" t="s">
        <v>238</v>
      </c>
      <c r="C558" s="625">
        <v>30000</v>
      </c>
      <c r="D558" s="107"/>
      <c r="F558" s="845">
        <v>28</v>
      </c>
    </row>
    <row r="559" spans="1:4" ht="15.75">
      <c r="A559" s="158"/>
      <c r="B559" s="34"/>
      <c r="C559" s="625"/>
      <c r="D559" s="107"/>
    </row>
    <row r="560" spans="1:4" ht="16.5" thickBot="1">
      <c r="A560" s="26" t="s">
        <v>1617</v>
      </c>
      <c r="B560" s="729" t="s">
        <v>914</v>
      </c>
      <c r="C560" s="625"/>
      <c r="D560" s="730">
        <f>C561</f>
        <v>250000</v>
      </c>
    </row>
    <row r="561" spans="1:4" ht="16.5" thickTop="1">
      <c r="A561" s="28" t="s">
        <v>1618</v>
      </c>
      <c r="B561" s="28" t="s">
        <v>757</v>
      </c>
      <c r="C561" s="826">
        <f>C562</f>
        <v>250000</v>
      </c>
      <c r="D561" s="107"/>
    </row>
    <row r="562" spans="1:6" ht="15.75">
      <c r="A562" s="33" t="s">
        <v>1619</v>
      </c>
      <c r="B562" t="s">
        <v>12</v>
      </c>
      <c r="C562" s="625">
        <v>250000</v>
      </c>
      <c r="D562" s="107"/>
      <c r="F562" s="845">
        <v>28</v>
      </c>
    </row>
    <row r="563" spans="1:4" ht="16.5" thickBot="1">
      <c r="A563" s="158"/>
      <c r="B563" s="36"/>
      <c r="C563" s="625"/>
      <c r="D563" s="107"/>
    </row>
    <row r="564" spans="1:4" ht="16.5" thickBot="1">
      <c r="A564" s="158"/>
      <c r="B564" s="734" t="s">
        <v>1058</v>
      </c>
      <c r="C564" s="732"/>
      <c r="D564" s="736">
        <f>+D511+D530+D544+D560</f>
        <v>10586129.105042709</v>
      </c>
    </row>
    <row r="565" spans="1:4" ht="15.75">
      <c r="A565" s="158"/>
      <c r="B565" s="103"/>
      <c r="C565" s="103"/>
      <c r="D565" s="652"/>
    </row>
    <row r="566" spans="1:4" ht="16.5" thickBot="1">
      <c r="A566" s="852" t="s">
        <v>749</v>
      </c>
      <c r="B566" s="852"/>
      <c r="C566" s="852"/>
      <c r="D566" s="852"/>
    </row>
    <row r="567" spans="1:4" ht="16.5" thickBot="1">
      <c r="A567" s="208" t="s">
        <v>1453</v>
      </c>
      <c r="B567" s="737" t="s">
        <v>867</v>
      </c>
      <c r="C567" s="756"/>
      <c r="D567" s="742">
        <f>C568+C571</f>
        <v>500000</v>
      </c>
    </row>
    <row r="568" spans="1:4" ht="16.5" thickTop="1">
      <c r="A568" s="208" t="s">
        <v>1454</v>
      </c>
      <c r="B568" s="210" t="s">
        <v>982</v>
      </c>
      <c r="C568" s="822">
        <f>C569</f>
        <v>200000</v>
      </c>
      <c r="D568" s="209"/>
    </row>
    <row r="569" spans="1:6" ht="15.75">
      <c r="A569" s="211" t="s">
        <v>1455</v>
      </c>
      <c r="B569" s="211" t="s">
        <v>707</v>
      </c>
      <c r="C569" s="823">
        <v>200000</v>
      </c>
      <c r="D569" s="209"/>
      <c r="F569" s="845">
        <v>29</v>
      </c>
    </row>
    <row r="570" spans="1:4" ht="15.75">
      <c r="A570" s="211"/>
      <c r="B570" s="211"/>
      <c r="C570" s="823"/>
      <c r="D570" s="209"/>
    </row>
    <row r="571" spans="1:4" ht="15.75">
      <c r="A571" s="208" t="s">
        <v>1456</v>
      </c>
      <c r="B571" s="210" t="s">
        <v>994</v>
      </c>
      <c r="C571" s="822">
        <f>C572</f>
        <v>300000</v>
      </c>
      <c r="D571" s="209"/>
    </row>
    <row r="572" spans="1:6" ht="15.75">
      <c r="A572" s="211" t="s">
        <v>1457</v>
      </c>
      <c r="B572" s="211" t="s">
        <v>196</v>
      </c>
      <c r="C572" s="823">
        <v>300000</v>
      </c>
      <c r="D572" s="209"/>
      <c r="F572" s="845">
        <v>29</v>
      </c>
    </row>
    <row r="573" spans="1:4" ht="15.75">
      <c r="A573" s="211"/>
      <c r="B573" s="211"/>
      <c r="C573" s="823"/>
      <c r="D573" s="209"/>
    </row>
    <row r="574" spans="1:4" ht="16.5" thickBot="1">
      <c r="A574" s="30" t="s">
        <v>1350</v>
      </c>
      <c r="B574" s="729" t="s">
        <v>889</v>
      </c>
      <c r="C574" s="628"/>
      <c r="D574" s="730">
        <f>+C575+C579</f>
        <v>34000</v>
      </c>
    </row>
    <row r="575" spans="1:3" ht="16.5" thickTop="1">
      <c r="A575" s="26" t="s">
        <v>1458</v>
      </c>
      <c r="B575" s="35" t="s">
        <v>1021</v>
      </c>
      <c r="C575" s="624">
        <f>C576</f>
        <v>12000</v>
      </c>
    </row>
    <row r="576" spans="1:6" ht="15.75">
      <c r="A576" s="33" t="s">
        <v>1459</v>
      </c>
      <c r="B576" s="34" t="s">
        <v>215</v>
      </c>
      <c r="C576" s="625">
        <v>12000</v>
      </c>
      <c r="F576" s="845">
        <v>29</v>
      </c>
    </row>
    <row r="577" spans="1:3" ht="15.75">
      <c r="A577" s="33"/>
      <c r="B577" s="34"/>
      <c r="C577" s="625"/>
    </row>
    <row r="578" spans="1:3" ht="15.75">
      <c r="A578" s="33"/>
      <c r="B578" s="34"/>
      <c r="C578" s="625"/>
    </row>
    <row r="579" spans="1:3" ht="15.75">
      <c r="A579" s="26" t="s">
        <v>1460</v>
      </c>
      <c r="B579" s="35" t="s">
        <v>1461</v>
      </c>
      <c r="C579" s="624">
        <f>C580</f>
        <v>22000</v>
      </c>
    </row>
    <row r="580" spans="1:6" ht="15.75">
      <c r="A580" s="33" t="s">
        <v>1462</v>
      </c>
      <c r="B580" s="34" t="s">
        <v>1463</v>
      </c>
      <c r="C580" s="625">
        <v>22000</v>
      </c>
      <c r="F580" s="845">
        <v>29</v>
      </c>
    </row>
    <row r="581" spans="1:3" ht="16.5" thickBot="1">
      <c r="A581" s="33"/>
      <c r="B581" s="34"/>
      <c r="C581" s="625"/>
    </row>
    <row r="582" spans="2:4" ht="16.5" thickBot="1">
      <c r="B582" s="75" t="s">
        <v>750</v>
      </c>
      <c r="C582" s="73"/>
      <c r="D582" s="645">
        <f>D567+D574</f>
        <v>534000</v>
      </c>
    </row>
    <row r="583" spans="2:4" ht="15.75">
      <c r="B583" s="106"/>
      <c r="C583" s="106"/>
      <c r="D583" s="107"/>
    </row>
    <row r="584" spans="1:4" ht="16.5" thickBot="1">
      <c r="A584" s="852" t="s">
        <v>55</v>
      </c>
      <c r="B584" s="852"/>
      <c r="C584" s="852"/>
      <c r="D584" s="852"/>
    </row>
    <row r="585" spans="1:4" ht="16.5" thickBot="1">
      <c r="A585" s="26" t="s">
        <v>240</v>
      </c>
      <c r="B585" s="740" t="s">
        <v>889</v>
      </c>
      <c r="C585" s="104"/>
      <c r="D585" s="730">
        <f>C586+C592+C589</f>
        <v>1240000</v>
      </c>
    </row>
    <row r="586" spans="1:4" ht="16.5" thickTop="1">
      <c r="A586" s="26" t="s">
        <v>241</v>
      </c>
      <c r="B586" s="35" t="s">
        <v>1027</v>
      </c>
      <c r="C586" s="29">
        <f>C587</f>
        <v>750000</v>
      </c>
      <c r="D586" s="103"/>
    </row>
    <row r="587" spans="1:6" ht="15.75">
      <c r="A587" s="33" t="s">
        <v>242</v>
      </c>
      <c r="B587" s="34" t="s">
        <v>243</v>
      </c>
      <c r="C587" s="625">
        <v>750000</v>
      </c>
      <c r="F587" s="845">
        <v>30</v>
      </c>
    </row>
    <row r="588" spans="1:3" ht="15.75">
      <c r="A588" s="33"/>
      <c r="B588" s="34"/>
      <c r="C588" s="625"/>
    </row>
    <row r="589" spans="1:3" ht="15.75">
      <c r="A589" s="26" t="s">
        <v>1352</v>
      </c>
      <c r="B589" s="35" t="s">
        <v>1353</v>
      </c>
      <c r="C589" s="29">
        <f>C590</f>
        <v>200000</v>
      </c>
    </row>
    <row r="590" spans="1:6" ht="15.75">
      <c r="A590" s="33" t="s">
        <v>1354</v>
      </c>
      <c r="B590" s="34" t="s">
        <v>209</v>
      </c>
      <c r="C590" s="625">
        <v>200000</v>
      </c>
      <c r="F590" s="845">
        <v>30</v>
      </c>
    </row>
    <row r="591" spans="1:3" ht="15.75">
      <c r="A591" s="33"/>
      <c r="B591" s="34"/>
      <c r="C591" s="625"/>
    </row>
    <row r="592" spans="1:3" ht="15.75">
      <c r="A592" s="26" t="s">
        <v>512</v>
      </c>
      <c r="B592" s="35" t="s">
        <v>906</v>
      </c>
      <c r="C592" s="29">
        <f>SUM(C593:C594)</f>
        <v>290000</v>
      </c>
    </row>
    <row r="593" spans="1:6" ht="15.75">
      <c r="A593" s="33" t="s">
        <v>1469</v>
      </c>
      <c r="B593" s="34" t="s">
        <v>481</v>
      </c>
      <c r="C593" s="37">
        <v>250000</v>
      </c>
      <c r="F593" s="845">
        <v>30</v>
      </c>
    </row>
    <row r="594" spans="1:6" ht="15.75">
      <c r="A594" s="33" t="s">
        <v>1232</v>
      </c>
      <c r="B594" s="34" t="s">
        <v>1233</v>
      </c>
      <c r="C594" s="625">
        <v>40000</v>
      </c>
      <c r="F594" s="845">
        <v>30</v>
      </c>
    </row>
    <row r="595" spans="1:3" ht="16.5" thickBot="1">
      <c r="A595" s="33"/>
      <c r="B595" s="34"/>
      <c r="C595" s="625"/>
    </row>
    <row r="596" spans="2:4" ht="16.5" thickBot="1">
      <c r="B596" s="734" t="s">
        <v>56</v>
      </c>
      <c r="C596" s="732"/>
      <c r="D596" s="736">
        <f>+D585</f>
        <v>1240000</v>
      </c>
    </row>
    <row r="597" spans="2:4" ht="15.75">
      <c r="B597" s="106"/>
      <c r="C597" s="106"/>
      <c r="D597" s="107"/>
    </row>
    <row r="598" spans="2:4" ht="15.75">
      <c r="B598" s="106"/>
      <c r="C598" s="106"/>
      <c r="D598" s="107"/>
    </row>
    <row r="599" spans="1:4" ht="16.5" thickBot="1">
      <c r="A599" s="852" t="s">
        <v>224</v>
      </c>
      <c r="B599" s="852"/>
      <c r="C599" s="852"/>
      <c r="D599" s="852"/>
    </row>
    <row r="600" spans="1:4" ht="15.75">
      <c r="A600" s="496"/>
      <c r="B600" s="496"/>
      <c r="C600" s="496"/>
      <c r="D600" s="496"/>
    </row>
    <row r="601" spans="1:4" ht="16.5" thickBot="1">
      <c r="A601" s="30" t="s">
        <v>225</v>
      </c>
      <c r="B601" s="729" t="s">
        <v>867</v>
      </c>
      <c r="C601" s="157"/>
      <c r="D601" s="730">
        <f>+C602</f>
        <v>1000000</v>
      </c>
    </row>
    <row r="602" spans="1:3" ht="16.5" thickTop="1">
      <c r="A602" s="26" t="s">
        <v>226</v>
      </c>
      <c r="B602" s="35" t="s">
        <v>879</v>
      </c>
      <c r="C602" s="29">
        <f>C603</f>
        <v>1000000</v>
      </c>
    </row>
    <row r="603" spans="1:6" ht="15.75">
      <c r="A603" s="33" t="s">
        <v>227</v>
      </c>
      <c r="B603" s="34" t="s">
        <v>987</v>
      </c>
      <c r="C603" s="625">
        <v>1000000</v>
      </c>
      <c r="F603" s="845">
        <v>31</v>
      </c>
    </row>
    <row r="604" ht="16.5" thickBot="1"/>
    <row r="605" spans="2:4" ht="16.5" thickBot="1">
      <c r="B605" s="734" t="s">
        <v>1257</v>
      </c>
      <c r="C605" s="732"/>
      <c r="D605" s="736">
        <f>D601</f>
        <v>1000000</v>
      </c>
    </row>
    <row r="606" spans="1:5" ht="16.5" thickBot="1">
      <c r="A606" s="19"/>
      <c r="B606" s="73"/>
      <c r="C606" s="73"/>
      <c r="D606" s="108"/>
      <c r="E606" s="19"/>
    </row>
    <row r="607" spans="2:4" ht="16.5" thickBot="1">
      <c r="B607" s="734" t="s">
        <v>1044</v>
      </c>
      <c r="C607" s="732"/>
      <c r="D607" s="733">
        <f>D193+D228+D308+D350+D452+D459+D508+D564+D582+D596+D605</f>
        <v>692388157.4166906</v>
      </c>
    </row>
    <row r="609" ht="15.75">
      <c r="E609" s="3"/>
    </row>
  </sheetData>
  <sheetProtection/>
  <mergeCells count="14">
    <mergeCell ref="A1:D1"/>
    <mergeCell ref="A2:D2"/>
    <mergeCell ref="A3:D3"/>
    <mergeCell ref="A195:D195"/>
    <mergeCell ref="A230:D230"/>
    <mergeCell ref="A310:D310"/>
    <mergeCell ref="A181:D181"/>
    <mergeCell ref="A584:D584"/>
    <mergeCell ref="A461:D461"/>
    <mergeCell ref="A566:D566"/>
    <mergeCell ref="A510:D510"/>
    <mergeCell ref="A599:D599"/>
    <mergeCell ref="A352:D352"/>
    <mergeCell ref="A454:D454"/>
  </mergeCells>
  <printOptions/>
  <pageMargins left="0.3937007874015748" right="0.3937007874015748" top="0.1968503937007874" bottom="0.1968503937007874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12">
      <selection activeCell="F136" sqref="F136"/>
    </sheetView>
  </sheetViews>
  <sheetFormatPr defaultColWidth="11.421875" defaultRowHeight="12.75"/>
  <cols>
    <col min="1" max="1" width="15.7109375" style="0" customWidth="1"/>
    <col min="2" max="2" width="45.7109375" style="0" customWidth="1"/>
    <col min="3" max="4" width="15.7109375" style="0" customWidth="1"/>
    <col min="6" max="6" width="11.421875" style="845" customWidth="1"/>
  </cols>
  <sheetData>
    <row r="1" spans="1:4" ht="18">
      <c r="A1" s="847" t="s">
        <v>823</v>
      </c>
      <c r="B1" s="847"/>
      <c r="C1" s="847"/>
      <c r="D1" s="847"/>
    </row>
    <row r="2" spans="1:4" ht="18">
      <c r="A2" s="847" t="s">
        <v>1572</v>
      </c>
      <c r="B2" s="847"/>
      <c r="C2" s="847"/>
      <c r="D2" s="847"/>
    </row>
    <row r="3" spans="1:4" ht="16.5" thickBot="1">
      <c r="A3" s="849" t="s">
        <v>1045</v>
      </c>
      <c r="B3" s="849"/>
      <c r="C3" s="849"/>
      <c r="D3" s="849"/>
    </row>
    <row r="4" spans="1:4" ht="16.5" thickBot="1">
      <c r="A4" s="30" t="s">
        <v>955</v>
      </c>
      <c r="B4" s="729" t="s">
        <v>833</v>
      </c>
      <c r="C4" s="36"/>
      <c r="D4" s="730">
        <f>C5+C8+C11+C17+C22</f>
        <v>27839161.61925136</v>
      </c>
    </row>
    <row r="5" spans="1:4" ht="16.5" thickTop="1">
      <c r="A5" s="25" t="s">
        <v>956</v>
      </c>
      <c r="B5" s="28" t="s">
        <v>834</v>
      </c>
      <c r="C5" s="29">
        <f>C6</f>
        <v>14707072.238783402</v>
      </c>
      <c r="D5" s="19"/>
    </row>
    <row r="6" spans="1:4" ht="15.75">
      <c r="A6" s="24" t="s">
        <v>957</v>
      </c>
      <c r="B6" t="s">
        <v>835</v>
      </c>
      <c r="C6" s="20">
        <f>C65</f>
        <v>14707072.238783402</v>
      </c>
      <c r="D6" s="19"/>
    </row>
    <row r="7" spans="1:4" ht="15.75">
      <c r="A7" s="24"/>
      <c r="C7" s="20"/>
      <c r="D7" s="19"/>
    </row>
    <row r="8" spans="1:4" ht="15.75">
      <c r="A8" s="30" t="s">
        <v>1579</v>
      </c>
      <c r="B8" s="28" t="s">
        <v>837</v>
      </c>
      <c r="C8" s="29">
        <f>C9</f>
        <v>500000</v>
      </c>
      <c r="D8" s="19"/>
    </row>
    <row r="9" spans="1:4" ht="15.75">
      <c r="A9" s="158" t="s">
        <v>1580</v>
      </c>
      <c r="B9" t="s">
        <v>839</v>
      </c>
      <c r="C9" s="20">
        <f>C68</f>
        <v>500000</v>
      </c>
      <c r="D9" s="19"/>
    </row>
    <row r="10" spans="1:4" ht="15.75">
      <c r="A10" s="209"/>
      <c r="B10" s="209"/>
      <c r="C10" s="19"/>
      <c r="D10" s="19"/>
    </row>
    <row r="11" spans="1:4" ht="15.75">
      <c r="A11" s="30" t="s">
        <v>958</v>
      </c>
      <c r="B11" s="28" t="s">
        <v>848</v>
      </c>
      <c r="C11" s="29">
        <f>SUM(C12:C15)</f>
        <v>8405759.638954384</v>
      </c>
      <c r="D11" s="19"/>
    </row>
    <row r="12" spans="1:4" ht="15.75">
      <c r="A12" s="158" t="s">
        <v>1267</v>
      </c>
      <c r="B12" s="36" t="s">
        <v>532</v>
      </c>
      <c r="C12" s="37">
        <f>C71</f>
        <v>1363932.686004336</v>
      </c>
      <c r="D12" s="19"/>
    </row>
    <row r="13" spans="1:4" ht="15.75">
      <c r="A13" s="158" t="s">
        <v>1365</v>
      </c>
      <c r="B13" s="36" t="s">
        <v>1366</v>
      </c>
      <c r="C13" s="37">
        <f>C72</f>
        <v>4413826.55704221</v>
      </c>
      <c r="D13" s="19"/>
    </row>
    <row r="14" spans="1:4" ht="15.75">
      <c r="A14" s="24" t="s">
        <v>959</v>
      </c>
      <c r="B14" t="s">
        <v>854</v>
      </c>
      <c r="C14" s="20">
        <f>C73</f>
        <v>1748735.9568191625</v>
      </c>
      <c r="D14" s="19"/>
    </row>
    <row r="15" spans="1:4" ht="15.75">
      <c r="A15" s="24" t="s">
        <v>1559</v>
      </c>
      <c r="B15" t="s">
        <v>1550</v>
      </c>
      <c r="C15" s="20">
        <f>C74</f>
        <v>879264.439088675</v>
      </c>
      <c r="D15" s="19"/>
    </row>
    <row r="16" spans="1:4" ht="15.75">
      <c r="A16" s="209"/>
      <c r="B16" s="209"/>
      <c r="C16" s="19"/>
      <c r="D16" s="19"/>
    </row>
    <row r="17" spans="1:4" ht="15.75">
      <c r="A17" s="30" t="s">
        <v>960</v>
      </c>
      <c r="B17" s="28" t="s">
        <v>856</v>
      </c>
      <c r="C17" s="29">
        <f>C19+C20</f>
        <v>3242445.4250722323</v>
      </c>
      <c r="D17" s="19"/>
    </row>
    <row r="18" spans="1:4" ht="15.75">
      <c r="A18" s="24"/>
      <c r="B18" s="31" t="s">
        <v>857</v>
      </c>
      <c r="C18" s="19"/>
      <c r="D18" s="19"/>
    </row>
    <row r="19" spans="1:4" ht="15.75">
      <c r="A19" s="24" t="s">
        <v>961</v>
      </c>
      <c r="B19" t="s">
        <v>859</v>
      </c>
      <c r="C19" s="20">
        <f>C78</f>
        <v>3133124.9454676392</v>
      </c>
      <c r="D19" s="19"/>
    </row>
    <row r="20" spans="1:4" ht="15.75">
      <c r="A20" s="24" t="s">
        <v>962</v>
      </c>
      <c r="B20" t="s">
        <v>861</v>
      </c>
      <c r="C20" s="20">
        <f>C79</f>
        <v>109320.47960459313</v>
      </c>
      <c r="D20" s="19"/>
    </row>
    <row r="21" spans="1:4" ht="15.75">
      <c r="A21" s="24"/>
      <c r="C21" s="19"/>
      <c r="D21" s="19"/>
    </row>
    <row r="22" spans="1:4" ht="15.75">
      <c r="A22" s="30" t="s">
        <v>963</v>
      </c>
      <c r="B22" s="28" t="s">
        <v>863</v>
      </c>
      <c r="C22" s="29">
        <f>C24+C25</f>
        <v>983884.3164413382</v>
      </c>
      <c r="D22" s="19"/>
    </row>
    <row r="23" spans="1:4" ht="15.75">
      <c r="A23" s="30"/>
      <c r="B23" s="31" t="s">
        <v>864</v>
      </c>
      <c r="C23" s="19"/>
      <c r="D23" s="19"/>
    </row>
    <row r="24" spans="1:4" ht="15.75">
      <c r="A24" s="158" t="s">
        <v>1414</v>
      </c>
      <c r="B24" s="33" t="s">
        <v>1406</v>
      </c>
      <c r="C24" s="20">
        <f>C83</f>
        <v>327961.4388137794</v>
      </c>
      <c r="D24" s="19"/>
    </row>
    <row r="25" spans="1:4" ht="15.75">
      <c r="A25" s="24" t="s">
        <v>964</v>
      </c>
      <c r="B25" t="s">
        <v>866</v>
      </c>
      <c r="C25" s="20">
        <f>C84</f>
        <v>655922.8776275588</v>
      </c>
      <c r="D25" s="19"/>
    </row>
    <row r="26" spans="1:4" ht="15.75">
      <c r="A26" s="24"/>
      <c r="C26" s="20"/>
      <c r="D26" s="19"/>
    </row>
    <row r="27" spans="1:4" ht="16.5" thickBot="1">
      <c r="A27" s="30">
        <v>3.1</v>
      </c>
      <c r="B27" s="729" t="s">
        <v>867</v>
      </c>
      <c r="C27" s="27"/>
      <c r="D27" s="730">
        <f>+C32+C28+C35</f>
        <v>105487631.97</v>
      </c>
    </row>
    <row r="28" spans="1:4" ht="16.5" thickTop="1">
      <c r="A28" s="30" t="s">
        <v>1355</v>
      </c>
      <c r="B28" s="28" t="s">
        <v>879</v>
      </c>
      <c r="C28" s="29">
        <f>+C30+C29</f>
        <v>105000000</v>
      </c>
      <c r="D28" s="107"/>
    </row>
    <row r="29" spans="1:4" ht="15.75">
      <c r="A29" s="158" t="s">
        <v>1510</v>
      </c>
      <c r="B29" s="36" t="s">
        <v>1288</v>
      </c>
      <c r="C29" s="37">
        <f>C88</f>
        <v>15000000</v>
      </c>
      <c r="D29" s="107"/>
    </row>
    <row r="30" spans="1:4" ht="15.75">
      <c r="A30" s="158" t="s">
        <v>1481</v>
      </c>
      <c r="B30" s="36" t="s">
        <v>987</v>
      </c>
      <c r="C30" s="37">
        <f>C109</f>
        <v>90000000</v>
      </c>
      <c r="D30" s="107"/>
    </row>
    <row r="31" spans="1:4" ht="15.75">
      <c r="A31" s="69"/>
      <c r="B31" s="106"/>
      <c r="C31" s="70"/>
      <c r="D31" s="107"/>
    </row>
    <row r="32" spans="1:4" ht="15.75">
      <c r="A32" s="30" t="s">
        <v>1271</v>
      </c>
      <c r="B32" s="28" t="s">
        <v>1268</v>
      </c>
      <c r="C32" s="29">
        <f>C33</f>
        <v>387631.97</v>
      </c>
      <c r="D32" s="104"/>
    </row>
    <row r="33" spans="1:4" ht="15.75">
      <c r="A33" s="158" t="s">
        <v>1272</v>
      </c>
      <c r="B33" s="36" t="s">
        <v>1273</v>
      </c>
      <c r="C33" s="157">
        <f>C91</f>
        <v>387631.97</v>
      </c>
      <c r="D33" s="104"/>
    </row>
    <row r="34" spans="1:4" ht="15.75">
      <c r="A34" s="158"/>
      <c r="B34" s="36"/>
      <c r="C34" s="157"/>
      <c r="D34" s="104"/>
    </row>
    <row r="35" spans="1:4" ht="15.75">
      <c r="A35" s="26" t="s">
        <v>1585</v>
      </c>
      <c r="B35" s="28" t="s">
        <v>1298</v>
      </c>
      <c r="C35" s="29">
        <f>C36</f>
        <v>100000</v>
      </c>
      <c r="D35" s="104"/>
    </row>
    <row r="36" spans="1:4" ht="15.75">
      <c r="A36" s="33" t="s">
        <v>1586</v>
      </c>
      <c r="B36" s="33" t="s">
        <v>1300</v>
      </c>
      <c r="C36" s="157">
        <f>C94</f>
        <v>100000</v>
      </c>
      <c r="D36" s="104"/>
    </row>
    <row r="37" spans="1:4" ht="15.75">
      <c r="A37" s="69"/>
      <c r="B37" s="106"/>
      <c r="C37" s="70"/>
      <c r="D37" s="107"/>
    </row>
    <row r="38" spans="1:4" ht="16.5" thickBot="1">
      <c r="A38" s="26" t="s">
        <v>760</v>
      </c>
      <c r="B38" s="729" t="s">
        <v>914</v>
      </c>
      <c r="C38" s="27"/>
      <c r="D38" s="730">
        <f>C39</f>
        <v>171911598.22</v>
      </c>
    </row>
    <row r="39" spans="1:3" ht="16.5" thickTop="1">
      <c r="A39" s="26" t="s">
        <v>761</v>
      </c>
      <c r="B39" s="28" t="s">
        <v>757</v>
      </c>
      <c r="C39" s="29">
        <f>SUM(C40:C40)</f>
        <v>171911598.22</v>
      </c>
    </row>
    <row r="40" spans="1:3" ht="15.75">
      <c r="A40" t="s">
        <v>762</v>
      </c>
      <c r="B40" t="s">
        <v>759</v>
      </c>
      <c r="C40" s="3">
        <f>C98</f>
        <v>171911598.22</v>
      </c>
    </row>
    <row r="41" spans="2:3" ht="15.75">
      <c r="B41" s="19"/>
      <c r="C41" s="3"/>
    </row>
    <row r="42" spans="1:4" ht="16.5" thickBot="1">
      <c r="A42" s="208">
        <v>3.7</v>
      </c>
      <c r="B42" s="783" t="s">
        <v>819</v>
      </c>
      <c r="C42" s="3"/>
      <c r="D42" s="730">
        <f>C43</f>
        <v>27000000</v>
      </c>
    </row>
    <row r="43" spans="1:3" ht="16.5" thickTop="1">
      <c r="A43" s="208" t="s">
        <v>1523</v>
      </c>
      <c r="B43" s="210" t="s">
        <v>1515</v>
      </c>
      <c r="C43" s="784">
        <f>C44</f>
        <v>27000000</v>
      </c>
    </row>
    <row r="44" spans="1:3" ht="15.75">
      <c r="A44" s="211" t="s">
        <v>1524</v>
      </c>
      <c r="B44" s="780" t="s">
        <v>1517</v>
      </c>
      <c r="C44" s="784">
        <f>SUM(C45:C51)</f>
        <v>27000000</v>
      </c>
    </row>
    <row r="45" spans="1:3" ht="15.75">
      <c r="A45" s="211" t="s">
        <v>1525</v>
      </c>
      <c r="B45" s="211" t="s">
        <v>1520</v>
      </c>
      <c r="C45" s="3">
        <f>C121</f>
        <v>5000000</v>
      </c>
    </row>
    <row r="46" spans="1:3" ht="15.75">
      <c r="A46" s="211" t="s">
        <v>1526</v>
      </c>
      <c r="B46" s="211" t="s">
        <v>1522</v>
      </c>
      <c r="C46" s="3">
        <f>C122</f>
        <v>5000000</v>
      </c>
    </row>
    <row r="47" spans="1:3" ht="15.75">
      <c r="A47" s="211" t="s">
        <v>1567</v>
      </c>
      <c r="B47" s="211" t="s">
        <v>1650</v>
      </c>
      <c r="C47" s="3">
        <f>+C123</f>
        <v>3000000</v>
      </c>
    </row>
    <row r="48" spans="1:3" ht="15.75">
      <c r="A48" s="211" t="s">
        <v>1656</v>
      </c>
      <c r="B48" s="211" t="s">
        <v>1651</v>
      </c>
      <c r="C48" s="3">
        <f>+C124</f>
        <v>3000000</v>
      </c>
    </row>
    <row r="49" spans="1:3" ht="15.75">
      <c r="A49" s="211" t="s">
        <v>1655</v>
      </c>
      <c r="B49" s="211" t="s">
        <v>1652</v>
      </c>
      <c r="C49" s="3">
        <f>+C125</f>
        <v>5000000</v>
      </c>
    </row>
    <row r="50" spans="1:3" ht="15.75">
      <c r="A50" s="211" t="s">
        <v>1657</v>
      </c>
      <c r="B50" s="211" t="s">
        <v>1654</v>
      </c>
      <c r="C50" s="3">
        <f>+C126</f>
        <v>3000000</v>
      </c>
    </row>
    <row r="51" spans="1:3" ht="15.75">
      <c r="A51" s="211" t="s">
        <v>1687</v>
      </c>
      <c r="B51" s="211" t="s">
        <v>1686</v>
      </c>
      <c r="C51" s="3">
        <f>+C127</f>
        <v>3000000</v>
      </c>
    </row>
    <row r="52" ht="15.75">
      <c r="C52" s="3"/>
    </row>
    <row r="53" spans="1:4" ht="16.5" thickBot="1">
      <c r="A53" s="26" t="s">
        <v>178</v>
      </c>
      <c r="B53" s="740" t="s">
        <v>168</v>
      </c>
      <c r="C53" s="157"/>
      <c r="D53" s="730">
        <f>C54</f>
        <v>17343003.9</v>
      </c>
    </row>
    <row r="54" spans="1:3" ht="16.5" thickTop="1">
      <c r="A54" s="26" t="s">
        <v>179</v>
      </c>
      <c r="B54" s="35" t="s">
        <v>170</v>
      </c>
      <c r="C54" s="29">
        <f>C55</f>
        <v>17343003.9</v>
      </c>
    </row>
    <row r="55" spans="1:3" ht="15.75">
      <c r="A55" s="26" t="s">
        <v>180</v>
      </c>
      <c r="B55" s="206" t="s">
        <v>222</v>
      </c>
      <c r="C55" s="32">
        <f>SUM(C56:C56)</f>
        <v>17343003.9</v>
      </c>
    </row>
    <row r="56" spans="1:3" ht="16.5" thickBot="1">
      <c r="A56" s="33" t="s">
        <v>223</v>
      </c>
      <c r="B56" s="34" t="s">
        <v>1030</v>
      </c>
      <c r="C56" s="3">
        <f>C132</f>
        <v>17343003.9</v>
      </c>
    </row>
    <row r="57" spans="2:4" ht="16.5" thickBot="1">
      <c r="B57" s="734" t="s">
        <v>1046</v>
      </c>
      <c r="C57" s="732"/>
      <c r="D57" s="733">
        <f>+D4+D27+D38+D42+D53</f>
        <v>349581395.70925134</v>
      </c>
    </row>
    <row r="58" spans="2:4" ht="15.75">
      <c r="B58" s="103"/>
      <c r="C58" s="103"/>
      <c r="D58" s="104"/>
    </row>
    <row r="59" spans="2:4" ht="15.75">
      <c r="B59" s="103"/>
      <c r="C59" s="103"/>
      <c r="D59" s="104"/>
    </row>
    <row r="60" spans="2:4" ht="15.75">
      <c r="B60" s="103"/>
      <c r="C60" s="103"/>
      <c r="D60" s="104"/>
    </row>
    <row r="61" spans="2:4" ht="15.75">
      <c r="B61" s="103"/>
      <c r="C61" s="103"/>
      <c r="D61" s="104"/>
    </row>
    <row r="62" spans="1:4" ht="16.5" thickBot="1">
      <c r="A62" s="852" t="s">
        <v>57</v>
      </c>
      <c r="B62" s="852"/>
      <c r="C62" s="852"/>
      <c r="D62" s="852"/>
    </row>
    <row r="63" spans="1:4" ht="16.5" thickBot="1">
      <c r="A63" s="30" t="s">
        <v>945</v>
      </c>
      <c r="B63" s="729" t="s">
        <v>833</v>
      </c>
      <c r="C63" s="209"/>
      <c r="D63" s="743">
        <f>C64+C67+C70+C76+C81</f>
        <v>27839161.61925136</v>
      </c>
    </row>
    <row r="64" spans="1:4" ht="16.5" thickTop="1">
      <c r="A64" s="25" t="s">
        <v>946</v>
      </c>
      <c r="B64" s="28" t="s">
        <v>834</v>
      </c>
      <c r="C64" s="523">
        <f>C65</f>
        <v>14707072.238783402</v>
      </c>
      <c r="D64" s="209"/>
    </row>
    <row r="65" spans="1:6" ht="15.75">
      <c r="A65" s="24" t="s">
        <v>947</v>
      </c>
      <c r="B65" t="s">
        <v>526</v>
      </c>
      <c r="C65" s="823">
        <f>+'[5]Calculo de Salarios %'!$H$86</f>
        <v>14707072.238783402</v>
      </c>
      <c r="D65" s="209"/>
      <c r="F65" s="845">
        <v>39</v>
      </c>
    </row>
    <row r="66" spans="1:4" ht="15.75">
      <c r="A66" s="24"/>
      <c r="C66" s="823"/>
      <c r="D66" s="209"/>
    </row>
    <row r="67" spans="1:4" ht="15.75">
      <c r="A67" s="30" t="s">
        <v>1577</v>
      </c>
      <c r="B67" s="28" t="s">
        <v>837</v>
      </c>
      <c r="C67" s="822">
        <f>C68</f>
        <v>500000</v>
      </c>
      <c r="D67" s="209"/>
    </row>
    <row r="68" spans="1:6" ht="15.75">
      <c r="A68" s="158" t="s">
        <v>1578</v>
      </c>
      <c r="B68" t="s">
        <v>839</v>
      </c>
      <c r="C68" s="823">
        <v>500000</v>
      </c>
      <c r="D68" s="209"/>
      <c r="F68" s="845">
        <v>39</v>
      </c>
    </row>
    <row r="69" spans="1:4" ht="15.75">
      <c r="A69" s="209"/>
      <c r="B69" s="209"/>
      <c r="C69" s="828"/>
      <c r="D69" s="209"/>
    </row>
    <row r="70" spans="1:4" ht="15.75">
      <c r="A70" s="30" t="s">
        <v>948</v>
      </c>
      <c r="B70" s="28" t="s">
        <v>848</v>
      </c>
      <c r="C70" s="822">
        <f>SUM(C71:C74)</f>
        <v>8405759.638954384</v>
      </c>
      <c r="D70" s="209"/>
    </row>
    <row r="71" spans="1:6" ht="15.75">
      <c r="A71" s="158" t="s">
        <v>1266</v>
      </c>
      <c r="B71" s="36" t="s">
        <v>850</v>
      </c>
      <c r="C71" s="823">
        <f>+'[5]Calculo de Salarios %'!$K$86</f>
        <v>1363932.686004336</v>
      </c>
      <c r="D71" s="209"/>
      <c r="F71" s="845">
        <v>39</v>
      </c>
    </row>
    <row r="72" spans="1:6" ht="15.75">
      <c r="A72" s="158" t="s">
        <v>1364</v>
      </c>
      <c r="B72" s="36" t="s">
        <v>236</v>
      </c>
      <c r="C72" s="823">
        <f>+'[5]Calculo de Salarios %'!$J$86</f>
        <v>4413826.55704221</v>
      </c>
      <c r="D72" s="209"/>
      <c r="F72" s="845">
        <v>39</v>
      </c>
    </row>
    <row r="73" spans="1:6" ht="15.75">
      <c r="A73" s="24" t="s">
        <v>949</v>
      </c>
      <c r="B73" t="s">
        <v>854</v>
      </c>
      <c r="C73" s="823">
        <f>(C65+C68+C71+C72)/12</f>
        <v>1748735.9568191625</v>
      </c>
      <c r="D73" s="209"/>
      <c r="F73" s="845">
        <v>39</v>
      </c>
    </row>
    <row r="74" spans="1:6" ht="15.75">
      <c r="A74" s="24" t="s">
        <v>1560</v>
      </c>
      <c r="B74" t="s">
        <v>1550</v>
      </c>
      <c r="C74" s="823">
        <f>(C65+C68+C71+C72)*4.19%</f>
        <v>879264.439088675</v>
      </c>
      <c r="D74" s="209"/>
      <c r="F74" s="845">
        <v>39</v>
      </c>
    </row>
    <row r="75" spans="1:4" ht="15.75">
      <c r="A75" s="209"/>
      <c r="B75" s="209"/>
      <c r="C75" s="828"/>
      <c r="D75" s="209"/>
    </row>
    <row r="76" spans="1:4" ht="15.75">
      <c r="A76" s="30" t="s">
        <v>950</v>
      </c>
      <c r="B76" s="28" t="s">
        <v>856</v>
      </c>
      <c r="C76" s="822">
        <f>C78+C79</f>
        <v>3242445.4250722323</v>
      </c>
      <c r="D76" s="209"/>
    </row>
    <row r="77" spans="1:4" ht="15.75">
      <c r="A77" s="24"/>
      <c r="B77" s="31" t="s">
        <v>857</v>
      </c>
      <c r="C77" s="828"/>
      <c r="D77" s="209"/>
    </row>
    <row r="78" spans="1:6" ht="15.75">
      <c r="A78" s="24" t="s">
        <v>951</v>
      </c>
      <c r="B78" t="s">
        <v>859</v>
      </c>
      <c r="C78" s="823">
        <f>(C65+C68+C71+C72+C74)*14.33%</f>
        <v>3133124.9454676392</v>
      </c>
      <c r="D78" s="209"/>
      <c r="F78" s="845">
        <v>39</v>
      </c>
    </row>
    <row r="79" spans="1:6" ht="15.75">
      <c r="A79" s="24" t="s">
        <v>952</v>
      </c>
      <c r="B79" t="s">
        <v>861</v>
      </c>
      <c r="C79" s="823">
        <f>(C65+C68+C71+C72+C74)*0.5%</f>
        <v>109320.47960459313</v>
      </c>
      <c r="D79" s="209"/>
      <c r="F79" s="845">
        <v>39</v>
      </c>
    </row>
    <row r="80" spans="1:4" ht="15.75">
      <c r="A80" s="24"/>
      <c r="C80" s="823"/>
      <c r="D80" s="209"/>
    </row>
    <row r="81" spans="1:4" ht="15.75">
      <c r="A81" s="30" t="s">
        <v>953</v>
      </c>
      <c r="B81" s="28" t="s">
        <v>863</v>
      </c>
      <c r="C81" s="822">
        <f>C83+C84</f>
        <v>983884.3164413382</v>
      </c>
      <c r="D81" s="209"/>
    </row>
    <row r="82" spans="1:4" ht="15.75">
      <c r="A82" s="30"/>
      <c r="B82" s="31" t="s">
        <v>864</v>
      </c>
      <c r="C82" s="823"/>
      <c r="D82" s="209"/>
    </row>
    <row r="83" spans="1:6" ht="15.75">
      <c r="A83" s="158" t="s">
        <v>1413</v>
      </c>
      <c r="B83" s="33" t="s">
        <v>1406</v>
      </c>
      <c r="C83" s="823">
        <f>(C65+C68+C71+C72+C74)*1.5%</f>
        <v>327961.4388137794</v>
      </c>
      <c r="D83" s="209"/>
      <c r="F83" s="845">
        <v>39</v>
      </c>
    </row>
    <row r="84" spans="1:6" ht="15.75">
      <c r="A84" s="24" t="s">
        <v>954</v>
      </c>
      <c r="B84" t="s">
        <v>866</v>
      </c>
      <c r="C84" s="823">
        <f>(C65+C68+C71+C72+C74)*3%</f>
        <v>655922.8776275588</v>
      </c>
      <c r="D84" s="209"/>
      <c r="F84" s="845">
        <v>39</v>
      </c>
    </row>
    <row r="85" spans="1:4" ht="15.75">
      <c r="A85" s="24"/>
      <c r="C85" s="823"/>
      <c r="D85" s="209"/>
    </row>
    <row r="86" spans="1:4" ht="16.5" thickBot="1">
      <c r="A86" s="26" t="s">
        <v>1234</v>
      </c>
      <c r="B86" s="729" t="s">
        <v>867</v>
      </c>
      <c r="C86" s="818"/>
      <c r="D86" s="744">
        <f>+C90+C87+C93</f>
        <v>15487631.97</v>
      </c>
    </row>
    <row r="87" spans="1:4" ht="16.5" thickTop="1">
      <c r="A87" s="26" t="s">
        <v>1508</v>
      </c>
      <c r="B87" s="28" t="s">
        <v>879</v>
      </c>
      <c r="C87" s="624">
        <f>C88</f>
        <v>15000000</v>
      </c>
      <c r="D87" s="652"/>
    </row>
    <row r="88" spans="1:6" ht="15.75">
      <c r="A88" s="33" t="s">
        <v>1509</v>
      </c>
      <c r="B88" s="36" t="s">
        <v>1288</v>
      </c>
      <c r="C88" s="628">
        <v>15000000</v>
      </c>
      <c r="D88" s="652"/>
      <c r="F88" s="845">
        <v>43</v>
      </c>
    </row>
    <row r="89" spans="1:4" ht="15.75">
      <c r="A89" s="26"/>
      <c r="B89" s="103"/>
      <c r="C89" s="818"/>
      <c r="D89" s="652"/>
    </row>
    <row r="90" spans="1:4" ht="15.75">
      <c r="A90" s="26" t="s">
        <v>1269</v>
      </c>
      <c r="B90" s="28" t="s">
        <v>1268</v>
      </c>
      <c r="C90" s="624">
        <f>C91</f>
        <v>387631.97</v>
      </c>
      <c r="D90" s="652"/>
    </row>
    <row r="91" spans="1:6" ht="15.75">
      <c r="A91" s="33" t="s">
        <v>1270</v>
      </c>
      <c r="B91" s="36" t="s">
        <v>574</v>
      </c>
      <c r="C91" s="628">
        <v>387631.97</v>
      </c>
      <c r="D91" s="651"/>
      <c r="F91" s="845">
        <v>39</v>
      </c>
    </row>
    <row r="92" spans="1:4" ht="15.75">
      <c r="A92" s="33"/>
      <c r="B92" s="36"/>
      <c r="C92" s="628"/>
      <c r="D92" s="651"/>
    </row>
    <row r="93" spans="1:4" ht="15.75">
      <c r="A93" s="26" t="s">
        <v>1583</v>
      </c>
      <c r="B93" s="28" t="s">
        <v>1298</v>
      </c>
      <c r="C93" s="624">
        <f>C94</f>
        <v>100000</v>
      </c>
      <c r="D93" s="651"/>
    </row>
    <row r="94" spans="1:6" ht="15.75">
      <c r="A94" s="33" t="s">
        <v>1584</v>
      </c>
      <c r="B94" s="33" t="s">
        <v>1300</v>
      </c>
      <c r="C94" s="628">
        <v>100000</v>
      </c>
      <c r="D94" s="651"/>
      <c r="F94" s="845">
        <v>39</v>
      </c>
    </row>
    <row r="95" spans="1:4" ht="15.75">
      <c r="A95" s="72"/>
      <c r="B95" s="106"/>
      <c r="C95" s="841"/>
      <c r="D95" s="651"/>
    </row>
    <row r="96" spans="1:4" ht="16.5" thickBot="1">
      <c r="A96" s="26" t="s">
        <v>755</v>
      </c>
      <c r="B96" s="729" t="s">
        <v>914</v>
      </c>
      <c r="C96" s="818"/>
      <c r="D96" s="744">
        <f>C97</f>
        <v>171911598.22</v>
      </c>
    </row>
    <row r="97" spans="1:3" ht="16.5" thickTop="1">
      <c r="A97" s="26" t="s">
        <v>756</v>
      </c>
      <c r="B97" s="28" t="s">
        <v>757</v>
      </c>
      <c r="C97" s="624">
        <f>C98</f>
        <v>171911598.22</v>
      </c>
    </row>
    <row r="98" spans="1:3" ht="15.75">
      <c r="A98" t="s">
        <v>758</v>
      </c>
      <c r="B98" s="114" t="s">
        <v>255</v>
      </c>
      <c r="C98" s="842">
        <f>SUM(C99:C102)</f>
        <v>171911598.22</v>
      </c>
    </row>
    <row r="99" spans="1:6" ht="15.75">
      <c r="A99" t="s">
        <v>261</v>
      </c>
      <c r="B99" t="s">
        <v>262</v>
      </c>
      <c r="C99" s="846">
        <v>54705233</v>
      </c>
      <c r="F99" s="845">
        <v>41</v>
      </c>
    </row>
    <row r="100" spans="1:6" ht="15.75">
      <c r="A100" s="33" t="s">
        <v>1511</v>
      </c>
      <c r="B100" s="33" t="s">
        <v>1512</v>
      </c>
      <c r="C100" s="846">
        <v>5000000</v>
      </c>
      <c r="F100" s="845">
        <v>40</v>
      </c>
    </row>
    <row r="101" spans="1:6" ht="15.75">
      <c r="A101" t="s">
        <v>198</v>
      </c>
      <c r="B101" t="s">
        <v>513</v>
      </c>
      <c r="C101" s="846">
        <v>20000000</v>
      </c>
      <c r="F101" s="845">
        <v>42</v>
      </c>
    </row>
    <row r="102" spans="1:6" ht="15.75">
      <c r="A102" t="s">
        <v>514</v>
      </c>
      <c r="B102" t="s">
        <v>515</v>
      </c>
      <c r="C102" s="623">
        <f>100922612.2-1716246.98-7000000</f>
        <v>92206365.22</v>
      </c>
      <c r="F102" s="845">
        <v>42</v>
      </c>
    </row>
    <row r="103" ht="16.5" thickBot="1">
      <c r="C103" s="3"/>
    </row>
    <row r="104" spans="2:4" ht="16.5" thickBot="1">
      <c r="B104" s="734" t="s">
        <v>58</v>
      </c>
      <c r="C104" s="732"/>
      <c r="D104" s="736">
        <f>D63+D96+D86</f>
        <v>215238391.80925137</v>
      </c>
    </row>
    <row r="105" spans="2:4" ht="15.75">
      <c r="B105" s="106"/>
      <c r="C105" s="106"/>
      <c r="D105" s="651"/>
    </row>
    <row r="106" spans="1:4" ht="16.5" thickBot="1">
      <c r="A106" s="849" t="s">
        <v>1464</v>
      </c>
      <c r="B106" s="849"/>
      <c r="C106" s="849"/>
      <c r="D106" s="849"/>
    </row>
    <row r="107" spans="1:4" ht="16.5" thickBot="1">
      <c r="A107" s="26" t="s">
        <v>1465</v>
      </c>
      <c r="B107" s="757" t="s">
        <v>867</v>
      </c>
      <c r="C107" s="106"/>
      <c r="D107" s="758">
        <f>C108</f>
        <v>90000000</v>
      </c>
    </row>
    <row r="108" spans="1:4" ht="16.5" thickTop="1">
      <c r="A108" s="26" t="s">
        <v>1466</v>
      </c>
      <c r="B108" s="28" t="s">
        <v>879</v>
      </c>
      <c r="C108" s="29">
        <f>+C109</f>
        <v>90000000</v>
      </c>
      <c r="D108" s="651"/>
    </row>
    <row r="109" spans="1:6" ht="15.75">
      <c r="A109" s="33" t="s">
        <v>1479</v>
      </c>
      <c r="B109" s="36" t="s">
        <v>1480</v>
      </c>
      <c r="C109" s="37">
        <v>90000000</v>
      </c>
      <c r="D109" s="651"/>
      <c r="F109" s="845">
        <v>44</v>
      </c>
    </row>
    <row r="110" spans="1:4" ht="16.5" thickBot="1">
      <c r="A110" s="33"/>
      <c r="B110" s="36"/>
      <c r="C110" s="37"/>
      <c r="D110" s="651"/>
    </row>
    <row r="111" spans="1:4" ht="16.5" thickBot="1">
      <c r="A111" s="33"/>
      <c r="B111" s="734" t="s">
        <v>1467</v>
      </c>
      <c r="C111" s="732"/>
      <c r="D111" s="736">
        <f>D107</f>
        <v>90000000</v>
      </c>
    </row>
    <row r="112" spans="1:4" ht="15.75">
      <c r="A112" s="33"/>
      <c r="B112" s="103"/>
      <c r="C112" s="103"/>
      <c r="D112" s="652"/>
    </row>
    <row r="113" spans="1:4" ht="15.75">
      <c r="A113" s="33"/>
      <c r="B113" s="103"/>
      <c r="C113" s="103"/>
      <c r="D113" s="652"/>
    </row>
    <row r="114" spans="1:4" ht="15.75">
      <c r="A114" s="33"/>
      <c r="B114" s="103"/>
      <c r="C114" s="103"/>
      <c r="D114" s="652"/>
    </row>
    <row r="115" spans="1:4" ht="15.75">
      <c r="A115" s="33"/>
      <c r="B115" s="103"/>
      <c r="C115" s="103"/>
      <c r="D115" s="652"/>
    </row>
    <row r="116" spans="2:4" ht="15.75">
      <c r="B116" s="106"/>
      <c r="C116" s="106"/>
      <c r="D116" s="651"/>
    </row>
    <row r="117" spans="1:4" ht="16.5" thickBot="1">
      <c r="A117" s="849" t="s">
        <v>60</v>
      </c>
      <c r="B117" s="849"/>
      <c r="C117" s="849"/>
      <c r="D117" s="849"/>
    </row>
    <row r="118" spans="1:4" ht="16.5" thickBot="1">
      <c r="A118" s="208" t="s">
        <v>1513</v>
      </c>
      <c r="B118" s="737" t="s">
        <v>819</v>
      </c>
      <c r="C118" s="209"/>
      <c r="D118" s="742">
        <f>C119</f>
        <v>27000000</v>
      </c>
    </row>
    <row r="119" spans="1:4" ht="16.5" thickTop="1">
      <c r="A119" s="208" t="s">
        <v>1514</v>
      </c>
      <c r="B119" s="210" t="s">
        <v>1515</v>
      </c>
      <c r="C119" s="782">
        <f>C120</f>
        <v>27000000</v>
      </c>
      <c r="D119" s="398"/>
    </row>
    <row r="120" spans="1:4" ht="15.75">
      <c r="A120" s="211" t="s">
        <v>1516</v>
      </c>
      <c r="B120" s="780" t="s">
        <v>1517</v>
      </c>
      <c r="C120" s="781">
        <f>SUM(C121:C127)</f>
        <v>27000000</v>
      </c>
      <c r="D120" s="398"/>
    </row>
    <row r="121" spans="1:6" ht="15.75">
      <c r="A121" s="211" t="s">
        <v>1518</v>
      </c>
      <c r="B121" s="211" t="s">
        <v>1520</v>
      </c>
      <c r="C121" s="524">
        <v>5000000</v>
      </c>
      <c r="D121" s="398"/>
      <c r="F121" s="845">
        <v>45</v>
      </c>
    </row>
    <row r="122" spans="1:6" ht="15.75">
      <c r="A122" s="211" t="s">
        <v>1519</v>
      </c>
      <c r="B122" s="211" t="s">
        <v>1522</v>
      </c>
      <c r="C122" s="524">
        <v>5000000</v>
      </c>
      <c r="D122" s="398"/>
      <c r="F122" s="845">
        <v>45</v>
      </c>
    </row>
    <row r="123" spans="1:6" ht="15.75">
      <c r="A123" s="211" t="s">
        <v>1521</v>
      </c>
      <c r="B123" s="211" t="s">
        <v>1650</v>
      </c>
      <c r="C123" s="524">
        <v>3000000</v>
      </c>
      <c r="D123" s="398"/>
      <c r="F123" s="845">
        <v>45</v>
      </c>
    </row>
    <row r="124" spans="1:6" ht="15.75">
      <c r="A124" s="211" t="s">
        <v>1568</v>
      </c>
      <c r="B124" s="211" t="s">
        <v>1651</v>
      </c>
      <c r="C124" s="524">
        <v>3000000</v>
      </c>
      <c r="D124" s="398"/>
      <c r="F124" s="845">
        <v>45</v>
      </c>
    </row>
    <row r="125" spans="1:6" ht="15.75">
      <c r="A125" s="211" t="s">
        <v>1649</v>
      </c>
      <c r="B125" s="211" t="s">
        <v>1652</v>
      </c>
      <c r="C125" s="524">
        <v>5000000</v>
      </c>
      <c r="D125" s="398"/>
      <c r="F125" s="845">
        <v>45</v>
      </c>
    </row>
    <row r="126" spans="1:6" ht="15.75">
      <c r="A126" s="211" t="s">
        <v>1653</v>
      </c>
      <c r="B126" s="211" t="s">
        <v>1654</v>
      </c>
      <c r="C126" s="524">
        <v>3000000</v>
      </c>
      <c r="D126" s="398"/>
      <c r="F126" s="845">
        <v>45</v>
      </c>
    </row>
    <row r="127" spans="1:6" ht="15.75">
      <c r="A127" s="211" t="s">
        <v>1688</v>
      </c>
      <c r="B127" s="211" t="s">
        <v>1686</v>
      </c>
      <c r="C127" s="524">
        <v>3000000</v>
      </c>
      <c r="D127" s="398"/>
      <c r="F127" s="845">
        <v>45</v>
      </c>
    </row>
    <row r="128" spans="1:4" ht="15.75">
      <c r="A128" s="211"/>
      <c r="B128" s="211"/>
      <c r="C128" s="524"/>
      <c r="D128" s="398"/>
    </row>
    <row r="129" spans="1:4" ht="16.5" thickBot="1">
      <c r="A129" s="26" t="s">
        <v>167</v>
      </c>
      <c r="B129" s="740" t="s">
        <v>168</v>
      </c>
      <c r="C129" s="157"/>
      <c r="D129" s="730">
        <f>C130</f>
        <v>17343003.9</v>
      </c>
    </row>
    <row r="130" spans="1:3" ht="16.5" thickTop="1">
      <c r="A130" s="26" t="s">
        <v>169</v>
      </c>
      <c r="B130" s="35" t="s">
        <v>170</v>
      </c>
      <c r="C130" s="29">
        <f>C131</f>
        <v>17343003.9</v>
      </c>
    </row>
    <row r="131" spans="1:3" ht="15.75">
      <c r="A131" s="26" t="s">
        <v>171</v>
      </c>
      <c r="B131" s="206" t="s">
        <v>220</v>
      </c>
      <c r="C131" s="32">
        <f>SUM(C132:C133)</f>
        <v>17343003.9</v>
      </c>
    </row>
    <row r="132" spans="1:6" ht="15.75">
      <c r="A132" s="33" t="s">
        <v>221</v>
      </c>
      <c r="B132" s="34" t="s">
        <v>1030</v>
      </c>
      <c r="C132" s="623">
        <f>(INGRESOS!C27+INGRESOS!C69)*51%</f>
        <v>17343003.9</v>
      </c>
      <c r="F132" s="845">
        <v>46</v>
      </c>
    </row>
    <row r="133" spans="2:3" ht="16.5" thickBot="1">
      <c r="B133" s="33"/>
      <c r="C133" s="3"/>
    </row>
    <row r="134" spans="2:4" ht="16.5" thickBot="1">
      <c r="B134" s="734" t="s">
        <v>59</v>
      </c>
      <c r="C134" s="732"/>
      <c r="D134" s="733">
        <f>+D129+D118</f>
        <v>44343003.9</v>
      </c>
    </row>
    <row r="135" ht="16.5" thickBot="1"/>
    <row r="136" spans="2:4" ht="16.5" thickBot="1">
      <c r="B136" s="734" t="s">
        <v>1046</v>
      </c>
      <c r="C136" s="732"/>
      <c r="D136" s="733">
        <f>+D104+D111+D134</f>
        <v>349581395.70925134</v>
      </c>
    </row>
    <row r="138" ht="15.75">
      <c r="E138" s="3"/>
    </row>
  </sheetData>
  <sheetProtection/>
  <mergeCells count="6">
    <mergeCell ref="A117:D117"/>
    <mergeCell ref="A1:D1"/>
    <mergeCell ref="A2:D2"/>
    <mergeCell ref="A3:D3"/>
    <mergeCell ref="A62:D62"/>
    <mergeCell ref="A106:D106"/>
  </mergeCells>
  <printOptions/>
  <pageMargins left="0.3937007874015748" right="0.3937007874015748" top="0.3937007874015748" bottom="0.3937007874015748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37.140625" style="0" customWidth="1"/>
    <col min="2" max="2" width="16.421875" style="0" customWidth="1"/>
  </cols>
  <sheetData>
    <row r="1" ht="13.5" thickBot="1"/>
    <row r="2" spans="1:3" ht="13.5" thickBot="1">
      <c r="A2" s="853" t="s">
        <v>1278</v>
      </c>
      <c r="B2" s="854"/>
      <c r="C2" s="855"/>
    </row>
    <row r="3" spans="1:3" ht="12.75">
      <c r="A3" s="653" t="s">
        <v>1274</v>
      </c>
      <c r="B3" s="7">
        <f>+INGRESOS!C9</f>
        <v>1843728241.52</v>
      </c>
      <c r="C3" s="654" t="s">
        <v>1050</v>
      </c>
    </row>
    <row r="4" spans="1:3" ht="12.75">
      <c r="A4" s="655"/>
      <c r="B4" s="111"/>
      <c r="C4" s="656"/>
    </row>
    <row r="5" spans="1:3" ht="12.75">
      <c r="A5" s="657" t="s">
        <v>1275</v>
      </c>
      <c r="B5" s="79"/>
      <c r="C5" s="658"/>
    </row>
    <row r="6" spans="1:3" ht="12.75">
      <c r="A6" s="657" t="s">
        <v>1276</v>
      </c>
      <c r="B6" s="59">
        <f>B3*40%</f>
        <v>737491296.608</v>
      </c>
      <c r="C6" s="829">
        <f>B6/B3</f>
        <v>0.4</v>
      </c>
    </row>
    <row r="7" spans="1:3" ht="12.75">
      <c r="A7" s="653"/>
      <c r="B7" s="6"/>
      <c r="C7" s="830"/>
    </row>
    <row r="8" spans="1:3" ht="13.5" thickBot="1">
      <c r="A8" s="660" t="s">
        <v>1277</v>
      </c>
      <c r="B8" s="661">
        <f>+'PROGRAMA 1'!D5+'PROGRAMA 1'!D70+'PROGRAMA 1'!D91+'PROGRAMA 1'!D31</f>
        <v>609242536.1166086</v>
      </c>
      <c r="C8" s="831">
        <f>B8/B3</f>
        <v>0.33044052935607204</v>
      </c>
    </row>
    <row r="10" ht="12.75">
      <c r="A10" s="33" t="s">
        <v>1279</v>
      </c>
    </row>
  </sheetData>
  <sheetProtection/>
  <mergeCells count="1"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3">
      <selection activeCell="C26" sqref="C26"/>
    </sheetView>
  </sheetViews>
  <sheetFormatPr defaultColWidth="11.421875" defaultRowHeight="12.75"/>
  <cols>
    <col min="1" max="1" width="12.421875" style="0" customWidth="1"/>
    <col min="2" max="2" width="43.00390625" style="0" customWidth="1"/>
    <col min="3" max="5" width="15.7109375" style="0" customWidth="1"/>
    <col min="6" max="6" width="28.7109375" style="0" customWidth="1"/>
  </cols>
  <sheetData>
    <row r="2" spans="1:6" ht="12.75">
      <c r="A2" s="856" t="s">
        <v>823</v>
      </c>
      <c r="B2" s="856"/>
      <c r="C2" s="856"/>
      <c r="D2" s="856"/>
      <c r="E2" s="856"/>
      <c r="F2" s="856"/>
    </row>
    <row r="3" spans="1:6" ht="12.75">
      <c r="A3" s="856" t="s">
        <v>1572</v>
      </c>
      <c r="B3" s="856"/>
      <c r="C3" s="856"/>
      <c r="D3" s="856"/>
      <c r="E3" s="856"/>
      <c r="F3" s="856"/>
    </row>
    <row r="5" spans="1:6" ht="12.75">
      <c r="A5" s="856" t="s">
        <v>131</v>
      </c>
      <c r="B5" s="856"/>
      <c r="C5" s="856"/>
      <c r="D5" s="856"/>
      <c r="E5" s="856"/>
      <c r="F5" s="856"/>
    </row>
    <row r="6" spans="1:6" ht="12.75">
      <c r="A6" s="856" t="s">
        <v>132</v>
      </c>
      <c r="B6" s="856"/>
      <c r="C6" s="856"/>
      <c r="D6" s="856"/>
      <c r="E6" s="856"/>
      <c r="F6" s="856"/>
    </row>
    <row r="7" ht="13.5" thickBot="1"/>
    <row r="8" spans="1:6" ht="12.75">
      <c r="A8" s="541" t="s">
        <v>771</v>
      </c>
      <c r="B8" s="541" t="s">
        <v>123</v>
      </c>
      <c r="C8" s="541" t="s">
        <v>125</v>
      </c>
      <c r="D8" s="541" t="s">
        <v>127</v>
      </c>
      <c r="E8" s="541" t="s">
        <v>773</v>
      </c>
      <c r="F8" s="541" t="s">
        <v>129</v>
      </c>
    </row>
    <row r="9" spans="1:6" ht="13.5" thickBot="1">
      <c r="A9" s="542" t="s">
        <v>122</v>
      </c>
      <c r="B9" s="542" t="s">
        <v>124</v>
      </c>
      <c r="C9" s="542" t="s">
        <v>126</v>
      </c>
      <c r="D9" s="542" t="s">
        <v>128</v>
      </c>
      <c r="E9" s="542"/>
      <c r="F9" s="542" t="s">
        <v>130</v>
      </c>
    </row>
    <row r="10" spans="1:6" ht="13.5" thickBot="1">
      <c r="A10" s="543" t="s">
        <v>365</v>
      </c>
      <c r="B10" s="544" t="s">
        <v>812</v>
      </c>
      <c r="C10" s="545"/>
      <c r="D10" s="545"/>
      <c r="E10" s="546">
        <f>SUM(E11:E15)</f>
        <v>0</v>
      </c>
      <c r="F10" s="547"/>
    </row>
    <row r="11" spans="1:6" ht="15.75" customHeight="1">
      <c r="A11" s="785"/>
      <c r="B11" s="785"/>
      <c r="C11" s="785"/>
      <c r="D11" s="786" t="s">
        <v>776</v>
      </c>
      <c r="E11" s="673">
        <v>0</v>
      </c>
      <c r="F11" s="786"/>
    </row>
    <row r="12" spans="1:6" ht="12.75">
      <c r="A12" s="6" t="s">
        <v>776</v>
      </c>
      <c r="B12" s="6" t="s">
        <v>776</v>
      </c>
      <c r="C12" s="6"/>
      <c r="D12" s="6" t="s">
        <v>776</v>
      </c>
      <c r="E12" s="7">
        <v>0</v>
      </c>
      <c r="F12" s="6" t="s">
        <v>776</v>
      </c>
    </row>
    <row r="13" spans="1:6" ht="12.75">
      <c r="A13" s="4" t="s">
        <v>776</v>
      </c>
      <c r="B13" s="4" t="s">
        <v>776</v>
      </c>
      <c r="C13" s="4"/>
      <c r="D13" s="4" t="s">
        <v>776</v>
      </c>
      <c r="E13" s="5">
        <v>0</v>
      </c>
      <c r="F13" s="4"/>
    </row>
    <row r="14" spans="1:6" ht="12.75">
      <c r="A14" s="4" t="s">
        <v>776</v>
      </c>
      <c r="B14" s="4" t="s">
        <v>776</v>
      </c>
      <c r="C14" s="4"/>
      <c r="D14" s="4" t="s">
        <v>776</v>
      </c>
      <c r="E14" s="5">
        <v>0</v>
      </c>
      <c r="F14" s="4" t="s">
        <v>776</v>
      </c>
    </row>
    <row r="15" spans="1:6" ht="13.5" thickBot="1">
      <c r="A15" s="4" t="s">
        <v>776</v>
      </c>
      <c r="B15" s="4" t="s">
        <v>776</v>
      </c>
      <c r="C15" s="4"/>
      <c r="D15" s="4"/>
      <c r="E15" s="5">
        <v>0</v>
      </c>
      <c r="F15" s="4"/>
    </row>
    <row r="16" spans="1:6" ht="13.5" thickBot="1">
      <c r="A16" s="615" t="s">
        <v>364</v>
      </c>
      <c r="B16" s="544" t="s">
        <v>819</v>
      </c>
      <c r="C16" s="548"/>
      <c r="D16" s="548"/>
      <c r="E16" s="549">
        <f>E18</f>
        <v>27000000</v>
      </c>
      <c r="F16" s="550"/>
    </row>
    <row r="17" spans="1:6" ht="12.75">
      <c r="A17" s="616" t="s">
        <v>1076</v>
      </c>
      <c r="B17" s="551" t="s">
        <v>366</v>
      </c>
      <c r="C17" s="552"/>
      <c r="D17" s="552"/>
      <c r="E17" s="553"/>
      <c r="F17" s="554"/>
    </row>
    <row r="18" spans="1:6" ht="12.75">
      <c r="A18" s="616"/>
      <c r="B18" s="551" t="s">
        <v>367</v>
      </c>
      <c r="C18" s="552"/>
      <c r="D18" s="552"/>
      <c r="E18" s="556">
        <f>SUM(E19:E35)</f>
        <v>27000000</v>
      </c>
      <c r="F18" s="555"/>
    </row>
    <row r="19" spans="1:6" ht="12.75">
      <c r="A19" s="789" t="s">
        <v>1518</v>
      </c>
      <c r="B19" s="162" t="s">
        <v>1527</v>
      </c>
      <c r="C19" s="4" t="s">
        <v>1528</v>
      </c>
      <c r="D19" s="4" t="s">
        <v>1529</v>
      </c>
      <c r="E19" s="524">
        <f>+'PROGRAMA 3'!C121</f>
        <v>5000000</v>
      </c>
      <c r="F19" s="6" t="s">
        <v>1530</v>
      </c>
    </row>
    <row r="20" spans="1:6" ht="12.75">
      <c r="A20" s="787" t="s">
        <v>1519</v>
      </c>
      <c r="B20" s="111" t="s">
        <v>1522</v>
      </c>
      <c r="C20" s="111" t="s">
        <v>1531</v>
      </c>
      <c r="D20" s="111" t="s">
        <v>1532</v>
      </c>
      <c r="E20" s="811">
        <f>+'PROGRAMA 3'!C122</f>
        <v>5000000</v>
      </c>
      <c r="F20" s="788" t="s">
        <v>1533</v>
      </c>
    </row>
    <row r="21" spans="1:6" ht="12.75">
      <c r="A21" s="789" t="s">
        <v>1521</v>
      </c>
      <c r="B21" s="162" t="s">
        <v>1566</v>
      </c>
      <c r="C21" s="162" t="s">
        <v>1569</v>
      </c>
      <c r="D21" s="162" t="s">
        <v>1570</v>
      </c>
      <c r="E21" s="811">
        <f>+'PROGRAMA 3'!C123</f>
        <v>3000000</v>
      </c>
      <c r="F21" s="798" t="s">
        <v>1571</v>
      </c>
    </row>
    <row r="22" spans="1:6" ht="12.75">
      <c r="A22" s="789" t="s">
        <v>1568</v>
      </c>
      <c r="B22" s="162" t="s">
        <v>1658</v>
      </c>
      <c r="C22" s="162" t="s">
        <v>1660</v>
      </c>
      <c r="D22" s="162" t="s">
        <v>1570</v>
      </c>
      <c r="E22" s="811">
        <f>+'PROGRAMA 3'!C124</f>
        <v>3000000</v>
      </c>
      <c r="F22" s="798" t="s">
        <v>1571</v>
      </c>
    </row>
    <row r="23" spans="1:6" ht="12.75">
      <c r="A23" s="789" t="s">
        <v>1649</v>
      </c>
      <c r="B23" s="162" t="s">
        <v>1659</v>
      </c>
      <c r="C23" s="162" t="s">
        <v>1661</v>
      </c>
      <c r="D23" s="162" t="s">
        <v>1570</v>
      </c>
      <c r="E23" s="811">
        <f>+'PROGRAMA 3'!C125</f>
        <v>5000000</v>
      </c>
      <c r="F23" s="162" t="s">
        <v>1664</v>
      </c>
    </row>
    <row r="24" spans="1:6" ht="12.75">
      <c r="A24" s="789" t="s">
        <v>1653</v>
      </c>
      <c r="B24" s="162" t="s">
        <v>1663</v>
      </c>
      <c r="C24" s="162" t="s">
        <v>1662</v>
      </c>
      <c r="D24" s="162" t="s">
        <v>1570</v>
      </c>
      <c r="E24" s="811">
        <f>+'PROGRAMA 3'!C126</f>
        <v>3000000</v>
      </c>
      <c r="F24" s="162" t="s">
        <v>1664</v>
      </c>
    </row>
    <row r="25" spans="1:6" ht="12.75">
      <c r="A25" s="4" t="s">
        <v>1688</v>
      </c>
      <c r="B25" s="4" t="s">
        <v>1686</v>
      </c>
      <c r="C25" s="4" t="s">
        <v>1697</v>
      </c>
      <c r="D25" s="4" t="s">
        <v>1570</v>
      </c>
      <c r="E25" s="811">
        <f>+'PROGRAMA 3'!C127</f>
        <v>3000000</v>
      </c>
      <c r="F25" s="162" t="s">
        <v>1664</v>
      </c>
    </row>
    <row r="26" spans="1:6" ht="12.75">
      <c r="A26" s="4"/>
      <c r="B26" s="4"/>
      <c r="C26" s="4"/>
      <c r="D26" s="4"/>
      <c r="E26" s="5"/>
      <c r="F26" s="4"/>
    </row>
    <row r="27" spans="1:6" ht="12.75">
      <c r="A27" s="4"/>
      <c r="B27" s="4"/>
      <c r="C27" s="4"/>
      <c r="D27" s="4"/>
      <c r="E27" s="5"/>
      <c r="F27" s="4"/>
    </row>
    <row r="28" spans="1:6" ht="12.75">
      <c r="A28" s="4"/>
      <c r="B28" s="4"/>
      <c r="C28" s="4"/>
      <c r="D28" s="4"/>
      <c r="E28" s="5"/>
      <c r="F28" s="4"/>
    </row>
    <row r="29" spans="1:6" ht="12.75">
      <c r="A29" s="4"/>
      <c r="B29" s="4"/>
      <c r="C29" s="4"/>
      <c r="D29" s="4"/>
      <c r="E29" s="5"/>
      <c r="F29" s="4"/>
    </row>
    <row r="30" spans="1:6" ht="12.75">
      <c r="A30" s="4"/>
      <c r="B30" s="4"/>
      <c r="C30" s="4"/>
      <c r="D30" s="4"/>
      <c r="E30" s="5"/>
      <c r="F30" s="4"/>
    </row>
    <row r="31" spans="1:6" ht="12.75">
      <c r="A31" s="4"/>
      <c r="B31" s="4"/>
      <c r="C31" s="4"/>
      <c r="D31" s="4"/>
      <c r="E31" s="5"/>
      <c r="F31" s="4"/>
    </row>
    <row r="32" spans="1:6" ht="12.75">
      <c r="A32" s="4"/>
      <c r="B32" s="4"/>
      <c r="C32" s="4"/>
      <c r="D32" s="4"/>
      <c r="E32" s="5"/>
      <c r="F32" s="4"/>
    </row>
    <row r="33" spans="1:6" ht="12.75">
      <c r="A33" s="4"/>
      <c r="B33" s="4"/>
      <c r="C33" s="4"/>
      <c r="D33" s="4"/>
      <c r="E33" s="5"/>
      <c r="F33" s="4"/>
    </row>
    <row r="34" spans="1:6" ht="12.75">
      <c r="A34" s="4"/>
      <c r="B34" s="4"/>
      <c r="C34" s="4"/>
      <c r="D34" s="4"/>
      <c r="E34" s="5"/>
      <c r="F34" s="4"/>
    </row>
    <row r="35" spans="1:6" ht="13.5" thickBot="1">
      <c r="A35" s="112"/>
      <c r="B35" s="79"/>
      <c r="C35" s="79"/>
      <c r="D35" s="79"/>
      <c r="E35" s="59"/>
      <c r="F35" s="112"/>
    </row>
    <row r="36" spans="1:6" ht="13.5" thickBot="1">
      <c r="A36" s="8"/>
      <c r="B36" s="9" t="s">
        <v>826</v>
      </c>
      <c r="C36" s="9"/>
      <c r="D36" s="9"/>
      <c r="E36" s="10">
        <f>E10+E16</f>
        <v>27000000</v>
      </c>
      <c r="F36" s="152"/>
    </row>
    <row r="39" ht="12.75">
      <c r="A39" t="s">
        <v>91</v>
      </c>
    </row>
    <row r="41" ht="12.75">
      <c r="A41" s="33" t="s">
        <v>1665</v>
      </c>
    </row>
  </sheetData>
  <sheetProtection/>
  <mergeCells count="4">
    <mergeCell ref="A2:F2"/>
    <mergeCell ref="A3:F3"/>
    <mergeCell ref="A5:F5"/>
    <mergeCell ref="A6:F6"/>
  </mergeCells>
  <printOptions/>
  <pageMargins left="0" right="0" top="0.3937007874015748" bottom="0.3937007874015748" header="0" footer="0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20.00390625" style="0" customWidth="1"/>
    <col min="2" max="2" width="21.28125" style="0" customWidth="1"/>
    <col min="3" max="3" width="17.421875" style="0" customWidth="1"/>
    <col min="4" max="5" width="17.7109375" style="0" customWidth="1"/>
    <col min="6" max="6" width="18.140625" style="0" customWidth="1"/>
  </cols>
  <sheetData>
    <row r="1" spans="2:5" ht="18">
      <c r="B1" s="860" t="s">
        <v>823</v>
      </c>
      <c r="C1" s="860"/>
      <c r="D1" s="860"/>
      <c r="E1" s="860"/>
    </row>
    <row r="2" spans="2:5" ht="15.75">
      <c r="B2" s="851" t="s">
        <v>1572</v>
      </c>
      <c r="C2" s="851"/>
      <c r="D2" s="851"/>
      <c r="E2" s="851"/>
    </row>
    <row r="3" spans="2:5" ht="15.75">
      <c r="B3" s="851" t="s">
        <v>80</v>
      </c>
      <c r="C3" s="851"/>
      <c r="D3" s="851"/>
      <c r="E3" s="851"/>
    </row>
    <row r="4" spans="2:5" ht="15.75">
      <c r="B4" s="861" t="s">
        <v>81</v>
      </c>
      <c r="C4" s="861"/>
      <c r="D4" s="861"/>
      <c r="E4" s="861"/>
    </row>
    <row r="5" spans="2:5" ht="18.75" thickBot="1">
      <c r="B5" s="115"/>
      <c r="C5" s="115"/>
      <c r="D5" s="115"/>
      <c r="E5" s="115"/>
    </row>
    <row r="6" spans="1:6" ht="16.5" thickBot="1">
      <c r="A6" s="857" t="s">
        <v>1491</v>
      </c>
      <c r="B6" s="858"/>
      <c r="C6" s="858"/>
      <c r="D6" s="858"/>
      <c r="E6" s="858"/>
      <c r="F6" s="859"/>
    </row>
    <row r="7" spans="1:6" ht="15.75">
      <c r="A7" s="557" t="s">
        <v>82</v>
      </c>
      <c r="B7" s="772" t="s">
        <v>83</v>
      </c>
      <c r="C7" s="558" t="s">
        <v>84</v>
      </c>
      <c r="D7" s="772" t="s">
        <v>1031</v>
      </c>
      <c r="E7" s="558" t="s">
        <v>826</v>
      </c>
      <c r="F7" s="774" t="s">
        <v>85</v>
      </c>
    </row>
    <row r="8" spans="1:6" ht="16.5" thickBot="1">
      <c r="A8" s="559" t="s">
        <v>1492</v>
      </c>
      <c r="B8" s="560"/>
      <c r="C8" s="560"/>
      <c r="D8" s="560"/>
      <c r="E8" s="560"/>
      <c r="F8" s="775" t="s">
        <v>86</v>
      </c>
    </row>
    <row r="9" spans="1:6" ht="15">
      <c r="A9" s="55"/>
      <c r="B9" s="119"/>
      <c r="C9" s="121"/>
      <c r="D9" s="121"/>
      <c r="E9" s="121"/>
      <c r="F9" s="776"/>
    </row>
    <row r="10" spans="1:6" ht="15">
      <c r="A10" s="529" t="s">
        <v>264</v>
      </c>
      <c r="B10" s="119" t="s">
        <v>589</v>
      </c>
      <c r="C10" s="121">
        <v>1429952.38</v>
      </c>
      <c r="D10" s="121">
        <v>7444628.02</v>
      </c>
      <c r="E10" s="561">
        <f>C10+D10</f>
        <v>8874580.399999999</v>
      </c>
      <c r="F10" s="658" t="s">
        <v>265</v>
      </c>
    </row>
    <row r="11" spans="1:6" ht="15">
      <c r="A11" s="777" t="s">
        <v>264</v>
      </c>
      <c r="B11" s="119" t="s">
        <v>1377</v>
      </c>
      <c r="C11" s="121">
        <v>5305538.79</v>
      </c>
      <c r="D11" s="121">
        <v>11748295.9</v>
      </c>
      <c r="E11" s="561">
        <f>C11+D11</f>
        <v>17053834.69</v>
      </c>
      <c r="F11" s="658" t="s">
        <v>1378</v>
      </c>
    </row>
    <row r="12" spans="1:6" ht="15">
      <c r="A12" s="777" t="s">
        <v>1633</v>
      </c>
      <c r="B12" s="119" t="s">
        <v>1668</v>
      </c>
      <c r="C12" s="121">
        <v>512003.98</v>
      </c>
      <c r="D12" s="121">
        <v>7156164.02</v>
      </c>
      <c r="E12" s="561">
        <f>C12+D12</f>
        <v>7668168</v>
      </c>
      <c r="F12" s="658" t="s">
        <v>776</v>
      </c>
    </row>
    <row r="13" spans="1:6" ht="13.5" thickBot="1">
      <c r="A13" s="61"/>
      <c r="B13" s="79"/>
      <c r="C13" s="79"/>
      <c r="D13" s="79"/>
      <c r="E13" s="79"/>
      <c r="F13" s="658"/>
    </row>
    <row r="14" spans="1:6" ht="16.5" thickBot="1">
      <c r="A14" s="562" t="s">
        <v>87</v>
      </c>
      <c r="B14" s="563" t="s">
        <v>776</v>
      </c>
      <c r="C14" s="564">
        <f>SUM(C9:C13)</f>
        <v>7247495.15</v>
      </c>
      <c r="D14" s="564">
        <f>SUM(D9:D13)</f>
        <v>26349087.94</v>
      </c>
      <c r="E14" s="565">
        <f>SUM(C14:D14)</f>
        <v>33596583.09</v>
      </c>
      <c r="F14" s="778"/>
    </row>
    <row r="15" ht="13.5" thickBot="1"/>
    <row r="16" spans="1:5" ht="15.75">
      <c r="A16" s="566" t="s">
        <v>88</v>
      </c>
      <c r="B16" s="567"/>
      <c r="C16" s="567"/>
      <c r="D16" s="567"/>
      <c r="E16" s="568"/>
    </row>
    <row r="17" spans="1:5" ht="16.5" thickBot="1">
      <c r="A17" s="569" t="s">
        <v>1493</v>
      </c>
      <c r="B17" s="570"/>
      <c r="C17" s="571">
        <f>C14</f>
        <v>7247495.15</v>
      </c>
      <c r="D17" s="571">
        <f>SUM(D14)</f>
        <v>26349087.94</v>
      </c>
      <c r="E17" s="572">
        <f>E14</f>
        <v>33596583.09</v>
      </c>
    </row>
    <row r="18" ht="13.5" thickBot="1"/>
    <row r="19" spans="1:5" ht="16.5" thickBot="1">
      <c r="A19" s="563" t="s">
        <v>89</v>
      </c>
      <c r="B19" s="573"/>
      <c r="C19" s="564">
        <f>C14-C17</f>
        <v>0</v>
      </c>
      <c r="D19" s="564">
        <f>D14-D17</f>
        <v>0</v>
      </c>
      <c r="E19" s="574">
        <f>E14-E17</f>
        <v>0</v>
      </c>
    </row>
    <row r="22" ht="15">
      <c r="A22" s="42" t="s">
        <v>90</v>
      </c>
    </row>
    <row r="24" ht="15">
      <c r="A24" s="371" t="s">
        <v>1634</v>
      </c>
    </row>
  </sheetData>
  <sheetProtection/>
  <mergeCells count="5">
    <mergeCell ref="A6:F6"/>
    <mergeCell ref="B1:E1"/>
    <mergeCell ref="B2:E2"/>
    <mergeCell ref="B3:E3"/>
    <mergeCell ref="B4:E4"/>
  </mergeCells>
  <printOptions horizontalCentered="1"/>
  <pageMargins left="0" right="0" top="1.1811023622047245" bottom="0.3937007874015748" header="0" footer="0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0">
      <selection activeCell="F7" sqref="F7"/>
    </sheetView>
  </sheetViews>
  <sheetFormatPr defaultColWidth="11.421875" defaultRowHeight="12.75"/>
  <cols>
    <col min="1" max="1" width="51.7109375" style="0" customWidth="1"/>
    <col min="2" max="2" width="21.28125" style="0" customWidth="1"/>
    <col min="3" max="3" width="19.8515625" style="0" customWidth="1"/>
  </cols>
  <sheetData>
    <row r="1" spans="1:3" ht="18">
      <c r="A1" s="847" t="s">
        <v>823</v>
      </c>
      <c r="B1" s="847"/>
      <c r="C1" s="847"/>
    </row>
    <row r="2" spans="1:3" ht="15">
      <c r="A2" s="862" t="s">
        <v>1573</v>
      </c>
      <c r="B2" s="862"/>
      <c r="C2" s="862"/>
    </row>
    <row r="3" spans="1:3" ht="15">
      <c r="A3" s="862" t="s">
        <v>62</v>
      </c>
      <c r="B3" s="862"/>
      <c r="C3" s="862"/>
    </row>
    <row r="4" spans="1:3" ht="15">
      <c r="A4" s="862" t="s">
        <v>1379</v>
      </c>
      <c r="B4" s="862"/>
      <c r="C4" s="862"/>
    </row>
    <row r="5" ht="13.5" thickBot="1"/>
    <row r="6" spans="1:3" ht="15.75">
      <c r="A6" s="700" t="s">
        <v>64</v>
      </c>
      <c r="B6" s="702" t="s">
        <v>65</v>
      </c>
      <c r="C6" s="703" t="s">
        <v>66</v>
      </c>
    </row>
    <row r="7" spans="1:3" ht="15.75">
      <c r="A7" s="701" t="s">
        <v>510</v>
      </c>
      <c r="B7" s="704" t="s">
        <v>67</v>
      </c>
      <c r="C7" s="705" t="s">
        <v>68</v>
      </c>
    </row>
    <row r="8" spans="1:3" ht="16.5" thickBot="1">
      <c r="A8" s="116" t="s">
        <v>776</v>
      </c>
      <c r="B8" s="706" t="s">
        <v>61</v>
      </c>
      <c r="C8" s="707" t="s">
        <v>69</v>
      </c>
    </row>
    <row r="9" spans="1:3" ht="12.75">
      <c r="A9" s="653"/>
      <c r="B9" s="6"/>
      <c r="C9" s="659"/>
    </row>
    <row r="10" spans="1:3" ht="15">
      <c r="A10" s="674" t="s">
        <v>70</v>
      </c>
      <c r="B10" s="110">
        <v>8</v>
      </c>
      <c r="C10" s="675">
        <v>8</v>
      </c>
    </row>
    <row r="11" spans="1:3" ht="15">
      <c r="A11" s="674" t="s">
        <v>71</v>
      </c>
      <c r="B11" s="117">
        <v>39867</v>
      </c>
      <c r="C11" s="676">
        <v>39867</v>
      </c>
    </row>
    <row r="12" spans="1:3" ht="15">
      <c r="A12" s="674" t="s">
        <v>72</v>
      </c>
      <c r="B12" s="168">
        <v>677700.1</v>
      </c>
      <c r="C12" s="677">
        <v>711585.11</v>
      </c>
    </row>
    <row r="13" spans="1:3" ht="15">
      <c r="A13" s="674" t="s">
        <v>73</v>
      </c>
      <c r="B13" s="168">
        <f>(B12*3%)*15</f>
        <v>304965.0449999999</v>
      </c>
      <c r="C13" s="677">
        <f>(C12*3%)*16</f>
        <v>341560.8528</v>
      </c>
    </row>
    <row r="14" spans="1:3" ht="15.75" thickBot="1">
      <c r="A14" s="678" t="s">
        <v>75</v>
      </c>
      <c r="B14" s="169">
        <f>B12*65%</f>
        <v>440505.065</v>
      </c>
      <c r="C14" s="679">
        <f>C12*65%</f>
        <v>462530.3215</v>
      </c>
    </row>
    <row r="15" spans="1:3" ht="15.75" thickBot="1">
      <c r="A15" s="118" t="s">
        <v>76</v>
      </c>
      <c r="B15" s="170">
        <f>SUM(B12:B14)</f>
        <v>1423170.21</v>
      </c>
      <c r="C15" s="171">
        <f>SUM(C12:C14)</f>
        <v>1515676.2843</v>
      </c>
    </row>
    <row r="16" spans="1:3" ht="15.75" thickBot="1">
      <c r="A16" s="680" t="s">
        <v>77</v>
      </c>
      <c r="B16" s="681"/>
      <c r="C16" s="172"/>
    </row>
    <row r="17" spans="1:3" ht="15.75" thickBot="1">
      <c r="A17" s="682" t="s">
        <v>78</v>
      </c>
      <c r="B17" s="683">
        <f>B15*10%</f>
        <v>142317.021</v>
      </c>
      <c r="C17" s="684">
        <f>C15*10%</f>
        <v>151567.62843</v>
      </c>
    </row>
    <row r="18" spans="1:3" ht="15.75" thickBot="1">
      <c r="A18" s="173" t="s">
        <v>79</v>
      </c>
      <c r="B18" s="174">
        <f>SUM(B15:B17)</f>
        <v>1565487.231</v>
      </c>
      <c r="C18" s="175">
        <f>SUM(C15:C17)</f>
        <v>1667243.91273</v>
      </c>
    </row>
    <row r="19" spans="1:3" ht="16.5" thickBot="1" thickTop="1">
      <c r="A19" s="685" t="s">
        <v>75</v>
      </c>
      <c r="B19" s="669">
        <f>B18*65%</f>
        <v>1017566.7001499999</v>
      </c>
      <c r="C19" s="686">
        <f>C18*65%</f>
        <v>1083708.5432745</v>
      </c>
    </row>
    <row r="20" spans="1:3" ht="16.5" thickBot="1">
      <c r="A20" s="689" t="s">
        <v>63</v>
      </c>
      <c r="B20" s="690">
        <f>B18+B19</f>
        <v>2583053.9311499996</v>
      </c>
      <c r="C20" s="691">
        <f>C18+C19</f>
        <v>2750952.4560045</v>
      </c>
    </row>
    <row r="21" ht="13.5" thickBot="1"/>
    <row r="22" spans="1:3" ht="15">
      <c r="A22" s="695" t="s">
        <v>1380</v>
      </c>
      <c r="B22" s="109"/>
      <c r="C22" s="626"/>
    </row>
    <row r="23" spans="1:3" ht="15">
      <c r="A23" s="692" t="s">
        <v>1381</v>
      </c>
      <c r="B23" s="693">
        <f>B18*80%</f>
        <v>1252389.7848</v>
      </c>
      <c r="C23" s="694">
        <f>C18*80%</f>
        <v>1333795.1301840001</v>
      </c>
    </row>
    <row r="24" spans="1:3" ht="15">
      <c r="A24" s="692" t="s">
        <v>1383</v>
      </c>
      <c r="B24" s="693"/>
      <c r="C24" s="694"/>
    </row>
    <row r="25" spans="1:3" ht="15.75" thickBot="1">
      <c r="A25" s="696" t="s">
        <v>75</v>
      </c>
      <c r="B25" s="687">
        <f>B23*65%</f>
        <v>814053.3601200001</v>
      </c>
      <c r="C25" s="688">
        <f>C23*65%</f>
        <v>866966.8346196001</v>
      </c>
    </row>
    <row r="26" spans="1:3" ht="17.25" thickBot="1" thickTop="1">
      <c r="A26" s="697" t="s">
        <v>1382</v>
      </c>
      <c r="B26" s="698">
        <f>SUM(B23:B25)</f>
        <v>2066443.14492</v>
      </c>
      <c r="C26" s="699">
        <f>SUM(C23:C25)</f>
        <v>2200761.9648036</v>
      </c>
    </row>
    <row r="29" ht="12.75">
      <c r="A29" s="33" t="s">
        <v>1384</v>
      </c>
    </row>
    <row r="31" ht="12.75">
      <c r="A31" s="33" t="s">
        <v>1680</v>
      </c>
    </row>
    <row r="38" ht="12.75">
      <c r="A38" s="113"/>
    </row>
    <row r="39" ht="12.75">
      <c r="A39" s="138" t="s">
        <v>1386</v>
      </c>
    </row>
    <row r="40" ht="12.75">
      <c r="A40" s="138" t="s">
        <v>1387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Flores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</dc:creator>
  <cp:keywords/>
  <dc:description/>
  <cp:lastModifiedBy>Wilberth Apú</cp:lastModifiedBy>
  <cp:lastPrinted>2015-09-18T17:58:20Z</cp:lastPrinted>
  <dcterms:created xsi:type="dcterms:W3CDTF">2005-08-22T15:51:49Z</dcterms:created>
  <dcterms:modified xsi:type="dcterms:W3CDTF">2017-01-31T22:03:57Z</dcterms:modified>
  <cp:category/>
  <cp:version/>
  <cp:contentType/>
  <cp:contentStatus/>
</cp:coreProperties>
</file>