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ME\ACICLO 8\IPUEST\"/>
    </mc:Choice>
  </mc:AlternateContent>
  <bookViews>
    <workbookView xWindow="0" yWindow="0" windowWidth="20490" windowHeight="7155" activeTab="1"/>
  </bookViews>
  <sheets>
    <sheet name="Caso1" sheetId="1" r:id="rId1"/>
    <sheet name="Cas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2" l="1"/>
  <c r="I73" i="2"/>
  <c r="J73" i="2"/>
  <c r="H73" i="2"/>
  <c r="I72" i="2"/>
  <c r="J72" i="2"/>
  <c r="J74" i="2" s="1"/>
  <c r="H72" i="2"/>
  <c r="H74" i="2" s="1"/>
  <c r="S54" i="2"/>
  <c r="R54" i="2"/>
  <c r="H59" i="2"/>
  <c r="I59" i="2"/>
  <c r="R53" i="2"/>
  <c r="Q53" i="2"/>
  <c r="Q55" i="2" s="1"/>
  <c r="H54" i="2" s="1"/>
  <c r="S52" i="2"/>
  <c r="R52" i="2"/>
  <c r="Q52" i="2"/>
  <c r="R55" i="2" l="1"/>
  <c r="I54" i="2" s="1"/>
  <c r="S55" i="2"/>
  <c r="J54" i="2" s="1"/>
  <c r="J57" i="2"/>
  <c r="S43" i="2"/>
  <c r="S44" i="2" s="1"/>
  <c r="R43" i="2"/>
  <c r="R44" i="2" s="1"/>
  <c r="Q43" i="2"/>
  <c r="Q44" i="2" s="1"/>
  <c r="S45" i="2" s="1"/>
  <c r="Q48" i="2" l="1"/>
  <c r="H49" i="2" s="1"/>
  <c r="S46" i="2"/>
  <c r="S48" i="2" s="1"/>
  <c r="J49" i="2" s="1"/>
  <c r="R45" i="2"/>
  <c r="R48" i="2" s="1"/>
  <c r="I49" i="2" s="1"/>
  <c r="J59" i="2" l="1"/>
  <c r="R61" i="2" l="1"/>
  <c r="R63" i="2" s="1"/>
  <c r="P71" i="2" l="1"/>
  <c r="P69" i="2"/>
  <c r="Q69" i="2"/>
  <c r="Q70" i="2"/>
  <c r="R70" i="2"/>
  <c r="P70" i="2"/>
  <c r="R72" i="2"/>
  <c r="T61" i="2"/>
  <c r="T63" i="2" s="1"/>
  <c r="P73" i="2" l="1"/>
  <c r="H76" i="2" s="1"/>
  <c r="Q73" i="2"/>
  <c r="I76" i="2" s="1"/>
  <c r="R73" i="2"/>
  <c r="J76" i="2" s="1"/>
  <c r="H48" i="2"/>
  <c r="H51" i="2" s="1"/>
  <c r="J55" i="2" l="1"/>
  <c r="H55" i="2"/>
  <c r="I55" i="2"/>
  <c r="J82" i="1"/>
  <c r="H82" i="1"/>
  <c r="F82" i="1"/>
  <c r="K16" i="2" l="1"/>
  <c r="K10" i="2"/>
  <c r="F15" i="2"/>
  <c r="F11" i="2"/>
  <c r="K18" i="2" l="1"/>
  <c r="F16" i="2"/>
  <c r="F18" i="2" s="1"/>
  <c r="O62" i="2"/>
  <c r="F59" i="1"/>
  <c r="G59" i="1"/>
  <c r="E59" i="1"/>
  <c r="F56" i="1"/>
  <c r="G56" i="1"/>
  <c r="E56" i="1"/>
  <c r="O63" i="2" l="1"/>
  <c r="O64" i="2" s="1"/>
  <c r="H77" i="2" s="1"/>
  <c r="H79" i="2" s="1"/>
  <c r="S62" i="2"/>
  <c r="S63" i="2" s="1"/>
  <c r="S64" i="2" s="1"/>
  <c r="Q62" i="2"/>
  <c r="Q63" i="2" s="1"/>
  <c r="Q64" i="2" s="1"/>
  <c r="G37" i="1"/>
  <c r="F37" i="1"/>
  <c r="E37" i="1"/>
  <c r="E38" i="1" s="1"/>
  <c r="G33" i="1"/>
  <c r="H26" i="1"/>
  <c r="H24" i="1"/>
  <c r="G11" i="1"/>
  <c r="G13" i="1" s="1"/>
  <c r="F11" i="1"/>
  <c r="F13" i="1" s="1"/>
  <c r="E11" i="1"/>
  <c r="G8" i="1"/>
  <c r="G23" i="1" s="1"/>
  <c r="G25" i="1" s="1"/>
  <c r="G27" i="1" s="1"/>
  <c r="F8" i="1"/>
  <c r="F23" i="1" s="1"/>
  <c r="E8" i="1"/>
  <c r="E23" i="1" s="1"/>
  <c r="E25" i="1" s="1"/>
  <c r="I56" i="2" l="1"/>
  <c r="I58" i="2" s="1"/>
  <c r="I60" i="2" s="1"/>
  <c r="I77" i="2"/>
  <c r="I79" i="2" s="1"/>
  <c r="J56" i="2"/>
  <c r="J58" i="2" s="1"/>
  <c r="J60" i="2" s="1"/>
  <c r="J77" i="2"/>
  <c r="J79" i="2" s="1"/>
  <c r="H56" i="2"/>
  <c r="H58" i="2" s="1"/>
  <c r="H60" i="2" s="1"/>
  <c r="G32" i="1"/>
  <c r="G35" i="1" s="1"/>
  <c r="G57" i="1"/>
  <c r="G58" i="1" s="1"/>
  <c r="G43" i="1"/>
  <c r="G45" i="1" s="1"/>
  <c r="G89" i="1" s="1"/>
  <c r="H23" i="1"/>
  <c r="H25" i="1" s="1"/>
  <c r="H27" i="1" s="1"/>
  <c r="E27" i="1"/>
  <c r="F25" i="1"/>
  <c r="F27" i="1" s="1"/>
  <c r="H8" i="1"/>
  <c r="H11" i="1"/>
  <c r="H13" i="1" s="1"/>
  <c r="E13" i="1"/>
  <c r="G34" i="1" l="1"/>
  <c r="G36" i="1" s="1"/>
  <c r="G38" i="1" s="1"/>
  <c r="F33" i="1"/>
  <c r="H62" i="2"/>
  <c r="I48" i="2" s="1"/>
  <c r="I51" i="2" s="1"/>
  <c r="G60" i="1"/>
  <c r="G90" i="1" s="1"/>
  <c r="J68" i="1"/>
  <c r="E32" i="1"/>
  <c r="E35" i="1" s="1"/>
  <c r="E57" i="1"/>
  <c r="E58" i="1" s="1"/>
  <c r="F68" i="1" s="1"/>
  <c r="E43" i="1"/>
  <c r="F32" i="1"/>
  <c r="E33" i="1" s="1"/>
  <c r="H33" i="1" s="1"/>
  <c r="F57" i="1"/>
  <c r="F58" i="1" s="1"/>
  <c r="H68" i="1" s="1"/>
  <c r="F43" i="1"/>
  <c r="F45" i="1" s="1"/>
  <c r="F89" i="1" s="1"/>
  <c r="I62" i="2" l="1"/>
  <c r="J48" i="2" s="1"/>
  <c r="F35" i="1"/>
  <c r="K77" i="1"/>
  <c r="K81" i="1"/>
  <c r="K78" i="1"/>
  <c r="K74" i="1"/>
  <c r="K75" i="1"/>
  <c r="K79" i="1"/>
  <c r="K76" i="1"/>
  <c r="K80" i="1"/>
  <c r="I81" i="1"/>
  <c r="I78" i="1"/>
  <c r="I74" i="1"/>
  <c r="I75" i="1"/>
  <c r="I79" i="1"/>
  <c r="I76" i="1"/>
  <c r="I80" i="1"/>
  <c r="I77" i="1"/>
  <c r="E34" i="1"/>
  <c r="G81" i="1"/>
  <c r="G79" i="1"/>
  <c r="G76" i="1"/>
  <c r="G80" i="1"/>
  <c r="G74" i="1"/>
  <c r="G78" i="1"/>
  <c r="G75" i="1"/>
  <c r="F60" i="1"/>
  <c r="F90" i="1" s="1"/>
  <c r="H32" i="1"/>
  <c r="H34" i="1" s="1"/>
  <c r="F34" i="1"/>
  <c r="F36" i="1" s="1"/>
  <c r="F38" i="1" s="1"/>
  <c r="H38" i="1" s="1"/>
  <c r="H43" i="1"/>
  <c r="E45" i="1"/>
  <c r="H58" i="1"/>
  <c r="E60" i="1"/>
  <c r="E90" i="1" s="1"/>
  <c r="H35" i="1"/>
  <c r="J51" i="2" l="1"/>
  <c r="J62" i="2" s="1"/>
  <c r="H45" i="1"/>
  <c r="H44" i="1" s="1"/>
  <c r="E89" i="1"/>
  <c r="H90" i="1"/>
  <c r="H60" i="1"/>
  <c r="H59" i="1" s="1"/>
  <c r="I82" i="1"/>
  <c r="H83" i="1" s="1"/>
  <c r="F91" i="1" s="1"/>
  <c r="F92" i="1" s="1"/>
  <c r="F94" i="1" s="1"/>
  <c r="F96" i="1" s="1"/>
  <c r="K82" i="1"/>
  <c r="J83" i="1" s="1"/>
  <c r="G91" i="1" s="1"/>
  <c r="G92" i="1" s="1"/>
  <c r="G94" i="1" s="1"/>
  <c r="G96" i="1" s="1"/>
  <c r="G82" i="1"/>
  <c r="F83" i="1" s="1"/>
  <c r="E91" i="1" s="1"/>
  <c r="H36" i="1"/>
  <c r="H37" i="1" s="1"/>
  <c r="H91" i="1" l="1"/>
  <c r="H89" i="1"/>
  <c r="H92" i="1" s="1"/>
  <c r="H94" i="1" s="1"/>
  <c r="H96" i="1" s="1"/>
  <c r="E92" i="1"/>
  <c r="E94" i="1" s="1"/>
  <c r="E96" i="1" s="1"/>
</calcChain>
</file>

<file path=xl/sharedStrings.xml><?xml version="1.0" encoding="utf-8"?>
<sst xmlns="http://schemas.openxmlformats.org/spreadsheetml/2006/main" count="239" uniqueCount="184">
  <si>
    <t>ENERO</t>
  </si>
  <si>
    <t>FEBRERO</t>
  </si>
  <si>
    <t>MARZO</t>
  </si>
  <si>
    <t>TRIMESTRE</t>
  </si>
  <si>
    <t>Ventas Proyectadas (unidades)</t>
  </si>
  <si>
    <t xml:space="preserve">TOTAL VENTAS EN SOLES </t>
  </si>
  <si>
    <t>PRESUPUESTO DE VENTAS EN UNIDADES</t>
  </si>
  <si>
    <t>PRESUPUESTO DE VENTAS EN SOLES</t>
  </si>
  <si>
    <t>Precio de Venta S./</t>
  </si>
  <si>
    <t>PREGUNTA 1</t>
  </si>
  <si>
    <t>PRESUPUESTO DE PRODUCCION</t>
  </si>
  <si>
    <t>Presupuesto de ventas</t>
  </si>
  <si>
    <t>Mas Inventario Final Deseado</t>
  </si>
  <si>
    <t>Menos Inventario Incial</t>
  </si>
  <si>
    <t>SUB TOTAL</t>
  </si>
  <si>
    <t>UNIDADES NESESARIAS</t>
  </si>
  <si>
    <t>Inventario Final  Sgte Mes</t>
  </si>
  <si>
    <t xml:space="preserve">Produccion Abril </t>
  </si>
  <si>
    <t>Preduccion Necesaria (Unidades</t>
  </si>
  <si>
    <t xml:space="preserve">Mas Inventa Final Deseado </t>
  </si>
  <si>
    <t>Menos Inventario Inicial</t>
  </si>
  <si>
    <t>COMPRAS NESESARIAS</t>
  </si>
  <si>
    <t>COSTO DE COMPRAS</t>
  </si>
  <si>
    <t>Precio por Unidad</t>
  </si>
  <si>
    <t>Costo de Material</t>
  </si>
  <si>
    <t>PRESUPUESTO DE COMPRA DE MATERIALES DIRECTOS</t>
  </si>
  <si>
    <t>Mat Directos Requeridos</t>
  </si>
  <si>
    <t>Costo Unitario Material Directo</t>
  </si>
  <si>
    <t>PRESUPUESTO DE CONSUMO DE MATERIALES DIRECTOS</t>
  </si>
  <si>
    <t>CONSUMO DE MATERIAL DIRECTO</t>
  </si>
  <si>
    <t>Horas por Unidad</t>
  </si>
  <si>
    <t>Presupuesto produccion</t>
  </si>
  <si>
    <t>TOTAL HORAS NESESARIAS</t>
  </si>
  <si>
    <t>Costo por MOD</t>
  </si>
  <si>
    <t>Horas de mano de Obra directa</t>
  </si>
  <si>
    <t>MES</t>
  </si>
  <si>
    <t>Enero</t>
  </si>
  <si>
    <t>Febrero</t>
  </si>
  <si>
    <t>Marzo</t>
  </si>
  <si>
    <t>HORAS</t>
  </si>
  <si>
    <t>COSTO POR HORA</t>
  </si>
  <si>
    <t>PRESUPUESTO DE MANO DE OBRA DIRECTA</t>
  </si>
  <si>
    <t>CIF</t>
  </si>
  <si>
    <t xml:space="preserve">Tasa de CIF variables por hora de MOD mensuales </t>
  </si>
  <si>
    <t>Mantenimiento</t>
  </si>
  <si>
    <t>PRESUPUESTO DE COSTOS INDIRECTOS DE FRABRICACION</t>
  </si>
  <si>
    <t>Fijos</t>
  </si>
  <si>
    <t>Variables</t>
  </si>
  <si>
    <t>TOTAL</t>
  </si>
  <si>
    <t>HORAS DE MANO DE OBRA DIRACTA</t>
  </si>
  <si>
    <t>ENRO</t>
  </si>
  <si>
    <t>DETALLE</t>
  </si>
  <si>
    <t>MESES</t>
  </si>
  <si>
    <t>ACTIVOS</t>
  </si>
  <si>
    <t>Activos corrientes</t>
  </si>
  <si>
    <t>Efectivo Y equivalente de Efectivo</t>
  </si>
  <si>
    <t>Anticipos a Proveedores</t>
  </si>
  <si>
    <t>Cuentas por cobrar Comerciales</t>
  </si>
  <si>
    <t xml:space="preserve">Inventarios </t>
  </si>
  <si>
    <t>Total Activos Corrientes</t>
  </si>
  <si>
    <t>Activos no Corrientes</t>
  </si>
  <si>
    <t>Automovil</t>
  </si>
  <si>
    <t>Depreciacion Acumulada</t>
  </si>
  <si>
    <t>Total Activos no Corrientes</t>
  </si>
  <si>
    <t>TOTAL ACTIVOS</t>
  </si>
  <si>
    <t>PASIVOS Y PATRIMONIOS</t>
  </si>
  <si>
    <t>Pasivos Corrientes</t>
  </si>
  <si>
    <t>Cuentas por pagar</t>
  </si>
  <si>
    <t>Deudas por Activo Fijo</t>
  </si>
  <si>
    <t>Tributos por pagar - Impuesto Renta</t>
  </si>
  <si>
    <t>Total Pasivos</t>
  </si>
  <si>
    <t>PATRIMONIO</t>
  </si>
  <si>
    <t>Capital Emitido</t>
  </si>
  <si>
    <t>Reservas</t>
  </si>
  <si>
    <t>Resultados Acumulados</t>
  </si>
  <si>
    <t>Total Patrimonio</t>
  </si>
  <si>
    <t>TOTAL PASIVO Y PATRIMONIO</t>
  </si>
  <si>
    <t>DATOS ADICIONALES</t>
  </si>
  <si>
    <t>Cobro de Creditos:</t>
  </si>
  <si>
    <t xml:space="preserve">30 Dias </t>
  </si>
  <si>
    <t xml:space="preserve">60 Dias </t>
  </si>
  <si>
    <t xml:space="preserve">Ventas al Contado </t>
  </si>
  <si>
    <t>Saldo al Credito</t>
  </si>
  <si>
    <t xml:space="preserve">Utilidad Bruta Normal </t>
  </si>
  <si>
    <t>Tsa de Depreciacion  Men</t>
  </si>
  <si>
    <t>Pagos de Honorarios</t>
  </si>
  <si>
    <t>Se difieren en 10 meses</t>
  </si>
  <si>
    <t>Proyeccion de ventas para los proximos meses</t>
  </si>
  <si>
    <t>Enero 2010</t>
  </si>
  <si>
    <t>Febrero 2010</t>
  </si>
  <si>
    <t>Marzo 2010</t>
  </si>
  <si>
    <t>Abril 2010</t>
  </si>
  <si>
    <t>Mayo 2010</t>
  </si>
  <si>
    <t>Las ventas anteriores a Enero 2010  fueron</t>
  </si>
  <si>
    <t>Noviembre 2009</t>
  </si>
  <si>
    <t>Diciembre 2009</t>
  </si>
  <si>
    <t>Costo de Venta</t>
  </si>
  <si>
    <t>Costo de Material Directo</t>
  </si>
  <si>
    <t>Mano de Obra Directa</t>
  </si>
  <si>
    <t>Costos Indirectos de Fabricacion</t>
  </si>
  <si>
    <t>TOTAL COSTOS DE MANUFACTURA</t>
  </si>
  <si>
    <t>COSTO DE ARTICULOS VENDIDOS</t>
  </si>
  <si>
    <t>- Inventario Final Arçticulos Terminados</t>
  </si>
  <si>
    <t>Costo Articulos para la Venta</t>
  </si>
  <si>
    <t>+Inventario Articulos Terminados</t>
  </si>
  <si>
    <t>COSTO TOTAL  DE  MOD EN SOLES</t>
  </si>
  <si>
    <t>Salario</t>
  </si>
  <si>
    <t>Supervicion</t>
  </si>
  <si>
    <t>Seguros</t>
  </si>
  <si>
    <t>Energia</t>
  </si>
  <si>
    <t>Varios</t>
  </si>
  <si>
    <t>Contribucion Aporte Salarios</t>
  </si>
  <si>
    <t>Materiales Directos</t>
  </si>
  <si>
    <t>Depreciacion de fabrica</t>
  </si>
  <si>
    <t>Mano de obra Indirecta</t>
  </si>
  <si>
    <t>Cont Aport Sueldo</t>
  </si>
  <si>
    <t>Alumbrado y simelares</t>
  </si>
  <si>
    <t>%</t>
  </si>
  <si>
    <t>Politica de pago a proveedores</t>
  </si>
  <si>
    <t>Anticipado</t>
  </si>
  <si>
    <t>En el Momento entrega</t>
  </si>
  <si>
    <t xml:space="preserve">Restante a 30 dias </t>
  </si>
  <si>
    <t>En 01 2010 compra Computador</t>
  </si>
  <si>
    <t>Se paga en Marzo 2015</t>
  </si>
  <si>
    <t>Gastos Fijos Mensuales</t>
  </si>
  <si>
    <t>Tsa del Impuesto Renta</t>
  </si>
  <si>
    <t xml:space="preserve">Pago del Impuesto de </t>
  </si>
  <si>
    <t>diciembre en enero</t>
  </si>
  <si>
    <t>Prestamo de 30 a 60 dias</t>
  </si>
  <si>
    <t>Importe del prestamo</t>
  </si>
  <si>
    <t>PRE. VENTA</t>
  </si>
  <si>
    <t>COSTO</t>
  </si>
  <si>
    <t>A</t>
  </si>
  <si>
    <t>Gastos de Ventas</t>
  </si>
  <si>
    <t>Gastos de Administracion</t>
  </si>
  <si>
    <t>INGRESOS</t>
  </si>
  <si>
    <t>EGRESOS</t>
  </si>
  <si>
    <t>Empresa Manufacturera
FUTIL S.A</t>
  </si>
  <si>
    <t xml:space="preserve">Empresa Comercial
 SEDI S.A </t>
  </si>
  <si>
    <t>saldo inicial</t>
  </si>
  <si>
    <t>febrero</t>
  </si>
  <si>
    <t>marzo</t>
  </si>
  <si>
    <t>Tipo de gasto</t>
  </si>
  <si>
    <t>Fijo</t>
  </si>
  <si>
    <t>Variable</t>
  </si>
  <si>
    <t>Depreciación</t>
  </si>
  <si>
    <t>Impuestos</t>
  </si>
  <si>
    <t>GASTOS DE ADMINISTRACION</t>
  </si>
  <si>
    <t>Computadora</t>
  </si>
  <si>
    <t>Gastos Fijos</t>
  </si>
  <si>
    <t>Pago de impto de diciembre</t>
  </si>
  <si>
    <t>Honorarios</t>
  </si>
  <si>
    <t xml:space="preserve">PRESUPUESTO DE PREDUCCION </t>
  </si>
  <si>
    <t>Saldo Minimo Caja</t>
  </si>
  <si>
    <t>DESARROLLO</t>
  </si>
  <si>
    <t>Pago a Proveedores</t>
  </si>
  <si>
    <t xml:space="preserve">TOTAL </t>
  </si>
  <si>
    <t xml:space="preserve"> GASTOS DE VENTAS</t>
  </si>
  <si>
    <t>VENTAS</t>
  </si>
  <si>
    <t>FEBREO</t>
  </si>
  <si>
    <t>Contado 30%</t>
  </si>
  <si>
    <t>De Enero 50% 30 dias 50% a 60 dias</t>
  </si>
  <si>
    <t>De febrero 50% 30 dias 50% a 60 dias</t>
  </si>
  <si>
    <t>De Marzo 50% 30 dias 50% a 60 dias</t>
  </si>
  <si>
    <t>VENTAS AL CONTADO</t>
  </si>
  <si>
    <t>Ventas Al Contado</t>
  </si>
  <si>
    <t>PRESUPUESTO DE CAJA AL 31 DE MARZO 2010</t>
  </si>
  <si>
    <t>Compra de Computadora</t>
  </si>
  <si>
    <t>TOTAL EGRESOS</t>
  </si>
  <si>
    <t>TOTAL INGRESOS</t>
  </si>
  <si>
    <t>Saldo Minimo de Caja</t>
  </si>
  <si>
    <t>SALDO FINAL DE CAJA</t>
  </si>
  <si>
    <t>VENTAS EN EFECTIVO</t>
  </si>
  <si>
    <t>PAGO A PROVEDORES</t>
  </si>
  <si>
    <t>En el mes de Entrega 40%</t>
  </si>
  <si>
    <t>Anticipado 10%</t>
  </si>
  <si>
    <t>A 30 Dias 50%</t>
  </si>
  <si>
    <t>ESTADO DE RESULTADOS</t>
  </si>
  <si>
    <t>Ingresos Por Ventas</t>
  </si>
  <si>
    <t>Costo de Ventas</t>
  </si>
  <si>
    <t>UNTILIDAD BRUTA</t>
  </si>
  <si>
    <t>Gastos Operacionales</t>
  </si>
  <si>
    <t>UTILIDAD ANTES DE IMPUESTOS</t>
  </si>
  <si>
    <t>anexox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</si>
</sst>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000_ ;_ * \-#,##0.0000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65" fontId="2" fillId="0" borderId="0" xfId="1" applyNumberFormat="1" applyFont="1"/>
    <xf numFmtId="165" fontId="0" fillId="0" borderId="0" xfId="1" applyNumberFormat="1" applyFont="1"/>
    <xf numFmtId="165" fontId="0" fillId="0" borderId="5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2" fillId="0" borderId="9" xfId="1" applyNumberFormat="1" applyFont="1" applyBorder="1"/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5" fontId="2" fillId="0" borderId="7" xfId="1" applyNumberFormat="1" applyFont="1" applyBorder="1"/>
    <xf numFmtId="165" fontId="0" fillId="0" borderId="9" xfId="1" applyNumberFormat="1" applyFont="1" applyBorder="1"/>
    <xf numFmtId="165" fontId="2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9" fontId="0" fillId="0" borderId="0" xfId="2" applyFont="1"/>
    <xf numFmtId="165" fontId="0" fillId="0" borderId="2" xfId="1" applyNumberFormat="1" applyFont="1" applyBorder="1" applyAlignment="1">
      <alignment horizontal="center"/>
    </xf>
    <xf numFmtId="165" fontId="2" fillId="0" borderId="10" xfId="1" applyNumberFormat="1" applyFont="1" applyBorder="1"/>
    <xf numFmtId="165" fontId="2" fillId="0" borderId="0" xfId="1" applyNumberFormat="1" applyFont="1" applyBorder="1"/>
    <xf numFmtId="165" fontId="2" fillId="0" borderId="11" xfId="1" applyNumberFormat="1" applyFont="1" applyBorder="1"/>
    <xf numFmtId="165" fontId="2" fillId="0" borderId="8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3" xfId="1" applyNumberFormat="1" applyFont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Border="1"/>
    <xf numFmtId="166" fontId="0" fillId="0" borderId="11" xfId="1" applyNumberFormat="1" applyFont="1" applyBorder="1"/>
    <xf numFmtId="166" fontId="0" fillId="0" borderId="8" xfId="1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166" fontId="0" fillId="0" borderId="7" xfId="1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43" fontId="0" fillId="0" borderId="11" xfId="1" applyFont="1" applyBorder="1"/>
    <xf numFmtId="165" fontId="2" fillId="0" borderId="1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5" fontId="0" fillId="0" borderId="4" xfId="1" applyNumberFormat="1" applyFont="1" applyBorder="1" applyAlignment="1">
      <alignment horizontal="left"/>
    </xf>
    <xf numFmtId="165" fontId="0" fillId="0" borderId="7" xfId="1" applyNumberFormat="1" applyFont="1" applyBorder="1" applyAlignment="1">
      <alignment horizontal="left"/>
    </xf>
    <xf numFmtId="165" fontId="0" fillId="0" borderId="10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164" fontId="0" fillId="0" borderId="0" xfId="1" applyNumberFormat="1" applyFont="1" applyAlignment="1">
      <alignment horizontal="left"/>
    </xf>
    <xf numFmtId="165" fontId="2" fillId="0" borderId="10" xfId="1" applyNumberFormat="1" applyFont="1" applyBorder="1" applyAlignment="1">
      <alignment horizontal="left"/>
    </xf>
    <xf numFmtId="165" fontId="2" fillId="0" borderId="7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0" fillId="0" borderId="0" xfId="1" quotePrefix="1" applyNumberFormat="1" applyFont="1" applyAlignment="1">
      <alignment horizontal="left"/>
    </xf>
    <xf numFmtId="165" fontId="2" fillId="0" borderId="0" xfId="1" quotePrefix="1" applyNumberFormat="1" applyFont="1" applyAlignment="1">
      <alignment horizontal="left"/>
    </xf>
    <xf numFmtId="165" fontId="1" fillId="0" borderId="10" xfId="1" applyNumberFormat="1" applyFont="1" applyBorder="1" applyAlignment="1">
      <alignment horizontal="left"/>
    </xf>
    <xf numFmtId="165" fontId="1" fillId="0" borderId="0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left"/>
    </xf>
    <xf numFmtId="165" fontId="1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6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0" fillId="0" borderId="10" xfId="0" applyBorder="1"/>
    <xf numFmtId="0" fontId="2" fillId="0" borderId="1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3" fontId="2" fillId="0" borderId="11" xfId="1" applyFont="1" applyBorder="1"/>
    <xf numFmtId="43" fontId="2" fillId="0" borderId="11" xfId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5" fontId="1" fillId="0" borderId="0" xfId="1" applyNumberFormat="1" applyFont="1"/>
    <xf numFmtId="165" fontId="1" fillId="0" borderId="2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5" fillId="0" borderId="0" xfId="1" applyNumberFormat="1" applyFont="1"/>
    <xf numFmtId="0" fontId="5" fillId="0" borderId="0" xfId="0" applyFont="1"/>
    <xf numFmtId="0" fontId="6" fillId="0" borderId="0" xfId="0" applyFont="1"/>
    <xf numFmtId="0" fontId="0" fillId="0" borderId="13" xfId="0" applyBorder="1"/>
    <xf numFmtId="0" fontId="0" fillId="0" borderId="14" xfId="0" applyBorder="1"/>
    <xf numFmtId="165" fontId="0" fillId="0" borderId="15" xfId="1" applyNumberFormat="1" applyFont="1" applyBorder="1"/>
    <xf numFmtId="0" fontId="0" fillId="0" borderId="16" xfId="0" applyBorder="1"/>
    <xf numFmtId="165" fontId="0" fillId="0" borderId="17" xfId="1" applyNumberFormat="1" applyFont="1" applyBorder="1"/>
    <xf numFmtId="0" fontId="0" fillId="0" borderId="0" xfId="0" applyBorder="1" applyAlignment="1">
      <alignment horizontal="center"/>
    </xf>
    <xf numFmtId="0" fontId="2" fillId="0" borderId="16" xfId="0" applyFont="1" applyBorder="1"/>
    <xf numFmtId="0" fontId="2" fillId="0" borderId="0" xfId="0" applyFont="1" applyBorder="1"/>
    <xf numFmtId="165" fontId="2" fillId="0" borderId="17" xfId="1" applyNumberFormat="1" applyFont="1" applyBorder="1"/>
    <xf numFmtId="0" fontId="3" fillId="0" borderId="16" xfId="0" applyFont="1" applyBorder="1"/>
    <xf numFmtId="0" fontId="0" fillId="0" borderId="16" xfId="0" applyFont="1" applyBorder="1"/>
    <xf numFmtId="0" fontId="4" fillId="0" borderId="0" xfId="0" applyFont="1" applyBorder="1"/>
    <xf numFmtId="9" fontId="0" fillId="0" borderId="0" xfId="0" applyNumberFormat="1" applyBorder="1"/>
    <xf numFmtId="17" fontId="0" fillId="0" borderId="16" xfId="0" quotePrefix="1" applyNumberFormat="1" applyFont="1" applyBorder="1"/>
    <xf numFmtId="43" fontId="0" fillId="0" borderId="0" xfId="1" applyFont="1" applyBorder="1"/>
    <xf numFmtId="0" fontId="0" fillId="0" borderId="16" xfId="0" quotePrefix="1" applyFont="1" applyBorder="1"/>
    <xf numFmtId="0" fontId="0" fillId="0" borderId="0" xfId="0" quotePrefix="1" applyBorder="1"/>
    <xf numFmtId="0" fontId="0" fillId="0" borderId="18" xfId="0" applyBorder="1"/>
    <xf numFmtId="0" fontId="0" fillId="0" borderId="19" xfId="0" applyBorder="1"/>
    <xf numFmtId="9" fontId="0" fillId="0" borderId="19" xfId="0" applyNumberFormat="1" applyBorder="1"/>
    <xf numFmtId="165" fontId="0" fillId="0" borderId="19" xfId="1" applyNumberFormat="1" applyFont="1" applyBorder="1"/>
    <xf numFmtId="0" fontId="4" fillId="0" borderId="19" xfId="0" applyFont="1" applyBorder="1"/>
    <xf numFmtId="165" fontId="0" fillId="0" borderId="20" xfId="1" applyNumberFormat="1" applyFont="1" applyBorder="1"/>
    <xf numFmtId="165" fontId="0" fillId="0" borderId="1" xfId="1" applyNumberFormat="1" applyFont="1" applyBorder="1" applyAlignment="1"/>
    <xf numFmtId="165" fontId="0" fillId="0" borderId="3" xfId="1" applyNumberFormat="1" applyFont="1" applyBorder="1" applyAlignment="1"/>
    <xf numFmtId="165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0" xfId="0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165" fontId="0" fillId="0" borderId="0" xfId="0" applyNumberFormat="1" applyBorder="1"/>
    <xf numFmtId="165" fontId="0" fillId="0" borderId="10" xfId="0" applyNumberFormat="1" applyBorder="1"/>
    <xf numFmtId="1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3" xfId="0" applyBorder="1"/>
    <xf numFmtId="0" fontId="0" fillId="0" borderId="12" xfId="0" applyBorder="1"/>
    <xf numFmtId="165" fontId="0" fillId="0" borderId="11" xfId="0" applyNumberFormat="1" applyBorder="1"/>
    <xf numFmtId="165" fontId="0" fillId="0" borderId="9" xfId="0" applyNumberFormat="1" applyBorder="1"/>
    <xf numFmtId="0" fontId="0" fillId="0" borderId="10" xfId="0" applyFont="1" applyFill="1" applyBorder="1"/>
    <xf numFmtId="0" fontId="0" fillId="0" borderId="7" xfId="0" applyFont="1" applyFill="1" applyBorder="1"/>
    <xf numFmtId="0" fontId="0" fillId="0" borderId="9" xfId="0" applyBorder="1"/>
    <xf numFmtId="0" fontId="2" fillId="0" borderId="6" xfId="0" applyFont="1" applyBorder="1"/>
    <xf numFmtId="165" fontId="0" fillId="0" borderId="10" xfId="1" applyNumberFormat="1" applyFont="1" applyBorder="1" applyAlignment="1"/>
    <xf numFmtId="0" fontId="6" fillId="0" borderId="1" xfId="0" applyFont="1" applyBorder="1"/>
    <xf numFmtId="0" fontId="8" fillId="0" borderId="0" xfId="0" applyFont="1"/>
    <xf numFmtId="165" fontId="0" fillId="0" borderId="21" xfId="1" applyNumberFormat="1" applyFont="1" applyBorder="1" applyAlignment="1"/>
    <xf numFmtId="0" fontId="2" fillId="0" borderId="22" xfId="0" applyFont="1" applyBorder="1"/>
    <xf numFmtId="0" fontId="0" fillId="0" borderId="10" xfId="0" applyFont="1" applyBorder="1"/>
    <xf numFmtId="165" fontId="2" fillId="0" borderId="0" xfId="0" applyNumberFormat="1" applyFo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9" fillId="0" borderId="0" xfId="0" applyFont="1" applyBorder="1"/>
    <xf numFmtId="0" fontId="9" fillId="0" borderId="11" xfId="0" applyFont="1" applyBorder="1"/>
    <xf numFmtId="0" fontId="9" fillId="0" borderId="10" xfId="0" applyFont="1" applyBorder="1"/>
    <xf numFmtId="43" fontId="2" fillId="0" borderId="0" xfId="0" applyNumberFormat="1" applyFont="1"/>
    <xf numFmtId="165" fontId="6" fillId="0" borderId="1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opLeftCell="A29" zoomScaleNormal="100" workbookViewId="0">
      <selection activeCell="E81" sqref="E81"/>
    </sheetView>
  </sheetViews>
  <sheetFormatPr baseColWidth="10" defaultRowHeight="15" x14ac:dyDescent="0.25"/>
  <cols>
    <col min="1" max="1" width="11.42578125" style="5"/>
    <col min="2" max="2" width="11.42578125" style="44"/>
    <col min="3" max="3" width="13.42578125" style="5" customWidth="1"/>
    <col min="4" max="7" width="11.42578125" style="5"/>
    <col min="8" max="8" width="11.85546875" style="5" customWidth="1"/>
    <col min="9" max="10" width="11.42578125" style="5"/>
    <col min="11" max="11" width="11.42578125" style="3"/>
    <col min="14" max="14" width="11.42578125" style="5"/>
  </cols>
  <sheetData>
    <row r="2" spans="1:14" ht="15" customHeight="1" x14ac:dyDescent="0.25">
      <c r="C2" s="156" t="s">
        <v>137</v>
      </c>
      <c r="D2" s="156"/>
      <c r="E2" s="156"/>
      <c r="F2" s="156"/>
      <c r="G2" s="156"/>
    </row>
    <row r="3" spans="1:14" ht="15.75" customHeight="1" x14ac:dyDescent="0.25">
      <c r="C3" s="156"/>
      <c r="D3" s="156"/>
      <c r="E3" s="156"/>
      <c r="F3" s="156"/>
      <c r="G3" s="156"/>
    </row>
    <row r="4" spans="1:14" x14ac:dyDescent="0.25">
      <c r="A4" s="4" t="s">
        <v>9</v>
      </c>
    </row>
    <row r="5" spans="1:14" ht="15.75" thickBot="1" x14ac:dyDescent="0.3">
      <c r="A5" s="4"/>
      <c r="B5" s="45">
        <v>1.1000000000000001</v>
      </c>
    </row>
    <row r="6" spans="1:14" s="1" customFormat="1" ht="15.75" thickBot="1" x14ac:dyDescent="0.3">
      <c r="A6" s="4"/>
      <c r="B6" s="149" t="s">
        <v>6</v>
      </c>
      <c r="C6" s="150"/>
      <c r="D6" s="150"/>
      <c r="E6" s="150"/>
      <c r="F6" s="150"/>
      <c r="G6" s="150"/>
      <c r="H6" s="151"/>
      <c r="I6" s="4"/>
      <c r="J6" s="4"/>
      <c r="K6" s="2"/>
      <c r="N6" s="4"/>
    </row>
    <row r="7" spans="1:14" x14ac:dyDescent="0.25">
      <c r="B7" s="46"/>
      <c r="C7" s="6"/>
      <c r="D7" s="6"/>
      <c r="E7" s="7" t="s">
        <v>0</v>
      </c>
      <c r="F7" s="7" t="s">
        <v>1</v>
      </c>
      <c r="G7" s="7" t="s">
        <v>2</v>
      </c>
      <c r="H7" s="8" t="s">
        <v>3</v>
      </c>
    </row>
    <row r="8" spans="1:14" ht="15.75" thickBot="1" x14ac:dyDescent="0.3">
      <c r="B8" s="47" t="s">
        <v>4</v>
      </c>
      <c r="C8" s="10"/>
      <c r="D8" s="10"/>
      <c r="E8" s="10">
        <f>67500+80000+35000+101000+91500</f>
        <v>375000</v>
      </c>
      <c r="F8" s="10">
        <f>64000+89500+41000+97500+87500</f>
        <v>379500</v>
      </c>
      <c r="G8" s="10">
        <f>70500+86000+29500+112000+110500</f>
        <v>408500</v>
      </c>
      <c r="H8" s="11">
        <f>SUM(E8:G8)</f>
        <v>1163000</v>
      </c>
    </row>
    <row r="9" spans="1:14" ht="15.75" thickBot="1" x14ac:dyDescent="0.3"/>
    <row r="10" spans="1:14" ht="15.75" thickBot="1" x14ac:dyDescent="0.3">
      <c r="B10" s="149" t="s">
        <v>7</v>
      </c>
      <c r="C10" s="150"/>
      <c r="D10" s="150"/>
      <c r="E10" s="150"/>
      <c r="F10" s="150"/>
      <c r="G10" s="150"/>
      <c r="H10" s="151"/>
    </row>
    <row r="11" spans="1:14" x14ac:dyDescent="0.25">
      <c r="B11" s="46" t="s">
        <v>4</v>
      </c>
      <c r="C11" s="6"/>
      <c r="D11" s="6"/>
      <c r="E11" s="6">
        <f>67500+80000+35000+101000+91500</f>
        <v>375000</v>
      </c>
      <c r="F11" s="6">
        <f>64000+89500+41000+97500+87500</f>
        <v>379500</v>
      </c>
      <c r="G11" s="6">
        <f>70500+86000+29500+112000+110500</f>
        <v>408500</v>
      </c>
      <c r="H11" s="8">
        <f>SUM(E11:G11)</f>
        <v>1163000</v>
      </c>
    </row>
    <row r="12" spans="1:14" ht="15.75" thickBot="1" x14ac:dyDescent="0.3">
      <c r="B12" s="48" t="s">
        <v>8</v>
      </c>
      <c r="C12" s="13"/>
      <c r="D12" s="13"/>
      <c r="E12" s="13">
        <v>56</v>
      </c>
      <c r="F12" s="13">
        <v>56</v>
      </c>
      <c r="G12" s="13">
        <v>56</v>
      </c>
      <c r="H12" s="14">
        <v>56</v>
      </c>
    </row>
    <row r="13" spans="1:14" ht="15.75" thickBot="1" x14ac:dyDescent="0.3">
      <c r="B13" s="49" t="s">
        <v>5</v>
      </c>
      <c r="C13" s="18"/>
      <c r="D13" s="18"/>
      <c r="E13" s="18">
        <f>+E11*E12</f>
        <v>21000000</v>
      </c>
      <c r="F13" s="18">
        <f t="shared" ref="F13" si="0">+F11*F12</f>
        <v>21252000</v>
      </c>
      <c r="G13" s="18">
        <f t="shared" ref="G13" si="1">+G11*G12</f>
        <v>22876000</v>
      </c>
      <c r="H13" s="19">
        <f>+H11*H12</f>
        <v>65128000</v>
      </c>
    </row>
    <row r="16" spans="1:14" x14ac:dyDescent="0.25">
      <c r="B16" s="45">
        <v>1.2</v>
      </c>
    </row>
    <row r="17" spans="2:11" x14ac:dyDescent="0.25">
      <c r="B17" s="50" t="s">
        <v>16</v>
      </c>
      <c r="D17" s="20">
        <v>0.55000000000000004</v>
      </c>
    </row>
    <row r="18" spans="2:11" x14ac:dyDescent="0.25">
      <c r="B18" s="50" t="s">
        <v>17</v>
      </c>
      <c r="D18" s="5">
        <v>216710</v>
      </c>
    </row>
    <row r="19" spans="2:11" x14ac:dyDescent="0.25">
      <c r="B19" s="50" t="s">
        <v>24</v>
      </c>
      <c r="D19" s="5">
        <v>44</v>
      </c>
    </row>
    <row r="20" spans="2:11" ht="15.75" thickBot="1" x14ac:dyDescent="0.3">
      <c r="B20" s="50"/>
      <c r="J20" s="3"/>
      <c r="K20"/>
    </row>
    <row r="21" spans="2:11" ht="15.75" thickBot="1" x14ac:dyDescent="0.3">
      <c r="B21" s="149" t="s">
        <v>10</v>
      </c>
      <c r="C21" s="150"/>
      <c r="D21" s="150"/>
      <c r="E21" s="150"/>
      <c r="F21" s="150"/>
      <c r="G21" s="150"/>
      <c r="H21" s="151"/>
      <c r="J21" s="3"/>
      <c r="K21"/>
    </row>
    <row r="22" spans="2:11" ht="15.75" thickBot="1" x14ac:dyDescent="0.3">
      <c r="B22" s="49"/>
      <c r="C22" s="26"/>
      <c r="D22" s="26"/>
      <c r="E22" s="17" t="s">
        <v>0</v>
      </c>
      <c r="F22" s="27" t="s">
        <v>1</v>
      </c>
      <c r="G22" s="28" t="s">
        <v>2</v>
      </c>
      <c r="H22" s="28" t="s">
        <v>3</v>
      </c>
      <c r="J22" s="3"/>
      <c r="K22"/>
    </row>
    <row r="23" spans="2:11" x14ac:dyDescent="0.25">
      <c r="B23" s="48" t="s">
        <v>11</v>
      </c>
      <c r="C23" s="13"/>
      <c r="D23" s="13"/>
      <c r="E23" s="12">
        <f>+E8</f>
        <v>375000</v>
      </c>
      <c r="F23" s="13">
        <f>+F8</f>
        <v>379500</v>
      </c>
      <c r="G23" s="14">
        <f>+G8</f>
        <v>408500</v>
      </c>
      <c r="H23" s="14">
        <f>SUM(E23:G23)</f>
        <v>1163000</v>
      </c>
      <c r="J23" s="3"/>
      <c r="K23"/>
    </row>
    <row r="24" spans="2:11" x14ac:dyDescent="0.25">
      <c r="B24" s="48" t="s">
        <v>12</v>
      </c>
      <c r="C24" s="13"/>
      <c r="D24" s="13"/>
      <c r="E24" s="12">
        <v>201500</v>
      </c>
      <c r="F24" s="13">
        <v>195900</v>
      </c>
      <c r="G24" s="14">
        <v>206100</v>
      </c>
      <c r="H24" s="14">
        <f>SUM(E24:G24)</f>
        <v>603500</v>
      </c>
      <c r="J24" s="3"/>
      <c r="K24"/>
    </row>
    <row r="25" spans="2:11" x14ac:dyDescent="0.25">
      <c r="B25" s="51" t="s">
        <v>14</v>
      </c>
      <c r="C25" s="13"/>
      <c r="D25" s="13"/>
      <c r="E25" s="22">
        <f>SUM(E23:E24)</f>
        <v>576500</v>
      </c>
      <c r="F25" s="23">
        <f>SUM(F23:F24)</f>
        <v>575400</v>
      </c>
      <c r="G25" s="24">
        <f>SUM(G23:G24)</f>
        <v>614600</v>
      </c>
      <c r="H25" s="24">
        <f>SUM(H23:H24)</f>
        <v>1766500</v>
      </c>
      <c r="J25" s="3"/>
      <c r="K25"/>
    </row>
    <row r="26" spans="2:11" ht="15.75" thickBot="1" x14ac:dyDescent="0.3">
      <c r="B26" s="47" t="s">
        <v>13</v>
      </c>
      <c r="C26" s="10"/>
      <c r="D26" s="10"/>
      <c r="E26" s="9">
        <v>-204650</v>
      </c>
      <c r="F26" s="10">
        <v>-201500</v>
      </c>
      <c r="G26" s="16">
        <v>-195900</v>
      </c>
      <c r="H26" s="16">
        <f>SUM(E26:G26)</f>
        <v>-602050</v>
      </c>
      <c r="J26" s="3"/>
      <c r="K26"/>
    </row>
    <row r="27" spans="2:11" ht="15.75" thickBot="1" x14ac:dyDescent="0.3">
      <c r="B27" s="52" t="s">
        <v>15</v>
      </c>
      <c r="C27" s="10"/>
      <c r="D27" s="10"/>
      <c r="E27" s="15">
        <f>SUM(E25:E26)</f>
        <v>371850</v>
      </c>
      <c r="F27" s="25">
        <f>SUM(F25:F26)</f>
        <v>373900</v>
      </c>
      <c r="G27" s="11">
        <f>SUM(G25:G26)</f>
        <v>418700</v>
      </c>
      <c r="H27" s="11">
        <f>SUM(H25:H26)</f>
        <v>1164450</v>
      </c>
    </row>
    <row r="29" spans="2:11" ht="15.75" thickBot="1" x14ac:dyDescent="0.3">
      <c r="B29" s="50">
        <v>1.3</v>
      </c>
    </row>
    <row r="30" spans="2:11" ht="15.75" thickBot="1" x14ac:dyDescent="0.3">
      <c r="B30" s="161" t="s">
        <v>25</v>
      </c>
      <c r="C30" s="162"/>
      <c r="D30" s="162"/>
      <c r="E30" s="162"/>
      <c r="F30" s="162"/>
      <c r="G30" s="162"/>
      <c r="H30" s="163"/>
    </row>
    <row r="31" spans="2:11" ht="15.75" thickBot="1" x14ac:dyDescent="0.3">
      <c r="B31" s="53"/>
      <c r="C31" s="21"/>
      <c r="D31" s="29"/>
      <c r="E31" s="27" t="s">
        <v>0</v>
      </c>
      <c r="F31" s="27" t="s">
        <v>1</v>
      </c>
      <c r="G31" s="28" t="s">
        <v>2</v>
      </c>
      <c r="H31" s="28" t="s">
        <v>3</v>
      </c>
    </row>
    <row r="32" spans="2:11" x14ac:dyDescent="0.25">
      <c r="B32" s="48" t="s">
        <v>18</v>
      </c>
      <c r="C32" s="13"/>
      <c r="D32" s="14"/>
      <c r="E32" s="13">
        <f>+E27</f>
        <v>371850</v>
      </c>
      <c r="F32" s="13">
        <f>+F27</f>
        <v>373900</v>
      </c>
      <c r="G32" s="14">
        <f>+G27</f>
        <v>418700</v>
      </c>
      <c r="H32" s="24">
        <f>SUM(E32:G32)</f>
        <v>1164450</v>
      </c>
    </row>
    <row r="33" spans="2:8" x14ac:dyDescent="0.25">
      <c r="B33" s="48" t="s">
        <v>19</v>
      </c>
      <c r="C33" s="13"/>
      <c r="D33" s="14"/>
      <c r="E33" s="13">
        <f>+F32*$D$17</f>
        <v>205645.00000000003</v>
      </c>
      <c r="F33" s="13">
        <f>+G32*$D$17</f>
        <v>230285.00000000003</v>
      </c>
      <c r="G33" s="14">
        <f>+D18*$D$17</f>
        <v>119190.50000000001</v>
      </c>
      <c r="H33" s="24">
        <f>SUM(E33:G33)</f>
        <v>555120.50000000012</v>
      </c>
    </row>
    <row r="34" spans="2:8" x14ac:dyDescent="0.25">
      <c r="B34" s="51" t="s">
        <v>14</v>
      </c>
      <c r="C34" s="13"/>
      <c r="D34" s="14"/>
      <c r="E34" s="23">
        <f>SUM(E32:E33)</f>
        <v>577495</v>
      </c>
      <c r="F34" s="23">
        <f t="shared" ref="F34:H34" si="2">SUM(F32:F33)</f>
        <v>604185</v>
      </c>
      <c r="G34" s="24">
        <f t="shared" si="2"/>
        <v>537890.5</v>
      </c>
      <c r="H34" s="24">
        <f t="shared" si="2"/>
        <v>1719570.5</v>
      </c>
    </row>
    <row r="35" spans="2:8" x14ac:dyDescent="0.25">
      <c r="B35" s="48" t="s">
        <v>20</v>
      </c>
      <c r="C35" s="13"/>
      <c r="D35" s="14"/>
      <c r="E35" s="13">
        <f>-E32*$D$17</f>
        <v>-204517.50000000003</v>
      </c>
      <c r="F35" s="13">
        <f t="shared" ref="F35:G35" si="3">-F32*$D$17</f>
        <v>-205645.00000000003</v>
      </c>
      <c r="G35" s="14">
        <f t="shared" si="3"/>
        <v>-230285.00000000003</v>
      </c>
      <c r="H35" s="24">
        <f>SUM(E35:G35)</f>
        <v>-640447.50000000012</v>
      </c>
    </row>
    <row r="36" spans="2:8" x14ac:dyDescent="0.25">
      <c r="B36" s="51" t="s">
        <v>21</v>
      </c>
      <c r="C36" s="13"/>
      <c r="D36" s="14"/>
      <c r="E36" s="13">
        <v>372977</v>
      </c>
      <c r="F36" s="13">
        <f t="shared" ref="F36:G36" si="4">SUM(F34:F35)</f>
        <v>398540</v>
      </c>
      <c r="G36" s="14">
        <f t="shared" si="4"/>
        <v>307605.5</v>
      </c>
      <c r="H36" s="24">
        <f>SUM(E36:G36)</f>
        <v>1079122.5</v>
      </c>
    </row>
    <row r="37" spans="2:8" ht="15.75" thickBot="1" x14ac:dyDescent="0.3">
      <c r="B37" s="47" t="s">
        <v>23</v>
      </c>
      <c r="C37" s="10"/>
      <c r="D37" s="16"/>
      <c r="E37" s="10">
        <f>+$D$19</f>
        <v>44</v>
      </c>
      <c r="F37" s="10">
        <f t="shared" ref="F37:G37" si="5">+$D$19</f>
        <v>44</v>
      </c>
      <c r="G37" s="16">
        <f t="shared" si="5"/>
        <v>44</v>
      </c>
      <c r="H37" s="16">
        <f>+H38/H36</f>
        <v>44</v>
      </c>
    </row>
    <row r="38" spans="2:8" ht="15.75" thickBot="1" x14ac:dyDescent="0.3">
      <c r="B38" s="52" t="s">
        <v>22</v>
      </c>
      <c r="C38" s="10"/>
      <c r="D38" s="16"/>
      <c r="E38" s="10">
        <f>E36*E37</f>
        <v>16410988</v>
      </c>
      <c r="F38" s="10">
        <f t="shared" ref="F38:G38" si="6">F36*F37</f>
        <v>17535760</v>
      </c>
      <c r="G38" s="16">
        <f t="shared" si="6"/>
        <v>13534642</v>
      </c>
      <c r="H38" s="16">
        <f>SUM(E38:G38)</f>
        <v>47481390</v>
      </c>
    </row>
    <row r="40" spans="2:8" ht="15.75" thickBot="1" x14ac:dyDescent="0.3">
      <c r="B40" s="50">
        <v>1.4</v>
      </c>
    </row>
    <row r="41" spans="2:8" ht="15.75" thickBot="1" x14ac:dyDescent="0.3">
      <c r="B41" s="149" t="s">
        <v>28</v>
      </c>
      <c r="C41" s="150"/>
      <c r="D41" s="150"/>
      <c r="E41" s="150"/>
      <c r="F41" s="150"/>
      <c r="G41" s="150"/>
      <c r="H41" s="151"/>
    </row>
    <row r="42" spans="2:8" ht="15.75" thickBot="1" x14ac:dyDescent="0.3">
      <c r="B42" s="49"/>
      <c r="C42" s="26"/>
      <c r="D42" s="26"/>
      <c r="E42" s="17" t="s">
        <v>0</v>
      </c>
      <c r="F42" s="27" t="s">
        <v>1</v>
      </c>
      <c r="G42" s="28" t="s">
        <v>2</v>
      </c>
      <c r="H42" s="28" t="s">
        <v>3</v>
      </c>
    </row>
    <row r="43" spans="2:8" x14ac:dyDescent="0.25">
      <c r="B43" s="48" t="s">
        <v>26</v>
      </c>
      <c r="C43" s="13"/>
      <c r="D43" s="13"/>
      <c r="E43" s="12">
        <f>+E27</f>
        <v>371850</v>
      </c>
      <c r="F43" s="13">
        <f>+F27</f>
        <v>373900</v>
      </c>
      <c r="G43" s="14">
        <f>+G27</f>
        <v>418700</v>
      </c>
      <c r="H43" s="14">
        <f>SUM(E43:G43)</f>
        <v>1164450</v>
      </c>
    </row>
    <row r="44" spans="2:8" ht="15.75" thickBot="1" x14ac:dyDescent="0.3">
      <c r="B44" s="47" t="s">
        <v>27</v>
      </c>
      <c r="C44" s="10"/>
      <c r="D44" s="10"/>
      <c r="E44" s="9">
        <v>44</v>
      </c>
      <c r="F44" s="10">
        <v>44</v>
      </c>
      <c r="G44" s="16">
        <v>44</v>
      </c>
      <c r="H44" s="16">
        <f>+H45/H43</f>
        <v>44</v>
      </c>
    </row>
    <row r="45" spans="2:8" ht="15.75" thickBot="1" x14ac:dyDescent="0.3">
      <c r="B45" s="52" t="s">
        <v>29</v>
      </c>
      <c r="C45" s="25"/>
      <c r="D45" s="25"/>
      <c r="E45" s="15">
        <f>+E43*E44</f>
        <v>16361400</v>
      </c>
      <c r="F45" s="25">
        <f t="shared" ref="F45:G45" si="7">+F43*F44</f>
        <v>16451600</v>
      </c>
      <c r="G45" s="11">
        <f t="shared" si="7"/>
        <v>18422800</v>
      </c>
      <c r="H45" s="11">
        <f>SUM(E45:G45)</f>
        <v>51235800</v>
      </c>
    </row>
    <row r="47" spans="2:8" x14ac:dyDescent="0.25">
      <c r="B47" s="50">
        <v>1.5</v>
      </c>
    </row>
    <row r="48" spans="2:8" x14ac:dyDescent="0.25">
      <c r="B48" s="50" t="s">
        <v>34</v>
      </c>
    </row>
    <row r="49" spans="2:8" x14ac:dyDescent="0.25">
      <c r="B49" s="45" t="s">
        <v>35</v>
      </c>
      <c r="C49" s="4" t="s">
        <v>39</v>
      </c>
      <c r="D49" s="4" t="s">
        <v>40</v>
      </c>
      <c r="E49" s="4"/>
    </row>
    <row r="50" spans="2:8" x14ac:dyDescent="0.25">
      <c r="B50" s="54" t="s">
        <v>36</v>
      </c>
      <c r="C50" s="30">
        <v>0.83440899999999996</v>
      </c>
      <c r="D50" s="30">
        <v>3.5953590000000002</v>
      </c>
      <c r="E50" s="30"/>
    </row>
    <row r="51" spans="2:8" x14ac:dyDescent="0.25">
      <c r="B51" s="54" t="s">
        <v>37</v>
      </c>
      <c r="C51" s="30">
        <v>0.83011500000000005</v>
      </c>
      <c r="D51" s="30">
        <v>3.6139570000000001</v>
      </c>
      <c r="E51" s="30"/>
    </row>
    <row r="52" spans="2:8" x14ac:dyDescent="0.25">
      <c r="B52" s="54" t="s">
        <v>38</v>
      </c>
      <c r="C52" s="30">
        <v>0.85607800000000001</v>
      </c>
      <c r="D52" s="30">
        <v>3.5043519999999999</v>
      </c>
      <c r="E52" s="30"/>
    </row>
    <row r="53" spans="2:8" ht="15.75" thickBot="1" x14ac:dyDescent="0.3">
      <c r="B53" s="50"/>
    </row>
    <row r="54" spans="2:8" ht="15.75" thickBot="1" x14ac:dyDescent="0.3">
      <c r="B54" s="149" t="s">
        <v>41</v>
      </c>
      <c r="C54" s="150"/>
      <c r="D54" s="150"/>
      <c r="E54" s="150"/>
      <c r="F54" s="150"/>
      <c r="G54" s="150"/>
      <c r="H54" s="151"/>
    </row>
    <row r="55" spans="2:8" ht="15.75" thickBot="1" x14ac:dyDescent="0.3">
      <c r="B55" s="53"/>
      <c r="C55" s="18"/>
      <c r="D55" s="19"/>
      <c r="E55" s="17" t="s">
        <v>0</v>
      </c>
      <c r="F55" s="27" t="s">
        <v>1</v>
      </c>
      <c r="G55" s="28" t="s">
        <v>2</v>
      </c>
      <c r="H55" s="28" t="s">
        <v>3</v>
      </c>
    </row>
    <row r="56" spans="2:8" x14ac:dyDescent="0.25">
      <c r="B56" s="48" t="s">
        <v>30</v>
      </c>
      <c r="C56" s="13"/>
      <c r="D56" s="13"/>
      <c r="E56" s="35">
        <f>+C50</f>
        <v>0.83440899999999996</v>
      </c>
      <c r="F56" s="31">
        <f>+C51</f>
        <v>0.83011500000000005</v>
      </c>
      <c r="G56" s="32">
        <f>+C52</f>
        <v>0.85607800000000001</v>
      </c>
      <c r="H56" s="14"/>
    </row>
    <row r="57" spans="2:8" x14ac:dyDescent="0.25">
      <c r="B57" s="48" t="s">
        <v>31</v>
      </c>
      <c r="C57" s="13"/>
      <c r="D57" s="13"/>
      <c r="E57" s="12">
        <f>+E27</f>
        <v>371850</v>
      </c>
      <c r="F57" s="13">
        <f>+F27</f>
        <v>373900</v>
      </c>
      <c r="G57" s="14">
        <f>+G27</f>
        <v>418700</v>
      </c>
      <c r="H57" s="14"/>
    </row>
    <row r="58" spans="2:8" x14ac:dyDescent="0.25">
      <c r="B58" s="51" t="s">
        <v>32</v>
      </c>
      <c r="C58" s="23"/>
      <c r="D58" s="23"/>
      <c r="E58" s="22">
        <f>ROUND(E57*E56,0)</f>
        <v>310275</v>
      </c>
      <c r="F58" s="23">
        <f t="shared" ref="F58:G58" si="8">ROUND(F57*F56,0)</f>
        <v>310380</v>
      </c>
      <c r="G58" s="24">
        <f t="shared" si="8"/>
        <v>358440</v>
      </c>
      <c r="H58" s="14">
        <f>SUM(E58:G58)</f>
        <v>979095</v>
      </c>
    </row>
    <row r="59" spans="2:8" ht="15.75" thickBot="1" x14ac:dyDescent="0.3">
      <c r="B59" s="47" t="s">
        <v>33</v>
      </c>
      <c r="C59" s="10"/>
      <c r="D59" s="10"/>
      <c r="E59" s="36">
        <f>+D50</f>
        <v>3.5953590000000002</v>
      </c>
      <c r="F59" s="33">
        <f>+D51</f>
        <v>3.6139570000000001</v>
      </c>
      <c r="G59" s="34">
        <f>+D52</f>
        <v>3.5043519999999999</v>
      </c>
      <c r="H59" s="34">
        <f>+H60/H58</f>
        <v>3.5679377384217057</v>
      </c>
    </row>
    <row r="60" spans="2:8" ht="15.75" thickBot="1" x14ac:dyDescent="0.3">
      <c r="B60" s="52" t="s">
        <v>105</v>
      </c>
      <c r="C60" s="25"/>
      <c r="D60" s="25"/>
      <c r="E60" s="15">
        <f>ROUND(E59*E58,0)</f>
        <v>1115550</v>
      </c>
      <c r="F60" s="25">
        <f t="shared" ref="F60:G60" si="9">ROUND(F59*F58,0)</f>
        <v>1121700</v>
      </c>
      <c r="G60" s="11">
        <f t="shared" si="9"/>
        <v>1256100</v>
      </c>
      <c r="H60" s="11">
        <f>SUM(E60:G60)</f>
        <v>3493350</v>
      </c>
    </row>
    <row r="63" spans="2:8" x14ac:dyDescent="0.25">
      <c r="B63" s="50">
        <v>1.6</v>
      </c>
      <c r="C63" s="5" t="s">
        <v>42</v>
      </c>
    </row>
    <row r="64" spans="2:8" ht="15.75" thickBot="1" x14ac:dyDescent="0.3">
      <c r="B64" s="44" t="s">
        <v>43</v>
      </c>
      <c r="F64" s="5" t="s">
        <v>0</v>
      </c>
    </row>
    <row r="65" spans="2:14" ht="15.75" thickBot="1" x14ac:dyDescent="0.3">
      <c r="B65" s="149" t="s">
        <v>45</v>
      </c>
      <c r="C65" s="150"/>
      <c r="D65" s="150"/>
      <c r="E65" s="150"/>
      <c r="F65" s="150"/>
      <c r="G65" s="150"/>
      <c r="H65" s="150"/>
      <c r="I65" s="150"/>
      <c r="J65" s="150"/>
      <c r="K65" s="151"/>
      <c r="M65" s="5"/>
      <c r="N65"/>
    </row>
    <row r="66" spans="2:14" ht="15.75" thickBot="1" x14ac:dyDescent="0.3">
      <c r="B66" s="161" t="s">
        <v>51</v>
      </c>
      <c r="C66" s="162"/>
      <c r="D66" s="162"/>
      <c r="E66" s="163"/>
      <c r="F66" s="161" t="s">
        <v>50</v>
      </c>
      <c r="G66" s="163"/>
      <c r="H66" s="161" t="s">
        <v>1</v>
      </c>
      <c r="I66" s="163"/>
      <c r="J66" s="152" t="s">
        <v>2</v>
      </c>
      <c r="K66" s="153"/>
      <c r="N66"/>
    </row>
    <row r="67" spans="2:14" ht="15.75" thickBot="1" x14ac:dyDescent="0.3">
      <c r="B67" s="164" t="s">
        <v>52</v>
      </c>
      <c r="C67" s="165"/>
      <c r="D67" s="165"/>
      <c r="E67" s="166"/>
      <c r="F67" s="9" t="s">
        <v>46</v>
      </c>
      <c r="G67" s="16" t="s">
        <v>47</v>
      </c>
      <c r="H67" s="9" t="s">
        <v>46</v>
      </c>
      <c r="I67" s="16" t="s">
        <v>47</v>
      </c>
      <c r="J67" s="10" t="s">
        <v>46</v>
      </c>
      <c r="K67" s="16" t="s">
        <v>47</v>
      </c>
      <c r="N67"/>
    </row>
    <row r="68" spans="2:14" ht="15.75" thickBot="1" x14ac:dyDescent="0.3">
      <c r="B68" s="149" t="s">
        <v>49</v>
      </c>
      <c r="C68" s="150"/>
      <c r="D68" s="150"/>
      <c r="E68" s="72" t="s">
        <v>117</v>
      </c>
      <c r="F68" s="154">
        <f>+E58</f>
        <v>310275</v>
      </c>
      <c r="G68" s="155"/>
      <c r="H68" s="154">
        <f>+F58</f>
        <v>310380</v>
      </c>
      <c r="I68" s="155"/>
      <c r="J68" s="154">
        <f>+G58</f>
        <v>358440</v>
      </c>
      <c r="K68" s="155"/>
      <c r="N68"/>
    </row>
    <row r="69" spans="2:14" x14ac:dyDescent="0.25">
      <c r="B69" s="60"/>
      <c r="C69" s="61"/>
      <c r="D69" s="61"/>
      <c r="E69" s="62"/>
      <c r="F69" s="67"/>
      <c r="G69" s="43"/>
      <c r="H69" s="67"/>
      <c r="I69" s="43"/>
      <c r="J69" s="65"/>
      <c r="K69" s="64"/>
      <c r="N69"/>
    </row>
    <row r="70" spans="2:14" x14ac:dyDescent="0.25">
      <c r="B70" s="63" t="s">
        <v>106</v>
      </c>
      <c r="C70" s="59"/>
      <c r="D70" s="59"/>
      <c r="E70" s="41"/>
      <c r="F70" s="66">
        <v>3400</v>
      </c>
      <c r="G70" s="43"/>
      <c r="H70" s="66">
        <v>3400</v>
      </c>
      <c r="I70" s="43"/>
      <c r="J70" s="39">
        <v>3400</v>
      </c>
      <c r="K70" s="43"/>
      <c r="N70"/>
    </row>
    <row r="71" spans="2:14" x14ac:dyDescent="0.25">
      <c r="B71" s="63" t="s">
        <v>111</v>
      </c>
      <c r="C71" s="59"/>
      <c r="D71" s="59"/>
      <c r="E71" s="41"/>
      <c r="F71" s="66">
        <v>1000</v>
      </c>
      <c r="G71" s="43"/>
      <c r="H71" s="66">
        <v>1000</v>
      </c>
      <c r="I71" s="43"/>
      <c r="J71" s="39">
        <v>1000</v>
      </c>
      <c r="K71" s="43"/>
      <c r="N71"/>
    </row>
    <row r="72" spans="2:14" x14ac:dyDescent="0.25">
      <c r="B72" s="63" t="s">
        <v>112</v>
      </c>
      <c r="C72" s="59"/>
      <c r="D72" s="59"/>
      <c r="E72" s="41"/>
      <c r="F72" s="66">
        <v>1500</v>
      </c>
      <c r="G72" s="43"/>
      <c r="H72" s="66">
        <v>1500</v>
      </c>
      <c r="I72" s="43"/>
      <c r="J72" s="39">
        <v>1500</v>
      </c>
      <c r="K72" s="43"/>
      <c r="N72"/>
    </row>
    <row r="73" spans="2:14" x14ac:dyDescent="0.25">
      <c r="B73" s="63" t="s">
        <v>107</v>
      </c>
      <c r="C73" s="59"/>
      <c r="D73" s="59"/>
      <c r="E73" s="41"/>
      <c r="F73" s="66">
        <v>950</v>
      </c>
      <c r="G73" s="43"/>
      <c r="H73" s="66">
        <v>950</v>
      </c>
      <c r="I73" s="43"/>
      <c r="J73" s="39">
        <v>950</v>
      </c>
      <c r="K73" s="43"/>
      <c r="N73"/>
    </row>
    <row r="74" spans="2:14" x14ac:dyDescent="0.25">
      <c r="B74" s="69" t="s">
        <v>116</v>
      </c>
      <c r="C74" s="59"/>
      <c r="D74" s="59"/>
      <c r="E74" s="70">
        <v>0.05</v>
      </c>
      <c r="F74" s="66">
        <v>400</v>
      </c>
      <c r="G74" s="24">
        <f>+ROUND(E74*$F$68,0)</f>
        <v>15514</v>
      </c>
      <c r="H74" s="66">
        <v>400</v>
      </c>
      <c r="I74" s="41">
        <f t="shared" ref="I74:I81" si="10">+E74*$H$68</f>
        <v>15519</v>
      </c>
      <c r="J74" s="39">
        <v>400</v>
      </c>
      <c r="K74" s="41">
        <f>+$J$68*E74</f>
        <v>17922</v>
      </c>
      <c r="N74"/>
    </row>
    <row r="75" spans="2:14" x14ac:dyDescent="0.25">
      <c r="B75" s="63" t="s">
        <v>113</v>
      </c>
      <c r="C75" s="59"/>
      <c r="D75" s="59"/>
      <c r="E75" s="41"/>
      <c r="F75" s="66">
        <v>2500</v>
      </c>
      <c r="G75" s="14">
        <f t="shared" ref="G75:G76" si="11">+ROUND(E75*$F$68,0)</f>
        <v>0</v>
      </c>
      <c r="H75" s="66">
        <v>2500</v>
      </c>
      <c r="I75" s="41">
        <f t="shared" si="10"/>
        <v>0</v>
      </c>
      <c r="J75" s="39">
        <v>2500</v>
      </c>
      <c r="K75" s="41">
        <f t="shared" ref="K75:K81" si="12">+$J$68*E75</f>
        <v>0</v>
      </c>
      <c r="N75"/>
    </row>
    <row r="76" spans="2:14" x14ac:dyDescent="0.25">
      <c r="B76" s="51" t="s">
        <v>114</v>
      </c>
      <c r="C76" s="59"/>
      <c r="D76" s="59"/>
      <c r="E76" s="70">
        <v>0.5</v>
      </c>
      <c r="F76" s="66">
        <v>700</v>
      </c>
      <c r="G76" s="24">
        <f t="shared" si="11"/>
        <v>155138</v>
      </c>
      <c r="H76" s="66">
        <v>700</v>
      </c>
      <c r="I76" s="41">
        <f t="shared" si="10"/>
        <v>155190</v>
      </c>
      <c r="J76" s="39">
        <v>700</v>
      </c>
      <c r="K76" s="41">
        <f t="shared" si="12"/>
        <v>179220</v>
      </c>
      <c r="N76"/>
    </row>
    <row r="77" spans="2:14" x14ac:dyDescent="0.25">
      <c r="B77" s="58" t="s">
        <v>108</v>
      </c>
      <c r="C77" s="59"/>
      <c r="D77" s="59"/>
      <c r="E77" s="41"/>
      <c r="F77" s="66">
        <v>700</v>
      </c>
      <c r="G77" s="43"/>
      <c r="H77" s="66">
        <v>700</v>
      </c>
      <c r="I77" s="41">
        <f t="shared" si="10"/>
        <v>0</v>
      </c>
      <c r="J77" s="39">
        <v>700</v>
      </c>
      <c r="K77" s="41">
        <f t="shared" si="12"/>
        <v>0</v>
      </c>
      <c r="N77"/>
    </row>
    <row r="78" spans="2:14" x14ac:dyDescent="0.25">
      <c r="B78" s="51" t="s">
        <v>44</v>
      </c>
      <c r="C78" s="59"/>
      <c r="D78" s="59"/>
      <c r="E78" s="40">
        <v>0.25</v>
      </c>
      <c r="F78" s="66">
        <v>600</v>
      </c>
      <c r="G78" s="24">
        <f>+ROUND(E78*$F$68,0)</f>
        <v>77569</v>
      </c>
      <c r="H78" s="66">
        <v>600</v>
      </c>
      <c r="I78" s="41">
        <f t="shared" si="10"/>
        <v>77595</v>
      </c>
      <c r="J78" s="39">
        <v>600</v>
      </c>
      <c r="K78" s="41">
        <f t="shared" si="12"/>
        <v>89610</v>
      </c>
      <c r="N78"/>
    </row>
    <row r="79" spans="2:14" x14ac:dyDescent="0.25">
      <c r="B79" s="58" t="s">
        <v>109</v>
      </c>
      <c r="C79" s="59"/>
      <c r="D79" s="59"/>
      <c r="E79" s="40">
        <v>0.1</v>
      </c>
      <c r="F79" s="66">
        <v>350</v>
      </c>
      <c r="G79" s="24">
        <f>+ROUND(E79*$F$68,0)</f>
        <v>31028</v>
      </c>
      <c r="H79" s="66">
        <v>350</v>
      </c>
      <c r="I79" s="41">
        <f t="shared" si="10"/>
        <v>31038</v>
      </c>
      <c r="J79" s="39">
        <v>350</v>
      </c>
      <c r="K79" s="41">
        <f t="shared" si="12"/>
        <v>35844</v>
      </c>
      <c r="N79" s="38"/>
    </row>
    <row r="80" spans="2:14" x14ac:dyDescent="0.25">
      <c r="B80" s="51" t="s">
        <v>115</v>
      </c>
      <c r="C80" s="59"/>
      <c r="D80" s="59"/>
      <c r="E80" s="70">
        <v>0.2</v>
      </c>
      <c r="F80" s="67"/>
      <c r="G80" s="24">
        <f t="shared" ref="G80:G81" si="13">+ROUND(E80*$F$68,0)</f>
        <v>62055</v>
      </c>
      <c r="H80" s="67"/>
      <c r="I80" s="41">
        <f t="shared" si="10"/>
        <v>62076</v>
      </c>
      <c r="J80" s="42"/>
      <c r="K80" s="41">
        <f t="shared" si="12"/>
        <v>71688</v>
      </c>
      <c r="N80" s="38"/>
    </row>
    <row r="81" spans="1:14" ht="15.75" thickBot="1" x14ac:dyDescent="0.3">
      <c r="B81" s="58" t="s">
        <v>110</v>
      </c>
      <c r="C81" s="59"/>
      <c r="D81" s="59"/>
      <c r="E81" s="71">
        <v>0.2</v>
      </c>
      <c r="F81" s="67"/>
      <c r="G81" s="24">
        <f t="shared" si="13"/>
        <v>62055</v>
      </c>
      <c r="H81" s="67"/>
      <c r="I81" s="41">
        <f t="shared" si="10"/>
        <v>62076</v>
      </c>
      <c r="J81" s="42"/>
      <c r="K81" s="41">
        <f t="shared" si="12"/>
        <v>71688</v>
      </c>
      <c r="N81" s="38"/>
    </row>
    <row r="82" spans="1:14" s="73" customFormat="1" ht="15.75" thickBot="1" x14ac:dyDescent="0.3">
      <c r="B82" s="157" t="s">
        <v>14</v>
      </c>
      <c r="C82" s="158"/>
      <c r="D82" s="158"/>
      <c r="E82" s="159"/>
      <c r="F82" s="76">
        <f>SUM(F70:F81)</f>
        <v>12100</v>
      </c>
      <c r="G82" s="75">
        <f>SUM(G74:G81)</f>
        <v>403359</v>
      </c>
      <c r="H82" s="76">
        <f>SUM(H70:H81)</f>
        <v>12100</v>
      </c>
      <c r="I82" s="75">
        <f>SUM(I70:I81)</f>
        <v>403494</v>
      </c>
      <c r="J82" s="74">
        <f>SUM(J70:J81)</f>
        <v>12100</v>
      </c>
      <c r="K82" s="75">
        <f>SUM(K70:K81)</f>
        <v>465972</v>
      </c>
      <c r="M82"/>
      <c r="N82" s="38"/>
    </row>
    <row r="83" spans="1:14" s="78" customFormat="1" ht="16.5" thickBot="1" x14ac:dyDescent="0.3">
      <c r="A83" s="77"/>
      <c r="B83" s="147" t="s">
        <v>48</v>
      </c>
      <c r="C83" s="160"/>
      <c r="D83" s="160"/>
      <c r="E83" s="148"/>
      <c r="F83" s="147">
        <f>SUM(F82,G82)</f>
        <v>415459</v>
      </c>
      <c r="G83" s="148"/>
      <c r="H83" s="147">
        <f>SUM(H82,I82)</f>
        <v>415594</v>
      </c>
      <c r="I83" s="148"/>
      <c r="J83" s="147">
        <f>SUM(J82,K82)</f>
        <v>478072</v>
      </c>
      <c r="K83" s="148"/>
      <c r="L83" s="77"/>
      <c r="M83"/>
      <c r="N83" s="38"/>
    </row>
    <row r="84" spans="1:14" x14ac:dyDescent="0.25">
      <c r="N84" s="38"/>
    </row>
    <row r="85" spans="1:14" x14ac:dyDescent="0.25">
      <c r="B85" s="50"/>
    </row>
    <row r="86" spans="1:14" ht="15.75" thickBot="1" x14ac:dyDescent="0.3">
      <c r="B86" s="50">
        <v>1.7</v>
      </c>
      <c r="C86" s="73" t="s">
        <v>96</v>
      </c>
    </row>
    <row r="87" spans="1:14" ht="15.75" thickBot="1" x14ac:dyDescent="0.3">
      <c r="B87" s="53"/>
      <c r="C87" s="18"/>
      <c r="D87" s="19"/>
      <c r="E87" s="17" t="s">
        <v>0</v>
      </c>
      <c r="F87" s="27" t="s">
        <v>1</v>
      </c>
      <c r="G87" s="28" t="s">
        <v>2</v>
      </c>
      <c r="H87" s="28" t="s">
        <v>3</v>
      </c>
    </row>
    <row r="88" spans="1:14" x14ac:dyDescent="0.25">
      <c r="B88" s="68"/>
      <c r="C88" s="13"/>
      <c r="D88" s="13"/>
      <c r="E88" s="23"/>
      <c r="F88" s="23"/>
      <c r="G88" s="23"/>
      <c r="H88" s="23"/>
    </row>
    <row r="89" spans="1:14" x14ac:dyDescent="0.25">
      <c r="B89" s="44" t="s">
        <v>97</v>
      </c>
      <c r="E89" s="5">
        <f>+E45</f>
        <v>16361400</v>
      </c>
      <c r="F89" s="5">
        <f>+F45</f>
        <v>16451600</v>
      </c>
      <c r="G89" s="5">
        <f>+G45</f>
        <v>18422800</v>
      </c>
      <c r="H89" s="5">
        <f>SUM(E89:G89)</f>
        <v>51235800</v>
      </c>
    </row>
    <row r="90" spans="1:14" x14ac:dyDescent="0.25">
      <c r="B90" s="44" t="s">
        <v>98</v>
      </c>
      <c r="E90" s="5">
        <f>+E60</f>
        <v>1115550</v>
      </c>
      <c r="F90" s="5">
        <f t="shared" ref="F90:G90" si="14">+F60</f>
        <v>1121700</v>
      </c>
      <c r="G90" s="5">
        <f t="shared" si="14"/>
        <v>1256100</v>
      </c>
      <c r="H90" s="5">
        <f>SUM(E90:G90)</f>
        <v>3493350</v>
      </c>
    </row>
    <row r="91" spans="1:14" x14ac:dyDescent="0.25">
      <c r="B91" s="44" t="s">
        <v>99</v>
      </c>
      <c r="E91" s="5">
        <f>+F83</f>
        <v>415459</v>
      </c>
      <c r="F91" s="5">
        <f>+H83</f>
        <v>415594</v>
      </c>
      <c r="G91" s="5">
        <f>+J83</f>
        <v>478072</v>
      </c>
      <c r="H91" s="5">
        <f>SUM(E91:G91)</f>
        <v>1309125</v>
      </c>
    </row>
    <row r="92" spans="1:14" x14ac:dyDescent="0.25">
      <c r="B92" s="55" t="s">
        <v>100</v>
      </c>
      <c r="E92" s="5">
        <f>SUM(E89:E91)</f>
        <v>17892409</v>
      </c>
      <c r="F92" s="5">
        <f t="shared" ref="F92:H92" si="15">SUM(F89:F91)</f>
        <v>17988894</v>
      </c>
      <c r="G92" s="5">
        <f t="shared" si="15"/>
        <v>20156972</v>
      </c>
      <c r="H92" s="5">
        <f t="shared" si="15"/>
        <v>56038275</v>
      </c>
    </row>
    <row r="93" spans="1:14" x14ac:dyDescent="0.25">
      <c r="B93" s="56" t="s">
        <v>104</v>
      </c>
    </row>
    <row r="94" spans="1:14" x14ac:dyDescent="0.25">
      <c r="B94" s="57" t="s">
        <v>103</v>
      </c>
      <c r="E94" s="5">
        <f>SUM(E92:E93)</f>
        <v>17892409</v>
      </c>
      <c r="F94" s="5">
        <f t="shared" ref="F94:H94" si="16">SUM(F92:F93)</f>
        <v>17988894</v>
      </c>
      <c r="G94" s="5">
        <f t="shared" si="16"/>
        <v>20156972</v>
      </c>
      <c r="H94" s="5">
        <f t="shared" si="16"/>
        <v>56038275</v>
      </c>
    </row>
    <row r="95" spans="1:14" x14ac:dyDescent="0.25">
      <c r="B95" s="56" t="s">
        <v>102</v>
      </c>
    </row>
    <row r="96" spans="1:14" x14ac:dyDescent="0.25">
      <c r="B96" s="55" t="s">
        <v>101</v>
      </c>
      <c r="E96" s="5">
        <f>+E94-E95</f>
        <v>17892409</v>
      </c>
      <c r="F96" s="5">
        <f t="shared" ref="F96:G96" si="17">+F94-F95</f>
        <v>17988894</v>
      </c>
      <c r="G96" s="5">
        <f t="shared" si="17"/>
        <v>20156972</v>
      </c>
      <c r="H96" s="5">
        <f>+H94-H95</f>
        <v>56038275</v>
      </c>
    </row>
  </sheetData>
  <mergeCells count="22">
    <mergeCell ref="C2:G3"/>
    <mergeCell ref="F83:G83"/>
    <mergeCell ref="H83:I83"/>
    <mergeCell ref="B82:E82"/>
    <mergeCell ref="B83:E83"/>
    <mergeCell ref="B54:H54"/>
    <mergeCell ref="B66:E66"/>
    <mergeCell ref="B67:E67"/>
    <mergeCell ref="B68:D68"/>
    <mergeCell ref="F66:G66"/>
    <mergeCell ref="H66:I66"/>
    <mergeCell ref="B41:H41"/>
    <mergeCell ref="B6:H6"/>
    <mergeCell ref="B10:H10"/>
    <mergeCell ref="B21:H21"/>
    <mergeCell ref="B30:H30"/>
    <mergeCell ref="J83:K83"/>
    <mergeCell ref="B65:K65"/>
    <mergeCell ref="J66:K66"/>
    <mergeCell ref="F68:G68"/>
    <mergeCell ref="H68:I68"/>
    <mergeCell ref="J68:K68"/>
  </mergeCells>
  <pageMargins left="0.7" right="0.7" top="0.75" bottom="0.75" header="0.3" footer="0.3"/>
  <pageSetup orientation="portrait" r:id="rId1"/>
  <ignoredErrors>
    <ignoredError sqref="H44 H37 H34 E59:H59 G82 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5"/>
  <sheetViews>
    <sheetView tabSelected="1" zoomScaleNormal="100" workbookViewId="0">
      <selection activeCell="N41" sqref="N41"/>
    </sheetView>
  </sheetViews>
  <sheetFormatPr baseColWidth="10" defaultRowHeight="15" x14ac:dyDescent="0.25"/>
  <cols>
    <col min="2" max="2" width="3.5703125" style="37" customWidth="1"/>
    <col min="6" max="6" width="11.42578125" style="5"/>
    <col min="7" max="7" width="4.42578125" customWidth="1"/>
    <col min="11" max="11" width="11.42578125" style="5"/>
    <col min="14" max="14" width="13.42578125" customWidth="1"/>
    <col min="16" max="16" width="11.7109375" customWidth="1"/>
    <col min="17" max="17" width="12.140625" customWidth="1"/>
  </cols>
  <sheetData>
    <row r="2" spans="1:15" x14ac:dyDescent="0.25">
      <c r="C2" s="80"/>
      <c r="D2" s="167" t="s">
        <v>138</v>
      </c>
      <c r="E2" s="167"/>
      <c r="F2" s="167"/>
      <c r="G2" s="167"/>
      <c r="H2" s="167"/>
      <c r="I2" s="167"/>
      <c r="J2" s="81"/>
      <c r="K2" s="82"/>
    </row>
    <row r="3" spans="1:15" x14ac:dyDescent="0.25">
      <c r="C3" s="83"/>
      <c r="D3" s="168"/>
      <c r="E3" s="168"/>
      <c r="F3" s="168"/>
      <c r="G3" s="168"/>
      <c r="H3" s="168"/>
      <c r="I3" s="168"/>
      <c r="J3" s="39"/>
      <c r="K3" s="84"/>
    </row>
    <row r="4" spans="1:15" x14ac:dyDescent="0.25">
      <c r="C4" s="83"/>
      <c r="D4" s="85"/>
      <c r="E4" s="85"/>
      <c r="F4" s="85"/>
      <c r="G4" s="85"/>
      <c r="H4" s="85"/>
      <c r="I4" s="85"/>
      <c r="J4" s="39"/>
      <c r="K4" s="84"/>
    </row>
    <row r="5" spans="1:15" x14ac:dyDescent="0.25">
      <c r="A5" s="1"/>
      <c r="C5" s="86" t="s">
        <v>53</v>
      </c>
      <c r="D5" s="87"/>
      <c r="E5" s="87"/>
      <c r="F5" s="23"/>
      <c r="G5" s="87"/>
      <c r="H5" s="87" t="s">
        <v>65</v>
      </c>
      <c r="I5" s="87"/>
      <c r="J5" s="87"/>
      <c r="K5" s="88"/>
      <c r="L5" s="1"/>
      <c r="M5" s="1"/>
      <c r="N5" s="1"/>
      <c r="O5" s="1"/>
    </row>
    <row r="6" spans="1:15" x14ac:dyDescent="0.25">
      <c r="C6" s="89" t="s">
        <v>54</v>
      </c>
      <c r="D6" s="39"/>
      <c r="E6" s="39"/>
      <c r="F6" s="13"/>
      <c r="G6" s="39"/>
      <c r="H6" s="39" t="s">
        <v>66</v>
      </c>
      <c r="I6" s="39"/>
      <c r="J6" s="39"/>
      <c r="K6" s="84"/>
    </row>
    <row r="7" spans="1:15" x14ac:dyDescent="0.25">
      <c r="C7" s="83" t="s">
        <v>55</v>
      </c>
      <c r="D7" s="39"/>
      <c r="E7" s="39"/>
      <c r="F7" s="13">
        <v>17000</v>
      </c>
      <c r="G7" s="39"/>
      <c r="H7" s="39" t="s">
        <v>67</v>
      </c>
      <c r="I7" s="39"/>
      <c r="J7" s="39"/>
      <c r="K7" s="84">
        <v>7500</v>
      </c>
    </row>
    <row r="8" spans="1:15" x14ac:dyDescent="0.25">
      <c r="C8" s="83" t="s">
        <v>56</v>
      </c>
      <c r="D8" s="39"/>
      <c r="E8" s="39"/>
      <c r="F8" s="13">
        <v>1800</v>
      </c>
      <c r="G8" s="39"/>
      <c r="H8" s="39" t="s">
        <v>68</v>
      </c>
      <c r="I8" s="39"/>
      <c r="J8" s="39"/>
      <c r="K8" s="84">
        <v>20320</v>
      </c>
    </row>
    <row r="9" spans="1:15" x14ac:dyDescent="0.25">
      <c r="C9" s="83" t="s">
        <v>57</v>
      </c>
      <c r="D9" s="39"/>
      <c r="E9" s="39"/>
      <c r="F9" s="13">
        <v>25500</v>
      </c>
      <c r="G9" s="39"/>
      <c r="H9" s="39" t="s">
        <v>69</v>
      </c>
      <c r="I9" s="39"/>
      <c r="J9" s="39"/>
      <c r="K9" s="84">
        <v>540</v>
      </c>
    </row>
    <row r="10" spans="1:15" x14ac:dyDescent="0.25">
      <c r="C10" s="83" t="s">
        <v>58</v>
      </c>
      <c r="D10" s="39"/>
      <c r="E10" s="39"/>
      <c r="F10" s="13">
        <v>15000</v>
      </c>
      <c r="G10" s="39"/>
      <c r="H10" s="87" t="s">
        <v>70</v>
      </c>
      <c r="I10" s="39"/>
      <c r="J10" s="39"/>
      <c r="K10" s="88">
        <f>SUM(K7:K9)</f>
        <v>28360</v>
      </c>
    </row>
    <row r="11" spans="1:15" x14ac:dyDescent="0.25">
      <c r="C11" s="86" t="s">
        <v>59</v>
      </c>
      <c r="D11" s="39"/>
      <c r="E11" s="39"/>
      <c r="F11" s="23">
        <f>SUM(F7:F10)</f>
        <v>59300</v>
      </c>
      <c r="G11" s="39"/>
      <c r="H11" s="39"/>
      <c r="I11" s="39"/>
      <c r="J11" s="39"/>
      <c r="K11" s="84"/>
    </row>
    <row r="12" spans="1:15" x14ac:dyDescent="0.25">
      <c r="C12" s="83"/>
      <c r="D12" s="39"/>
      <c r="E12" s="39"/>
      <c r="F12" s="13"/>
      <c r="G12" s="39"/>
      <c r="H12" s="39" t="s">
        <v>71</v>
      </c>
      <c r="I12" s="39"/>
      <c r="J12" s="39"/>
      <c r="K12" s="84"/>
    </row>
    <row r="13" spans="1:15" x14ac:dyDescent="0.25">
      <c r="C13" s="83" t="s">
        <v>60</v>
      </c>
      <c r="D13" s="39"/>
      <c r="E13" s="39"/>
      <c r="F13" s="13"/>
      <c r="G13" s="39"/>
      <c r="H13" s="39" t="s">
        <v>72</v>
      </c>
      <c r="I13" s="39"/>
      <c r="J13" s="39"/>
      <c r="K13" s="84">
        <v>25640</v>
      </c>
    </row>
    <row r="14" spans="1:15" x14ac:dyDescent="0.25">
      <c r="C14" s="83" t="s">
        <v>61</v>
      </c>
      <c r="D14" s="39"/>
      <c r="E14" s="13">
        <v>30000</v>
      </c>
      <c r="F14" s="13"/>
      <c r="G14" s="39"/>
      <c r="H14" s="39" t="s">
        <v>73</v>
      </c>
      <c r="I14" s="39"/>
      <c r="J14" s="39"/>
      <c r="K14" s="84">
        <v>24000</v>
      </c>
    </row>
    <row r="15" spans="1:15" x14ac:dyDescent="0.25">
      <c r="C15" s="83" t="s">
        <v>62</v>
      </c>
      <c r="D15" s="39"/>
      <c r="E15" s="13">
        <v>-10000</v>
      </c>
      <c r="F15" s="13">
        <f>+E14+E15</f>
        <v>20000</v>
      </c>
      <c r="G15" s="39"/>
      <c r="H15" s="39" t="s">
        <v>74</v>
      </c>
      <c r="I15" s="39"/>
      <c r="J15" s="39"/>
      <c r="K15" s="84">
        <v>1300</v>
      </c>
    </row>
    <row r="16" spans="1:15" x14ac:dyDescent="0.25">
      <c r="C16" s="86" t="s">
        <v>63</v>
      </c>
      <c r="D16" s="39"/>
      <c r="E16" s="39"/>
      <c r="F16" s="23">
        <f>SUM(F14:F15)</f>
        <v>20000</v>
      </c>
      <c r="G16" s="39"/>
      <c r="H16" s="87" t="s">
        <v>75</v>
      </c>
      <c r="I16" s="39"/>
      <c r="J16" s="39"/>
      <c r="K16" s="88">
        <f>SUM(K13:K15)</f>
        <v>50940</v>
      </c>
    </row>
    <row r="17" spans="2:11" x14ac:dyDescent="0.25">
      <c r="C17" s="83"/>
      <c r="D17" s="39"/>
      <c r="E17" s="39"/>
      <c r="F17" s="13"/>
      <c r="G17" s="39"/>
      <c r="H17" s="39"/>
      <c r="I17" s="39"/>
      <c r="J17" s="39"/>
      <c r="K17" s="84"/>
    </row>
    <row r="18" spans="2:11" x14ac:dyDescent="0.25">
      <c r="C18" s="86" t="s">
        <v>64</v>
      </c>
      <c r="D18" s="39"/>
      <c r="E18" s="39"/>
      <c r="F18" s="23">
        <f>+F11+F16</f>
        <v>79300</v>
      </c>
      <c r="G18" s="39"/>
      <c r="H18" s="87" t="s">
        <v>76</v>
      </c>
      <c r="I18" s="39"/>
      <c r="J18" s="39"/>
      <c r="K18" s="88">
        <f>+K10+K16</f>
        <v>79300</v>
      </c>
    </row>
    <row r="19" spans="2:11" x14ac:dyDescent="0.25">
      <c r="C19" s="83"/>
      <c r="D19" s="39"/>
      <c r="E19" s="39"/>
      <c r="F19" s="13"/>
      <c r="G19" s="39"/>
      <c r="H19" s="39"/>
      <c r="I19" s="39"/>
      <c r="J19" s="39"/>
      <c r="K19" s="84"/>
    </row>
    <row r="20" spans="2:11" x14ac:dyDescent="0.25">
      <c r="C20" s="83"/>
      <c r="D20" s="39"/>
      <c r="E20" s="39"/>
      <c r="F20" s="13"/>
      <c r="G20" s="39"/>
      <c r="H20" s="39"/>
      <c r="I20" s="39"/>
      <c r="J20" s="39"/>
      <c r="K20" s="84"/>
    </row>
    <row r="21" spans="2:11" x14ac:dyDescent="0.25">
      <c r="C21" s="86" t="s">
        <v>77</v>
      </c>
      <c r="D21" s="39"/>
      <c r="E21" s="39"/>
      <c r="F21" s="13"/>
      <c r="G21" s="39"/>
      <c r="H21" s="39"/>
      <c r="I21" s="39"/>
      <c r="J21" s="39"/>
      <c r="K21" s="84"/>
    </row>
    <row r="22" spans="2:11" x14ac:dyDescent="0.25">
      <c r="B22" s="37">
        <v>1</v>
      </c>
      <c r="C22" s="90" t="s">
        <v>87</v>
      </c>
      <c r="D22" s="39"/>
      <c r="E22" s="39"/>
      <c r="F22" s="13"/>
      <c r="G22" s="91">
        <v>3</v>
      </c>
      <c r="H22" s="39" t="s">
        <v>83</v>
      </c>
      <c r="I22" s="39"/>
      <c r="J22" s="92">
        <v>0.4</v>
      </c>
      <c r="K22" s="84"/>
    </row>
    <row r="23" spans="2:11" x14ac:dyDescent="0.25">
      <c r="C23" s="90"/>
      <c r="D23" s="39"/>
      <c r="E23" s="87" t="s">
        <v>130</v>
      </c>
      <c r="F23" s="23" t="s">
        <v>131</v>
      </c>
      <c r="G23" s="91">
        <v>4</v>
      </c>
      <c r="H23" s="39" t="s">
        <v>84</v>
      </c>
      <c r="I23" s="39"/>
      <c r="J23" s="92">
        <v>0.02</v>
      </c>
      <c r="K23" s="84"/>
    </row>
    <row r="24" spans="2:11" x14ac:dyDescent="0.25">
      <c r="C24" s="93" t="s">
        <v>88</v>
      </c>
      <c r="D24" s="39"/>
      <c r="E24" s="13">
        <v>25000</v>
      </c>
      <c r="F24" s="13">
        <v>15000</v>
      </c>
      <c r="G24" s="91">
        <v>5</v>
      </c>
      <c r="H24" s="39" t="s">
        <v>85</v>
      </c>
      <c r="I24" s="39"/>
      <c r="J24" s="94">
        <v>30000</v>
      </c>
      <c r="K24" s="84" t="s">
        <v>86</v>
      </c>
    </row>
    <row r="25" spans="2:11" x14ac:dyDescent="0.25">
      <c r="C25" s="95" t="s">
        <v>89</v>
      </c>
      <c r="D25" s="39"/>
      <c r="E25" s="13">
        <v>30000</v>
      </c>
      <c r="F25" s="13">
        <v>18000</v>
      </c>
      <c r="G25" s="91">
        <v>6</v>
      </c>
      <c r="H25" s="39"/>
      <c r="I25" s="39"/>
      <c r="J25" s="39"/>
      <c r="K25" s="84"/>
    </row>
    <row r="26" spans="2:11" x14ac:dyDescent="0.25">
      <c r="C26" s="95" t="s">
        <v>90</v>
      </c>
      <c r="D26" s="39"/>
      <c r="E26" s="13">
        <v>30000</v>
      </c>
      <c r="F26" s="13">
        <v>18000</v>
      </c>
      <c r="G26" s="91">
        <v>7</v>
      </c>
      <c r="H26" s="39" t="s">
        <v>118</v>
      </c>
      <c r="I26" s="39"/>
      <c r="J26" s="39"/>
      <c r="K26" s="84"/>
    </row>
    <row r="27" spans="2:11" x14ac:dyDescent="0.25">
      <c r="C27" s="95" t="s">
        <v>91</v>
      </c>
      <c r="D27" s="39"/>
      <c r="E27" s="13">
        <v>28000</v>
      </c>
      <c r="F27" s="13">
        <v>16800</v>
      </c>
      <c r="G27" s="91"/>
      <c r="H27" s="39" t="s">
        <v>119</v>
      </c>
      <c r="I27" s="39"/>
      <c r="J27" s="92">
        <v>0.1</v>
      </c>
      <c r="K27" s="84"/>
    </row>
    <row r="28" spans="2:11" x14ac:dyDescent="0.25">
      <c r="C28" s="95" t="s">
        <v>92</v>
      </c>
      <c r="D28" s="39"/>
      <c r="E28" s="13">
        <v>35000</v>
      </c>
      <c r="F28" s="13">
        <v>21000</v>
      </c>
      <c r="G28" s="91"/>
      <c r="H28" s="39" t="s">
        <v>120</v>
      </c>
      <c r="I28" s="39"/>
      <c r="J28" s="92">
        <v>0.4</v>
      </c>
      <c r="K28" s="84"/>
    </row>
    <row r="29" spans="2:11" x14ac:dyDescent="0.25">
      <c r="C29" s="86" t="s">
        <v>93</v>
      </c>
      <c r="D29" s="39"/>
      <c r="E29" s="13"/>
      <c r="F29" s="13"/>
      <c r="G29" s="91"/>
      <c r="H29" s="39" t="s">
        <v>121</v>
      </c>
      <c r="I29" s="39"/>
      <c r="J29" s="92">
        <v>0.5</v>
      </c>
      <c r="K29" s="84"/>
    </row>
    <row r="30" spans="2:11" x14ac:dyDescent="0.25">
      <c r="C30" s="95" t="s">
        <v>94</v>
      </c>
      <c r="D30" s="39"/>
      <c r="E30" s="13">
        <v>15000</v>
      </c>
      <c r="F30" s="13">
        <v>9000</v>
      </c>
      <c r="G30" s="91">
        <v>8</v>
      </c>
      <c r="H30" s="96" t="s">
        <v>122</v>
      </c>
      <c r="I30" s="39"/>
      <c r="J30" s="39"/>
      <c r="K30" s="84"/>
    </row>
    <row r="31" spans="2:11" x14ac:dyDescent="0.25">
      <c r="C31" s="95" t="s">
        <v>95</v>
      </c>
      <c r="D31" s="39"/>
      <c r="E31" s="13">
        <v>18000</v>
      </c>
      <c r="F31" s="13">
        <v>10800</v>
      </c>
      <c r="G31" s="91"/>
      <c r="H31" s="39" t="s">
        <v>123</v>
      </c>
      <c r="I31" s="39"/>
      <c r="J31" s="13">
        <v>6000</v>
      </c>
      <c r="K31" s="84"/>
    </row>
    <row r="32" spans="2:11" x14ac:dyDescent="0.25">
      <c r="C32" s="86"/>
      <c r="D32" s="39"/>
      <c r="E32" s="39"/>
      <c r="F32" s="13"/>
      <c r="G32" s="91">
        <v>9</v>
      </c>
      <c r="H32" s="39" t="s">
        <v>124</v>
      </c>
      <c r="I32" s="39"/>
      <c r="J32" s="13">
        <v>6000</v>
      </c>
      <c r="K32" s="84"/>
    </row>
    <row r="33" spans="2:19" x14ac:dyDescent="0.25">
      <c r="C33" s="86"/>
      <c r="D33" s="39"/>
      <c r="E33" s="39"/>
      <c r="F33" s="13"/>
      <c r="G33" s="91">
        <v>10</v>
      </c>
      <c r="H33" s="39" t="s">
        <v>125</v>
      </c>
      <c r="I33" s="39"/>
      <c r="J33" s="92">
        <v>0.03</v>
      </c>
      <c r="K33" s="84"/>
    </row>
    <row r="34" spans="2:19" x14ac:dyDescent="0.25">
      <c r="B34" s="37">
        <v>2</v>
      </c>
      <c r="C34" s="83" t="s">
        <v>78</v>
      </c>
      <c r="D34" s="39"/>
      <c r="E34" s="39"/>
      <c r="F34" s="13"/>
      <c r="G34" s="91">
        <v>11</v>
      </c>
      <c r="H34" s="39" t="s">
        <v>126</v>
      </c>
      <c r="I34" s="39"/>
      <c r="J34" s="39"/>
      <c r="K34" s="84"/>
    </row>
    <row r="35" spans="2:19" x14ac:dyDescent="0.25">
      <c r="C35" s="83" t="s">
        <v>79</v>
      </c>
      <c r="D35" s="92">
        <v>0.5</v>
      </c>
      <c r="E35" s="39"/>
      <c r="F35" s="13"/>
      <c r="G35" s="91"/>
      <c r="H35" s="39" t="s">
        <v>127</v>
      </c>
      <c r="I35" s="39"/>
      <c r="J35" s="39"/>
      <c r="K35" s="84"/>
    </row>
    <row r="36" spans="2:19" x14ac:dyDescent="0.25">
      <c r="C36" s="83" t="s">
        <v>80</v>
      </c>
      <c r="D36" s="92">
        <v>0.5</v>
      </c>
      <c r="E36" s="39"/>
      <c r="F36" s="13"/>
      <c r="G36" s="91">
        <v>12</v>
      </c>
      <c r="H36" s="39" t="s">
        <v>128</v>
      </c>
      <c r="I36" s="39"/>
      <c r="J36" s="39"/>
      <c r="K36" s="84"/>
    </row>
    <row r="37" spans="2:19" x14ac:dyDescent="0.25">
      <c r="C37" s="83" t="s">
        <v>81</v>
      </c>
      <c r="D37" s="39"/>
      <c r="E37" s="92">
        <v>0.3</v>
      </c>
      <c r="F37" s="13"/>
      <c r="G37" s="91"/>
      <c r="H37" s="39" t="s">
        <v>129</v>
      </c>
      <c r="I37" s="39"/>
      <c r="J37">
        <v>15000</v>
      </c>
      <c r="K37" s="92">
        <v>0.02</v>
      </c>
    </row>
    <row r="38" spans="2:19" x14ac:dyDescent="0.25">
      <c r="C38" s="97" t="s">
        <v>82</v>
      </c>
      <c r="D38" s="98"/>
      <c r="E38" s="99">
        <v>0.7</v>
      </c>
      <c r="F38" s="100"/>
      <c r="G38" s="101">
        <v>13</v>
      </c>
      <c r="H38" s="98" t="s">
        <v>153</v>
      </c>
      <c r="I38" s="98"/>
      <c r="J38" s="98">
        <v>7000</v>
      </c>
      <c r="K38" s="102"/>
    </row>
    <row r="41" spans="2:19" ht="15.75" thickBot="1" x14ac:dyDescent="0.3">
      <c r="N41" t="s">
        <v>183</v>
      </c>
    </row>
    <row r="42" spans="2:19" ht="15.75" thickBot="1" x14ac:dyDescent="0.3">
      <c r="C42" s="1" t="s">
        <v>154</v>
      </c>
      <c r="N42" s="122" t="s">
        <v>172</v>
      </c>
      <c r="O42" s="121"/>
      <c r="P42" s="121"/>
      <c r="Q42" s="120" t="s">
        <v>0</v>
      </c>
      <c r="R42" s="121" t="s">
        <v>159</v>
      </c>
      <c r="S42" s="125" t="s">
        <v>2</v>
      </c>
    </row>
    <row r="43" spans="2:19" x14ac:dyDescent="0.25">
      <c r="N43" s="66" t="s">
        <v>158</v>
      </c>
      <c r="O43" s="39"/>
      <c r="P43" s="39"/>
      <c r="Q43" s="118">
        <f>+E24</f>
        <v>25000</v>
      </c>
      <c r="R43" s="117">
        <f>+E25</f>
        <v>30000</v>
      </c>
      <c r="S43" s="127">
        <f>+E26</f>
        <v>30000</v>
      </c>
    </row>
    <row r="44" spans="2:19" x14ac:dyDescent="0.25">
      <c r="B44" s="37" t="s">
        <v>132</v>
      </c>
      <c r="C44" s="1" t="s">
        <v>166</v>
      </c>
      <c r="N44" s="66" t="s">
        <v>160</v>
      </c>
      <c r="O44" s="39"/>
      <c r="P44" s="39"/>
      <c r="Q44" s="66">
        <f>+Q43*$E$37</f>
        <v>7500</v>
      </c>
      <c r="R44" s="39">
        <f t="shared" ref="R44:S44" si="0">+R43*$E$37</f>
        <v>9000</v>
      </c>
      <c r="S44" s="110">
        <f t="shared" si="0"/>
        <v>9000</v>
      </c>
    </row>
    <row r="45" spans="2:19" ht="15.75" thickBot="1" x14ac:dyDescent="0.3">
      <c r="N45" s="66" t="s">
        <v>161</v>
      </c>
      <c r="O45" s="39"/>
      <c r="P45" s="39"/>
      <c r="Q45" s="66"/>
      <c r="R45" s="39">
        <f>+($Q$43-$Q$44)*$D$35</f>
        <v>8750</v>
      </c>
      <c r="S45" s="110">
        <f>+($Q$43-$Q$44)*$D$36</f>
        <v>8750</v>
      </c>
    </row>
    <row r="46" spans="2:19" ht="16.5" thickBot="1" x14ac:dyDescent="0.3">
      <c r="C46" s="134"/>
      <c r="D46" s="121"/>
      <c r="E46" s="121"/>
      <c r="F46" s="18"/>
      <c r="G46" s="104"/>
      <c r="H46" s="103" t="s">
        <v>50</v>
      </c>
      <c r="I46" s="126" t="s">
        <v>140</v>
      </c>
      <c r="J46" s="104" t="s">
        <v>141</v>
      </c>
      <c r="N46" s="66" t="s">
        <v>162</v>
      </c>
      <c r="O46" s="39"/>
      <c r="P46" s="39"/>
      <c r="Q46" s="66"/>
      <c r="R46" s="39"/>
      <c r="S46" s="110">
        <f>+(R43-R44)*D35</f>
        <v>10500</v>
      </c>
    </row>
    <row r="47" spans="2:19" ht="15.75" customHeight="1" thickBot="1" x14ac:dyDescent="0.3">
      <c r="C47" s="135" t="s">
        <v>135</v>
      </c>
      <c r="H47" s="5"/>
      <c r="N47" s="66" t="s">
        <v>163</v>
      </c>
      <c r="O47" s="39"/>
      <c r="P47" s="39"/>
      <c r="Q47" s="66"/>
      <c r="R47" s="39"/>
      <c r="S47" s="110"/>
    </row>
    <row r="48" spans="2:19" ht="15" customHeight="1" thickBot="1" x14ac:dyDescent="0.3">
      <c r="C48" t="s">
        <v>139</v>
      </c>
      <c r="H48" s="5">
        <f>+F7</f>
        <v>17000</v>
      </c>
      <c r="I48" s="105">
        <f>+H62</f>
        <v>2010</v>
      </c>
      <c r="J48" s="105">
        <f>+I62</f>
        <v>-14040</v>
      </c>
      <c r="N48" s="122" t="s">
        <v>164</v>
      </c>
      <c r="O48" s="124"/>
      <c r="P48" s="124"/>
      <c r="Q48" s="122">
        <f>SUM(Q44:Q47)</f>
        <v>7500</v>
      </c>
      <c r="R48" s="124">
        <f t="shared" ref="R48:S48" si="1">SUM(R44:R47)</f>
        <v>17750</v>
      </c>
      <c r="S48" s="123">
        <f t="shared" si="1"/>
        <v>28250</v>
      </c>
    </row>
    <row r="49" spans="2:22" ht="15.75" thickBot="1" x14ac:dyDescent="0.3">
      <c r="C49" t="s">
        <v>165</v>
      </c>
      <c r="H49" s="73">
        <f>+Q48</f>
        <v>7500</v>
      </c>
      <c r="I49" s="73">
        <f>+R48</f>
        <v>17750</v>
      </c>
      <c r="J49" s="73">
        <f>+S48</f>
        <v>28250</v>
      </c>
    </row>
    <row r="50" spans="2:22" ht="15.75" thickBot="1" x14ac:dyDescent="0.3">
      <c r="H50" s="73"/>
      <c r="I50" s="73"/>
      <c r="J50" s="73"/>
      <c r="N50" s="122" t="s">
        <v>173</v>
      </c>
      <c r="O50" s="121"/>
      <c r="P50" s="121"/>
      <c r="Q50" s="120" t="s">
        <v>0</v>
      </c>
      <c r="R50" s="121" t="s">
        <v>1</v>
      </c>
      <c r="S50" s="125" t="s">
        <v>2</v>
      </c>
    </row>
    <row r="51" spans="2:22" x14ac:dyDescent="0.25">
      <c r="C51" s="1" t="s">
        <v>169</v>
      </c>
      <c r="D51" s="1"/>
      <c r="E51" s="1"/>
      <c r="F51" s="1"/>
      <c r="G51" s="1"/>
      <c r="H51" s="4">
        <f>+H49+H48+H50</f>
        <v>24500</v>
      </c>
      <c r="I51" s="4">
        <f t="shared" ref="I51:J51" si="2">+I49+I48+I50</f>
        <v>19760</v>
      </c>
      <c r="J51" s="4">
        <f t="shared" si="2"/>
        <v>14210</v>
      </c>
      <c r="N51" s="66"/>
      <c r="O51" s="39"/>
      <c r="P51" s="39"/>
      <c r="Q51" s="66">
        <v>15000</v>
      </c>
      <c r="R51" s="39">
        <v>18000</v>
      </c>
      <c r="S51" s="110">
        <v>18000</v>
      </c>
    </row>
    <row r="52" spans="2:22" x14ac:dyDescent="0.25">
      <c r="N52" s="129" t="s">
        <v>174</v>
      </c>
      <c r="O52" s="39"/>
      <c r="P52" s="39"/>
      <c r="Q52" s="145">
        <f>+Q51*0.4</f>
        <v>6000</v>
      </c>
      <c r="R52" s="143">
        <f>+R51*0.4</f>
        <v>7200</v>
      </c>
      <c r="S52" s="144">
        <f>+S51*0.4</f>
        <v>7200</v>
      </c>
    </row>
    <row r="53" spans="2:22" ht="15.75" x14ac:dyDescent="0.25">
      <c r="C53" s="135" t="s">
        <v>136</v>
      </c>
      <c r="K53" s="4"/>
      <c r="N53" s="66" t="s">
        <v>175</v>
      </c>
      <c r="O53" s="39"/>
      <c r="P53" s="39"/>
      <c r="Q53" s="66">
        <f>+R51*10%</f>
        <v>1800</v>
      </c>
      <c r="R53" s="39">
        <f>+S51*10%</f>
        <v>1800</v>
      </c>
      <c r="S53" s="110"/>
    </row>
    <row r="54" spans="2:22" s="1" customFormat="1" ht="15.75" thickBot="1" x14ac:dyDescent="0.3">
      <c r="B54" s="37"/>
      <c r="C54" t="s">
        <v>155</v>
      </c>
      <c r="D54"/>
      <c r="E54"/>
      <c r="F54" s="5"/>
      <c r="G54"/>
      <c r="H54">
        <f>+Q55</f>
        <v>7800</v>
      </c>
      <c r="I54">
        <f>+R55</f>
        <v>16500</v>
      </c>
      <c r="J54">
        <f>+S55</f>
        <v>16200</v>
      </c>
      <c r="K54" s="5"/>
      <c r="N54" s="130" t="s">
        <v>176</v>
      </c>
      <c r="O54" s="112"/>
      <c r="P54" s="112"/>
      <c r="Q54" s="111"/>
      <c r="R54" s="112">
        <f>+Q51*50%</f>
        <v>7500</v>
      </c>
      <c r="S54" s="131">
        <f>+R51*50%</f>
        <v>9000</v>
      </c>
      <c r="T54"/>
    </row>
    <row r="55" spans="2:22" ht="15.75" thickBot="1" x14ac:dyDescent="0.3">
      <c r="C55" t="s">
        <v>134</v>
      </c>
      <c r="H55">
        <f>+P73</f>
        <v>7290</v>
      </c>
      <c r="I55">
        <f>+Q73</f>
        <v>6900</v>
      </c>
      <c r="J55">
        <f>+R73</f>
        <v>12000</v>
      </c>
      <c r="N55" s="113"/>
      <c r="O55" s="114"/>
      <c r="P55" s="114"/>
      <c r="Q55" s="113">
        <f>SUM(Q52:Q54)</f>
        <v>7800</v>
      </c>
      <c r="R55" s="114">
        <f>SUM(R52:R54)</f>
        <v>16500</v>
      </c>
      <c r="S55" s="115">
        <f>SUM(S52:S54)</f>
        <v>16200</v>
      </c>
    </row>
    <row r="56" spans="2:22" x14ac:dyDescent="0.25">
      <c r="C56" t="s">
        <v>133</v>
      </c>
      <c r="H56">
        <f>+O64</f>
        <v>400</v>
      </c>
      <c r="I56">
        <f>+Q64</f>
        <v>3400</v>
      </c>
      <c r="J56">
        <f>+S64</f>
        <v>3400</v>
      </c>
      <c r="T56" s="1"/>
    </row>
    <row r="57" spans="2:22" ht="15.75" thickBot="1" x14ac:dyDescent="0.3">
      <c r="C57" t="s">
        <v>167</v>
      </c>
      <c r="J57" s="105">
        <f>+J31</f>
        <v>6000</v>
      </c>
    </row>
    <row r="58" spans="2:22" ht="15.75" thickBot="1" x14ac:dyDescent="0.3">
      <c r="C58" s="1" t="s">
        <v>168</v>
      </c>
      <c r="G58" s="1"/>
      <c r="H58" s="1">
        <f>SUM(H54:H57)</f>
        <v>15490</v>
      </c>
      <c r="I58" s="1">
        <f t="shared" ref="I58:J58" si="3">SUM(I54:I57)</f>
        <v>26800</v>
      </c>
      <c r="J58" s="1">
        <f t="shared" si="3"/>
        <v>37600</v>
      </c>
      <c r="N58" s="122" t="s">
        <v>157</v>
      </c>
      <c r="O58" s="121"/>
      <c r="P58" s="121"/>
      <c r="Q58" s="121"/>
      <c r="R58" s="121"/>
      <c r="S58" s="121"/>
      <c r="T58" s="125"/>
    </row>
    <row r="59" spans="2:22" x14ac:dyDescent="0.25">
      <c r="C59" t="s">
        <v>170</v>
      </c>
      <c r="H59">
        <f>+$J$38</f>
        <v>7000</v>
      </c>
      <c r="I59">
        <f t="shared" ref="I59:J59" si="4">+$J$38</f>
        <v>7000</v>
      </c>
      <c r="J59">
        <f t="shared" si="4"/>
        <v>7000</v>
      </c>
      <c r="N59" s="66"/>
      <c r="O59" s="66" t="s">
        <v>0</v>
      </c>
      <c r="P59" s="110"/>
      <c r="Q59" s="39" t="s">
        <v>1</v>
      </c>
      <c r="R59" s="39"/>
      <c r="S59" s="133" t="s">
        <v>141</v>
      </c>
      <c r="T59" s="110"/>
    </row>
    <row r="60" spans="2:22" ht="16.5" thickBot="1" x14ac:dyDescent="0.3">
      <c r="C60" s="79" t="s">
        <v>48</v>
      </c>
      <c r="H60">
        <f>SUM(H58:H59)</f>
        <v>22490</v>
      </c>
      <c r="I60">
        <f t="shared" ref="I60:J60" si="5">SUM(I58:I59)</f>
        <v>33800</v>
      </c>
      <c r="J60">
        <f t="shared" si="5"/>
        <v>44600</v>
      </c>
      <c r="N60" s="113" t="s">
        <v>142</v>
      </c>
      <c r="O60" s="113" t="s">
        <v>143</v>
      </c>
      <c r="P60" s="115" t="s">
        <v>144</v>
      </c>
      <c r="Q60" s="114" t="s">
        <v>143</v>
      </c>
      <c r="R60" s="114" t="s">
        <v>144</v>
      </c>
      <c r="S60" s="113" t="s">
        <v>143</v>
      </c>
      <c r="T60" s="115" t="s">
        <v>144</v>
      </c>
      <c r="U60" s="1"/>
      <c r="V60" s="1"/>
    </row>
    <row r="61" spans="2:22" x14ac:dyDescent="0.25">
      <c r="N61" s="109" t="s">
        <v>151</v>
      </c>
      <c r="O61" s="66"/>
      <c r="P61" s="110"/>
      <c r="Q61" s="39"/>
      <c r="R61" s="110">
        <f>+J24/10</f>
        <v>3000</v>
      </c>
      <c r="S61" s="39"/>
      <c r="T61" s="110">
        <f>+R61</f>
        <v>3000</v>
      </c>
    </row>
    <row r="62" spans="2:22" ht="15.75" thickBot="1" x14ac:dyDescent="0.3">
      <c r="C62" s="1" t="s">
        <v>171</v>
      </c>
      <c r="H62" s="139">
        <f>+H51-H60</f>
        <v>2010</v>
      </c>
      <c r="I62" s="139">
        <f t="shared" ref="I62:J62" si="6">+I51-I60</f>
        <v>-14040</v>
      </c>
      <c r="J62" s="139">
        <f t="shared" si="6"/>
        <v>-30390</v>
      </c>
      <c r="N62" s="109" t="s">
        <v>145</v>
      </c>
      <c r="O62" s="66">
        <f>+F15*J23</f>
        <v>400</v>
      </c>
      <c r="P62" s="110"/>
      <c r="Q62" s="39">
        <f>+O62</f>
        <v>400</v>
      </c>
      <c r="R62" s="110"/>
      <c r="S62" s="39">
        <f>+O62</f>
        <v>400</v>
      </c>
      <c r="T62" s="110"/>
    </row>
    <row r="63" spans="2:22" ht="15.75" thickBot="1" x14ac:dyDescent="0.3">
      <c r="N63" s="120" t="s">
        <v>14</v>
      </c>
      <c r="O63" s="120">
        <f>SUM(O61:O62)</f>
        <v>400</v>
      </c>
      <c r="P63" s="125"/>
      <c r="Q63" s="121">
        <f>SUM(Q61:Q62)</f>
        <v>400</v>
      </c>
      <c r="R63" s="125">
        <f>SUM(R61:R62)</f>
        <v>3000</v>
      </c>
      <c r="S63" s="121">
        <f>SUM(S61:S62)</f>
        <v>400</v>
      </c>
      <c r="T63" s="125">
        <f>SUM(T61:T62)</f>
        <v>3000</v>
      </c>
    </row>
    <row r="64" spans="2:22" ht="15.75" thickBot="1" x14ac:dyDescent="0.3">
      <c r="N64" s="122" t="s">
        <v>48</v>
      </c>
      <c r="O64" s="140">
        <f>O63+P63</f>
        <v>400</v>
      </c>
      <c r="P64" s="141"/>
      <c r="Q64" s="142">
        <f>Q63+R63</f>
        <v>3400</v>
      </c>
      <c r="R64" s="142"/>
      <c r="S64" s="140">
        <f>S63+T63</f>
        <v>3400</v>
      </c>
      <c r="T64" s="141"/>
    </row>
    <row r="65" spans="3:18" ht="15.75" thickBot="1" x14ac:dyDescent="0.3"/>
    <row r="66" spans="3:18" ht="15.75" thickBot="1" x14ac:dyDescent="0.3">
      <c r="N66" s="116" t="s">
        <v>147</v>
      </c>
      <c r="O66" s="107"/>
      <c r="P66" s="107"/>
      <c r="Q66" s="107"/>
      <c r="R66" s="108"/>
    </row>
    <row r="67" spans="3:18" x14ac:dyDescent="0.25">
      <c r="N67" s="106"/>
      <c r="O67" s="132"/>
      <c r="P67" s="106" t="s">
        <v>0</v>
      </c>
      <c r="Q67" s="107" t="s">
        <v>1</v>
      </c>
      <c r="R67" s="136" t="s">
        <v>141</v>
      </c>
    </row>
    <row r="68" spans="3:18" ht="15.75" thickBot="1" x14ac:dyDescent="0.3">
      <c r="N68" s="111" t="s">
        <v>142</v>
      </c>
      <c r="O68" s="131"/>
      <c r="P68" s="109" t="s">
        <v>143</v>
      </c>
      <c r="Q68" s="87" t="s">
        <v>143</v>
      </c>
      <c r="R68" s="137" t="s">
        <v>143</v>
      </c>
    </row>
    <row r="69" spans="3:18" x14ac:dyDescent="0.25">
      <c r="N69" s="138" t="s">
        <v>146</v>
      </c>
      <c r="O69" s="39"/>
      <c r="P69" s="106">
        <f>+E24*$J$33</f>
        <v>750</v>
      </c>
      <c r="Q69" s="107">
        <f>+E25*$J$33</f>
        <v>900</v>
      </c>
      <c r="R69" s="108"/>
    </row>
    <row r="70" spans="3:18" x14ac:dyDescent="0.25">
      <c r="N70" s="138" t="s">
        <v>149</v>
      </c>
      <c r="O70" s="39"/>
      <c r="P70" s="118">
        <f>+$J$32</f>
        <v>6000</v>
      </c>
      <c r="Q70" s="117">
        <f t="shared" ref="Q70:R70" si="7">+$J$32</f>
        <v>6000</v>
      </c>
      <c r="R70" s="127">
        <f t="shared" si="7"/>
        <v>6000</v>
      </c>
    </row>
    <row r="71" spans="3:18" x14ac:dyDescent="0.25">
      <c r="C71" s="1" t="s">
        <v>177</v>
      </c>
      <c r="K71" s="119"/>
      <c r="N71" s="138" t="s">
        <v>150</v>
      </c>
      <c r="O71" s="39"/>
      <c r="P71" s="118">
        <f>+E31*J33</f>
        <v>540</v>
      </c>
      <c r="Q71" s="117"/>
      <c r="R71" s="127"/>
    </row>
    <row r="72" spans="3:18" ht="15.75" thickBot="1" x14ac:dyDescent="0.3">
      <c r="C72" t="s">
        <v>178</v>
      </c>
      <c r="H72" s="105">
        <f>+E24</f>
        <v>25000</v>
      </c>
      <c r="I72" s="105">
        <f>+E25</f>
        <v>30000</v>
      </c>
      <c r="J72" s="105">
        <f>+E26</f>
        <v>30000</v>
      </c>
      <c r="N72" s="138" t="s">
        <v>148</v>
      </c>
      <c r="O72" s="39"/>
      <c r="P72" s="111"/>
      <c r="Q72" s="112"/>
      <c r="R72" s="128">
        <f>+J31</f>
        <v>6000</v>
      </c>
    </row>
    <row r="73" spans="3:18" ht="15.75" thickBot="1" x14ac:dyDescent="0.3">
      <c r="C73" t="s">
        <v>179</v>
      </c>
      <c r="H73" s="105">
        <f>+F24</f>
        <v>15000</v>
      </c>
      <c r="I73" s="105">
        <f>+F25</f>
        <v>18000</v>
      </c>
      <c r="J73" s="105">
        <f>+F26</f>
        <v>18000</v>
      </c>
      <c r="N73" s="120" t="s">
        <v>156</v>
      </c>
      <c r="O73" s="121"/>
      <c r="P73" s="113">
        <f>SUM(P69:P72)</f>
        <v>7290</v>
      </c>
      <c r="Q73" s="114">
        <f t="shared" ref="Q73:R73" si="8">SUM(Q69:Q72)</f>
        <v>6900</v>
      </c>
      <c r="R73" s="115">
        <f t="shared" si="8"/>
        <v>12000</v>
      </c>
    </row>
    <row r="74" spans="3:18" x14ac:dyDescent="0.25">
      <c r="C74" s="1" t="s">
        <v>180</v>
      </c>
      <c r="D74" s="1"/>
      <c r="E74" s="1"/>
      <c r="F74" s="4"/>
      <c r="G74" s="146"/>
      <c r="H74" s="139">
        <f>+H72-H73</f>
        <v>10000</v>
      </c>
      <c r="I74" s="139">
        <f t="shared" ref="I74:J74" si="9">+I72-I73</f>
        <v>12000</v>
      </c>
      <c r="J74" s="139">
        <f t="shared" si="9"/>
        <v>12000</v>
      </c>
      <c r="K74" s="4"/>
    </row>
    <row r="75" spans="3:18" x14ac:dyDescent="0.25">
      <c r="C75" t="s">
        <v>181</v>
      </c>
    </row>
    <row r="76" spans="3:18" x14ac:dyDescent="0.25">
      <c r="C76" t="s">
        <v>134</v>
      </c>
      <c r="H76">
        <f>+P73</f>
        <v>7290</v>
      </c>
      <c r="I76">
        <f>+Q73</f>
        <v>6900</v>
      </c>
      <c r="J76">
        <f>+R73</f>
        <v>12000</v>
      </c>
    </row>
    <row r="77" spans="3:18" x14ac:dyDescent="0.25">
      <c r="C77" t="s">
        <v>133</v>
      </c>
      <c r="H77">
        <f>+O64</f>
        <v>400</v>
      </c>
      <c r="I77">
        <f>+Q64</f>
        <v>3400</v>
      </c>
      <c r="J77">
        <f>+S64</f>
        <v>3400</v>
      </c>
    </row>
    <row r="79" spans="3:18" x14ac:dyDescent="0.25">
      <c r="C79" s="1" t="s">
        <v>182</v>
      </c>
      <c r="H79">
        <f>+H74-(H76+H77+H78)</f>
        <v>2310</v>
      </c>
      <c r="I79">
        <f t="shared" ref="I79" si="10">+I74-(I76+I77+I78)</f>
        <v>1700</v>
      </c>
      <c r="J79" s="105">
        <f>+J74-(J76+J77+J78)</f>
        <v>-3400</v>
      </c>
    </row>
    <row r="225" spans="7:7" x14ac:dyDescent="0.25">
      <c r="G225" t="s">
        <v>152</v>
      </c>
    </row>
  </sheetData>
  <mergeCells count="1">
    <mergeCell ref="D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Caso1</vt:lpstr>
      <vt:lpstr>Caso2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1000</dc:creator>
  <cp:lastModifiedBy>USER</cp:lastModifiedBy>
  <dcterms:created xsi:type="dcterms:W3CDTF">2015-12-03T21:17:27Z</dcterms:created>
  <dcterms:modified xsi:type="dcterms:W3CDTF">2016-11-29T16:04:11Z</dcterms:modified>
</cp:coreProperties>
</file>