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G:\EME\"/>
    </mc:Choice>
  </mc:AlternateContent>
  <bookViews>
    <workbookView xWindow="-12" yWindow="8112" windowWidth="15600" windowHeight="4032" tabRatio="905" firstSheet="11" activeTab="14"/>
  </bookViews>
  <sheets>
    <sheet name="Base de Datos" sheetId="11" r:id="rId1"/>
    <sheet name="Plan de Cuentas" sheetId="55" r:id="rId2"/>
    <sheet name="Libro Diario Convencional" sheetId="6" r:id="rId3"/>
    <sheet name="Hoja1" sheetId="57" r:id="rId4"/>
    <sheet name="Libro Mayor - Nivel Cuentas" sheetId="5" r:id="rId5"/>
    <sheet name="Mayor - Nivel Divisionarias" sheetId="28" r:id="rId6"/>
    <sheet name="Hoja Trabajo - Cuentas Balance" sheetId="4" r:id="rId7"/>
    <sheet name="Hoja Trabajo - Divisionarias" sheetId="32" r:id="rId8"/>
    <sheet name="Distribución de Utilidades" sheetId="56" r:id="rId9"/>
    <sheet name="Balance General - NIC 1" sheetId="20" r:id="rId10"/>
    <sheet name="Resultados por Función - NIC 1" sheetId="18" r:id="rId11"/>
    <sheet name="Resultados x Naturaleza - NIC 1" sheetId="19" r:id="rId12"/>
    <sheet name="Est. de Cambios en Patri. Neto" sheetId="53" r:id="rId13"/>
    <sheet name="Asientos de Cierre" sheetId="33" r:id="rId14"/>
    <sheet name="Cierre - Nivel Cuentas" sheetId="51" r:id="rId15"/>
    <sheet name="Cierre - Nivel Divisionarias" sheetId="54" r:id="rId16"/>
  </sheets>
  <definedNames>
    <definedName name="_xlnm._FilterDatabase" localSheetId="2" hidden="1">'Libro Diario Convencional'!$B$13:$J$14</definedName>
    <definedName name="_xlnm._FilterDatabase" localSheetId="1" hidden="1">'Plan de Cuentas'!$B$12:$F$2104</definedName>
    <definedName name="ActivosArrendFinan">'Base de Datos'!$B$297:$B$306</definedName>
    <definedName name="ActivosBiológicos">'Base de Datos'!$B$358:$B$362</definedName>
    <definedName name="ActivosIntangibles">'Base de Datos'!$B$339:$B$355</definedName>
    <definedName name="_xlnm.Print_Area" localSheetId="0">'Base de Datos'!$A$1:$C$797</definedName>
    <definedName name="_xlnm.Print_Area" localSheetId="2">'Libro Diario Convencional'!$B$2:$J$169</definedName>
    <definedName name="CódigosEFE">'Base de Datos'!$B$775:$B$797</definedName>
    <definedName name="Compras">'Base de Datos'!$B$374:$B$389</definedName>
    <definedName name="CtasIngresosEgresos">'Base de Datos'!$B$579:$B$739</definedName>
    <definedName name="CuentasContables">'Plan de Cuentas'!$B$12:$F$2104</definedName>
    <definedName name="DivisionariasContables">'Plan de Cuentas'!$D$12:$F$2104</definedName>
    <definedName name="DsctosConcedidos">'Base de Datos'!$B$507:$B$508</definedName>
    <definedName name="DsctosObtenidos">'Base de Datos'!$B$462:$B$463</definedName>
    <definedName name="GanaValorRazonable">'Base de Datos'!$B$533:$B$537</definedName>
    <definedName name="GastosFinancieros">'Base de Datos'!$B$439:$B$459</definedName>
    <definedName name="GastosGestión">'Base de Datos'!$B$424:$B$436</definedName>
    <definedName name="IngresosFinancieros">'Base de Datos'!$B$540:$B$550</definedName>
    <definedName name="IngresosGestión">'Base de Datos'!$B$511:$B$530</definedName>
    <definedName name="InmuMaquiEquipo">'Base de Datos'!$B$309:$B$336</definedName>
    <definedName name="MatrizMovimiento">#REF!</definedName>
    <definedName name="MovimientosCaja">'Base de Datos'!$B$572:$B$575</definedName>
    <definedName name="OtrosActivos">'Base de Datos'!$B$365:$B$371</definedName>
    <definedName name="RUCsClientes">'Base de Datos'!$B$554:$B$563</definedName>
    <definedName name="RUCsProveedores">'Base de Datos'!$B$467:$B$476</definedName>
    <definedName name="ServiciosAnticipado">'Base de Datos'!$B$288:$B$294</definedName>
    <definedName name="ServPrestTerceros">'Base de Datos'!$B$392:$B$421</definedName>
    <definedName name="SubCuentasContables">'Plan de Cuentas'!$C$12:$F$2104</definedName>
    <definedName name="SubDivisionariasContables">'Plan de Cuentas'!$E$12:$F$2104</definedName>
    <definedName name="Tabla01">'Base de Datos'!$B$22:$B$41</definedName>
    <definedName name="Tabla02">'Base de Datos'!$B$47:$B$51</definedName>
    <definedName name="Tabla03">'Base de Datos'!$B$57:$B$90</definedName>
    <definedName name="Tabla04">'Base de Datos'!$B$96:$B$98</definedName>
    <definedName name="Tabla05">'Base de Datos'!$B$104:$B$109</definedName>
    <definedName name="Tabla06">'Base de Datos'!$B$115:$B$130</definedName>
    <definedName name="Tabla07">'Base de Datos'!$B$136:$B$138</definedName>
    <definedName name="Tabla08">'Base de Datos'!$B$144:$B$174</definedName>
    <definedName name="Tabla10">'Base de Datos'!$B$180:$B$227</definedName>
    <definedName name="Tabla11">'Base de Datos'!$B$233:$B$262</definedName>
    <definedName name="Tabla12">'Base de Datos'!$B$268:$B$284</definedName>
    <definedName name="TipoCambio">#REF!</definedName>
    <definedName name="Ventas">'Base de Datos'!$B$485:$B$504</definedName>
  </definedNames>
  <calcPr calcId="152511"/>
</workbook>
</file>

<file path=xl/calcChain.xml><?xml version="1.0" encoding="utf-8"?>
<calcChain xmlns="http://schemas.openxmlformats.org/spreadsheetml/2006/main">
  <c r="J120" i="6" l="1"/>
  <c r="H122" i="6"/>
  <c r="I117" i="6"/>
  <c r="G119" i="6"/>
  <c r="I107" i="6"/>
  <c r="F94" i="6" l="1"/>
  <c r="J150" i="6"/>
  <c r="G149" i="6"/>
  <c r="H152" i="6" s="1"/>
  <c r="F149" i="6"/>
  <c r="F150" i="6"/>
  <c r="F151" i="6"/>
  <c r="F152" i="6"/>
  <c r="F154" i="6"/>
  <c r="F155" i="6"/>
  <c r="F156" i="6"/>
  <c r="F157" i="6"/>
  <c r="F158" i="6"/>
  <c r="F159" i="6"/>
  <c r="F161" i="6"/>
  <c r="F162" i="6"/>
  <c r="F163" i="6"/>
  <c r="F164" i="6"/>
  <c r="F165" i="6"/>
  <c r="F166" i="6"/>
  <c r="F142" i="6"/>
  <c r="F143" i="6"/>
  <c r="F144" i="6"/>
  <c r="F145" i="6"/>
  <c r="F147" i="6"/>
  <c r="F148" i="6"/>
  <c r="F129" i="6"/>
  <c r="F120" i="6"/>
  <c r="F121" i="6"/>
  <c r="F122" i="6"/>
  <c r="F124" i="6"/>
  <c r="F125" i="6"/>
  <c r="F126" i="6"/>
  <c r="F127" i="6"/>
  <c r="F128" i="6"/>
  <c r="F131" i="6"/>
  <c r="F132" i="6"/>
  <c r="F133" i="6"/>
  <c r="F134" i="6"/>
  <c r="F135" i="6"/>
  <c r="F136" i="6"/>
  <c r="F137" i="6"/>
  <c r="F138" i="6"/>
  <c r="F139" i="6"/>
  <c r="F140" i="6"/>
  <c r="F141" i="6"/>
  <c r="H115" i="6"/>
  <c r="F107" i="6"/>
  <c r="F108" i="6"/>
  <c r="F109" i="6"/>
  <c r="F110" i="6"/>
  <c r="F111" i="6"/>
  <c r="F112" i="6"/>
  <c r="F113" i="6"/>
  <c r="F114" i="6"/>
  <c r="F115" i="6"/>
  <c r="F117" i="6"/>
  <c r="F118" i="6"/>
  <c r="F119" i="6"/>
  <c r="G30" i="6" l="1"/>
  <c r="J95" i="6"/>
  <c r="H100" i="6"/>
  <c r="G94" i="6" s="1"/>
  <c r="F100" i="6"/>
  <c r="F102" i="6"/>
  <c r="F103" i="6"/>
  <c r="F104" i="6"/>
  <c r="F105" i="6"/>
  <c r="I27" i="6"/>
  <c r="F85" i="6"/>
  <c r="F86" i="6"/>
  <c r="F87" i="6"/>
  <c r="F88" i="6"/>
  <c r="F89" i="6"/>
  <c r="F90" i="6"/>
  <c r="F92" i="6"/>
  <c r="F93" i="6"/>
  <c r="F95" i="6"/>
  <c r="F96" i="6"/>
  <c r="F97" i="6"/>
  <c r="F98" i="6"/>
  <c r="F99" i="6"/>
  <c r="G81" i="6"/>
  <c r="I80" i="6" s="1"/>
  <c r="H83" i="6"/>
  <c r="J82" i="6" s="1"/>
  <c r="H75" i="6"/>
  <c r="H78" i="6" s="1"/>
  <c r="J76" i="6" s="1"/>
  <c r="I69" i="6"/>
  <c r="F69" i="6"/>
  <c r="F70" i="6"/>
  <c r="F71" i="6"/>
  <c r="F72" i="6"/>
  <c r="F73" i="6"/>
  <c r="F74" i="6"/>
  <c r="F75" i="6"/>
  <c r="F76" i="6"/>
  <c r="F77" i="6"/>
  <c r="F78" i="6"/>
  <c r="F80" i="6"/>
  <c r="F81" i="6"/>
  <c r="F82" i="6"/>
  <c r="F83" i="6"/>
  <c r="H58" i="6"/>
  <c r="J55" i="6" s="1"/>
  <c r="H54" i="6" s="1"/>
  <c r="I47" i="6" s="1"/>
  <c r="F52" i="6"/>
  <c r="F53" i="6"/>
  <c r="F54" i="6"/>
  <c r="F55" i="6"/>
  <c r="F56" i="6"/>
  <c r="F57" i="6"/>
  <c r="F58" i="6"/>
  <c r="F60" i="6"/>
  <c r="F61" i="6"/>
  <c r="F62" i="6"/>
  <c r="F63" i="6"/>
  <c r="F64" i="6"/>
  <c r="F65" i="6"/>
  <c r="F66" i="6"/>
  <c r="F67" i="6"/>
  <c r="F44" i="6"/>
  <c r="F45" i="6"/>
  <c r="F47" i="6"/>
  <c r="F48" i="6"/>
  <c r="F49" i="6"/>
  <c r="F50" i="6"/>
  <c r="F51" i="6"/>
  <c r="F42" i="6"/>
  <c r="F43" i="6"/>
  <c r="F36" i="6"/>
  <c r="F37" i="6"/>
  <c r="F39" i="6"/>
  <c r="F40" i="6"/>
  <c r="F41" i="6"/>
  <c r="J24" i="6"/>
  <c r="I19" i="6"/>
  <c r="I15" i="6"/>
  <c r="G50" i="6" l="1"/>
  <c r="G103" i="6"/>
  <c r="I102" i="6" s="1"/>
  <c r="G97" i="6"/>
  <c r="I95" i="6" s="1"/>
  <c r="H105" i="6"/>
  <c r="J104" i="6" s="1"/>
  <c r="I92" i="6"/>
  <c r="I31" i="6"/>
  <c r="J51" i="6"/>
  <c r="G42" i="6"/>
  <c r="F35" i="6"/>
  <c r="F34" i="6"/>
  <c r="F33" i="6"/>
  <c r="F32" i="6"/>
  <c r="F31" i="6"/>
  <c r="F30" i="6"/>
  <c r="F29" i="6"/>
  <c r="F28" i="6"/>
  <c r="F27" i="6"/>
  <c r="F25" i="6"/>
  <c r="F23" i="6"/>
  <c r="F22" i="6"/>
  <c r="F21" i="6"/>
  <c r="F20" i="6"/>
  <c r="F19" i="6"/>
  <c r="F17" i="6"/>
  <c r="J98" i="6" l="1"/>
  <c r="H37" i="6"/>
  <c r="H90" i="6" s="1"/>
  <c r="G34" i="6"/>
  <c r="J35" i="6"/>
  <c r="I39" i="6"/>
  <c r="H45" i="6"/>
  <c r="J42" i="6" s="1"/>
  <c r="F402" i="33"/>
  <c r="F401" i="33"/>
  <c r="F347" i="33"/>
  <c r="F348" i="33"/>
  <c r="F346" i="33"/>
  <c r="F345" i="33"/>
  <c r="F344" i="33"/>
  <c r="F352" i="33"/>
  <c r="F351" i="33"/>
  <c r="F350" i="33"/>
  <c r="F349" i="33"/>
  <c r="C24" i="53"/>
  <c r="C12" i="53"/>
  <c r="J88" i="6" l="1"/>
  <c r="G87" i="6"/>
  <c r="I85" i="6" s="1"/>
  <c r="C35" i="56"/>
  <c r="D10" i="56" s="1"/>
  <c r="C64" i="56"/>
  <c r="D40" i="56" s="1"/>
  <c r="D60" i="56" l="1"/>
  <c r="D56" i="56"/>
  <c r="D52" i="56"/>
  <c r="D48" i="56"/>
  <c r="D42" i="56"/>
  <c r="D31" i="56"/>
  <c r="D27" i="56"/>
  <c r="D21" i="56"/>
  <c r="D17" i="56"/>
  <c r="D11" i="56"/>
  <c r="D63" i="56"/>
  <c r="D61" i="56"/>
  <c r="D59" i="56"/>
  <c r="D57" i="56"/>
  <c r="D55" i="56"/>
  <c r="D53" i="56"/>
  <c r="D51" i="56"/>
  <c r="D49" i="56"/>
  <c r="D47" i="56"/>
  <c r="D45" i="56"/>
  <c r="D43" i="56"/>
  <c r="D41" i="56"/>
  <c r="D39" i="56"/>
  <c r="D62" i="56"/>
  <c r="D58" i="56"/>
  <c r="D54" i="56"/>
  <c r="D50" i="56"/>
  <c r="D46" i="56"/>
  <c r="D44" i="56"/>
  <c r="D33" i="56"/>
  <c r="D29" i="56"/>
  <c r="D25" i="56"/>
  <c r="D23" i="56"/>
  <c r="D19" i="56"/>
  <c r="D15" i="56"/>
  <c r="D13" i="56"/>
  <c r="D34" i="56"/>
  <c r="D32" i="56"/>
  <c r="D30" i="56"/>
  <c r="D28" i="56"/>
  <c r="D26" i="56"/>
  <c r="D24" i="56"/>
  <c r="D22" i="56"/>
  <c r="D20" i="56"/>
  <c r="D18" i="56"/>
  <c r="D16" i="56"/>
  <c r="D14" i="56"/>
  <c r="D12" i="56"/>
  <c r="D64" i="56" l="1"/>
  <c r="D35" i="56"/>
  <c r="D4" i="32" l="1"/>
  <c r="D4" i="4"/>
  <c r="F16" i="6"/>
  <c r="F15" i="6" l="1"/>
  <c r="B6" i="53" l="1"/>
  <c r="B6" i="19"/>
  <c r="B6" i="18"/>
  <c r="B6" i="20"/>
  <c r="V196" i="51" l="1"/>
  <c r="P196" i="51"/>
  <c r="J196" i="51"/>
  <c r="D196" i="51"/>
  <c r="AZ172" i="51"/>
  <c r="AT172" i="51"/>
  <c r="AN172" i="51"/>
  <c r="AH172" i="51"/>
  <c r="AB172" i="51"/>
  <c r="V172" i="51"/>
  <c r="P172" i="51"/>
  <c r="J172" i="51"/>
  <c r="D172" i="51"/>
  <c r="BF148" i="51"/>
  <c r="AZ148" i="51"/>
  <c r="AT148" i="51"/>
  <c r="AN148" i="51"/>
  <c r="AH148" i="51"/>
  <c r="AB148" i="51"/>
  <c r="V148" i="51"/>
  <c r="P148" i="51"/>
  <c r="J148" i="51"/>
  <c r="D148" i="51"/>
  <c r="BF124" i="51"/>
  <c r="AZ124" i="51"/>
  <c r="AT124" i="51"/>
  <c r="AN124" i="51"/>
  <c r="AH124" i="51"/>
  <c r="AB124" i="51"/>
  <c r="V124" i="51"/>
  <c r="P124" i="51"/>
  <c r="J124" i="51"/>
  <c r="D124" i="51"/>
  <c r="AN100" i="51"/>
  <c r="AH100" i="51"/>
  <c r="AB100" i="51"/>
  <c r="V100" i="51"/>
  <c r="P100" i="51"/>
  <c r="J100" i="51"/>
  <c r="D100" i="51"/>
  <c r="BF76" i="51"/>
  <c r="AZ76" i="51"/>
  <c r="AT76" i="51"/>
  <c r="AN76" i="51"/>
  <c r="AH76" i="51"/>
  <c r="AB76" i="51"/>
  <c r="V76" i="51"/>
  <c r="P76" i="51"/>
  <c r="J76" i="51"/>
  <c r="D76" i="51"/>
  <c r="BF52" i="51"/>
  <c r="AZ52" i="51"/>
  <c r="AT52" i="51"/>
  <c r="AN52" i="51"/>
  <c r="AH52" i="51"/>
  <c r="AB52" i="51"/>
  <c r="V52" i="51"/>
  <c r="P52" i="51"/>
  <c r="J52" i="51"/>
  <c r="D52" i="51"/>
  <c r="BF28" i="51"/>
  <c r="AZ28" i="51"/>
  <c r="AT28" i="51"/>
  <c r="AN28" i="51"/>
  <c r="AH28" i="51"/>
  <c r="AB28" i="51"/>
  <c r="V28" i="51"/>
  <c r="P28" i="51"/>
  <c r="J28" i="51"/>
  <c r="D28" i="51"/>
  <c r="AZ4" i="51"/>
  <c r="AT4" i="51"/>
  <c r="AN4" i="51"/>
  <c r="AH4" i="51"/>
  <c r="AB4" i="51"/>
  <c r="V4" i="51"/>
  <c r="P4" i="51"/>
  <c r="D4" i="51"/>
  <c r="J4" i="51"/>
  <c r="B5" i="33"/>
  <c r="B3" i="33"/>
  <c r="B2" i="33"/>
  <c r="B2" i="53"/>
  <c r="B2" i="19"/>
  <c r="B2" i="18"/>
  <c r="B2" i="20"/>
  <c r="V172" i="5" l="1"/>
  <c r="P172" i="5"/>
  <c r="J172" i="5"/>
  <c r="D172" i="5"/>
  <c r="BF148" i="5"/>
  <c r="AZ148" i="5"/>
  <c r="AT148" i="5"/>
  <c r="AN148" i="5"/>
  <c r="AH148" i="5"/>
  <c r="AB148" i="5"/>
  <c r="V148" i="5"/>
  <c r="P148" i="5"/>
  <c r="J148" i="5"/>
  <c r="D148" i="5"/>
  <c r="BF124" i="5"/>
  <c r="AZ124" i="5"/>
  <c r="AT124" i="5"/>
  <c r="AN124" i="5"/>
  <c r="AH124" i="5"/>
  <c r="AB124" i="5"/>
  <c r="V124" i="5"/>
  <c r="P124" i="5"/>
  <c r="J124" i="5"/>
  <c r="D124" i="5"/>
  <c r="AN100" i="5"/>
  <c r="AH100" i="5"/>
  <c r="AB100" i="5"/>
  <c r="V100" i="5"/>
  <c r="P100" i="5"/>
  <c r="J100" i="5"/>
  <c r="D100" i="5"/>
  <c r="BF76" i="5"/>
  <c r="AZ76" i="5"/>
  <c r="AT76" i="5"/>
  <c r="AN76" i="5"/>
  <c r="AH76" i="5"/>
  <c r="AB76" i="5"/>
  <c r="V76" i="5"/>
  <c r="P76" i="5"/>
  <c r="J76" i="5"/>
  <c r="D76" i="5"/>
  <c r="BF52" i="5"/>
  <c r="AZ52" i="5"/>
  <c r="AT52" i="5"/>
  <c r="AN52" i="5"/>
  <c r="AH52" i="5"/>
  <c r="AB52" i="5"/>
  <c r="V52" i="5"/>
  <c r="P52" i="5"/>
  <c r="J52" i="5"/>
  <c r="D52" i="5"/>
  <c r="BF28" i="5"/>
  <c r="AZ28" i="5"/>
  <c r="AT28" i="5"/>
  <c r="AN28" i="5"/>
  <c r="AH28" i="5"/>
  <c r="AB28" i="5"/>
  <c r="V28" i="5"/>
  <c r="P28" i="5"/>
  <c r="J28" i="5"/>
  <c r="D28" i="5"/>
  <c r="AZ4" i="5"/>
  <c r="AT4" i="5"/>
  <c r="AN4" i="5"/>
  <c r="AH4" i="5"/>
  <c r="AB4" i="5"/>
  <c r="V4" i="5"/>
  <c r="P4" i="5"/>
  <c r="D4" i="5"/>
  <c r="J4" i="5"/>
  <c r="E4" i="6"/>
  <c r="F4" i="55"/>
  <c r="C201" i="32" l="1"/>
  <c r="J201" i="32"/>
  <c r="K201" i="32"/>
  <c r="L201" i="32"/>
  <c r="M201" i="32"/>
  <c r="O201" i="32"/>
  <c r="E1864" i="28" l="1"/>
  <c r="D1860" i="28"/>
  <c r="F546" i="33" l="1"/>
  <c r="F545" i="33"/>
  <c r="F544" i="33"/>
  <c r="F543" i="33"/>
  <c r="F542" i="33"/>
  <c r="F541" i="33"/>
  <c r="F540" i="33"/>
  <c r="F539" i="33"/>
  <c r="F538" i="33"/>
  <c r="F537" i="33"/>
  <c r="F536" i="33"/>
  <c r="F535" i="33"/>
  <c r="F534" i="33"/>
  <c r="F533" i="33"/>
  <c r="F532" i="33"/>
  <c r="F531" i="33"/>
  <c r="F530" i="33"/>
  <c r="F529" i="33"/>
  <c r="F528" i="33"/>
  <c r="F527" i="33"/>
  <c r="F526" i="33"/>
  <c r="F525" i="33"/>
  <c r="F524" i="33"/>
  <c r="F523" i="33"/>
  <c r="F522" i="33"/>
  <c r="F521" i="33"/>
  <c r="F520" i="33"/>
  <c r="F519" i="33"/>
  <c r="F518" i="33"/>
  <c r="F517" i="33"/>
  <c r="F516" i="33"/>
  <c r="F515" i="33"/>
  <c r="F514" i="33"/>
  <c r="F513" i="33"/>
  <c r="F512" i="33"/>
  <c r="F511" i="33"/>
  <c r="F510" i="33"/>
  <c r="F509" i="33"/>
  <c r="F508" i="33"/>
  <c r="F507" i="33"/>
  <c r="F506" i="33"/>
  <c r="F505" i="33"/>
  <c r="F504" i="33"/>
  <c r="F503" i="33"/>
  <c r="F502" i="33"/>
  <c r="F501" i="33"/>
  <c r="F500" i="33"/>
  <c r="F499" i="33"/>
  <c r="F498" i="33"/>
  <c r="F497" i="33"/>
  <c r="F496" i="33"/>
  <c r="F495" i="33"/>
  <c r="F494" i="33"/>
  <c r="F493" i="33"/>
  <c r="F492" i="33"/>
  <c r="F491" i="33"/>
  <c r="F490" i="33"/>
  <c r="F489" i="33"/>
  <c r="F488" i="33"/>
  <c r="F487" i="33"/>
  <c r="F486" i="33"/>
  <c r="F485" i="33"/>
  <c r="F484" i="33"/>
  <c r="F483" i="33"/>
  <c r="F482" i="33"/>
  <c r="F481" i="33"/>
  <c r="F480" i="33"/>
  <c r="F479" i="33"/>
  <c r="F478" i="33"/>
  <c r="F477" i="33"/>
  <c r="F476" i="33"/>
  <c r="F475" i="33"/>
  <c r="F474" i="33"/>
  <c r="F473" i="33"/>
  <c r="F472" i="33"/>
  <c r="F471" i="33"/>
  <c r="F470" i="33"/>
  <c r="F469" i="33"/>
  <c r="F468" i="33"/>
  <c r="F467" i="33"/>
  <c r="F466" i="33"/>
  <c r="F465" i="33"/>
  <c r="F464" i="33"/>
  <c r="F463" i="33"/>
  <c r="F462" i="33"/>
  <c r="F461" i="33"/>
  <c r="F460" i="33"/>
  <c r="F459" i="33"/>
  <c r="F458" i="33"/>
  <c r="F457" i="33"/>
  <c r="F456" i="33"/>
  <c r="F455" i="33"/>
  <c r="F454" i="33"/>
  <c r="F453" i="33"/>
  <c r="F452" i="33"/>
  <c r="F451" i="33"/>
  <c r="F450" i="33"/>
  <c r="F449" i="33"/>
  <c r="F448" i="33"/>
  <c r="F447" i="33"/>
  <c r="F446" i="33"/>
  <c r="F445" i="33"/>
  <c r="F444" i="33"/>
  <c r="F443" i="33"/>
  <c r="F442" i="33"/>
  <c r="F441" i="33"/>
  <c r="F440" i="33"/>
  <c r="F439" i="33"/>
  <c r="F438" i="33"/>
  <c r="F437" i="33"/>
  <c r="F436" i="33"/>
  <c r="F435" i="33"/>
  <c r="F434" i="33"/>
  <c r="F433" i="33"/>
  <c r="F432" i="33"/>
  <c r="F431" i="33"/>
  <c r="F430" i="33"/>
  <c r="F429" i="33"/>
  <c r="F428" i="33"/>
  <c r="F427" i="33"/>
  <c r="F426" i="33"/>
  <c r="F425" i="33"/>
  <c r="F424" i="33"/>
  <c r="F423" i="33"/>
  <c r="F422" i="33"/>
  <c r="F421" i="33"/>
  <c r="F420" i="33"/>
  <c r="F419" i="33"/>
  <c r="F418" i="33"/>
  <c r="F417" i="33"/>
  <c r="F416" i="33"/>
  <c r="F415" i="33"/>
  <c r="F414" i="33"/>
  <c r="F413" i="33"/>
  <c r="F412" i="33"/>
  <c r="F411" i="33"/>
  <c r="F410" i="33"/>
  <c r="F409" i="33"/>
  <c r="F408" i="33"/>
  <c r="F407" i="33"/>
  <c r="F406" i="33"/>
  <c r="F405" i="33"/>
  <c r="F404" i="33"/>
  <c r="F403" i="33"/>
  <c r="F400" i="33"/>
  <c r="F399" i="33"/>
  <c r="F398" i="33"/>
  <c r="F397" i="33"/>
  <c r="F396" i="33"/>
  <c r="F395" i="33"/>
  <c r="F394" i="33"/>
  <c r="F393" i="33"/>
  <c r="F392" i="33"/>
  <c r="F391" i="33"/>
  <c r="F390" i="33"/>
  <c r="F389" i="33"/>
  <c r="F388" i="33"/>
  <c r="F387" i="33"/>
  <c r="F386" i="33"/>
  <c r="F385" i="33"/>
  <c r="F384" i="33"/>
  <c r="F383" i="33"/>
  <c r="F382" i="33"/>
  <c r="F381" i="33"/>
  <c r="F380" i="33"/>
  <c r="F379" i="33"/>
  <c r="F378" i="33"/>
  <c r="F377" i="33"/>
  <c r="F376" i="33"/>
  <c r="F375" i="33"/>
  <c r="F374" i="33"/>
  <c r="F373" i="33"/>
  <c r="F372" i="33"/>
  <c r="F371" i="33"/>
  <c r="F370" i="33"/>
  <c r="F369" i="33"/>
  <c r="F368" i="33"/>
  <c r="F367" i="33"/>
  <c r="F366" i="33"/>
  <c r="F365" i="33"/>
  <c r="F364" i="33"/>
  <c r="F363" i="33"/>
  <c r="F362" i="33"/>
  <c r="F361" i="33"/>
  <c r="F360" i="33"/>
  <c r="F359" i="33"/>
  <c r="F358" i="33"/>
  <c r="F357" i="33"/>
  <c r="F356" i="33"/>
  <c r="F355" i="33"/>
  <c r="F354" i="33"/>
  <c r="F353" i="33"/>
  <c r="F343" i="33"/>
  <c r="F342" i="33"/>
  <c r="F341" i="33"/>
  <c r="F340" i="33"/>
  <c r="F339" i="33"/>
  <c r="F338" i="33"/>
  <c r="F337" i="33"/>
  <c r="F336" i="33"/>
  <c r="F335" i="33"/>
  <c r="F334" i="33"/>
  <c r="F333" i="33"/>
  <c r="F332" i="33"/>
  <c r="F331" i="33"/>
  <c r="F330" i="33"/>
  <c r="F329" i="33"/>
  <c r="F328" i="33"/>
  <c r="F327" i="33"/>
  <c r="F326" i="33"/>
  <c r="F325" i="33"/>
  <c r="F324" i="33"/>
  <c r="F323" i="33"/>
  <c r="F322" i="33"/>
  <c r="F321" i="33"/>
  <c r="F320" i="33"/>
  <c r="F319" i="33"/>
  <c r="F318" i="33"/>
  <c r="F317" i="33"/>
  <c r="F316" i="33"/>
  <c r="F315" i="33"/>
  <c r="F314" i="33"/>
  <c r="F313" i="33"/>
  <c r="F312" i="33"/>
  <c r="F311" i="33"/>
  <c r="F310" i="33"/>
  <c r="F309" i="33"/>
  <c r="F308" i="33"/>
  <c r="F307" i="33"/>
  <c r="F306" i="33"/>
  <c r="F305" i="33"/>
  <c r="F304" i="33"/>
  <c r="F303" i="33"/>
  <c r="F302" i="33"/>
  <c r="F301" i="33"/>
  <c r="F300" i="33"/>
  <c r="F299" i="33"/>
  <c r="F298" i="33"/>
  <c r="F297" i="33"/>
  <c r="F296" i="33"/>
  <c r="F295" i="33"/>
  <c r="F294" i="33"/>
  <c r="F293" i="33"/>
  <c r="F292" i="33"/>
  <c r="F291" i="33"/>
  <c r="F290" i="33"/>
  <c r="F289" i="33"/>
  <c r="F288" i="33"/>
  <c r="F287" i="33"/>
  <c r="F286" i="33"/>
  <c r="F285" i="33"/>
  <c r="F284" i="33"/>
  <c r="F283" i="33"/>
  <c r="F282" i="33"/>
  <c r="F281" i="33"/>
  <c r="F280" i="33"/>
  <c r="F279" i="33"/>
  <c r="F278" i="33"/>
  <c r="F277" i="33"/>
  <c r="F276" i="33"/>
  <c r="F275" i="33"/>
  <c r="F274" i="33"/>
  <c r="F273" i="33"/>
  <c r="F272" i="33"/>
  <c r="F271" i="33"/>
  <c r="F270" i="33"/>
  <c r="F269" i="33"/>
  <c r="F268" i="33"/>
  <c r="F267" i="33"/>
  <c r="F266" i="33"/>
  <c r="F265" i="33"/>
  <c r="F264" i="33"/>
  <c r="F263" i="33"/>
  <c r="F262" i="33"/>
  <c r="F261" i="33"/>
  <c r="F260" i="33"/>
  <c r="F259" i="33"/>
  <c r="F258" i="33"/>
  <c r="F257" i="33"/>
  <c r="F256" i="33"/>
  <c r="F255" i="33"/>
  <c r="F254" i="33"/>
  <c r="F253" i="33"/>
  <c r="F252" i="33"/>
  <c r="F251" i="33"/>
  <c r="F250" i="33"/>
  <c r="F249" i="33"/>
  <c r="F248" i="33"/>
  <c r="F247" i="33"/>
  <c r="F246" i="33"/>
  <c r="F245" i="33"/>
  <c r="F244" i="33"/>
  <c r="F243" i="33"/>
  <c r="F242" i="33"/>
  <c r="F241" i="33"/>
  <c r="F240" i="33"/>
  <c r="F239" i="33"/>
  <c r="F238" i="33"/>
  <c r="F237" i="33"/>
  <c r="F236" i="33"/>
  <c r="F235" i="33"/>
  <c r="F234" i="33"/>
  <c r="F233" i="33"/>
  <c r="F232" i="33"/>
  <c r="F231" i="33"/>
  <c r="F230" i="33"/>
  <c r="F229" i="33"/>
  <c r="F228" i="33"/>
  <c r="F227" i="33"/>
  <c r="F226" i="33"/>
  <c r="F225" i="33"/>
  <c r="F224" i="33"/>
  <c r="F223" i="33"/>
  <c r="F222" i="33"/>
  <c r="F221" i="33"/>
  <c r="F220" i="33"/>
  <c r="F219" i="33"/>
  <c r="F218" i="33"/>
  <c r="F217" i="33"/>
  <c r="F216" i="33"/>
  <c r="F215" i="33"/>
  <c r="F214" i="33"/>
  <c r="F213" i="33"/>
  <c r="F212" i="33"/>
  <c r="F211" i="33"/>
  <c r="F210" i="33"/>
  <c r="F209" i="33"/>
  <c r="F208" i="33"/>
  <c r="F207" i="33"/>
  <c r="F206" i="33"/>
  <c r="F205" i="33"/>
  <c r="F204" i="33"/>
  <c r="F203" i="33"/>
  <c r="F202" i="33"/>
  <c r="F201" i="33"/>
  <c r="F200" i="33"/>
  <c r="F199" i="33"/>
  <c r="F198" i="33"/>
  <c r="F197" i="33"/>
  <c r="F196" i="33"/>
  <c r="F195" i="33"/>
  <c r="F194" i="33"/>
  <c r="F193" i="33"/>
  <c r="F192" i="33"/>
  <c r="F191" i="33"/>
  <c r="F190" i="33"/>
  <c r="F189" i="33"/>
  <c r="F188" i="33"/>
  <c r="F187" i="33"/>
  <c r="F186" i="33"/>
  <c r="F185" i="33"/>
  <c r="F184" i="33"/>
  <c r="F183" i="33"/>
  <c r="F182" i="33"/>
  <c r="F181" i="33"/>
  <c r="F180" i="33"/>
  <c r="F179" i="33"/>
  <c r="F178" i="33"/>
  <c r="F177" i="33"/>
  <c r="F176" i="33"/>
  <c r="F175" i="33"/>
  <c r="F174" i="33"/>
  <c r="F173" i="33"/>
  <c r="F172" i="33"/>
  <c r="F171" i="33"/>
  <c r="F170" i="33"/>
  <c r="F169" i="33"/>
  <c r="F168" i="33"/>
  <c r="F167" i="33"/>
  <c r="F166" i="33"/>
  <c r="F165" i="33"/>
  <c r="F164" i="33"/>
  <c r="F163" i="33"/>
  <c r="F162" i="33"/>
  <c r="F161" i="33"/>
  <c r="F160" i="33"/>
  <c r="F159" i="33"/>
  <c r="F158" i="33"/>
  <c r="F157" i="33"/>
  <c r="F156" i="33"/>
  <c r="F155" i="33"/>
  <c r="F154" i="33"/>
  <c r="F153" i="33"/>
  <c r="F152" i="33"/>
  <c r="F151" i="33"/>
  <c r="F150" i="33"/>
  <c r="F149" i="33"/>
  <c r="F148" i="33"/>
  <c r="F147" i="33"/>
  <c r="F146" i="33"/>
  <c r="F145" i="33"/>
  <c r="F144" i="33"/>
  <c r="F143" i="33"/>
  <c r="F142" i="33"/>
  <c r="F141" i="33"/>
  <c r="F140" i="33"/>
  <c r="F139" i="33"/>
  <c r="F138" i="33"/>
  <c r="F137" i="33"/>
  <c r="F136" i="33"/>
  <c r="F135" i="33"/>
  <c r="F134" i="33"/>
  <c r="F133" i="33"/>
  <c r="F132" i="33"/>
  <c r="F131" i="33"/>
  <c r="F130" i="33"/>
  <c r="F129" i="33"/>
  <c r="F128" i="33"/>
  <c r="F127" i="33"/>
  <c r="F126" i="33"/>
  <c r="F125" i="33"/>
  <c r="F124" i="33"/>
  <c r="F123" i="33"/>
  <c r="F122" i="33"/>
  <c r="F121" i="33"/>
  <c r="F120" i="33"/>
  <c r="F119" i="33"/>
  <c r="F118" i="33"/>
  <c r="F117" i="33"/>
  <c r="F116" i="33"/>
  <c r="F115" i="33"/>
  <c r="F114" i="33"/>
  <c r="F113" i="33"/>
  <c r="F112" i="33"/>
  <c r="F111" i="33"/>
  <c r="F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F93" i="33"/>
  <c r="F92" i="33"/>
  <c r="F91" i="33"/>
  <c r="F90" i="33"/>
  <c r="F89" i="33"/>
  <c r="F88" i="33"/>
  <c r="F87" i="33"/>
  <c r="F86" i="33"/>
  <c r="F85" i="33"/>
  <c r="F84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10" i="55"/>
  <c r="F8" i="55"/>
  <c r="F6" i="55"/>
  <c r="G13" i="55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G37" i="55" s="1"/>
  <c r="G38" i="55" s="1"/>
  <c r="G39" i="55" s="1"/>
  <c r="G40" i="55" s="1"/>
  <c r="G41" i="55" s="1"/>
  <c r="G42" i="55" s="1"/>
  <c r="G43" i="55" s="1"/>
  <c r="G44" i="55" s="1"/>
  <c r="G45" i="55" s="1"/>
  <c r="G46" i="55" s="1"/>
  <c r="G47" i="55" s="1"/>
  <c r="G48" i="55" s="1"/>
  <c r="G49" i="55" s="1"/>
  <c r="G50" i="55" s="1"/>
  <c r="G51" i="55" s="1"/>
  <c r="G52" i="55" s="1"/>
  <c r="G53" i="55" s="1"/>
  <c r="G54" i="55" s="1"/>
  <c r="G55" i="55" s="1"/>
  <c r="G56" i="55" s="1"/>
  <c r="G57" i="55" s="1"/>
  <c r="G58" i="55" s="1"/>
  <c r="G59" i="55" s="1"/>
  <c r="G60" i="55" s="1"/>
  <c r="G61" i="55" s="1"/>
  <c r="G62" i="55" s="1"/>
  <c r="G63" i="55" s="1"/>
  <c r="G64" i="55" s="1"/>
  <c r="G65" i="55" s="1"/>
  <c r="G66" i="55" s="1"/>
  <c r="G67" i="55" s="1"/>
  <c r="G68" i="55" s="1"/>
  <c r="G69" i="55" s="1"/>
  <c r="G70" i="55" s="1"/>
  <c r="G71" i="55" s="1"/>
  <c r="G72" i="55" s="1"/>
  <c r="G73" i="55" s="1"/>
  <c r="G74" i="55" s="1"/>
  <c r="G75" i="55" s="1"/>
  <c r="G76" i="55" s="1"/>
  <c r="G77" i="55" s="1"/>
  <c r="G78" i="55" s="1"/>
  <c r="G79" i="55" s="1"/>
  <c r="G80" i="55" s="1"/>
  <c r="G81" i="55" s="1"/>
  <c r="G82" i="55" s="1"/>
  <c r="G83" i="55" s="1"/>
  <c r="G84" i="55" s="1"/>
  <c r="G85" i="55" s="1"/>
  <c r="G86" i="55" s="1"/>
  <c r="G87" i="55" s="1"/>
  <c r="G88" i="55" s="1"/>
  <c r="G89" i="55" s="1"/>
  <c r="G90" i="55" s="1"/>
  <c r="G91" i="55" s="1"/>
  <c r="G92" i="55" s="1"/>
  <c r="G93" i="55" s="1"/>
  <c r="G94" i="55" s="1"/>
  <c r="G95" i="55" s="1"/>
  <c r="G96" i="55" s="1"/>
  <c r="G97" i="55" s="1"/>
  <c r="G98" i="55" s="1"/>
  <c r="G99" i="55" s="1"/>
  <c r="G100" i="55" s="1"/>
  <c r="G101" i="55" s="1"/>
  <c r="G102" i="55" s="1"/>
  <c r="G103" i="55" s="1"/>
  <c r="G104" i="55" s="1"/>
  <c r="G105" i="55" s="1"/>
  <c r="G106" i="55" s="1"/>
  <c r="G107" i="55" s="1"/>
  <c r="G108" i="55" s="1"/>
  <c r="G109" i="55" s="1"/>
  <c r="G110" i="55" s="1"/>
  <c r="G111" i="55" s="1"/>
  <c r="G112" i="55" s="1"/>
  <c r="G113" i="55" s="1"/>
  <c r="G114" i="55" s="1"/>
  <c r="G115" i="55" s="1"/>
  <c r="G116" i="55" s="1"/>
  <c r="G117" i="55" s="1"/>
  <c r="G118" i="55" s="1"/>
  <c r="G119" i="55" s="1"/>
  <c r="G120" i="55" s="1"/>
  <c r="G121" i="55" s="1"/>
  <c r="G122" i="55" s="1"/>
  <c r="G123" i="55" s="1"/>
  <c r="G124" i="55" s="1"/>
  <c r="G125" i="55" s="1"/>
  <c r="G126" i="55" s="1"/>
  <c r="G127" i="55" s="1"/>
  <c r="G128" i="55" s="1"/>
  <c r="G129" i="55" s="1"/>
  <c r="G130" i="55" s="1"/>
  <c r="G131" i="55" s="1"/>
  <c r="G132" i="55" s="1"/>
  <c r="G133" i="55" s="1"/>
  <c r="G134" i="55" s="1"/>
  <c r="G135" i="55" s="1"/>
  <c r="G136" i="55" s="1"/>
  <c r="G137" i="55" s="1"/>
  <c r="G138" i="55" s="1"/>
  <c r="G139" i="55" s="1"/>
  <c r="G140" i="55" s="1"/>
  <c r="G141" i="55" s="1"/>
  <c r="G142" i="55" s="1"/>
  <c r="G143" i="55" s="1"/>
  <c r="G144" i="55" s="1"/>
  <c r="G145" i="55" s="1"/>
  <c r="G146" i="55" s="1"/>
  <c r="G147" i="55" s="1"/>
  <c r="G148" i="55" s="1"/>
  <c r="G149" i="55" s="1"/>
  <c r="G150" i="55" s="1"/>
  <c r="G151" i="55" s="1"/>
  <c r="G152" i="55" s="1"/>
  <c r="G153" i="55" s="1"/>
  <c r="G154" i="55" s="1"/>
  <c r="G155" i="55" s="1"/>
  <c r="G156" i="55" s="1"/>
  <c r="G157" i="55" s="1"/>
  <c r="G158" i="55" s="1"/>
  <c r="G159" i="55" s="1"/>
  <c r="G160" i="55" s="1"/>
  <c r="G161" i="55" s="1"/>
  <c r="G162" i="55" s="1"/>
  <c r="G163" i="55" s="1"/>
  <c r="G164" i="55" s="1"/>
  <c r="G165" i="55" s="1"/>
  <c r="G166" i="55" s="1"/>
  <c r="G167" i="55" s="1"/>
  <c r="G168" i="55" s="1"/>
  <c r="G169" i="55" s="1"/>
  <c r="G170" i="55" s="1"/>
  <c r="G171" i="55" s="1"/>
  <c r="G172" i="55" s="1"/>
  <c r="G173" i="55" s="1"/>
  <c r="G174" i="55" s="1"/>
  <c r="G175" i="55" s="1"/>
  <c r="G176" i="55" s="1"/>
  <c r="G177" i="55" s="1"/>
  <c r="G178" i="55" s="1"/>
  <c r="G179" i="55" s="1"/>
  <c r="G180" i="55" s="1"/>
  <c r="G181" i="55" s="1"/>
  <c r="G182" i="55" s="1"/>
  <c r="G183" i="55" s="1"/>
  <c r="G184" i="55" s="1"/>
  <c r="G185" i="55" s="1"/>
  <c r="G186" i="55" s="1"/>
  <c r="G187" i="55" s="1"/>
  <c r="G188" i="55" s="1"/>
  <c r="G189" i="55" s="1"/>
  <c r="G190" i="55" s="1"/>
  <c r="G191" i="55" s="1"/>
  <c r="G192" i="55" s="1"/>
  <c r="G193" i="55" s="1"/>
  <c r="G194" i="55" s="1"/>
  <c r="G195" i="55" s="1"/>
  <c r="G196" i="55" s="1"/>
  <c r="G197" i="55" s="1"/>
  <c r="G198" i="55" s="1"/>
  <c r="G199" i="55" s="1"/>
  <c r="G200" i="55" s="1"/>
  <c r="G201" i="55" s="1"/>
  <c r="G202" i="55" s="1"/>
  <c r="G203" i="55" s="1"/>
  <c r="G204" i="55" s="1"/>
  <c r="G205" i="55" s="1"/>
  <c r="G206" i="55" s="1"/>
  <c r="G207" i="55" s="1"/>
  <c r="G208" i="55" s="1"/>
  <c r="G209" i="55" s="1"/>
  <c r="G210" i="55" s="1"/>
  <c r="G211" i="55" s="1"/>
  <c r="G212" i="55" s="1"/>
  <c r="G213" i="55" s="1"/>
  <c r="G214" i="55" s="1"/>
  <c r="G215" i="55" s="1"/>
  <c r="G216" i="55" s="1"/>
  <c r="G217" i="55" s="1"/>
  <c r="G218" i="55" s="1"/>
  <c r="G219" i="55" s="1"/>
  <c r="G220" i="55" s="1"/>
  <c r="G221" i="55" s="1"/>
  <c r="G222" i="55" s="1"/>
  <c r="G223" i="55" s="1"/>
  <c r="G224" i="55" s="1"/>
  <c r="G225" i="55" s="1"/>
  <c r="G226" i="55" s="1"/>
  <c r="G227" i="55" s="1"/>
  <c r="G228" i="55" s="1"/>
  <c r="G229" i="55" s="1"/>
  <c r="G230" i="55" s="1"/>
  <c r="G231" i="55" s="1"/>
  <c r="G232" i="55" s="1"/>
  <c r="G233" i="55" s="1"/>
  <c r="G234" i="55" s="1"/>
  <c r="G235" i="55" s="1"/>
  <c r="G236" i="55" s="1"/>
  <c r="G237" i="55" s="1"/>
  <c r="G238" i="55" s="1"/>
  <c r="G239" i="55" s="1"/>
  <c r="G240" i="55" s="1"/>
  <c r="G241" i="55" s="1"/>
  <c r="G242" i="55" s="1"/>
  <c r="G243" i="55" s="1"/>
  <c r="G244" i="55" s="1"/>
  <c r="G245" i="55" s="1"/>
  <c r="G246" i="55" s="1"/>
  <c r="G247" i="55" s="1"/>
  <c r="G248" i="55" s="1"/>
  <c r="G249" i="55" s="1"/>
  <c r="G250" i="55" s="1"/>
  <c r="G251" i="55" s="1"/>
  <c r="G252" i="55" s="1"/>
  <c r="G253" i="55" s="1"/>
  <c r="G254" i="55" s="1"/>
  <c r="G255" i="55" s="1"/>
  <c r="G256" i="55" s="1"/>
  <c r="G257" i="55" s="1"/>
  <c r="G258" i="55" s="1"/>
  <c r="G259" i="55" s="1"/>
  <c r="G260" i="55" s="1"/>
  <c r="G261" i="55" s="1"/>
  <c r="G262" i="55" s="1"/>
  <c r="G263" i="55" s="1"/>
  <c r="G264" i="55" s="1"/>
  <c r="G265" i="55" s="1"/>
  <c r="G266" i="55" s="1"/>
  <c r="G267" i="55" s="1"/>
  <c r="G268" i="55" s="1"/>
  <c r="G269" i="55" s="1"/>
  <c r="G270" i="55" s="1"/>
  <c r="G271" i="55" s="1"/>
  <c r="G272" i="55" s="1"/>
  <c r="G273" i="55" s="1"/>
  <c r="G274" i="55" s="1"/>
  <c r="G275" i="55" s="1"/>
  <c r="G276" i="55" s="1"/>
  <c r="G277" i="55" s="1"/>
  <c r="G278" i="55" s="1"/>
  <c r="G279" i="55" s="1"/>
  <c r="G280" i="55" s="1"/>
  <c r="G281" i="55" s="1"/>
  <c r="G282" i="55" s="1"/>
  <c r="G283" i="55" s="1"/>
  <c r="G284" i="55" s="1"/>
  <c r="G285" i="55" s="1"/>
  <c r="G286" i="55" s="1"/>
  <c r="G287" i="55" s="1"/>
  <c r="G288" i="55" s="1"/>
  <c r="G289" i="55" s="1"/>
  <c r="G290" i="55" s="1"/>
  <c r="G291" i="55" s="1"/>
  <c r="G292" i="55" s="1"/>
  <c r="G293" i="55" s="1"/>
  <c r="G294" i="55" s="1"/>
  <c r="G295" i="55" s="1"/>
  <c r="G296" i="55" s="1"/>
  <c r="G297" i="55" s="1"/>
  <c r="G298" i="55" s="1"/>
  <c r="G299" i="55" s="1"/>
  <c r="G300" i="55" s="1"/>
  <c r="G301" i="55" s="1"/>
  <c r="G302" i="55" s="1"/>
  <c r="G303" i="55" s="1"/>
  <c r="G304" i="55" s="1"/>
  <c r="G305" i="55" s="1"/>
  <c r="G306" i="55" s="1"/>
  <c r="G307" i="55" s="1"/>
  <c r="G308" i="55" s="1"/>
  <c r="G309" i="55" s="1"/>
  <c r="G310" i="55" s="1"/>
  <c r="G311" i="55" s="1"/>
  <c r="G312" i="55" s="1"/>
  <c r="G313" i="55" s="1"/>
  <c r="G314" i="55" s="1"/>
  <c r="G315" i="55" s="1"/>
  <c r="G316" i="55" s="1"/>
  <c r="G317" i="55" s="1"/>
  <c r="G318" i="55" s="1"/>
  <c r="G319" i="55" s="1"/>
  <c r="G320" i="55" s="1"/>
  <c r="G321" i="55" s="1"/>
  <c r="G322" i="55" s="1"/>
  <c r="G323" i="55" s="1"/>
  <c r="G324" i="55" s="1"/>
  <c r="G325" i="55" s="1"/>
  <c r="G326" i="55" s="1"/>
  <c r="G327" i="55" s="1"/>
  <c r="G328" i="55" s="1"/>
  <c r="G329" i="55" s="1"/>
  <c r="G330" i="55" s="1"/>
  <c r="G331" i="55" s="1"/>
  <c r="G332" i="55" s="1"/>
  <c r="G333" i="55" s="1"/>
  <c r="G334" i="55" s="1"/>
  <c r="G335" i="55" s="1"/>
  <c r="G336" i="55" s="1"/>
  <c r="G337" i="55" s="1"/>
  <c r="G338" i="55" s="1"/>
  <c r="G339" i="55" s="1"/>
  <c r="G340" i="55" s="1"/>
  <c r="G341" i="55" s="1"/>
  <c r="G342" i="55" s="1"/>
  <c r="G343" i="55" s="1"/>
  <c r="G344" i="55" s="1"/>
  <c r="G345" i="55" s="1"/>
  <c r="G346" i="55" s="1"/>
  <c r="G347" i="55" s="1"/>
  <c r="G348" i="55" s="1"/>
  <c r="G349" i="55" s="1"/>
  <c r="G350" i="55" s="1"/>
  <c r="G351" i="55" s="1"/>
  <c r="G352" i="55" s="1"/>
  <c r="G353" i="55" s="1"/>
  <c r="G354" i="55" s="1"/>
  <c r="G355" i="55" s="1"/>
  <c r="G356" i="55" s="1"/>
  <c r="G357" i="55" s="1"/>
  <c r="G358" i="55" s="1"/>
  <c r="G359" i="55" s="1"/>
  <c r="G360" i="55" s="1"/>
  <c r="G361" i="55" s="1"/>
  <c r="G362" i="55" s="1"/>
  <c r="G363" i="55" s="1"/>
  <c r="G364" i="55" s="1"/>
  <c r="G365" i="55" s="1"/>
  <c r="G366" i="55" s="1"/>
  <c r="G367" i="55" s="1"/>
  <c r="G368" i="55" s="1"/>
  <c r="G369" i="55" s="1"/>
  <c r="G370" i="55" s="1"/>
  <c r="G371" i="55" s="1"/>
  <c r="G372" i="55" s="1"/>
  <c r="G373" i="55" s="1"/>
  <c r="G374" i="55" s="1"/>
  <c r="G375" i="55" s="1"/>
  <c r="G376" i="55" s="1"/>
  <c r="G377" i="55" s="1"/>
  <c r="G378" i="55" s="1"/>
  <c r="G379" i="55" s="1"/>
  <c r="G380" i="55" s="1"/>
  <c r="G381" i="55" s="1"/>
  <c r="G382" i="55" s="1"/>
  <c r="G383" i="55" s="1"/>
  <c r="G384" i="55" s="1"/>
  <c r="G385" i="55" s="1"/>
  <c r="G386" i="55" s="1"/>
  <c r="G387" i="55" s="1"/>
  <c r="G388" i="55" s="1"/>
  <c r="G389" i="55" s="1"/>
  <c r="G390" i="55" s="1"/>
  <c r="G391" i="55" s="1"/>
  <c r="G392" i="55" s="1"/>
  <c r="G393" i="55" s="1"/>
  <c r="G394" i="55" s="1"/>
  <c r="G395" i="55" s="1"/>
  <c r="G396" i="55" s="1"/>
  <c r="G397" i="55" s="1"/>
  <c r="G398" i="55" s="1"/>
  <c r="G399" i="55" s="1"/>
  <c r="G400" i="55" s="1"/>
  <c r="G401" i="55" s="1"/>
  <c r="G402" i="55" s="1"/>
  <c r="G403" i="55" s="1"/>
  <c r="G404" i="55" s="1"/>
  <c r="G405" i="55" s="1"/>
  <c r="G406" i="55" s="1"/>
  <c r="G407" i="55" s="1"/>
  <c r="G408" i="55" s="1"/>
  <c r="G409" i="55" s="1"/>
  <c r="G410" i="55" s="1"/>
  <c r="G411" i="55" s="1"/>
  <c r="G412" i="55" s="1"/>
  <c r="G413" i="55" s="1"/>
  <c r="G414" i="55" s="1"/>
  <c r="G415" i="55" s="1"/>
  <c r="G416" i="55" s="1"/>
  <c r="G417" i="55" s="1"/>
  <c r="G418" i="55" s="1"/>
  <c r="G419" i="55" s="1"/>
  <c r="G420" i="55" s="1"/>
  <c r="G421" i="55" s="1"/>
  <c r="G422" i="55" s="1"/>
  <c r="G423" i="55" s="1"/>
  <c r="G424" i="55" s="1"/>
  <c r="G425" i="55" s="1"/>
  <c r="G426" i="55" s="1"/>
  <c r="G427" i="55" s="1"/>
  <c r="G428" i="55" s="1"/>
  <c r="G429" i="55" s="1"/>
  <c r="G430" i="55" s="1"/>
  <c r="G431" i="55" s="1"/>
  <c r="G432" i="55" s="1"/>
  <c r="G433" i="55" s="1"/>
  <c r="G434" i="55" s="1"/>
  <c r="G435" i="55" s="1"/>
  <c r="G436" i="55" s="1"/>
  <c r="G437" i="55" s="1"/>
  <c r="G438" i="55" s="1"/>
  <c r="G439" i="55" s="1"/>
  <c r="G440" i="55" s="1"/>
  <c r="G441" i="55" s="1"/>
  <c r="G442" i="55" s="1"/>
  <c r="G443" i="55" s="1"/>
  <c r="G444" i="55" s="1"/>
  <c r="G445" i="55" s="1"/>
  <c r="G446" i="55" s="1"/>
  <c r="G447" i="55" s="1"/>
  <c r="G448" i="55" s="1"/>
  <c r="G449" i="55" s="1"/>
  <c r="G450" i="55" s="1"/>
  <c r="G451" i="55" s="1"/>
  <c r="G452" i="55" s="1"/>
  <c r="G453" i="55" s="1"/>
  <c r="G454" i="55" s="1"/>
  <c r="G455" i="55" s="1"/>
  <c r="G456" i="55" s="1"/>
  <c r="G457" i="55" s="1"/>
  <c r="G458" i="55" s="1"/>
  <c r="G459" i="55" s="1"/>
  <c r="G460" i="55" s="1"/>
  <c r="G461" i="55" s="1"/>
  <c r="G462" i="55" s="1"/>
  <c r="G463" i="55" s="1"/>
  <c r="G464" i="55" s="1"/>
  <c r="G465" i="55" s="1"/>
  <c r="G466" i="55" s="1"/>
  <c r="G467" i="55" s="1"/>
  <c r="G468" i="55" s="1"/>
  <c r="G469" i="55" s="1"/>
  <c r="G470" i="55" s="1"/>
  <c r="G471" i="55" s="1"/>
  <c r="G472" i="55" s="1"/>
  <c r="G473" i="55" s="1"/>
  <c r="G474" i="55" s="1"/>
  <c r="G475" i="55" s="1"/>
  <c r="G476" i="55" s="1"/>
  <c r="G477" i="55" s="1"/>
  <c r="G478" i="55" s="1"/>
  <c r="G479" i="55" s="1"/>
  <c r="G480" i="55" s="1"/>
  <c r="G481" i="55" s="1"/>
  <c r="G482" i="55" s="1"/>
  <c r="G483" i="55" s="1"/>
  <c r="G484" i="55" s="1"/>
  <c r="G485" i="55" s="1"/>
  <c r="G486" i="55" s="1"/>
  <c r="G487" i="55" s="1"/>
  <c r="G488" i="55" s="1"/>
  <c r="G489" i="55" s="1"/>
  <c r="G490" i="55" s="1"/>
  <c r="G491" i="55" s="1"/>
  <c r="G492" i="55" s="1"/>
  <c r="G493" i="55" s="1"/>
  <c r="G494" i="55" s="1"/>
  <c r="G495" i="55" s="1"/>
  <c r="G496" i="55" s="1"/>
  <c r="G497" i="55" s="1"/>
  <c r="G498" i="55" s="1"/>
  <c r="G499" i="55" s="1"/>
  <c r="G500" i="55" s="1"/>
  <c r="G501" i="55" s="1"/>
  <c r="G502" i="55" s="1"/>
  <c r="G503" i="55" s="1"/>
  <c r="G504" i="55" s="1"/>
  <c r="G505" i="55" s="1"/>
  <c r="G506" i="55" s="1"/>
  <c r="G507" i="55" s="1"/>
  <c r="G508" i="55" s="1"/>
  <c r="G509" i="55" s="1"/>
  <c r="G510" i="55" s="1"/>
  <c r="G511" i="55" s="1"/>
  <c r="G512" i="55" s="1"/>
  <c r="G513" i="55" s="1"/>
  <c r="G514" i="55" s="1"/>
  <c r="G515" i="55" s="1"/>
  <c r="G516" i="55" s="1"/>
  <c r="G517" i="55" s="1"/>
  <c r="G518" i="55" s="1"/>
  <c r="G519" i="55" s="1"/>
  <c r="G520" i="55" s="1"/>
  <c r="G521" i="55" s="1"/>
  <c r="G522" i="55" s="1"/>
  <c r="G523" i="55" s="1"/>
  <c r="G524" i="55" s="1"/>
  <c r="G525" i="55" s="1"/>
  <c r="G526" i="55" s="1"/>
  <c r="G527" i="55" s="1"/>
  <c r="G528" i="55" s="1"/>
  <c r="G529" i="55" s="1"/>
  <c r="G530" i="55" s="1"/>
  <c r="G531" i="55" s="1"/>
  <c r="G532" i="55" s="1"/>
  <c r="G533" i="55" s="1"/>
  <c r="G534" i="55" s="1"/>
  <c r="G535" i="55" s="1"/>
  <c r="G536" i="55" s="1"/>
  <c r="G537" i="55" s="1"/>
  <c r="G538" i="55" s="1"/>
  <c r="G539" i="55" s="1"/>
  <c r="G540" i="55" s="1"/>
  <c r="G541" i="55" s="1"/>
  <c r="G542" i="55" s="1"/>
  <c r="G543" i="55" s="1"/>
  <c r="G544" i="55" s="1"/>
  <c r="G545" i="55" s="1"/>
  <c r="G546" i="55" s="1"/>
  <c r="G547" i="55" s="1"/>
  <c r="G548" i="55" s="1"/>
  <c r="G549" i="55" s="1"/>
  <c r="G550" i="55" s="1"/>
  <c r="G551" i="55" s="1"/>
  <c r="G552" i="55" s="1"/>
  <c r="G553" i="55" s="1"/>
  <c r="G554" i="55" s="1"/>
  <c r="G555" i="55" s="1"/>
  <c r="G556" i="55" s="1"/>
  <c r="G557" i="55" s="1"/>
  <c r="G558" i="55" s="1"/>
  <c r="G559" i="55" s="1"/>
  <c r="G560" i="55" s="1"/>
  <c r="G561" i="55" s="1"/>
  <c r="G562" i="55" s="1"/>
  <c r="G563" i="55" s="1"/>
  <c r="G564" i="55" s="1"/>
  <c r="G565" i="55" s="1"/>
  <c r="G566" i="55" s="1"/>
  <c r="G567" i="55" s="1"/>
  <c r="G568" i="55" s="1"/>
  <c r="G569" i="55" s="1"/>
  <c r="G570" i="55" s="1"/>
  <c r="G571" i="55" s="1"/>
  <c r="G572" i="55" s="1"/>
  <c r="G573" i="55" s="1"/>
  <c r="G574" i="55" s="1"/>
  <c r="G575" i="55" s="1"/>
  <c r="G576" i="55" s="1"/>
  <c r="G577" i="55" s="1"/>
  <c r="G578" i="55" s="1"/>
  <c r="G579" i="55" s="1"/>
  <c r="G580" i="55" s="1"/>
  <c r="G581" i="55" s="1"/>
  <c r="G582" i="55" s="1"/>
  <c r="G583" i="55" s="1"/>
  <c r="G584" i="55" s="1"/>
  <c r="G585" i="55" s="1"/>
  <c r="G586" i="55" s="1"/>
  <c r="G587" i="55" s="1"/>
  <c r="G588" i="55" s="1"/>
  <c r="G589" i="55" s="1"/>
  <c r="G590" i="55" s="1"/>
  <c r="G591" i="55" s="1"/>
  <c r="G592" i="55" s="1"/>
  <c r="G593" i="55" s="1"/>
  <c r="G594" i="55" s="1"/>
  <c r="G595" i="55" s="1"/>
  <c r="G596" i="55" s="1"/>
  <c r="G597" i="55" s="1"/>
  <c r="G598" i="55" s="1"/>
  <c r="G599" i="55" s="1"/>
  <c r="G600" i="55" s="1"/>
  <c r="G601" i="55" s="1"/>
  <c r="G602" i="55" s="1"/>
  <c r="G603" i="55" s="1"/>
  <c r="G604" i="55" s="1"/>
  <c r="G605" i="55" s="1"/>
  <c r="G606" i="55" s="1"/>
  <c r="G607" i="55" s="1"/>
  <c r="G608" i="55" s="1"/>
  <c r="G609" i="55" s="1"/>
  <c r="G610" i="55" s="1"/>
  <c r="G611" i="55" s="1"/>
  <c r="G612" i="55" s="1"/>
  <c r="G613" i="55" s="1"/>
  <c r="G614" i="55" s="1"/>
  <c r="G615" i="55" s="1"/>
  <c r="G616" i="55" s="1"/>
  <c r="G617" i="55" s="1"/>
  <c r="G618" i="55" s="1"/>
  <c r="G619" i="55" s="1"/>
  <c r="G620" i="55" s="1"/>
  <c r="G621" i="55" s="1"/>
  <c r="G622" i="55" s="1"/>
  <c r="G623" i="55" s="1"/>
  <c r="G624" i="55" s="1"/>
  <c r="G625" i="55" s="1"/>
  <c r="G626" i="55" s="1"/>
  <c r="G627" i="55" s="1"/>
  <c r="G628" i="55" s="1"/>
  <c r="G629" i="55" s="1"/>
  <c r="G630" i="55" s="1"/>
  <c r="G631" i="55" s="1"/>
  <c r="G632" i="55" s="1"/>
  <c r="G633" i="55" s="1"/>
  <c r="G634" i="55" s="1"/>
  <c r="G635" i="55" s="1"/>
  <c r="G636" i="55" s="1"/>
  <c r="G637" i="55" s="1"/>
  <c r="G638" i="55" s="1"/>
  <c r="G639" i="55" s="1"/>
  <c r="G640" i="55" s="1"/>
  <c r="G641" i="55" s="1"/>
  <c r="G642" i="55" s="1"/>
  <c r="G643" i="55" s="1"/>
  <c r="G644" i="55" s="1"/>
  <c r="G645" i="55" s="1"/>
  <c r="G646" i="55" s="1"/>
  <c r="G647" i="55" s="1"/>
  <c r="G648" i="55" s="1"/>
  <c r="G649" i="55" s="1"/>
  <c r="G650" i="55" s="1"/>
  <c r="G651" i="55" s="1"/>
  <c r="G652" i="55" s="1"/>
  <c r="G653" i="55" s="1"/>
  <c r="G654" i="55" s="1"/>
  <c r="G655" i="55" s="1"/>
  <c r="G656" i="55" s="1"/>
  <c r="G657" i="55" s="1"/>
  <c r="G658" i="55" s="1"/>
  <c r="G659" i="55" s="1"/>
  <c r="G660" i="55" s="1"/>
  <c r="G661" i="55" s="1"/>
  <c r="G662" i="55" s="1"/>
  <c r="G663" i="55" s="1"/>
  <c r="G664" i="55" s="1"/>
  <c r="G665" i="55" s="1"/>
  <c r="G666" i="55" s="1"/>
  <c r="G667" i="55" s="1"/>
  <c r="G668" i="55" s="1"/>
  <c r="G669" i="55" s="1"/>
  <c r="G670" i="55" s="1"/>
  <c r="G671" i="55" s="1"/>
  <c r="G672" i="55" s="1"/>
  <c r="G673" i="55" s="1"/>
  <c r="G674" i="55" s="1"/>
  <c r="G675" i="55" s="1"/>
  <c r="G676" i="55" s="1"/>
  <c r="G677" i="55" s="1"/>
  <c r="G678" i="55" s="1"/>
  <c r="G679" i="55" s="1"/>
  <c r="G680" i="55" s="1"/>
  <c r="G681" i="55" s="1"/>
  <c r="G682" i="55" s="1"/>
  <c r="G683" i="55" s="1"/>
  <c r="G684" i="55" s="1"/>
  <c r="G685" i="55" s="1"/>
  <c r="G686" i="55" s="1"/>
  <c r="G687" i="55" s="1"/>
  <c r="G688" i="55" s="1"/>
  <c r="G689" i="55" s="1"/>
  <c r="G690" i="55" s="1"/>
  <c r="G691" i="55" s="1"/>
  <c r="G692" i="55" s="1"/>
  <c r="G693" i="55" s="1"/>
  <c r="G694" i="55" s="1"/>
  <c r="G695" i="55" s="1"/>
  <c r="G696" i="55" s="1"/>
  <c r="G697" i="55" s="1"/>
  <c r="G698" i="55" s="1"/>
  <c r="G699" i="55" s="1"/>
  <c r="G700" i="55" s="1"/>
  <c r="G701" i="55" s="1"/>
  <c r="G702" i="55" s="1"/>
  <c r="G703" i="55" s="1"/>
  <c r="G704" i="55" s="1"/>
  <c r="G705" i="55" s="1"/>
  <c r="G706" i="55" s="1"/>
  <c r="G707" i="55" s="1"/>
  <c r="G708" i="55" s="1"/>
  <c r="G709" i="55" s="1"/>
  <c r="G710" i="55" s="1"/>
  <c r="G711" i="55" s="1"/>
  <c r="G712" i="55" s="1"/>
  <c r="G713" i="55" s="1"/>
  <c r="G714" i="55" s="1"/>
  <c r="G715" i="55" s="1"/>
  <c r="G716" i="55" s="1"/>
  <c r="G717" i="55" s="1"/>
  <c r="G718" i="55" s="1"/>
  <c r="G719" i="55" s="1"/>
  <c r="G720" i="55" s="1"/>
  <c r="G721" i="55" s="1"/>
  <c r="G722" i="55" s="1"/>
  <c r="G723" i="55" s="1"/>
  <c r="G724" i="55" s="1"/>
  <c r="G725" i="55" s="1"/>
  <c r="G726" i="55" s="1"/>
  <c r="G727" i="55" s="1"/>
  <c r="G728" i="55" s="1"/>
  <c r="G729" i="55" s="1"/>
  <c r="G730" i="55" s="1"/>
  <c r="G731" i="55" s="1"/>
  <c r="G732" i="55" s="1"/>
  <c r="G733" i="55" s="1"/>
  <c r="G734" i="55" s="1"/>
  <c r="G735" i="55" s="1"/>
  <c r="G736" i="55" s="1"/>
  <c r="G737" i="55" s="1"/>
  <c r="G738" i="55" s="1"/>
  <c r="G739" i="55" s="1"/>
  <c r="G740" i="55" s="1"/>
  <c r="G741" i="55" s="1"/>
  <c r="G742" i="55" s="1"/>
  <c r="G743" i="55" s="1"/>
  <c r="G744" i="55" s="1"/>
  <c r="G745" i="55" s="1"/>
  <c r="G746" i="55" s="1"/>
  <c r="G747" i="55" s="1"/>
  <c r="G748" i="55" s="1"/>
  <c r="G749" i="55" s="1"/>
  <c r="G750" i="55" s="1"/>
  <c r="G751" i="55" s="1"/>
  <c r="G752" i="55" s="1"/>
  <c r="G753" i="55" s="1"/>
  <c r="G754" i="55" s="1"/>
  <c r="G755" i="55" s="1"/>
  <c r="G756" i="55" s="1"/>
  <c r="G757" i="55" s="1"/>
  <c r="G758" i="55" s="1"/>
  <c r="G759" i="55" s="1"/>
  <c r="G760" i="55" s="1"/>
  <c r="G761" i="55" s="1"/>
  <c r="G762" i="55" s="1"/>
  <c r="G763" i="55" s="1"/>
  <c r="G764" i="55" s="1"/>
  <c r="G765" i="55" s="1"/>
  <c r="G766" i="55" s="1"/>
  <c r="G767" i="55" s="1"/>
  <c r="G768" i="55" s="1"/>
  <c r="G769" i="55" s="1"/>
  <c r="G770" i="55" s="1"/>
  <c r="G771" i="55" s="1"/>
  <c r="G772" i="55" s="1"/>
  <c r="G773" i="55" s="1"/>
  <c r="G774" i="55" s="1"/>
  <c r="G775" i="55" s="1"/>
  <c r="G776" i="55" s="1"/>
  <c r="G777" i="55" s="1"/>
  <c r="G778" i="55" s="1"/>
  <c r="G779" i="55" s="1"/>
  <c r="G780" i="55" s="1"/>
  <c r="G781" i="55" s="1"/>
  <c r="G782" i="55" s="1"/>
  <c r="G783" i="55" s="1"/>
  <c r="G784" i="55" s="1"/>
  <c r="G785" i="55" s="1"/>
  <c r="G786" i="55" s="1"/>
  <c r="G787" i="55" s="1"/>
  <c r="G788" i="55" s="1"/>
  <c r="G789" i="55" s="1"/>
  <c r="G790" i="55" s="1"/>
  <c r="G791" i="55" s="1"/>
  <c r="G792" i="55" s="1"/>
  <c r="G793" i="55" s="1"/>
  <c r="G794" i="55" s="1"/>
  <c r="G795" i="55" s="1"/>
  <c r="G796" i="55" s="1"/>
  <c r="G797" i="55" s="1"/>
  <c r="G798" i="55" s="1"/>
  <c r="G799" i="55" s="1"/>
  <c r="G800" i="55" s="1"/>
  <c r="G801" i="55" s="1"/>
  <c r="G802" i="55" s="1"/>
  <c r="G803" i="55" s="1"/>
  <c r="G804" i="55" s="1"/>
  <c r="G805" i="55" s="1"/>
  <c r="G806" i="55" s="1"/>
  <c r="G807" i="55" s="1"/>
  <c r="G808" i="55" s="1"/>
  <c r="G809" i="55" s="1"/>
  <c r="G810" i="55" s="1"/>
  <c r="G811" i="55" s="1"/>
  <c r="G812" i="55" s="1"/>
  <c r="G813" i="55" s="1"/>
  <c r="G814" i="55" s="1"/>
  <c r="G815" i="55" s="1"/>
  <c r="G816" i="55" s="1"/>
  <c r="G817" i="55" s="1"/>
  <c r="G818" i="55" s="1"/>
  <c r="G819" i="55" s="1"/>
  <c r="G820" i="55" s="1"/>
  <c r="G821" i="55" s="1"/>
  <c r="G822" i="55" s="1"/>
  <c r="G823" i="55" s="1"/>
  <c r="G824" i="55" s="1"/>
  <c r="G825" i="55" s="1"/>
  <c r="G826" i="55" s="1"/>
  <c r="G827" i="55" s="1"/>
  <c r="G828" i="55" s="1"/>
  <c r="G829" i="55" s="1"/>
  <c r="G830" i="55" s="1"/>
  <c r="G831" i="55" s="1"/>
  <c r="G832" i="55" s="1"/>
  <c r="G833" i="55" s="1"/>
  <c r="G834" i="55" s="1"/>
  <c r="G835" i="55" s="1"/>
  <c r="G836" i="55" s="1"/>
  <c r="G837" i="55" s="1"/>
  <c r="G838" i="55" s="1"/>
  <c r="G839" i="55" s="1"/>
  <c r="G840" i="55" s="1"/>
  <c r="G841" i="55" s="1"/>
  <c r="G842" i="55" s="1"/>
  <c r="G843" i="55" s="1"/>
  <c r="G844" i="55" s="1"/>
  <c r="G845" i="55" s="1"/>
  <c r="G846" i="55" s="1"/>
  <c r="G847" i="55" s="1"/>
  <c r="G848" i="55" s="1"/>
  <c r="G849" i="55" s="1"/>
  <c r="G850" i="55" s="1"/>
  <c r="G851" i="55" s="1"/>
  <c r="G852" i="55" s="1"/>
  <c r="G853" i="55" s="1"/>
  <c r="G854" i="55" s="1"/>
  <c r="G855" i="55" s="1"/>
  <c r="G856" i="55" s="1"/>
  <c r="G857" i="55" s="1"/>
  <c r="G858" i="55" s="1"/>
  <c r="G859" i="55" s="1"/>
  <c r="G860" i="55" s="1"/>
  <c r="G861" i="55" s="1"/>
  <c r="G862" i="55" s="1"/>
  <c r="G863" i="55" s="1"/>
  <c r="G864" i="55" s="1"/>
  <c r="G865" i="55" s="1"/>
  <c r="G866" i="55" s="1"/>
  <c r="G867" i="55" s="1"/>
  <c r="G868" i="55" s="1"/>
  <c r="G869" i="55" s="1"/>
  <c r="G870" i="55" s="1"/>
  <c r="G871" i="55" s="1"/>
  <c r="G872" i="55" s="1"/>
  <c r="G873" i="55" s="1"/>
  <c r="G874" i="55" s="1"/>
  <c r="G875" i="55" s="1"/>
  <c r="G876" i="55" s="1"/>
  <c r="G877" i="55" s="1"/>
  <c r="G878" i="55" s="1"/>
  <c r="G879" i="55" s="1"/>
  <c r="G880" i="55" s="1"/>
  <c r="G881" i="55" s="1"/>
  <c r="G882" i="55" s="1"/>
  <c r="G883" i="55" s="1"/>
  <c r="G884" i="55" s="1"/>
  <c r="G885" i="55" s="1"/>
  <c r="G886" i="55" s="1"/>
  <c r="G887" i="55" s="1"/>
  <c r="G888" i="55" s="1"/>
  <c r="G889" i="55" s="1"/>
  <c r="G890" i="55" s="1"/>
  <c r="G891" i="55" s="1"/>
  <c r="G892" i="55" s="1"/>
  <c r="G893" i="55" s="1"/>
  <c r="G894" i="55" s="1"/>
  <c r="G895" i="55" s="1"/>
  <c r="G896" i="55" s="1"/>
  <c r="G897" i="55" s="1"/>
  <c r="G898" i="55" s="1"/>
  <c r="G899" i="55" s="1"/>
  <c r="G900" i="55" s="1"/>
  <c r="G901" i="55" s="1"/>
  <c r="G902" i="55" s="1"/>
  <c r="G903" i="55" s="1"/>
  <c r="G904" i="55" s="1"/>
  <c r="G905" i="55" s="1"/>
  <c r="G906" i="55" s="1"/>
  <c r="G907" i="55" s="1"/>
  <c r="G908" i="55" s="1"/>
  <c r="G909" i="55" s="1"/>
  <c r="G910" i="55" s="1"/>
  <c r="G911" i="55" s="1"/>
  <c r="G912" i="55" s="1"/>
  <c r="G913" i="55" s="1"/>
  <c r="G914" i="55" s="1"/>
  <c r="G915" i="55" s="1"/>
  <c r="G916" i="55" s="1"/>
  <c r="G917" i="55" s="1"/>
  <c r="G918" i="55" s="1"/>
  <c r="G919" i="55" s="1"/>
  <c r="G920" i="55" s="1"/>
  <c r="G921" i="55" s="1"/>
  <c r="G922" i="55" s="1"/>
  <c r="G923" i="55" s="1"/>
  <c r="G924" i="55" s="1"/>
  <c r="G925" i="55" s="1"/>
  <c r="G926" i="55" s="1"/>
  <c r="G927" i="55" s="1"/>
  <c r="G928" i="55" s="1"/>
  <c r="G929" i="55" s="1"/>
  <c r="G930" i="55" s="1"/>
  <c r="G931" i="55" s="1"/>
  <c r="G932" i="55" s="1"/>
  <c r="G933" i="55" s="1"/>
  <c r="G934" i="55" s="1"/>
  <c r="G935" i="55" s="1"/>
  <c r="G936" i="55" s="1"/>
  <c r="G937" i="55" s="1"/>
  <c r="G938" i="55" s="1"/>
  <c r="G939" i="55" s="1"/>
  <c r="G940" i="55" s="1"/>
  <c r="G941" i="55" s="1"/>
  <c r="G942" i="55" s="1"/>
  <c r="G943" i="55" s="1"/>
  <c r="G944" i="55" s="1"/>
  <c r="G945" i="55" s="1"/>
  <c r="G946" i="55" s="1"/>
  <c r="G947" i="55" s="1"/>
  <c r="G948" i="55" s="1"/>
  <c r="G949" i="55" s="1"/>
  <c r="G950" i="55" s="1"/>
  <c r="G951" i="55" s="1"/>
  <c r="G952" i="55" s="1"/>
  <c r="G953" i="55" s="1"/>
  <c r="G954" i="55" s="1"/>
  <c r="G955" i="55" s="1"/>
  <c r="G956" i="55" s="1"/>
  <c r="G957" i="55" s="1"/>
  <c r="G958" i="55" s="1"/>
  <c r="G959" i="55" s="1"/>
  <c r="G960" i="55" s="1"/>
  <c r="G961" i="55" s="1"/>
  <c r="G962" i="55" s="1"/>
  <c r="G963" i="55" s="1"/>
  <c r="G964" i="55" s="1"/>
  <c r="G965" i="55" s="1"/>
  <c r="G966" i="55" s="1"/>
  <c r="G967" i="55" s="1"/>
  <c r="G968" i="55" s="1"/>
  <c r="G969" i="55" s="1"/>
  <c r="G970" i="55" s="1"/>
  <c r="G971" i="55" s="1"/>
  <c r="G972" i="55" s="1"/>
  <c r="G973" i="55" s="1"/>
  <c r="G974" i="55" s="1"/>
  <c r="G975" i="55" s="1"/>
  <c r="G976" i="55" s="1"/>
  <c r="G977" i="55" s="1"/>
  <c r="G978" i="55" s="1"/>
  <c r="G979" i="55" s="1"/>
  <c r="G980" i="55" s="1"/>
  <c r="G981" i="55" s="1"/>
  <c r="G982" i="55" s="1"/>
  <c r="G983" i="55" s="1"/>
  <c r="G984" i="55" s="1"/>
  <c r="G985" i="55" s="1"/>
  <c r="G986" i="55" s="1"/>
  <c r="G987" i="55" s="1"/>
  <c r="G988" i="55" s="1"/>
  <c r="G989" i="55" s="1"/>
  <c r="G990" i="55" s="1"/>
  <c r="G991" i="55" s="1"/>
  <c r="G992" i="55" s="1"/>
  <c r="G993" i="55" s="1"/>
  <c r="G994" i="55" s="1"/>
  <c r="G995" i="55" s="1"/>
  <c r="G996" i="55" s="1"/>
  <c r="G997" i="55" s="1"/>
  <c r="G998" i="55" s="1"/>
  <c r="G999" i="55" s="1"/>
  <c r="G1000" i="55" s="1"/>
  <c r="G1001" i="55" s="1"/>
  <c r="G1002" i="55" s="1"/>
  <c r="G1003" i="55" s="1"/>
  <c r="G1004" i="55" s="1"/>
  <c r="G1005" i="55" s="1"/>
  <c r="G1006" i="55" s="1"/>
  <c r="G1007" i="55" s="1"/>
  <c r="G1008" i="55" s="1"/>
  <c r="G1009" i="55" s="1"/>
  <c r="G1010" i="55" s="1"/>
  <c r="G1011" i="55" s="1"/>
  <c r="G1012" i="55" s="1"/>
  <c r="G1013" i="55" s="1"/>
  <c r="G1014" i="55" s="1"/>
  <c r="G1015" i="55" s="1"/>
  <c r="G1016" i="55" s="1"/>
  <c r="G1017" i="55" s="1"/>
  <c r="G1018" i="55" s="1"/>
  <c r="G1019" i="55" s="1"/>
  <c r="G1020" i="55" s="1"/>
  <c r="G1021" i="55" s="1"/>
  <c r="G1022" i="55" s="1"/>
  <c r="G1023" i="55" s="1"/>
  <c r="G1024" i="55" s="1"/>
  <c r="G1025" i="55" s="1"/>
  <c r="G1026" i="55" s="1"/>
  <c r="G1027" i="55" s="1"/>
  <c r="G1028" i="55" s="1"/>
  <c r="G1029" i="55" s="1"/>
  <c r="G1030" i="55" s="1"/>
  <c r="G1031" i="55" s="1"/>
  <c r="G1032" i="55" s="1"/>
  <c r="G1033" i="55" s="1"/>
  <c r="G1034" i="55" s="1"/>
  <c r="G1035" i="55" s="1"/>
  <c r="G1036" i="55" s="1"/>
  <c r="G1037" i="55" s="1"/>
  <c r="G1038" i="55" s="1"/>
  <c r="G1039" i="55" s="1"/>
  <c r="G1040" i="55" s="1"/>
  <c r="G1041" i="55" s="1"/>
  <c r="G1042" i="55" s="1"/>
  <c r="G1043" i="55" s="1"/>
  <c r="G1044" i="55" s="1"/>
  <c r="G1045" i="55" s="1"/>
  <c r="G1046" i="55" s="1"/>
  <c r="G1047" i="55" s="1"/>
  <c r="G1048" i="55" s="1"/>
  <c r="G1049" i="55" s="1"/>
  <c r="G1050" i="55" s="1"/>
  <c r="G1051" i="55" s="1"/>
  <c r="G1052" i="55" s="1"/>
  <c r="G1053" i="55" s="1"/>
  <c r="G1054" i="55" s="1"/>
  <c r="G1055" i="55" s="1"/>
  <c r="G1056" i="55" s="1"/>
  <c r="G1057" i="55" s="1"/>
  <c r="G1058" i="55" s="1"/>
  <c r="G1059" i="55" s="1"/>
  <c r="G1060" i="55" s="1"/>
  <c r="G1061" i="55" s="1"/>
  <c r="G1062" i="55" s="1"/>
  <c r="G1063" i="55" s="1"/>
  <c r="G1064" i="55" s="1"/>
  <c r="G1065" i="55" s="1"/>
  <c r="G1066" i="55" s="1"/>
  <c r="G1067" i="55" s="1"/>
  <c r="G1068" i="55" s="1"/>
  <c r="G1069" i="55" s="1"/>
  <c r="G1070" i="55" s="1"/>
  <c r="G1071" i="55" s="1"/>
  <c r="G1072" i="55" s="1"/>
  <c r="G1073" i="55" s="1"/>
  <c r="G1074" i="55" s="1"/>
  <c r="G1075" i="55" s="1"/>
  <c r="G1076" i="55" s="1"/>
  <c r="G1077" i="55" s="1"/>
  <c r="G1078" i="55" s="1"/>
  <c r="G1079" i="55" s="1"/>
  <c r="G1080" i="55" s="1"/>
  <c r="G1081" i="55" s="1"/>
  <c r="G1082" i="55" s="1"/>
  <c r="G1083" i="55" s="1"/>
  <c r="G1084" i="55" s="1"/>
  <c r="G1085" i="55" s="1"/>
  <c r="G1086" i="55" s="1"/>
  <c r="G1087" i="55" s="1"/>
  <c r="G1088" i="55" s="1"/>
  <c r="G1089" i="55" s="1"/>
  <c r="G1090" i="55" s="1"/>
  <c r="G1091" i="55" s="1"/>
  <c r="G1092" i="55" s="1"/>
  <c r="G1093" i="55" s="1"/>
  <c r="G1094" i="55" s="1"/>
  <c r="G1095" i="55" s="1"/>
  <c r="G1096" i="55" s="1"/>
  <c r="G1097" i="55" s="1"/>
  <c r="G1098" i="55" s="1"/>
  <c r="G1099" i="55" s="1"/>
  <c r="G1100" i="55" s="1"/>
  <c r="G1101" i="55" s="1"/>
  <c r="G1102" i="55" s="1"/>
  <c r="G1103" i="55" s="1"/>
  <c r="G1104" i="55" s="1"/>
  <c r="G1105" i="55" s="1"/>
  <c r="G1106" i="55" s="1"/>
  <c r="G1107" i="55" s="1"/>
  <c r="G1108" i="55" s="1"/>
  <c r="G1109" i="55" s="1"/>
  <c r="G1110" i="55" s="1"/>
  <c r="G1111" i="55" s="1"/>
  <c r="G1112" i="55" s="1"/>
  <c r="G1113" i="55" s="1"/>
  <c r="G1114" i="55" s="1"/>
  <c r="G1115" i="55" s="1"/>
  <c r="G1116" i="55" s="1"/>
  <c r="G1117" i="55" s="1"/>
  <c r="G1118" i="55" s="1"/>
  <c r="G1119" i="55" s="1"/>
  <c r="G1120" i="55" s="1"/>
  <c r="G1121" i="55" s="1"/>
  <c r="G1122" i="55" s="1"/>
  <c r="G1123" i="55" s="1"/>
  <c r="G1124" i="55" s="1"/>
  <c r="G1125" i="55" s="1"/>
  <c r="G1126" i="55" s="1"/>
  <c r="G1127" i="55" s="1"/>
  <c r="G1128" i="55" s="1"/>
  <c r="G1129" i="55" s="1"/>
  <c r="G1130" i="55" s="1"/>
  <c r="G1131" i="55" s="1"/>
  <c r="G1132" i="55" s="1"/>
  <c r="G1133" i="55" s="1"/>
  <c r="G1134" i="55" s="1"/>
  <c r="G1135" i="55" s="1"/>
  <c r="G1136" i="55" s="1"/>
  <c r="G1137" i="55" s="1"/>
  <c r="G1138" i="55" s="1"/>
  <c r="G1139" i="55" s="1"/>
  <c r="G1140" i="55" s="1"/>
  <c r="G1141" i="55" s="1"/>
  <c r="G1142" i="55" s="1"/>
  <c r="G1143" i="55" s="1"/>
  <c r="G1144" i="55" s="1"/>
  <c r="G1145" i="55" s="1"/>
  <c r="G1146" i="55" s="1"/>
  <c r="G1147" i="55" s="1"/>
  <c r="G1148" i="55" s="1"/>
  <c r="G1149" i="55" s="1"/>
  <c r="G1150" i="55" s="1"/>
  <c r="G1151" i="55" s="1"/>
  <c r="G1152" i="55" s="1"/>
  <c r="G1153" i="55" s="1"/>
  <c r="G1154" i="55" s="1"/>
  <c r="G1155" i="55" s="1"/>
  <c r="G1156" i="55" s="1"/>
  <c r="G1157" i="55" s="1"/>
  <c r="G1158" i="55" s="1"/>
  <c r="G1159" i="55" s="1"/>
  <c r="G1160" i="55" s="1"/>
  <c r="G1161" i="55" s="1"/>
  <c r="G1162" i="55" s="1"/>
  <c r="G1163" i="55" s="1"/>
  <c r="G1164" i="55" s="1"/>
  <c r="G1165" i="55" s="1"/>
  <c r="G1166" i="55" s="1"/>
  <c r="G1167" i="55" s="1"/>
  <c r="G1168" i="55" s="1"/>
  <c r="G1169" i="55" s="1"/>
  <c r="G1170" i="55" s="1"/>
  <c r="G1171" i="55" s="1"/>
  <c r="G1172" i="55" s="1"/>
  <c r="G1173" i="55" s="1"/>
  <c r="G1174" i="55" s="1"/>
  <c r="G1175" i="55" s="1"/>
  <c r="G1176" i="55" s="1"/>
  <c r="G1177" i="55" s="1"/>
  <c r="G1178" i="55" s="1"/>
  <c r="G1179" i="55" s="1"/>
  <c r="G1180" i="55" s="1"/>
  <c r="G1181" i="55" s="1"/>
  <c r="G1182" i="55" s="1"/>
  <c r="G1183" i="55" s="1"/>
  <c r="G1184" i="55" s="1"/>
  <c r="G1185" i="55" s="1"/>
  <c r="G1186" i="55" s="1"/>
  <c r="G1187" i="55" s="1"/>
  <c r="G1188" i="55" s="1"/>
  <c r="G1189" i="55" s="1"/>
  <c r="G1190" i="55" s="1"/>
  <c r="G1191" i="55" s="1"/>
  <c r="G1192" i="55" s="1"/>
  <c r="G1193" i="55" s="1"/>
  <c r="G1194" i="55" s="1"/>
  <c r="G1195" i="55" s="1"/>
  <c r="G1196" i="55" s="1"/>
  <c r="G1197" i="55" s="1"/>
  <c r="G1198" i="55" s="1"/>
  <c r="G1199" i="55" s="1"/>
  <c r="G1200" i="55" s="1"/>
  <c r="G1201" i="55" s="1"/>
  <c r="G1202" i="55" s="1"/>
  <c r="G1203" i="55" s="1"/>
  <c r="G1204" i="55" s="1"/>
  <c r="G1205" i="55" s="1"/>
  <c r="G1206" i="55" s="1"/>
  <c r="G1207" i="55" s="1"/>
  <c r="G1208" i="55" s="1"/>
  <c r="G1209" i="55" s="1"/>
  <c r="G1210" i="55" s="1"/>
  <c r="G1211" i="55" s="1"/>
  <c r="G1212" i="55" s="1"/>
  <c r="G1213" i="55" s="1"/>
  <c r="G1214" i="55" s="1"/>
  <c r="G1215" i="55" s="1"/>
  <c r="G1216" i="55" s="1"/>
  <c r="G1217" i="55" s="1"/>
  <c r="G1218" i="55" s="1"/>
  <c r="G1219" i="55" s="1"/>
  <c r="G1220" i="55" s="1"/>
  <c r="G1221" i="55" s="1"/>
  <c r="G1222" i="55" s="1"/>
  <c r="G1223" i="55" s="1"/>
  <c r="G1224" i="55" s="1"/>
  <c r="G1225" i="55" s="1"/>
  <c r="G1226" i="55" s="1"/>
  <c r="G1227" i="55" s="1"/>
  <c r="G1228" i="55" s="1"/>
  <c r="G1229" i="55" s="1"/>
  <c r="G1230" i="55" s="1"/>
  <c r="G1231" i="55" s="1"/>
  <c r="G1232" i="55" s="1"/>
  <c r="G1233" i="55" s="1"/>
  <c r="G1234" i="55" s="1"/>
  <c r="G1235" i="55" s="1"/>
  <c r="G1236" i="55" s="1"/>
  <c r="G1237" i="55" s="1"/>
  <c r="G1238" i="55" s="1"/>
  <c r="G1239" i="55" s="1"/>
  <c r="G1240" i="55" s="1"/>
  <c r="G1241" i="55" s="1"/>
  <c r="G1242" i="55" s="1"/>
  <c r="G1243" i="55" s="1"/>
  <c r="G1244" i="55" s="1"/>
  <c r="G1245" i="55" s="1"/>
  <c r="G1246" i="55" s="1"/>
  <c r="G1247" i="55" s="1"/>
  <c r="G1248" i="55" s="1"/>
  <c r="G1249" i="55" s="1"/>
  <c r="G1250" i="55" s="1"/>
  <c r="G1251" i="55" s="1"/>
  <c r="G1252" i="55" s="1"/>
  <c r="G1253" i="55" s="1"/>
  <c r="G1254" i="55" s="1"/>
  <c r="G1255" i="55" s="1"/>
  <c r="G1256" i="55" s="1"/>
  <c r="G1257" i="55" s="1"/>
  <c r="G1258" i="55" s="1"/>
  <c r="G1259" i="55" s="1"/>
  <c r="G1260" i="55" s="1"/>
  <c r="G1261" i="55" s="1"/>
  <c r="G1262" i="55" s="1"/>
  <c r="G1263" i="55" s="1"/>
  <c r="G1264" i="55" s="1"/>
  <c r="G1265" i="55" s="1"/>
  <c r="G1266" i="55" s="1"/>
  <c r="G1267" i="55" s="1"/>
  <c r="G1268" i="55" s="1"/>
  <c r="G1269" i="55" s="1"/>
  <c r="G1270" i="55" s="1"/>
  <c r="G1271" i="55" s="1"/>
  <c r="G1272" i="55" s="1"/>
  <c r="G1273" i="55" s="1"/>
  <c r="G1274" i="55" s="1"/>
  <c r="G1275" i="55" s="1"/>
  <c r="G1276" i="55" s="1"/>
  <c r="G1277" i="55" s="1"/>
  <c r="G1278" i="55" s="1"/>
  <c r="G1279" i="55" s="1"/>
  <c r="G1280" i="55" s="1"/>
  <c r="G1281" i="55" s="1"/>
  <c r="G1282" i="55" s="1"/>
  <c r="G1283" i="55" s="1"/>
  <c r="G1284" i="55" s="1"/>
  <c r="G1285" i="55" s="1"/>
  <c r="G1286" i="55" s="1"/>
  <c r="G1287" i="55" s="1"/>
  <c r="G1288" i="55" s="1"/>
  <c r="G1289" i="55" s="1"/>
  <c r="G1290" i="55" s="1"/>
  <c r="G1291" i="55" s="1"/>
  <c r="G1292" i="55" s="1"/>
  <c r="G1293" i="55" s="1"/>
  <c r="G1294" i="55" s="1"/>
  <c r="G1295" i="55" s="1"/>
  <c r="G1296" i="55" s="1"/>
  <c r="G1297" i="55" s="1"/>
  <c r="G1298" i="55" s="1"/>
  <c r="G1299" i="55" s="1"/>
  <c r="G1300" i="55" s="1"/>
  <c r="G1301" i="55" s="1"/>
  <c r="G1302" i="55" s="1"/>
  <c r="G1303" i="55" s="1"/>
  <c r="G1304" i="55" s="1"/>
  <c r="G1305" i="55" s="1"/>
  <c r="G1306" i="55" s="1"/>
  <c r="G1307" i="55" s="1"/>
  <c r="G1308" i="55" s="1"/>
  <c r="G1309" i="55" s="1"/>
  <c r="G1310" i="55" s="1"/>
  <c r="G1311" i="55" s="1"/>
  <c r="G1312" i="55" s="1"/>
  <c r="G1313" i="55" s="1"/>
  <c r="G1314" i="55" s="1"/>
  <c r="G1315" i="55" s="1"/>
  <c r="G1316" i="55" s="1"/>
  <c r="G1317" i="55" s="1"/>
  <c r="G1318" i="55" s="1"/>
  <c r="G1319" i="55" s="1"/>
  <c r="G1320" i="55" s="1"/>
  <c r="G1321" i="55" s="1"/>
  <c r="G1322" i="55" s="1"/>
  <c r="G1323" i="55" s="1"/>
  <c r="G1324" i="55" s="1"/>
  <c r="G1325" i="55" s="1"/>
  <c r="G1326" i="55" s="1"/>
  <c r="G1327" i="55" s="1"/>
  <c r="G1328" i="55" s="1"/>
  <c r="G1329" i="55" s="1"/>
  <c r="G1330" i="55" s="1"/>
  <c r="G1331" i="55" s="1"/>
  <c r="G1332" i="55" s="1"/>
  <c r="G1333" i="55" s="1"/>
  <c r="G1334" i="55" s="1"/>
  <c r="G1335" i="55" s="1"/>
  <c r="G1336" i="55" s="1"/>
  <c r="G1337" i="55" s="1"/>
  <c r="G1338" i="55" s="1"/>
  <c r="G1339" i="55" s="1"/>
  <c r="G1340" i="55" s="1"/>
  <c r="G1341" i="55" s="1"/>
  <c r="G1342" i="55" s="1"/>
  <c r="G1343" i="55" s="1"/>
  <c r="G1344" i="55" s="1"/>
  <c r="G1345" i="55" s="1"/>
  <c r="G1346" i="55" s="1"/>
  <c r="G1347" i="55" s="1"/>
  <c r="G1348" i="55" s="1"/>
  <c r="G1349" i="55" s="1"/>
  <c r="G1350" i="55" s="1"/>
  <c r="G1351" i="55" s="1"/>
  <c r="G1352" i="55" s="1"/>
  <c r="G1353" i="55" s="1"/>
  <c r="G1354" i="55" s="1"/>
  <c r="G1355" i="55" s="1"/>
  <c r="G1356" i="55" s="1"/>
  <c r="G1357" i="55" s="1"/>
  <c r="G1358" i="55" s="1"/>
  <c r="G1359" i="55" s="1"/>
  <c r="G1360" i="55" s="1"/>
  <c r="G1361" i="55" s="1"/>
  <c r="G1362" i="55" s="1"/>
  <c r="G1363" i="55" s="1"/>
  <c r="G1364" i="55" s="1"/>
  <c r="G1365" i="55" s="1"/>
  <c r="G1366" i="55" s="1"/>
  <c r="G1367" i="55" s="1"/>
  <c r="G1368" i="55" s="1"/>
  <c r="G1369" i="55" s="1"/>
  <c r="G1370" i="55" s="1"/>
  <c r="G1371" i="55" s="1"/>
  <c r="G1372" i="55" s="1"/>
  <c r="G1373" i="55" s="1"/>
  <c r="G1374" i="55" s="1"/>
  <c r="G1375" i="55" s="1"/>
  <c r="G1376" i="55" s="1"/>
  <c r="G1377" i="55" s="1"/>
  <c r="G1378" i="55" s="1"/>
  <c r="G1379" i="55" s="1"/>
  <c r="G1380" i="55" s="1"/>
  <c r="G1381" i="55" s="1"/>
  <c r="G1382" i="55" s="1"/>
  <c r="G1383" i="55" s="1"/>
  <c r="G1384" i="55" s="1"/>
  <c r="G1385" i="55" s="1"/>
  <c r="G1386" i="55" s="1"/>
  <c r="G1387" i="55" s="1"/>
  <c r="G1388" i="55" s="1"/>
  <c r="G1389" i="55" s="1"/>
  <c r="G1390" i="55" s="1"/>
  <c r="G1391" i="55" s="1"/>
  <c r="G1392" i="55" s="1"/>
  <c r="G1393" i="55" s="1"/>
  <c r="G1394" i="55" s="1"/>
  <c r="G1395" i="55" s="1"/>
  <c r="G1396" i="55" s="1"/>
  <c r="G1397" i="55" s="1"/>
  <c r="G1398" i="55" s="1"/>
  <c r="G1399" i="55" s="1"/>
  <c r="G1400" i="55" s="1"/>
  <c r="G1401" i="55" s="1"/>
  <c r="G1402" i="55" s="1"/>
  <c r="G1403" i="55" s="1"/>
  <c r="G1404" i="55" s="1"/>
  <c r="G1405" i="55" s="1"/>
  <c r="G1406" i="55" s="1"/>
  <c r="G1407" i="55" s="1"/>
  <c r="G1408" i="55" s="1"/>
  <c r="G1409" i="55" s="1"/>
  <c r="G1410" i="55" s="1"/>
  <c r="G1411" i="55" s="1"/>
  <c r="G1412" i="55" s="1"/>
  <c r="G1413" i="55" s="1"/>
  <c r="G1414" i="55" s="1"/>
  <c r="G1415" i="55" s="1"/>
  <c r="G1416" i="55" s="1"/>
  <c r="G1417" i="55" s="1"/>
  <c r="G1418" i="55" s="1"/>
  <c r="G1419" i="55" s="1"/>
  <c r="G1420" i="55" s="1"/>
  <c r="G1421" i="55" s="1"/>
  <c r="G1422" i="55" s="1"/>
  <c r="G1423" i="55" s="1"/>
  <c r="G1424" i="55" s="1"/>
  <c r="G1425" i="55" s="1"/>
  <c r="G1426" i="55" s="1"/>
  <c r="G1427" i="55" s="1"/>
  <c r="G1428" i="55" s="1"/>
  <c r="G1429" i="55" s="1"/>
  <c r="G1430" i="55" s="1"/>
  <c r="G1431" i="55" s="1"/>
  <c r="G1432" i="55" s="1"/>
  <c r="G1433" i="55" s="1"/>
  <c r="G1434" i="55" s="1"/>
  <c r="G1435" i="55" s="1"/>
  <c r="G1436" i="55" s="1"/>
  <c r="G1437" i="55" s="1"/>
  <c r="G1438" i="55" s="1"/>
  <c r="G1439" i="55" s="1"/>
  <c r="G1440" i="55" s="1"/>
  <c r="G1441" i="55" s="1"/>
  <c r="G1442" i="55" s="1"/>
  <c r="G1443" i="55" s="1"/>
  <c r="G1444" i="55" s="1"/>
  <c r="G1445" i="55" s="1"/>
  <c r="G1446" i="55" s="1"/>
  <c r="G1447" i="55" s="1"/>
  <c r="G1448" i="55" s="1"/>
  <c r="G1449" i="55" s="1"/>
  <c r="G1450" i="55" s="1"/>
  <c r="G1451" i="55" s="1"/>
  <c r="G1452" i="55" s="1"/>
  <c r="G1453" i="55" s="1"/>
  <c r="G1454" i="55" s="1"/>
  <c r="G1455" i="55" s="1"/>
  <c r="G1456" i="55" s="1"/>
  <c r="G1457" i="55" s="1"/>
  <c r="G1458" i="55" s="1"/>
  <c r="G1459" i="55" s="1"/>
  <c r="G1460" i="55" s="1"/>
  <c r="G1461" i="55" s="1"/>
  <c r="G1462" i="55" s="1"/>
  <c r="G1463" i="55" s="1"/>
  <c r="G1464" i="55" s="1"/>
  <c r="G1465" i="55" s="1"/>
  <c r="G1466" i="55" s="1"/>
  <c r="G1467" i="55" s="1"/>
  <c r="G1468" i="55" s="1"/>
  <c r="G1469" i="55" s="1"/>
  <c r="G1470" i="55" s="1"/>
  <c r="G1471" i="55" s="1"/>
  <c r="G1472" i="55" s="1"/>
  <c r="G1473" i="55" s="1"/>
  <c r="G1474" i="55" s="1"/>
  <c r="G1475" i="55" s="1"/>
  <c r="G1476" i="55" s="1"/>
  <c r="G1477" i="55" s="1"/>
  <c r="G1478" i="55" s="1"/>
  <c r="G1479" i="55" s="1"/>
  <c r="G1480" i="55" s="1"/>
  <c r="G1481" i="55" s="1"/>
  <c r="G1482" i="55" s="1"/>
  <c r="G1483" i="55" s="1"/>
  <c r="G1484" i="55" s="1"/>
  <c r="G1485" i="55" s="1"/>
  <c r="G1486" i="55" s="1"/>
  <c r="G1487" i="55" s="1"/>
  <c r="G1488" i="55" s="1"/>
  <c r="G1489" i="55" s="1"/>
  <c r="G1490" i="55" s="1"/>
  <c r="G1491" i="55" s="1"/>
  <c r="G1492" i="55" s="1"/>
  <c r="G1493" i="55" s="1"/>
  <c r="G1494" i="55" s="1"/>
  <c r="G1495" i="55" s="1"/>
  <c r="G1496" i="55" s="1"/>
  <c r="G1497" i="55" s="1"/>
  <c r="G1498" i="55" s="1"/>
  <c r="G1499" i="55" s="1"/>
  <c r="G1500" i="55" s="1"/>
  <c r="G1501" i="55" s="1"/>
  <c r="G1502" i="55" s="1"/>
  <c r="G1503" i="55" s="1"/>
  <c r="G1504" i="55" s="1"/>
  <c r="G1505" i="55" s="1"/>
  <c r="G1506" i="55" s="1"/>
  <c r="G1507" i="55" s="1"/>
  <c r="G1508" i="55" s="1"/>
  <c r="G1509" i="55" s="1"/>
  <c r="G1510" i="55" s="1"/>
  <c r="G1511" i="55" s="1"/>
  <c r="G1512" i="55" s="1"/>
  <c r="G1513" i="55" s="1"/>
  <c r="G1514" i="55" s="1"/>
  <c r="G1515" i="55" s="1"/>
  <c r="G1516" i="55" s="1"/>
  <c r="G1517" i="55" s="1"/>
  <c r="G1518" i="55" s="1"/>
  <c r="G1519" i="55" s="1"/>
  <c r="G1520" i="55" s="1"/>
  <c r="G1521" i="55" s="1"/>
  <c r="G1522" i="55" s="1"/>
  <c r="G1523" i="55" s="1"/>
  <c r="G1524" i="55" s="1"/>
  <c r="G1525" i="55" s="1"/>
  <c r="G1526" i="55" s="1"/>
  <c r="G1527" i="55" s="1"/>
  <c r="G1528" i="55" s="1"/>
  <c r="G1529" i="55" s="1"/>
  <c r="G1530" i="55" s="1"/>
  <c r="G1531" i="55" s="1"/>
  <c r="G1532" i="55" s="1"/>
  <c r="G1533" i="55" s="1"/>
  <c r="G1534" i="55" s="1"/>
  <c r="G1535" i="55" s="1"/>
  <c r="G1536" i="55" s="1"/>
  <c r="G1537" i="55" s="1"/>
  <c r="G1538" i="55" s="1"/>
  <c r="G1539" i="55" s="1"/>
  <c r="G1540" i="55" s="1"/>
  <c r="G1541" i="55" s="1"/>
  <c r="G1542" i="55" s="1"/>
  <c r="G1543" i="55" s="1"/>
  <c r="G1544" i="55" s="1"/>
  <c r="G1545" i="55" s="1"/>
  <c r="G1546" i="55" s="1"/>
  <c r="G1547" i="55" s="1"/>
  <c r="G1548" i="55" s="1"/>
  <c r="G1549" i="55" s="1"/>
  <c r="G1550" i="55" s="1"/>
  <c r="G1551" i="55" s="1"/>
  <c r="G1552" i="55" s="1"/>
  <c r="G1553" i="55" s="1"/>
  <c r="G1554" i="55" s="1"/>
  <c r="G1555" i="55" s="1"/>
  <c r="G1556" i="55" s="1"/>
  <c r="G1557" i="55" s="1"/>
  <c r="G1558" i="55" s="1"/>
  <c r="G1559" i="55" s="1"/>
  <c r="G1560" i="55" s="1"/>
  <c r="G1561" i="55" s="1"/>
  <c r="G1562" i="55" s="1"/>
  <c r="G1563" i="55" s="1"/>
  <c r="G1564" i="55" s="1"/>
  <c r="G1565" i="55" s="1"/>
  <c r="G1566" i="55" s="1"/>
  <c r="G1567" i="55" s="1"/>
  <c r="G1568" i="55" s="1"/>
  <c r="G1569" i="55" s="1"/>
  <c r="G1570" i="55" s="1"/>
  <c r="G1571" i="55" s="1"/>
  <c r="G1572" i="55" s="1"/>
  <c r="G1573" i="55" s="1"/>
  <c r="G1574" i="55" s="1"/>
  <c r="G1575" i="55" s="1"/>
  <c r="G1576" i="55" s="1"/>
  <c r="G1577" i="55" s="1"/>
  <c r="G1578" i="55" s="1"/>
  <c r="G1579" i="55" s="1"/>
  <c r="G1580" i="55" s="1"/>
  <c r="G1581" i="55" s="1"/>
  <c r="G1582" i="55" s="1"/>
  <c r="G1583" i="55" s="1"/>
  <c r="G1584" i="55" s="1"/>
  <c r="G1585" i="55" s="1"/>
  <c r="G1586" i="55" s="1"/>
  <c r="G1587" i="55" s="1"/>
  <c r="G1588" i="55" s="1"/>
  <c r="G1589" i="55" s="1"/>
  <c r="G1590" i="55" s="1"/>
  <c r="G1591" i="55" s="1"/>
  <c r="G1592" i="55" s="1"/>
  <c r="G1593" i="55" s="1"/>
  <c r="G1594" i="55" s="1"/>
  <c r="G1595" i="55" s="1"/>
  <c r="G1596" i="55" s="1"/>
  <c r="G1597" i="55" s="1"/>
  <c r="G1598" i="55" s="1"/>
  <c r="G1599" i="55" s="1"/>
  <c r="G1600" i="55" s="1"/>
  <c r="G1601" i="55" s="1"/>
  <c r="G1602" i="55" s="1"/>
  <c r="G1603" i="55" s="1"/>
  <c r="G1604" i="55" s="1"/>
  <c r="G1605" i="55" s="1"/>
  <c r="G1606" i="55" s="1"/>
  <c r="G1607" i="55" s="1"/>
  <c r="G1608" i="55" s="1"/>
  <c r="G1609" i="55" s="1"/>
  <c r="G1610" i="55" s="1"/>
  <c r="G1611" i="55" s="1"/>
  <c r="G1612" i="55" s="1"/>
  <c r="G1613" i="55" s="1"/>
  <c r="G1614" i="55" s="1"/>
  <c r="G1615" i="55" s="1"/>
  <c r="G1616" i="55" s="1"/>
  <c r="G1617" i="55" s="1"/>
  <c r="G1618" i="55" s="1"/>
  <c r="G1619" i="55" s="1"/>
  <c r="G1620" i="55" s="1"/>
  <c r="G1621" i="55" s="1"/>
  <c r="G1622" i="55" s="1"/>
  <c r="G1623" i="55" s="1"/>
  <c r="G1624" i="55" s="1"/>
  <c r="G1625" i="55" s="1"/>
  <c r="G1626" i="55" s="1"/>
  <c r="G1627" i="55" s="1"/>
  <c r="G1628" i="55" s="1"/>
  <c r="G1629" i="55" s="1"/>
  <c r="G1630" i="55" s="1"/>
  <c r="G1631" i="55" s="1"/>
  <c r="G1632" i="55" s="1"/>
  <c r="G1633" i="55" s="1"/>
  <c r="G1634" i="55" s="1"/>
  <c r="G1635" i="55" s="1"/>
  <c r="G1636" i="55" s="1"/>
  <c r="G1637" i="55" s="1"/>
  <c r="G1638" i="55" s="1"/>
  <c r="G1639" i="55" s="1"/>
  <c r="G1640" i="55" s="1"/>
  <c r="G1641" i="55" s="1"/>
  <c r="G1642" i="55" s="1"/>
  <c r="G1643" i="55" s="1"/>
  <c r="G1644" i="55" s="1"/>
  <c r="G1645" i="55" s="1"/>
  <c r="G1646" i="55" s="1"/>
  <c r="G1647" i="55" s="1"/>
  <c r="G1648" i="55" s="1"/>
  <c r="G1649" i="55" s="1"/>
  <c r="G1650" i="55" s="1"/>
  <c r="G1651" i="55" s="1"/>
  <c r="G1652" i="55" s="1"/>
  <c r="G1653" i="55" s="1"/>
  <c r="G1654" i="55" s="1"/>
  <c r="G1655" i="55" s="1"/>
  <c r="G1656" i="55" s="1"/>
  <c r="G1657" i="55" s="1"/>
  <c r="G1658" i="55" s="1"/>
  <c r="G1659" i="55" s="1"/>
  <c r="G1660" i="55" s="1"/>
  <c r="G1661" i="55" s="1"/>
  <c r="G1662" i="55" s="1"/>
  <c r="G1663" i="55" s="1"/>
  <c r="G1664" i="55" s="1"/>
  <c r="G1665" i="55" s="1"/>
  <c r="G1666" i="55" s="1"/>
  <c r="G1667" i="55" s="1"/>
  <c r="G1668" i="55" s="1"/>
  <c r="G1669" i="55" s="1"/>
  <c r="G1670" i="55" s="1"/>
  <c r="G1671" i="55" s="1"/>
  <c r="G1672" i="55" s="1"/>
  <c r="G1673" i="55" s="1"/>
  <c r="G1674" i="55" s="1"/>
  <c r="G1675" i="55" s="1"/>
  <c r="G1676" i="55" s="1"/>
  <c r="G1677" i="55" s="1"/>
  <c r="G1678" i="55" s="1"/>
  <c r="G1679" i="55" s="1"/>
  <c r="G1680" i="55" s="1"/>
  <c r="G1681" i="55" s="1"/>
  <c r="G1682" i="55" s="1"/>
  <c r="G1683" i="55" s="1"/>
  <c r="G1684" i="55" s="1"/>
  <c r="G1685" i="55" s="1"/>
  <c r="G1686" i="55" s="1"/>
  <c r="G1687" i="55" s="1"/>
  <c r="G1688" i="55" s="1"/>
  <c r="G1689" i="55" s="1"/>
  <c r="G1690" i="55" s="1"/>
  <c r="G1691" i="55" s="1"/>
  <c r="G1692" i="55" s="1"/>
  <c r="G1693" i="55" s="1"/>
  <c r="G1694" i="55" s="1"/>
  <c r="G1695" i="55" s="1"/>
  <c r="G1696" i="55" s="1"/>
  <c r="G1697" i="55" s="1"/>
  <c r="G1698" i="55" s="1"/>
  <c r="G1699" i="55" s="1"/>
  <c r="G1700" i="55" s="1"/>
  <c r="G1701" i="55" s="1"/>
  <c r="G1702" i="55" s="1"/>
  <c r="G1703" i="55" s="1"/>
  <c r="G1704" i="55" s="1"/>
  <c r="G1705" i="55" s="1"/>
  <c r="G1706" i="55" s="1"/>
  <c r="G1707" i="55" s="1"/>
  <c r="G1708" i="55" s="1"/>
  <c r="G1709" i="55" s="1"/>
  <c r="G1710" i="55" s="1"/>
  <c r="G1711" i="55" s="1"/>
  <c r="G1712" i="55" s="1"/>
  <c r="G1713" i="55" s="1"/>
  <c r="G1714" i="55" s="1"/>
  <c r="G1715" i="55" s="1"/>
  <c r="G1716" i="55" s="1"/>
  <c r="G1717" i="55" s="1"/>
  <c r="G1718" i="55" s="1"/>
  <c r="G1719" i="55" s="1"/>
  <c r="G1720" i="55" s="1"/>
  <c r="G1721" i="55" s="1"/>
  <c r="G1722" i="55" s="1"/>
  <c r="G1723" i="55" s="1"/>
  <c r="G1724" i="55" s="1"/>
  <c r="G1725" i="55" s="1"/>
  <c r="G1726" i="55" s="1"/>
  <c r="G1727" i="55" s="1"/>
  <c r="G1728" i="55" s="1"/>
  <c r="G1729" i="55" s="1"/>
  <c r="G1730" i="55" s="1"/>
  <c r="G1731" i="55" s="1"/>
  <c r="G1732" i="55" s="1"/>
  <c r="G1733" i="55" s="1"/>
  <c r="G1734" i="55" s="1"/>
  <c r="G1735" i="55" s="1"/>
  <c r="G1736" i="55" s="1"/>
  <c r="G1737" i="55" s="1"/>
  <c r="G1738" i="55" s="1"/>
  <c r="G1739" i="55" s="1"/>
  <c r="G1740" i="55" s="1"/>
  <c r="G1741" i="55" s="1"/>
  <c r="G1742" i="55" s="1"/>
  <c r="G1743" i="55" s="1"/>
  <c r="G1744" i="55" s="1"/>
  <c r="G1745" i="55" s="1"/>
  <c r="G1746" i="55" s="1"/>
  <c r="G1747" i="55" s="1"/>
  <c r="G1748" i="55" s="1"/>
  <c r="G1749" i="55" s="1"/>
  <c r="G1750" i="55" s="1"/>
  <c r="G1751" i="55" s="1"/>
  <c r="G1752" i="55" s="1"/>
  <c r="G1753" i="55" s="1"/>
  <c r="G1754" i="55" s="1"/>
  <c r="G1755" i="55" s="1"/>
  <c r="G1756" i="55" s="1"/>
  <c r="G1757" i="55" s="1"/>
  <c r="G1758" i="55" s="1"/>
  <c r="G1759" i="55" s="1"/>
  <c r="G1760" i="55" s="1"/>
  <c r="G1761" i="55" s="1"/>
  <c r="G1762" i="55" s="1"/>
  <c r="G1763" i="55" s="1"/>
  <c r="G1764" i="55" s="1"/>
  <c r="G1765" i="55" s="1"/>
  <c r="G1766" i="55" s="1"/>
  <c r="G1767" i="55" s="1"/>
  <c r="G1768" i="55" s="1"/>
  <c r="G1769" i="55" s="1"/>
  <c r="G1770" i="55" s="1"/>
  <c r="G1771" i="55" s="1"/>
  <c r="G1772" i="55" s="1"/>
  <c r="G1773" i="55" s="1"/>
  <c r="G1774" i="55" s="1"/>
  <c r="G1775" i="55" s="1"/>
  <c r="G1776" i="55" s="1"/>
  <c r="G1777" i="55" s="1"/>
  <c r="G1778" i="55" s="1"/>
  <c r="G1779" i="55" s="1"/>
  <c r="G1780" i="55" s="1"/>
  <c r="G1781" i="55" s="1"/>
  <c r="G1782" i="55" s="1"/>
  <c r="G1783" i="55" s="1"/>
  <c r="G1784" i="55" s="1"/>
  <c r="G1785" i="55" s="1"/>
  <c r="G1786" i="55" s="1"/>
  <c r="G1787" i="55" s="1"/>
  <c r="G1788" i="55" s="1"/>
  <c r="G1789" i="55" s="1"/>
  <c r="G1790" i="55" s="1"/>
  <c r="G1791" i="55" s="1"/>
  <c r="G1792" i="55" s="1"/>
  <c r="G1793" i="55" s="1"/>
  <c r="G1794" i="55" s="1"/>
  <c r="G1795" i="55" s="1"/>
  <c r="G1796" i="55" s="1"/>
  <c r="G1797" i="55" s="1"/>
  <c r="G1798" i="55" s="1"/>
  <c r="G1799" i="55" s="1"/>
  <c r="G1800" i="55" s="1"/>
  <c r="G1801" i="55" s="1"/>
  <c r="G1802" i="55" s="1"/>
  <c r="G1803" i="55" s="1"/>
  <c r="G1804" i="55" s="1"/>
  <c r="G1805" i="55" s="1"/>
  <c r="G1806" i="55" s="1"/>
  <c r="G1807" i="55" s="1"/>
  <c r="G1808" i="55" s="1"/>
  <c r="G1809" i="55" s="1"/>
  <c r="G1810" i="55" s="1"/>
  <c r="G1811" i="55" s="1"/>
  <c r="G1812" i="55" s="1"/>
  <c r="G1813" i="55" s="1"/>
  <c r="G1814" i="55" s="1"/>
  <c r="G1815" i="55" s="1"/>
  <c r="G1816" i="55" s="1"/>
  <c r="G1817" i="55" s="1"/>
  <c r="G1818" i="55" s="1"/>
  <c r="G1819" i="55" s="1"/>
  <c r="G1820" i="55" s="1"/>
  <c r="G1821" i="55" s="1"/>
  <c r="G1822" i="55" s="1"/>
  <c r="G1823" i="55" s="1"/>
  <c r="G1824" i="55" s="1"/>
  <c r="G1825" i="55" s="1"/>
  <c r="G1826" i="55" s="1"/>
  <c r="G1827" i="55" s="1"/>
  <c r="G1828" i="55" s="1"/>
  <c r="G1829" i="55" s="1"/>
  <c r="G1830" i="55" s="1"/>
  <c r="G1831" i="55" s="1"/>
  <c r="G1832" i="55" s="1"/>
  <c r="G1833" i="55" s="1"/>
  <c r="G1834" i="55" s="1"/>
  <c r="G1835" i="55" s="1"/>
  <c r="G1836" i="55" s="1"/>
  <c r="G1837" i="55" s="1"/>
  <c r="G1838" i="55" s="1"/>
  <c r="G1839" i="55" s="1"/>
  <c r="G1840" i="55" s="1"/>
  <c r="G1841" i="55" s="1"/>
  <c r="G1842" i="55" s="1"/>
  <c r="G1843" i="55" s="1"/>
  <c r="G1844" i="55" s="1"/>
  <c r="G1845" i="55" s="1"/>
  <c r="G1846" i="55" s="1"/>
  <c r="G1847" i="55" s="1"/>
  <c r="G1848" i="55" s="1"/>
  <c r="G1849" i="55" s="1"/>
  <c r="G1850" i="55" s="1"/>
  <c r="G1851" i="55" s="1"/>
  <c r="G1852" i="55" s="1"/>
  <c r="G1853" i="55" s="1"/>
  <c r="G1854" i="55" s="1"/>
  <c r="G1855" i="55" s="1"/>
  <c r="G1856" i="55" s="1"/>
  <c r="G1857" i="55" s="1"/>
  <c r="G1858" i="55" s="1"/>
  <c r="G1859" i="55" s="1"/>
  <c r="G1860" i="55" s="1"/>
  <c r="G1861" i="55" s="1"/>
  <c r="G1862" i="55" s="1"/>
  <c r="G1863" i="55" s="1"/>
  <c r="G1864" i="55" s="1"/>
  <c r="G1865" i="55" s="1"/>
  <c r="G1866" i="55" s="1"/>
  <c r="G1867" i="55" s="1"/>
  <c r="G1868" i="55" s="1"/>
  <c r="G1869" i="55" s="1"/>
  <c r="G1870" i="55" s="1"/>
  <c r="G1871" i="55" s="1"/>
  <c r="G1872" i="55" s="1"/>
  <c r="G1873" i="55" s="1"/>
  <c r="G1874" i="55" s="1"/>
  <c r="G1875" i="55" s="1"/>
  <c r="G1876" i="55" s="1"/>
  <c r="G1877" i="55" s="1"/>
  <c r="G1878" i="55" s="1"/>
  <c r="G1879" i="55" s="1"/>
  <c r="G1880" i="55" s="1"/>
  <c r="G1881" i="55" s="1"/>
  <c r="G1882" i="55" s="1"/>
  <c r="G1883" i="55" s="1"/>
  <c r="G1884" i="55" s="1"/>
  <c r="G1885" i="55" s="1"/>
  <c r="G1886" i="55" s="1"/>
  <c r="G1887" i="55" s="1"/>
  <c r="G1888" i="55" s="1"/>
  <c r="G1889" i="55" s="1"/>
  <c r="G1890" i="55" s="1"/>
  <c r="G1891" i="55" s="1"/>
  <c r="G1892" i="55" s="1"/>
  <c r="G1893" i="55" s="1"/>
  <c r="G1894" i="55" s="1"/>
  <c r="G1895" i="55" s="1"/>
  <c r="G1896" i="55" s="1"/>
  <c r="G1897" i="55" s="1"/>
  <c r="G1898" i="55" s="1"/>
  <c r="G1899" i="55" s="1"/>
  <c r="G1900" i="55" s="1"/>
  <c r="G1901" i="55" s="1"/>
  <c r="G1902" i="55" s="1"/>
  <c r="G1903" i="55" s="1"/>
  <c r="G1904" i="55" s="1"/>
  <c r="G1905" i="55" s="1"/>
  <c r="G1906" i="55" s="1"/>
  <c r="G1907" i="55" s="1"/>
  <c r="G1908" i="55" s="1"/>
  <c r="G1909" i="55" s="1"/>
  <c r="G1910" i="55" s="1"/>
  <c r="G1911" i="55" s="1"/>
  <c r="G1912" i="55" s="1"/>
  <c r="G1913" i="55" s="1"/>
  <c r="G1914" i="55" s="1"/>
  <c r="G1915" i="55" s="1"/>
  <c r="G1916" i="55" s="1"/>
  <c r="G1917" i="55" s="1"/>
  <c r="G1918" i="55" s="1"/>
  <c r="G1919" i="55" s="1"/>
  <c r="G1920" i="55" s="1"/>
  <c r="G1921" i="55" s="1"/>
  <c r="G1922" i="55" s="1"/>
  <c r="G1923" i="55" s="1"/>
  <c r="G1924" i="55" s="1"/>
  <c r="G1925" i="55" s="1"/>
  <c r="G1926" i="55" s="1"/>
  <c r="G1927" i="55" s="1"/>
  <c r="G1928" i="55" s="1"/>
  <c r="G1929" i="55" s="1"/>
  <c r="G1930" i="55" s="1"/>
  <c r="G1931" i="55" s="1"/>
  <c r="G1932" i="55" s="1"/>
  <c r="G1933" i="55" s="1"/>
  <c r="G1934" i="55" s="1"/>
  <c r="G1935" i="55" s="1"/>
  <c r="G1936" i="55" s="1"/>
  <c r="G1937" i="55" s="1"/>
  <c r="G1938" i="55" s="1"/>
  <c r="G1939" i="55" s="1"/>
  <c r="G1940" i="55" s="1"/>
  <c r="G1941" i="55" s="1"/>
  <c r="G1942" i="55" s="1"/>
  <c r="G1943" i="55" s="1"/>
  <c r="G1944" i="55" s="1"/>
  <c r="G1945" i="55" s="1"/>
  <c r="G1946" i="55" s="1"/>
  <c r="G1947" i="55" s="1"/>
  <c r="G1948" i="55" s="1"/>
  <c r="G1949" i="55" s="1"/>
  <c r="G1950" i="55" s="1"/>
  <c r="G1951" i="55" s="1"/>
  <c r="G1952" i="55" s="1"/>
  <c r="G1953" i="55" s="1"/>
  <c r="G1954" i="55" s="1"/>
  <c r="G1955" i="55" s="1"/>
  <c r="G1956" i="55" s="1"/>
  <c r="G1957" i="55" s="1"/>
  <c r="G1958" i="55" s="1"/>
  <c r="G1959" i="55" s="1"/>
  <c r="G1960" i="55" s="1"/>
  <c r="G1961" i="55" s="1"/>
  <c r="G1962" i="55" s="1"/>
  <c r="G1963" i="55" s="1"/>
  <c r="G1964" i="55" s="1"/>
  <c r="G1965" i="55" s="1"/>
  <c r="G1966" i="55" s="1"/>
  <c r="G1967" i="55" s="1"/>
  <c r="G1968" i="55" s="1"/>
  <c r="G1969" i="55" s="1"/>
  <c r="G1970" i="55" s="1"/>
  <c r="G1971" i="55" s="1"/>
  <c r="G1972" i="55" s="1"/>
  <c r="G1973" i="55" s="1"/>
  <c r="G1974" i="55" s="1"/>
  <c r="G1975" i="55" s="1"/>
  <c r="G1976" i="55" s="1"/>
  <c r="G1977" i="55" s="1"/>
  <c r="G1978" i="55" s="1"/>
  <c r="G1979" i="55" s="1"/>
  <c r="G1980" i="55" s="1"/>
  <c r="G1981" i="55" s="1"/>
  <c r="G1982" i="55" s="1"/>
  <c r="G1983" i="55" s="1"/>
  <c r="G1984" i="55" s="1"/>
  <c r="G1985" i="55" s="1"/>
  <c r="G1986" i="55" s="1"/>
  <c r="G1987" i="55" s="1"/>
  <c r="G1988" i="55" s="1"/>
  <c r="G1989" i="55" s="1"/>
  <c r="G1990" i="55" s="1"/>
  <c r="G1991" i="55" s="1"/>
  <c r="G1992" i="55" s="1"/>
  <c r="G1993" i="55" s="1"/>
  <c r="G1994" i="55" s="1"/>
  <c r="G1995" i="55" s="1"/>
  <c r="G1996" i="55" s="1"/>
  <c r="G1997" i="55" s="1"/>
  <c r="G1998" i="55" s="1"/>
  <c r="G1999" i="55" s="1"/>
  <c r="G2000" i="55" s="1"/>
  <c r="G2001" i="55" s="1"/>
  <c r="G2002" i="55" s="1"/>
  <c r="G2003" i="55" s="1"/>
  <c r="G2004" i="55" s="1"/>
  <c r="G2005" i="55" s="1"/>
  <c r="G2006" i="55" s="1"/>
  <c r="G2007" i="55" s="1"/>
  <c r="G2008" i="55" s="1"/>
  <c r="G2009" i="55" s="1"/>
  <c r="G2010" i="55" s="1"/>
  <c r="G2011" i="55" s="1"/>
  <c r="G2012" i="55" s="1"/>
  <c r="G2013" i="55" s="1"/>
  <c r="G2014" i="55" s="1"/>
  <c r="G2015" i="55" s="1"/>
  <c r="G2016" i="55" s="1"/>
  <c r="G2017" i="55" s="1"/>
  <c r="G2018" i="55" s="1"/>
  <c r="G2019" i="55" s="1"/>
  <c r="G2020" i="55" s="1"/>
  <c r="G2021" i="55" s="1"/>
  <c r="G2022" i="55" s="1"/>
  <c r="G2023" i="55" s="1"/>
  <c r="G2024" i="55" s="1"/>
  <c r="G2025" i="55" s="1"/>
  <c r="G2026" i="55" s="1"/>
  <c r="G2027" i="55" s="1"/>
  <c r="G2028" i="55" s="1"/>
  <c r="G2029" i="55" s="1"/>
  <c r="G2030" i="55" s="1"/>
  <c r="G2031" i="55" s="1"/>
  <c r="G2032" i="55" s="1"/>
  <c r="G2033" i="55" s="1"/>
  <c r="G2034" i="55" s="1"/>
  <c r="G2035" i="55" s="1"/>
  <c r="G2036" i="55" s="1"/>
  <c r="G2037" i="55" s="1"/>
  <c r="G2038" i="55" s="1"/>
  <c r="G2039" i="55" s="1"/>
  <c r="G2040" i="55" s="1"/>
  <c r="G2041" i="55" s="1"/>
  <c r="G2042" i="55" s="1"/>
  <c r="G2043" i="55" s="1"/>
  <c r="G2044" i="55" s="1"/>
  <c r="G2045" i="55" s="1"/>
  <c r="G2046" i="55" s="1"/>
  <c r="G2047" i="55" s="1"/>
  <c r="G2048" i="55" s="1"/>
  <c r="G2049" i="55" s="1"/>
  <c r="G2050" i="55" s="1"/>
  <c r="G2051" i="55" s="1"/>
  <c r="G2052" i="55" s="1"/>
  <c r="G2053" i="55" s="1"/>
  <c r="G2054" i="55" s="1"/>
  <c r="G2055" i="55" s="1"/>
  <c r="G2056" i="55" s="1"/>
  <c r="G2057" i="55" s="1"/>
  <c r="G2058" i="55" s="1"/>
  <c r="G2059" i="55" s="1"/>
  <c r="G2060" i="55" s="1"/>
  <c r="G2061" i="55" s="1"/>
  <c r="G2062" i="55" s="1"/>
  <c r="G2063" i="55" s="1"/>
  <c r="G2064" i="55" s="1"/>
  <c r="G2065" i="55" s="1"/>
  <c r="G2066" i="55" s="1"/>
  <c r="G2067" i="55" s="1"/>
  <c r="G2068" i="55" s="1"/>
  <c r="G2069" i="55" s="1"/>
  <c r="G2070" i="55" s="1"/>
  <c r="G2071" i="55" s="1"/>
  <c r="G2072" i="55" s="1"/>
  <c r="G2073" i="55" s="1"/>
  <c r="G2074" i="55" s="1"/>
  <c r="G2075" i="55" s="1"/>
  <c r="G2076" i="55" s="1"/>
  <c r="G2077" i="55" s="1"/>
  <c r="G2078" i="55" s="1"/>
  <c r="G2079" i="55" s="1"/>
  <c r="G2080" i="55" s="1"/>
  <c r="G2081" i="55" s="1"/>
  <c r="G2082" i="55" s="1"/>
  <c r="G2083" i="55" s="1"/>
  <c r="G2084" i="55" s="1"/>
  <c r="G2085" i="55" s="1"/>
  <c r="G2086" i="55" s="1"/>
  <c r="G2087" i="55" s="1"/>
  <c r="G2088" i="55" s="1"/>
  <c r="G2089" i="55" s="1"/>
  <c r="G2090" i="55" s="1"/>
  <c r="G2091" i="55" s="1"/>
  <c r="G2092" i="55" s="1"/>
  <c r="G2093" i="55" s="1"/>
  <c r="G2094" i="55" s="1"/>
  <c r="G2095" i="55" s="1"/>
  <c r="G2096" i="55" s="1"/>
  <c r="G2097" i="55" s="1"/>
  <c r="G2098" i="55" s="1"/>
  <c r="G2099" i="55" s="1"/>
  <c r="G2100" i="55" s="1"/>
  <c r="G2101" i="55" s="1"/>
  <c r="G2102" i="55" s="1"/>
  <c r="G2103" i="55" s="1"/>
  <c r="G2104" i="55" s="1"/>
  <c r="BH1906" i="54"/>
  <c r="BG1906" i="54"/>
  <c r="BF1902" i="54"/>
  <c r="BB1906" i="54"/>
  <c r="BA1906" i="54"/>
  <c r="AZ1902" i="54"/>
  <c r="AV1906" i="54"/>
  <c r="AU1906" i="54"/>
  <c r="AT1902" i="54"/>
  <c r="AP1906" i="54"/>
  <c r="AO1906" i="54"/>
  <c r="AN1902" i="54"/>
  <c r="AJ1906" i="54"/>
  <c r="AI1906" i="54"/>
  <c r="AH1902" i="54"/>
  <c r="AD1906" i="54"/>
  <c r="AC1906" i="54"/>
  <c r="AB1902" i="54"/>
  <c r="X1906" i="54"/>
  <c r="W1906" i="54"/>
  <c r="V1902" i="54"/>
  <c r="R1906" i="54"/>
  <c r="Q1906" i="54"/>
  <c r="P1902" i="54"/>
  <c r="L1906" i="54"/>
  <c r="K1906" i="54"/>
  <c r="J1902" i="54"/>
  <c r="D1902" i="54"/>
  <c r="F1906" i="54"/>
  <c r="E1906" i="54"/>
  <c r="E1963" i="54"/>
  <c r="E1949" i="54"/>
  <c r="L1935" i="54"/>
  <c r="K1935" i="54"/>
  <c r="F1935" i="54"/>
  <c r="E1935" i="54"/>
  <c r="AJ1921" i="54"/>
  <c r="AI1921" i="54"/>
  <c r="AD1921" i="54"/>
  <c r="AC1921" i="54"/>
  <c r="X1921" i="54"/>
  <c r="W1921" i="54"/>
  <c r="R1921" i="54"/>
  <c r="Q1921" i="54"/>
  <c r="L1921" i="54"/>
  <c r="K1921" i="54"/>
  <c r="F1921" i="54"/>
  <c r="E1921" i="54"/>
  <c r="F1893" i="54"/>
  <c r="F1879" i="54"/>
  <c r="F1865" i="54"/>
  <c r="F1851" i="54"/>
  <c r="F1837" i="54"/>
  <c r="F1823" i="54"/>
  <c r="AD1809" i="54"/>
  <c r="X1809" i="54"/>
  <c r="R1809" i="54"/>
  <c r="L1809" i="54"/>
  <c r="F1809" i="54"/>
  <c r="F1795" i="54"/>
  <c r="L1781" i="54"/>
  <c r="F1781" i="54"/>
  <c r="F1767" i="54"/>
  <c r="AD1753" i="54"/>
  <c r="X1753" i="54"/>
  <c r="R1753" i="54"/>
  <c r="L1753" i="54"/>
  <c r="F1753" i="54"/>
  <c r="R1739" i="54"/>
  <c r="L1739" i="54"/>
  <c r="F1739" i="54"/>
  <c r="AD1725" i="54"/>
  <c r="X1725" i="54"/>
  <c r="R1725" i="54"/>
  <c r="L1725" i="54"/>
  <c r="F1725" i="54"/>
  <c r="F1711" i="54"/>
  <c r="L1697" i="54"/>
  <c r="F1697" i="54"/>
  <c r="F1683" i="54"/>
  <c r="K1669" i="54"/>
  <c r="E1669" i="54"/>
  <c r="F1655" i="54"/>
  <c r="AO1627" i="54"/>
  <c r="AI1627" i="54"/>
  <c r="AC1627" i="54"/>
  <c r="W1627" i="54"/>
  <c r="Q1627" i="54"/>
  <c r="K1627" i="54"/>
  <c r="E1627" i="54"/>
  <c r="L1613" i="54"/>
  <c r="F1613" i="54"/>
  <c r="L1599" i="54"/>
  <c r="K1599" i="54"/>
  <c r="F1599" i="54"/>
  <c r="E1599" i="54"/>
  <c r="AD1585" i="54"/>
  <c r="X1585" i="54"/>
  <c r="R1585" i="54"/>
  <c r="L1585" i="54"/>
  <c r="F1585" i="54"/>
  <c r="AD1571" i="54"/>
  <c r="X1571" i="54"/>
  <c r="R1571" i="54"/>
  <c r="L1571" i="54"/>
  <c r="F1571" i="54"/>
  <c r="E1557" i="54"/>
  <c r="E1543" i="54"/>
  <c r="E1529" i="54"/>
  <c r="AC1515" i="54"/>
  <c r="W1515" i="54"/>
  <c r="Q1515" i="54"/>
  <c r="K1515" i="54"/>
  <c r="E1515" i="54"/>
  <c r="E1501" i="54"/>
  <c r="E1487" i="54"/>
  <c r="E1473" i="54"/>
  <c r="E1459" i="54"/>
  <c r="AP1445" i="54"/>
  <c r="AO1445" i="54"/>
  <c r="AI1445" i="54"/>
  <c r="AC1445" i="54"/>
  <c r="W1445" i="54"/>
  <c r="Q1445" i="54"/>
  <c r="K1445" i="54"/>
  <c r="E1445" i="54"/>
  <c r="E1431" i="54"/>
  <c r="W1417" i="54"/>
  <c r="Q1417" i="54"/>
  <c r="K1417" i="54"/>
  <c r="E1417" i="54"/>
  <c r="AC1403" i="54"/>
  <c r="W1403" i="54"/>
  <c r="Q1403" i="54"/>
  <c r="K1403" i="54"/>
  <c r="E1403" i="54"/>
  <c r="E1389" i="54"/>
  <c r="K1375" i="54"/>
  <c r="E1375" i="54"/>
  <c r="E1361" i="54"/>
  <c r="K1347" i="54"/>
  <c r="E1347" i="54" l="1"/>
  <c r="K1333" i="54"/>
  <c r="E1333" i="54"/>
  <c r="K1319" i="54"/>
  <c r="E1319" i="54"/>
  <c r="E1305" i="54"/>
  <c r="E1291" i="54"/>
  <c r="E1277" i="54"/>
  <c r="W1263" i="54"/>
  <c r="Q1263" i="54"/>
  <c r="K1263" i="54"/>
  <c r="E1263" i="54"/>
  <c r="Q1249" i="54"/>
  <c r="K1249" i="54"/>
  <c r="E1249" i="54"/>
  <c r="AO1235" i="54"/>
  <c r="AI1235" i="54"/>
  <c r="AC1235" i="54"/>
  <c r="W1235" i="54"/>
  <c r="Q1235" i="54"/>
  <c r="K1235" i="54"/>
  <c r="E1235" i="54"/>
  <c r="AC1221" i="54"/>
  <c r="W1221" i="54"/>
  <c r="Q1221" i="54"/>
  <c r="K1221" i="54"/>
  <c r="E1221" i="54"/>
  <c r="K1207" i="54"/>
  <c r="E1207" i="54"/>
  <c r="E1193" i="54"/>
  <c r="Q1179" i="54"/>
  <c r="K1179" i="54"/>
  <c r="E1179" i="54"/>
  <c r="W1165" i="54"/>
  <c r="Q1165" i="54"/>
  <c r="K1165" i="54"/>
  <c r="E1165" i="54"/>
  <c r="E1151" i="54"/>
  <c r="K1137" i="54"/>
  <c r="E1137" i="54"/>
  <c r="E1123" i="54"/>
  <c r="L1109" i="54"/>
  <c r="K1109" i="54"/>
  <c r="E1109" i="54"/>
  <c r="Q1039" i="54"/>
  <c r="K1039" i="54"/>
  <c r="E1039" i="54"/>
  <c r="K1025" i="54"/>
  <c r="E1025" i="54"/>
  <c r="Q1011" i="54"/>
  <c r="K1011" i="54"/>
  <c r="E1011" i="54"/>
  <c r="W997" i="54"/>
  <c r="Q997" i="54"/>
  <c r="K997" i="54"/>
  <c r="E997" i="54"/>
  <c r="AD983" i="54"/>
  <c r="AC983" i="54"/>
  <c r="X983" i="54"/>
  <c r="W983" i="54"/>
  <c r="R983" i="54"/>
  <c r="Q983" i="54"/>
  <c r="L983" i="54"/>
  <c r="K983" i="54"/>
  <c r="E983" i="54"/>
  <c r="L941" i="54"/>
  <c r="F941" i="54"/>
  <c r="F927" i="54"/>
  <c r="F913" i="54"/>
  <c r="F899" i="54"/>
  <c r="F871" i="54"/>
  <c r="X857" i="54"/>
  <c r="R857" i="54"/>
  <c r="L857" i="54"/>
  <c r="F857" i="54"/>
  <c r="F843" i="54"/>
  <c r="L829" i="54"/>
  <c r="F829" i="54"/>
  <c r="X815" i="54"/>
  <c r="L815" i="54"/>
  <c r="K815" i="54"/>
  <c r="L801" i="54"/>
  <c r="F801" i="54"/>
  <c r="F787" i="54"/>
  <c r="E787" i="54"/>
  <c r="R773" i="54"/>
  <c r="Q773" i="54"/>
  <c r="L773" i="54"/>
  <c r="K773" i="54"/>
  <c r="F773" i="54"/>
  <c r="E773" i="54"/>
  <c r="R759" i="54"/>
  <c r="Q759" i="54"/>
  <c r="L759" i="54"/>
  <c r="K759" i="54"/>
  <c r="F759" i="54"/>
  <c r="E759" i="54"/>
  <c r="E745" i="54"/>
  <c r="F731" i="54"/>
  <c r="E731" i="54"/>
  <c r="L717" i="54"/>
  <c r="K717" i="54"/>
  <c r="F717" i="54"/>
  <c r="E717" i="54"/>
  <c r="L703" i="54"/>
  <c r="K703" i="54"/>
  <c r="F703" i="54"/>
  <c r="E703" i="54"/>
  <c r="L689" i="54"/>
  <c r="K689" i="54"/>
  <c r="E689" i="54"/>
  <c r="F675" i="54"/>
  <c r="E675" i="54"/>
  <c r="X661" i="54"/>
  <c r="W661" i="54"/>
  <c r="R661" i="54"/>
  <c r="Q661" i="54"/>
  <c r="L661" i="54"/>
  <c r="K661" i="54"/>
  <c r="F661" i="54"/>
  <c r="E661" i="54"/>
  <c r="L647" i="54"/>
  <c r="K647" i="54"/>
  <c r="F647" i="54"/>
  <c r="E647" i="54"/>
  <c r="L633" i="54"/>
  <c r="K633" i="54"/>
  <c r="F633" i="54"/>
  <c r="E633" i="54"/>
  <c r="F619" i="54"/>
  <c r="E619" i="54"/>
  <c r="L605" i="54"/>
  <c r="K605" i="54"/>
  <c r="F605" i="54"/>
  <c r="E605" i="54"/>
  <c r="R591" i="54"/>
  <c r="Q591" i="54"/>
  <c r="L591" i="54"/>
  <c r="K591" i="54"/>
  <c r="F591" i="54"/>
  <c r="E591" i="54"/>
  <c r="AO577" i="54"/>
  <c r="AI577" i="54"/>
  <c r="AC577" i="54"/>
  <c r="W577" i="54"/>
  <c r="Q577" i="54"/>
  <c r="K577" i="54"/>
  <c r="E577" i="54"/>
  <c r="AC563" i="54"/>
  <c r="W563" i="54"/>
  <c r="Q563" i="54"/>
  <c r="K563" i="54"/>
  <c r="E563" i="54"/>
  <c r="K549" i="54"/>
  <c r="E549" i="54"/>
  <c r="W535" i="54"/>
  <c r="Q535" i="54"/>
  <c r="K535" i="54"/>
  <c r="E535" i="54"/>
  <c r="K521" i="54"/>
  <c r="E521" i="54"/>
  <c r="K507" i="54"/>
  <c r="E507" i="54"/>
  <c r="E493" i="54"/>
  <c r="W479" i="54"/>
  <c r="Q479" i="54"/>
  <c r="K479" i="54"/>
  <c r="E479" i="54"/>
  <c r="E465" i="54"/>
  <c r="AV451" i="54"/>
  <c r="AU451" i="54"/>
  <c r="AP451" i="54"/>
  <c r="AO451" i="54"/>
  <c r="AJ451" i="54"/>
  <c r="AI451" i="54"/>
  <c r="AD451" i="54"/>
  <c r="AC451" i="54"/>
  <c r="X451" i="54"/>
  <c r="W451" i="54"/>
  <c r="R451" i="54"/>
  <c r="Q451" i="54"/>
  <c r="L451" i="54"/>
  <c r="K451" i="54"/>
  <c r="F451" i="54"/>
  <c r="E451" i="54"/>
  <c r="L437" i="54"/>
  <c r="K437" i="54"/>
  <c r="F437" i="54"/>
  <c r="E437" i="54"/>
  <c r="F423" i="54"/>
  <c r="E423" i="54"/>
  <c r="E409" i="54"/>
  <c r="E395" i="54"/>
  <c r="E381" i="54"/>
  <c r="W367" i="54"/>
  <c r="Q367" i="54"/>
  <c r="K367" i="54"/>
  <c r="E367" i="54"/>
  <c r="E353" i="54"/>
  <c r="E339" i="54"/>
  <c r="E325" i="54"/>
  <c r="E311" i="54"/>
  <c r="E297" i="54"/>
  <c r="E283" i="54"/>
  <c r="E269" i="54"/>
  <c r="E255" i="54"/>
  <c r="K241" i="54"/>
  <c r="E241" i="54"/>
  <c r="E227" i="54"/>
  <c r="E213" i="54"/>
  <c r="K199" i="54"/>
  <c r="E199" i="54"/>
  <c r="E185" i="54"/>
  <c r="E171" i="54"/>
  <c r="E157" i="54"/>
  <c r="E143" i="54"/>
  <c r="E129" i="54"/>
  <c r="E115" i="54"/>
  <c r="F101" i="54"/>
  <c r="E101" i="54"/>
  <c r="F87" i="54"/>
  <c r="E87" i="54"/>
  <c r="F73" i="54"/>
  <c r="E73" i="54"/>
  <c r="L59" i="54"/>
  <c r="K59" i="54"/>
  <c r="F59" i="54"/>
  <c r="E59" i="54"/>
  <c r="E45" i="54"/>
  <c r="E17" i="54"/>
  <c r="F1962" i="54"/>
  <c r="D1958" i="54"/>
  <c r="F1948" i="54"/>
  <c r="D1944" i="54"/>
  <c r="L1934" i="54"/>
  <c r="K1934" i="54"/>
  <c r="F1934" i="54"/>
  <c r="E1934" i="54"/>
  <c r="J1930" i="54"/>
  <c r="D1930" i="54"/>
  <c r="AJ1920" i="54"/>
  <c r="AI1920" i="54"/>
  <c r="AD1920" i="54"/>
  <c r="AC1920" i="54"/>
  <c r="X1920" i="54"/>
  <c r="W1920" i="54"/>
  <c r="R1920" i="54"/>
  <c r="Q1920" i="54"/>
  <c r="L1920" i="54"/>
  <c r="K1920" i="54"/>
  <c r="F1920" i="54"/>
  <c r="E1920" i="54"/>
  <c r="AH1916" i="54"/>
  <c r="AB1916" i="54"/>
  <c r="V1916" i="54"/>
  <c r="P1916" i="54"/>
  <c r="J1916" i="54"/>
  <c r="D1916" i="54"/>
  <c r="E1892" i="54"/>
  <c r="D1888" i="54"/>
  <c r="E1878" i="54"/>
  <c r="D1874" i="54"/>
  <c r="E1864" i="54"/>
  <c r="D1860" i="54"/>
  <c r="E1850" i="54"/>
  <c r="D1846" i="54"/>
  <c r="E1836" i="54"/>
  <c r="D1832" i="54"/>
  <c r="E1822" i="54"/>
  <c r="D1818" i="54"/>
  <c r="AC1808" i="54"/>
  <c r="W1808" i="54"/>
  <c r="Q1808" i="54"/>
  <c r="K1808" i="54"/>
  <c r="E1808" i="54"/>
  <c r="AB1804" i="54"/>
  <c r="V1804" i="54"/>
  <c r="P1804" i="54"/>
  <c r="J1804" i="54"/>
  <c r="D1804" i="54"/>
  <c r="E1794" i="54"/>
  <c r="D1790" i="54"/>
  <c r="K1780" i="54"/>
  <c r="E1780" i="54"/>
  <c r="J1776" i="54"/>
  <c r="D1776" i="54"/>
  <c r="E1766" i="54"/>
  <c r="D1762" i="54"/>
  <c r="AC1752" i="54"/>
  <c r="W1752" i="54"/>
  <c r="Q1752" i="54"/>
  <c r="K1752" i="54"/>
  <c r="E1752" i="54"/>
  <c r="AB1748" i="54"/>
  <c r="V1748" i="54"/>
  <c r="P1748" i="54"/>
  <c r="J1748" i="54"/>
  <c r="D1748" i="54"/>
  <c r="Q1738" i="54"/>
  <c r="K1738" i="54"/>
  <c r="E1738" i="54"/>
  <c r="P1734" i="54"/>
  <c r="J1734" i="54"/>
  <c r="D1734" i="54"/>
  <c r="AC1724" i="54"/>
  <c r="W1724" i="54"/>
  <c r="Q1724" i="54"/>
  <c r="K1724" i="54"/>
  <c r="E1724" i="54"/>
  <c r="AB1720" i="54"/>
  <c r="V1720" i="54"/>
  <c r="P1720" i="54"/>
  <c r="J1720" i="54"/>
  <c r="D1720" i="54"/>
  <c r="E1710" i="54"/>
  <c r="D1706" i="54"/>
  <c r="K1696" i="54"/>
  <c r="E1696" i="54"/>
  <c r="J1692" i="54"/>
  <c r="D1692" i="54"/>
  <c r="E1682" i="54"/>
  <c r="D1678" i="54"/>
  <c r="L1668" i="54"/>
  <c r="F1668" i="54"/>
  <c r="J1664" i="54"/>
  <c r="D1664" i="54"/>
  <c r="E1654" i="54"/>
  <c r="D1650" i="54"/>
  <c r="F1640" i="54"/>
  <c r="E1640" i="54"/>
  <c r="D1636" i="54"/>
  <c r="AO1626" i="54"/>
  <c r="AI1626" i="54"/>
  <c r="AC1626" i="54"/>
  <c r="W1626" i="54"/>
  <c r="Q1626" i="54"/>
  <c r="K1626" i="54"/>
  <c r="E1626" i="54"/>
  <c r="AN1622" i="54"/>
  <c r="AH1622" i="54"/>
  <c r="AB1622" i="54"/>
  <c r="V1622" i="54"/>
  <c r="P1622" i="54"/>
  <c r="J1622" i="54"/>
  <c r="D1622" i="54"/>
  <c r="K1612" i="54"/>
  <c r="E1612" i="54"/>
  <c r="J1608" i="54"/>
  <c r="D1608" i="54"/>
  <c r="K1598" i="54"/>
  <c r="E1598" i="54"/>
  <c r="J1594" i="54"/>
  <c r="D1594" i="54"/>
  <c r="AC1584" i="54"/>
  <c r="W1584" i="54"/>
  <c r="Q1584" i="54"/>
  <c r="K1584" i="54"/>
  <c r="E1584" i="54"/>
  <c r="AB1580" i="54"/>
  <c r="V1580" i="54"/>
  <c r="P1580" i="54"/>
  <c r="J1580" i="54"/>
  <c r="D1580" i="54"/>
  <c r="AC1570" i="54"/>
  <c r="W1570" i="54"/>
  <c r="Q1570" i="54"/>
  <c r="K1570" i="54"/>
  <c r="E1570" i="54"/>
  <c r="AB1566" i="54"/>
  <c r="V1566" i="54"/>
  <c r="P1566" i="54"/>
  <c r="J1566" i="54"/>
  <c r="D1566" i="54"/>
  <c r="F1556" i="54"/>
  <c r="E1556" i="54"/>
  <c r="D1552" i="54"/>
  <c r="F1542" i="54"/>
  <c r="D1538" i="54"/>
  <c r="F1528" i="54"/>
  <c r="D1524" i="54"/>
  <c r="AD1514" i="54"/>
  <c r="X1514" i="54"/>
  <c r="R1514" i="54"/>
  <c r="L1514" i="54"/>
  <c r="F1514" i="54"/>
  <c r="AB1510" i="54"/>
  <c r="V1510" i="54"/>
  <c r="P1510" i="54"/>
  <c r="J1510" i="54"/>
  <c r="D1510" i="54"/>
  <c r="F1500" i="54"/>
  <c r="D1496" i="54"/>
  <c r="F1486" i="54"/>
  <c r="D1482" i="54"/>
  <c r="F1472" i="54"/>
  <c r="D1468" i="54"/>
  <c r="F1458" i="54"/>
  <c r="D1454" i="54"/>
  <c r="AP1444" i="54"/>
  <c r="AJ1444" i="54"/>
  <c r="AD1444" i="54"/>
  <c r="X1444" i="54"/>
  <c r="R1444" i="54"/>
  <c r="L1444" i="54"/>
  <c r="F1444" i="54"/>
  <c r="AN1440" i="54"/>
  <c r="AH1440" i="54"/>
  <c r="AB1440" i="54"/>
  <c r="V1440" i="54"/>
  <c r="P1440" i="54"/>
  <c r="J1440" i="54"/>
  <c r="D1440" i="54"/>
  <c r="F1430" i="54"/>
  <c r="D1426" i="54"/>
  <c r="X1416" i="54"/>
  <c r="R1416" i="54"/>
  <c r="L1416" i="54"/>
  <c r="F1416" i="54"/>
  <c r="V1412" i="54"/>
  <c r="P1412" i="54"/>
  <c r="J1412" i="54"/>
  <c r="D1412" i="54"/>
  <c r="AD1402" i="54"/>
  <c r="X1402" i="54"/>
  <c r="R1402" i="54"/>
  <c r="L1402" i="54"/>
  <c r="F1402" i="54"/>
  <c r="AB1398" i="54"/>
  <c r="V1398" i="54"/>
  <c r="P1398" i="54"/>
  <c r="J1398" i="54"/>
  <c r="D1398" i="54"/>
  <c r="F1388" i="54"/>
  <c r="D1384" i="54"/>
  <c r="L1374" i="54"/>
  <c r="F1374" i="54"/>
  <c r="J1370" i="54"/>
  <c r="D1370" i="54"/>
  <c r="F1360" i="54"/>
  <c r="D1356" i="54"/>
  <c r="L1346" i="54"/>
  <c r="F1346" i="54"/>
  <c r="J1342" i="54"/>
  <c r="D1342" i="54"/>
  <c r="L1332" i="54"/>
  <c r="F1332" i="54"/>
  <c r="J1328" i="54"/>
  <c r="D1328" i="54"/>
  <c r="L1318" i="54"/>
  <c r="F1318" i="54"/>
  <c r="J1314" i="54"/>
  <c r="D1314" i="54"/>
  <c r="F1304" i="54"/>
  <c r="D1300" i="54"/>
  <c r="F1290" i="54"/>
  <c r="D1286" i="54"/>
  <c r="F1276" i="54"/>
  <c r="D1272" i="54"/>
  <c r="X1262" i="54"/>
  <c r="R1262" i="54"/>
  <c r="L1262" i="54"/>
  <c r="F1262" i="54"/>
  <c r="V1258" i="54"/>
  <c r="P1258" i="54"/>
  <c r="J1258" i="54"/>
  <c r="D1258" i="54"/>
  <c r="R1248" i="54"/>
  <c r="L1248" i="54"/>
  <c r="F1248" i="54"/>
  <c r="P1244" i="54"/>
  <c r="J1244" i="54"/>
  <c r="D1244" i="54"/>
  <c r="AP1234" i="54"/>
  <c r="AJ1234" i="54"/>
  <c r="AD1234" i="54"/>
  <c r="X1234" i="54"/>
  <c r="R1234" i="54"/>
  <c r="L1234" i="54"/>
  <c r="F1234" i="54"/>
  <c r="AN1230" i="54"/>
  <c r="AH1230" i="54"/>
  <c r="AB1230" i="54"/>
  <c r="V1230" i="54"/>
  <c r="P1230" i="54"/>
  <c r="J1230" i="54"/>
  <c r="D1230" i="54"/>
  <c r="AD1220" i="54"/>
  <c r="X1220" i="54"/>
  <c r="R1220" i="54"/>
  <c r="L1220" i="54"/>
  <c r="F1220" i="54"/>
  <c r="AB1216" i="54"/>
  <c r="V1216" i="54"/>
  <c r="P1216" i="54"/>
  <c r="J1216" i="54"/>
  <c r="D1216" i="54"/>
  <c r="L1206" i="54"/>
  <c r="F1206" i="54"/>
  <c r="J1202" i="54"/>
  <c r="D1202" i="54"/>
  <c r="F1192" i="54"/>
  <c r="D1188" i="54"/>
  <c r="R1178" i="54"/>
  <c r="L1178" i="54"/>
  <c r="F1178" i="54"/>
  <c r="P1174" i="54"/>
  <c r="J1174" i="54"/>
  <c r="D1174" i="54"/>
  <c r="X1164" i="54"/>
  <c r="R1164" i="54"/>
  <c r="L1164" i="54"/>
  <c r="F1164" i="54"/>
  <c r="V1160" i="54"/>
  <c r="P1160" i="54"/>
  <c r="J1160" i="54"/>
  <c r="D1160" i="54"/>
  <c r="F1150" i="54"/>
  <c r="D1146" i="54"/>
  <c r="L1136" i="54"/>
  <c r="F1136" i="54"/>
  <c r="J1132" i="54"/>
  <c r="D1132" i="54"/>
  <c r="F1122" i="54"/>
  <c r="D1118" i="54"/>
  <c r="L1108" i="54"/>
  <c r="F1108" i="54"/>
  <c r="J1104" i="54"/>
  <c r="D1104" i="54"/>
  <c r="K1094" i="54"/>
  <c r="E1094" i="54"/>
  <c r="J1090" i="54"/>
  <c r="D1090" i="54"/>
  <c r="Q1080" i="54"/>
  <c r="K1080" i="54"/>
  <c r="E1080" i="54"/>
  <c r="P1076" i="54"/>
  <c r="J1076" i="54"/>
  <c r="D1076" i="54"/>
  <c r="E1066" i="54"/>
  <c r="D1062" i="54"/>
  <c r="E1052" i="54"/>
  <c r="D1048" i="54"/>
  <c r="R1038" i="54"/>
  <c r="L1038" i="54"/>
  <c r="F1038" i="54"/>
  <c r="P1034" i="54"/>
  <c r="J1034" i="54"/>
  <c r="D1034" i="54"/>
  <c r="L1024" i="54"/>
  <c r="F1024" i="54"/>
  <c r="J1020" i="54"/>
  <c r="D1020" i="54"/>
  <c r="R1010" i="54"/>
  <c r="L1010" i="54"/>
  <c r="F1010" i="54"/>
  <c r="P1006" i="54"/>
  <c r="J1006" i="54"/>
  <c r="D1006" i="54"/>
  <c r="X996" i="54"/>
  <c r="R996" i="54"/>
  <c r="L996" i="54"/>
  <c r="F996" i="54"/>
  <c r="V992" i="54"/>
  <c r="P992" i="54"/>
  <c r="J992" i="54"/>
  <c r="D992" i="54"/>
  <c r="AD982" i="54"/>
  <c r="X982" i="54"/>
  <c r="R982" i="54"/>
  <c r="L982" i="54"/>
  <c r="F982" i="54"/>
  <c r="AB978" i="54"/>
  <c r="V978" i="54"/>
  <c r="P978" i="54"/>
  <c r="J978" i="54"/>
  <c r="D978" i="54"/>
  <c r="F968" i="54"/>
  <c r="E968" i="54"/>
  <c r="D964" i="54"/>
  <c r="F954" i="54"/>
  <c r="E954" i="54"/>
  <c r="D950" i="54"/>
  <c r="L940" i="54"/>
  <c r="K940" i="54"/>
  <c r="F940" i="54"/>
  <c r="E940" i="54"/>
  <c r="J936" i="54"/>
  <c r="D936" i="54"/>
  <c r="D922" i="54"/>
  <c r="D908" i="54"/>
  <c r="D894" i="54"/>
  <c r="D880" i="54"/>
  <c r="D866" i="54"/>
  <c r="V852" i="54"/>
  <c r="P852" i="54"/>
  <c r="J852" i="54"/>
  <c r="D852" i="54"/>
  <c r="D838" i="54"/>
  <c r="J824" i="54"/>
  <c r="D824" i="54"/>
  <c r="R814" i="54"/>
  <c r="L814" i="54"/>
  <c r="V810" i="54"/>
  <c r="P810" i="54"/>
  <c r="J810" i="54"/>
  <c r="D810" i="54"/>
  <c r="K800" i="54"/>
  <c r="F800" i="54"/>
  <c r="E800" i="54"/>
  <c r="J796" i="54"/>
  <c r="D796" i="54"/>
  <c r="F786" i="54"/>
  <c r="D782" i="54"/>
  <c r="R772" i="54"/>
  <c r="L772" i="54"/>
  <c r="F772" i="54"/>
  <c r="P768" i="54"/>
  <c r="J768" i="54"/>
  <c r="D768" i="54"/>
  <c r="R758" i="54"/>
  <c r="L758" i="54"/>
  <c r="F758" i="54"/>
  <c r="P754" i="54"/>
  <c r="J754" i="54"/>
  <c r="D754" i="54"/>
  <c r="E744" i="54"/>
  <c r="D740" i="54"/>
  <c r="F730" i="54"/>
  <c r="D726" i="54"/>
  <c r="L716" i="54"/>
  <c r="F716" i="54"/>
  <c r="J712" i="54"/>
  <c r="D712" i="54"/>
  <c r="L702" i="54"/>
  <c r="F702" i="54"/>
  <c r="J698" i="54"/>
  <c r="D698" i="54"/>
  <c r="L688" i="54"/>
  <c r="F688" i="54"/>
  <c r="J684" i="54"/>
  <c r="D684" i="54"/>
  <c r="F674" i="54"/>
  <c r="D670" i="54"/>
  <c r="X660" i="54"/>
  <c r="R660" i="54"/>
  <c r="L660" i="54"/>
  <c r="F660" i="54"/>
  <c r="V656" i="54"/>
  <c r="P656" i="54"/>
  <c r="J656" i="54"/>
  <c r="D656" i="54"/>
  <c r="L646" i="54"/>
  <c r="F646" i="54"/>
  <c r="J642" i="54"/>
  <c r="D642" i="54"/>
  <c r="L632" i="54"/>
  <c r="F632" i="54"/>
  <c r="J628" i="54"/>
  <c r="D628" i="54"/>
  <c r="F618" i="54"/>
  <c r="D614" i="54"/>
  <c r="L604" i="54"/>
  <c r="F604" i="54"/>
  <c r="J600" i="54"/>
  <c r="D600" i="54"/>
  <c r="R590" i="54"/>
  <c r="L590" i="54"/>
  <c r="F590" i="54"/>
  <c r="P586" i="54"/>
  <c r="J586" i="54"/>
  <c r="D586" i="54"/>
  <c r="AP576" i="54"/>
  <c r="AJ576" i="54"/>
  <c r="AD576" i="54"/>
  <c r="X576" i="54"/>
  <c r="R576" i="54"/>
  <c r="L576" i="54"/>
  <c r="F576" i="54"/>
  <c r="AN572" i="54"/>
  <c r="AH572" i="54"/>
  <c r="AB572" i="54"/>
  <c r="V572" i="54"/>
  <c r="P572" i="54"/>
  <c r="J572" i="54"/>
  <c r="D572" i="54"/>
  <c r="AD562" i="54"/>
  <c r="X562" i="54"/>
  <c r="R562" i="54"/>
  <c r="L562" i="54"/>
  <c r="F562" i="54"/>
  <c r="AB558" i="54"/>
  <c r="V558" i="54"/>
  <c r="P558" i="54"/>
  <c r="J558" i="54"/>
  <c r="D558" i="54"/>
  <c r="L548" i="54"/>
  <c r="F548" i="54"/>
  <c r="J544" i="54"/>
  <c r="D544" i="54"/>
  <c r="X534" i="54"/>
  <c r="R534" i="54"/>
  <c r="L534" i="54"/>
  <c r="F534" i="54"/>
  <c r="V530" i="54"/>
  <c r="P530" i="54"/>
  <c r="J530" i="54"/>
  <c r="D530" i="54"/>
  <c r="L520" i="54"/>
  <c r="F520" i="54"/>
  <c r="J516" i="54"/>
  <c r="D516" i="54"/>
  <c r="L506" i="54"/>
  <c r="F506" i="54"/>
  <c r="J502" i="54"/>
  <c r="D502" i="54"/>
  <c r="F492" i="54"/>
  <c r="D488" i="54"/>
  <c r="X478" i="54"/>
  <c r="R478" i="54"/>
  <c r="L478" i="54"/>
  <c r="F478" i="54"/>
  <c r="V474" i="54"/>
  <c r="P474" i="54"/>
  <c r="J474" i="54"/>
  <c r="D474" i="54"/>
  <c r="F464" i="54"/>
  <c r="D460" i="54"/>
  <c r="AV450" i="54"/>
  <c r="AP450" i="54"/>
  <c r="AJ450" i="54"/>
  <c r="AD450" i="54"/>
  <c r="X450" i="54"/>
  <c r="R450" i="54"/>
  <c r="L450" i="54"/>
  <c r="F450" i="54"/>
  <c r="AT446" i="54"/>
  <c r="AN446" i="54"/>
  <c r="AH446" i="54"/>
  <c r="AB446" i="54"/>
  <c r="V446" i="54"/>
  <c r="P446" i="54"/>
  <c r="J446" i="54"/>
  <c r="D446" i="54"/>
  <c r="L436" i="54"/>
  <c r="F436" i="54"/>
  <c r="J432" i="54"/>
  <c r="D432" i="54"/>
  <c r="F422" i="54"/>
  <c r="E422" i="54"/>
  <c r="D418" i="54"/>
  <c r="F408" i="54"/>
  <c r="D404" i="54"/>
  <c r="F394" i="54"/>
  <c r="D390" i="54"/>
  <c r="F380" i="54"/>
  <c r="D376" i="54"/>
  <c r="X366" i="54"/>
  <c r="R366" i="54"/>
  <c r="Q366" i="54"/>
  <c r="L366" i="54"/>
  <c r="K366" i="54"/>
  <c r="F366" i="54"/>
  <c r="E366" i="54"/>
  <c r="V362" i="54"/>
  <c r="P362" i="54"/>
  <c r="J362" i="54"/>
  <c r="D362" i="54"/>
  <c r="F352" i="54"/>
  <c r="D348" i="54"/>
  <c r="F338" i="54"/>
  <c r="D334" i="54"/>
  <c r="F324" i="54"/>
  <c r="D320" i="54"/>
  <c r="F310" i="54"/>
  <c r="D306" i="54"/>
  <c r="F296" i="54"/>
  <c r="D292" i="54"/>
  <c r="F282" i="54"/>
  <c r="E282" i="54"/>
  <c r="D278" i="54"/>
  <c r="F268" i="54"/>
  <c r="D264" i="54"/>
  <c r="F254" i="54"/>
  <c r="D250" i="54"/>
  <c r="L240" i="54"/>
  <c r="F240" i="54"/>
  <c r="J236" i="54"/>
  <c r="D236" i="54"/>
  <c r="F226" i="54"/>
  <c r="D222" i="54"/>
  <c r="D208" i="54"/>
  <c r="L198" i="54"/>
  <c r="F198" i="54"/>
  <c r="J194" i="54"/>
  <c r="D194" i="54"/>
  <c r="F184" i="54"/>
  <c r="D180" i="54"/>
  <c r="F170" i="54"/>
  <c r="D166" i="54"/>
  <c r="D152" i="54"/>
  <c r="F142" i="54"/>
  <c r="D138" i="54"/>
  <c r="F128" i="54"/>
  <c r="D124" i="54"/>
  <c r="D110" i="54"/>
  <c r="E100" i="54"/>
  <c r="D96" i="54"/>
  <c r="E86" i="54"/>
  <c r="D82" i="54"/>
  <c r="E72" i="54"/>
  <c r="D68" i="54"/>
  <c r="J54" i="54"/>
  <c r="D54" i="54"/>
  <c r="D40" i="54"/>
  <c r="D26" i="54"/>
  <c r="D12" i="54"/>
  <c r="D8" i="54"/>
  <c r="D6" i="54"/>
  <c r="D4" i="54"/>
  <c r="D2" i="54"/>
  <c r="F1934" i="28"/>
  <c r="D1930" i="28"/>
  <c r="F1920" i="28"/>
  <c r="D1916" i="28"/>
  <c r="L1906" i="28"/>
  <c r="K1906" i="28"/>
  <c r="F1906" i="28"/>
  <c r="E1906" i="28"/>
  <c r="J1902" i="28"/>
  <c r="D1902" i="28"/>
  <c r="AJ1892" i="28"/>
  <c r="AI1892" i="28"/>
  <c r="AH1888" i="28"/>
  <c r="AD1892" i="28"/>
  <c r="AC1892" i="28"/>
  <c r="AB1888" i="28"/>
  <c r="X1892" i="28"/>
  <c r="W1892" i="28"/>
  <c r="V1888" i="28"/>
  <c r="R1892" i="28"/>
  <c r="Q1892" i="28"/>
  <c r="P1888" i="28"/>
  <c r="L1892" i="28"/>
  <c r="K1892" i="28"/>
  <c r="J1888" i="28"/>
  <c r="F1892" i="28"/>
  <c r="E1892" i="28"/>
  <c r="D1888" i="28"/>
  <c r="E1878" i="28"/>
  <c r="D1874" i="28"/>
  <c r="E1850" i="28"/>
  <c r="D1846" i="28"/>
  <c r="E1836" i="28"/>
  <c r="D1832" i="28"/>
  <c r="E1822" i="28"/>
  <c r="D1818" i="28"/>
  <c r="E1808" i="28"/>
  <c r="D1804" i="28"/>
  <c r="AC1794" i="28"/>
  <c r="W1794" i="28"/>
  <c r="Q1794" i="28"/>
  <c r="K1794" i="28"/>
  <c r="E1794" i="28"/>
  <c r="AB1790" i="28"/>
  <c r="V1790" i="28"/>
  <c r="P1790" i="28"/>
  <c r="J1790" i="28"/>
  <c r="D1790" i="28"/>
  <c r="E1780" i="28"/>
  <c r="D1776" i="28"/>
  <c r="K1766" i="28"/>
  <c r="E1766" i="28"/>
  <c r="J1762" i="28"/>
  <c r="D1762" i="28"/>
  <c r="E1752" i="28"/>
  <c r="D1748" i="28"/>
  <c r="AC1738" i="28"/>
  <c r="W1738" i="28"/>
  <c r="Q1738" i="28"/>
  <c r="AB1734" i="28"/>
  <c r="V1734" i="28"/>
  <c r="P1734" i="28"/>
  <c r="K1738" i="28"/>
  <c r="E1738" i="28"/>
  <c r="J1734" i="28"/>
  <c r="D1734" i="28"/>
  <c r="Q1724" i="28"/>
  <c r="K1724" i="28"/>
  <c r="E1724" i="28"/>
  <c r="P1720" i="28"/>
  <c r="J1720" i="28"/>
  <c r="D1720" i="28"/>
  <c r="AC1710" i="28"/>
  <c r="AB1706" i="28"/>
  <c r="W1710" i="28"/>
  <c r="Q1710" i="28"/>
  <c r="V1706" i="28"/>
  <c r="P1706" i="28"/>
  <c r="K1710" i="28"/>
  <c r="E1710" i="28"/>
  <c r="J1706" i="28"/>
  <c r="D1706" i="28"/>
  <c r="E1696" i="28"/>
  <c r="D1692" i="28"/>
  <c r="K1682" i="28"/>
  <c r="E1682" i="28"/>
  <c r="J1678" i="28"/>
  <c r="D1678" i="28"/>
  <c r="E1668" i="28"/>
  <c r="D1664" i="28"/>
  <c r="L1654" i="28"/>
  <c r="J1650" i="28"/>
  <c r="F1654" i="28"/>
  <c r="D1650" i="28"/>
  <c r="E1640" i="28"/>
  <c r="D1636" i="28"/>
  <c r="F1626" i="28"/>
  <c r="E1626" i="28"/>
  <c r="D1622" i="28"/>
  <c r="AI1612" i="28"/>
  <c r="AC1612" i="28"/>
  <c r="AH1608" i="28"/>
  <c r="AB1608" i="28"/>
  <c r="W1612" i="28"/>
  <c r="Q1612" i="28"/>
  <c r="V1608" i="28"/>
  <c r="P1608" i="28"/>
  <c r="K1612" i="28"/>
  <c r="E1612" i="28"/>
  <c r="J1608" i="28"/>
  <c r="D1608" i="28"/>
  <c r="K1598" i="28"/>
  <c r="E1598" i="28"/>
  <c r="J1594" i="28"/>
  <c r="D1594" i="28"/>
  <c r="K1584" i="28"/>
  <c r="E1584" i="28"/>
  <c r="J1580" i="28"/>
  <c r="D1580" i="28"/>
  <c r="AC1570" i="28"/>
  <c r="W1570" i="28"/>
  <c r="Q1570" i="28"/>
  <c r="K1570" i="28"/>
  <c r="E1570" i="28"/>
  <c r="AB1566" i="28"/>
  <c r="V1566" i="28"/>
  <c r="P1566" i="28"/>
  <c r="J1566" i="28"/>
  <c r="D1566" i="28"/>
  <c r="AC1556" i="28"/>
  <c r="AB1552" i="28"/>
  <c r="W1556" i="28"/>
  <c r="V1552" i="28"/>
  <c r="Q1556" i="28"/>
  <c r="P1552" i="28"/>
  <c r="K1556" i="28"/>
  <c r="J1552" i="28"/>
  <c r="E1556" i="28"/>
  <c r="D1552" i="28"/>
  <c r="F1542" i="28"/>
  <c r="E1542" i="28"/>
  <c r="D1538" i="28"/>
  <c r="F1528" i="28"/>
  <c r="D1524" i="28"/>
  <c r="F1514" i="28"/>
  <c r="D1510" i="28"/>
  <c r="AD1500" i="28"/>
  <c r="AB1496" i="28"/>
  <c r="X1500" i="28"/>
  <c r="V1496" i="28"/>
  <c r="R1500" i="28"/>
  <c r="P1496" i="28"/>
  <c r="L1500" i="28"/>
  <c r="J1496" i="28"/>
  <c r="F1500" i="28"/>
  <c r="D1496" i="28"/>
  <c r="F1486" i="28"/>
  <c r="D1482" i="28"/>
  <c r="F1472" i="28"/>
  <c r="D1468" i="28"/>
  <c r="F1458" i="28"/>
  <c r="D1454" i="28"/>
  <c r="F1444" i="28"/>
  <c r="D1440" i="28"/>
  <c r="AP1430" i="28"/>
  <c r="AN1426" i="28"/>
  <c r="AJ1430" i="28"/>
  <c r="AH1426" i="28"/>
  <c r="AD1430" i="28"/>
  <c r="X1430" i="28"/>
  <c r="R1430" i="28"/>
  <c r="L1430" i="28"/>
  <c r="F1430" i="28"/>
  <c r="AB1426" i="28"/>
  <c r="V1426" i="28"/>
  <c r="P1426" i="28"/>
  <c r="J1426" i="28"/>
  <c r="D1426" i="28"/>
  <c r="F1416" i="28"/>
  <c r="D1412" i="28"/>
  <c r="X1402" i="28"/>
  <c r="R1402" i="28"/>
  <c r="L1402" i="28"/>
  <c r="F1402" i="28"/>
  <c r="V1398" i="28"/>
  <c r="P1398" i="28"/>
  <c r="J1398" i="28"/>
  <c r="D1398" i="28"/>
  <c r="X1388" i="28"/>
  <c r="V1384" i="28"/>
  <c r="R1388" i="28"/>
  <c r="P1384" i="28"/>
  <c r="L1388" i="28"/>
  <c r="J1384" i="28"/>
  <c r="F1388" i="28"/>
  <c r="D1384" i="28"/>
  <c r="F1374" i="28"/>
  <c r="D1370" i="28"/>
  <c r="F1360" i="28"/>
  <c r="D1356" i="28"/>
  <c r="L1346" i="28"/>
  <c r="F1346" i="28"/>
  <c r="J1342" i="28"/>
  <c r="D1342" i="28"/>
  <c r="L1332" i="28"/>
  <c r="F1332" i="28"/>
  <c r="J1328" i="28"/>
  <c r="D1328" i="28"/>
  <c r="F1318" i="28"/>
  <c r="D1314" i="28"/>
  <c r="F1304" i="28"/>
  <c r="D1300" i="28"/>
  <c r="F1290" i="28"/>
  <c r="D1286" i="28"/>
  <c r="F1276" i="28"/>
  <c r="D1272" i="28"/>
  <c r="X1262" i="28"/>
  <c r="R1262" i="28"/>
  <c r="L1262" i="28"/>
  <c r="V1258" i="28"/>
  <c r="P1258" i="28"/>
  <c r="J1258" i="28"/>
  <c r="F1262" i="28"/>
  <c r="D1258" i="28"/>
  <c r="R1248" i="28"/>
  <c r="L1248" i="28"/>
  <c r="F1248" i="28"/>
  <c r="P1244" i="28"/>
  <c r="J1244" i="28"/>
  <c r="D1244" i="28"/>
  <c r="AP1234" i="28"/>
  <c r="AN1230" i="28"/>
  <c r="AJ1234" i="28"/>
  <c r="AH1230" i="28"/>
  <c r="AD1234" i="28"/>
  <c r="X1234" i="28"/>
  <c r="R1234" i="28"/>
  <c r="L1234" i="28"/>
  <c r="F1234" i="28"/>
  <c r="AB1230" i="28"/>
  <c r="V1230" i="28"/>
  <c r="P1230" i="28"/>
  <c r="J1230" i="28"/>
  <c r="D1230" i="28"/>
  <c r="AD1220" i="28"/>
  <c r="AB1216" i="28"/>
  <c r="X1220" i="28"/>
  <c r="R1220" i="28"/>
  <c r="V1216" i="28"/>
  <c r="P1216" i="28"/>
  <c r="L1220" i="28"/>
  <c r="F1220" i="28"/>
  <c r="J1216" i="28"/>
  <c r="D1216" i="28"/>
  <c r="L1206" i="28"/>
  <c r="J1202" i="28"/>
  <c r="F1206" i="28"/>
  <c r="D1202" i="28"/>
  <c r="F1192" i="28"/>
  <c r="D1188" i="28"/>
  <c r="R1178" i="28"/>
  <c r="L1178" i="28"/>
  <c r="F1178" i="28"/>
  <c r="P1174" i="28"/>
  <c r="J1174" i="28"/>
  <c r="D1174" i="28"/>
  <c r="X1164" i="28"/>
  <c r="R1164" i="28"/>
  <c r="V1160" i="28"/>
  <c r="P1160" i="28"/>
  <c r="L1164" i="28"/>
  <c r="F1164" i="28"/>
  <c r="J1160" i="28"/>
  <c r="D1160" i="28"/>
  <c r="F1150" i="28"/>
  <c r="D1146" i="28"/>
  <c r="L1136" i="28"/>
  <c r="J1132" i="28"/>
  <c r="F1136" i="28"/>
  <c r="D1132" i="28"/>
  <c r="F1122" i="28"/>
  <c r="D1118" i="28"/>
  <c r="L1108" i="28"/>
  <c r="F1108" i="28"/>
  <c r="J1104" i="28"/>
  <c r="D1104" i="28"/>
  <c r="K1094" i="28"/>
  <c r="E1094" i="28"/>
  <c r="J1090" i="28"/>
  <c r="D1090" i="28"/>
  <c r="Q1080" i="28"/>
  <c r="P1076" i="28"/>
  <c r="K1080" i="28"/>
  <c r="J1076" i="28"/>
  <c r="E1080" i="28"/>
  <c r="D1076" i="28"/>
  <c r="E1066" i="28"/>
  <c r="D1062" i="28"/>
  <c r="E1052" i="28"/>
  <c r="D1048" i="28"/>
  <c r="R1038" i="28"/>
  <c r="L1038" i="28"/>
  <c r="F1038" i="28"/>
  <c r="P1034" i="28"/>
  <c r="J1034" i="28"/>
  <c r="D1034" i="28"/>
  <c r="L1024" i="28"/>
  <c r="F1024" i="28"/>
  <c r="J1020" i="28"/>
  <c r="D1020" i="28"/>
  <c r="R1010" i="28"/>
  <c r="L1010" i="28"/>
  <c r="F1010" i="28"/>
  <c r="P1006" i="28"/>
  <c r="J1006" i="28"/>
  <c r="D1006" i="28"/>
  <c r="X996" i="28"/>
  <c r="R996" i="28"/>
  <c r="L996" i="28"/>
  <c r="F996" i="28"/>
  <c r="V992" i="28"/>
  <c r="P992" i="28"/>
  <c r="J992" i="28"/>
  <c r="D992" i="28"/>
  <c r="AD982" i="28"/>
  <c r="AB978" i="28"/>
  <c r="X982" i="28"/>
  <c r="V978" i="28"/>
  <c r="R982" i="28"/>
  <c r="P978" i="28"/>
  <c r="L982" i="28"/>
  <c r="J978" i="28"/>
  <c r="F982" i="28"/>
  <c r="D978" i="28"/>
  <c r="F968" i="28"/>
  <c r="E968" i="28"/>
  <c r="D964" i="28"/>
  <c r="F954" i="28"/>
  <c r="E954" i="28"/>
  <c r="D950" i="28"/>
  <c r="L940" i="28"/>
  <c r="K940" i="28"/>
  <c r="J936" i="28"/>
  <c r="F940" i="28"/>
  <c r="E940" i="28"/>
  <c r="D936" i="28"/>
  <c r="D922" i="28"/>
  <c r="D908" i="28"/>
  <c r="D894" i="28"/>
  <c r="D880" i="28"/>
  <c r="D866" i="28"/>
  <c r="V852" i="28"/>
  <c r="P852" i="28"/>
  <c r="J852" i="28"/>
  <c r="D852" i="28"/>
  <c r="D838" i="28"/>
  <c r="J824" i="28"/>
  <c r="D824" i="28"/>
  <c r="V810" i="28"/>
  <c r="R814" i="28"/>
  <c r="P810" i="28"/>
  <c r="L814" i="28"/>
  <c r="J810" i="28"/>
  <c r="D810" i="28"/>
  <c r="W1924" i="54" l="1"/>
  <c r="AJ1924" i="54"/>
  <c r="R1924" i="54"/>
  <c r="Q1924" i="54"/>
  <c r="L1112" i="28"/>
  <c r="R1406" i="28"/>
  <c r="F1910" i="28"/>
  <c r="L1924" i="54"/>
  <c r="F944" i="54"/>
  <c r="R1000" i="28"/>
  <c r="X1406" i="28"/>
  <c r="L1910" i="28"/>
  <c r="K1938" i="54"/>
  <c r="K1910" i="28"/>
  <c r="F1938" i="54"/>
  <c r="L1938" i="54"/>
  <c r="X664" i="54"/>
  <c r="F1896" i="28"/>
  <c r="K1896" i="28"/>
  <c r="AI1896" i="28"/>
  <c r="X1000" i="28"/>
  <c r="K1924" i="54"/>
  <c r="AI1924" i="54"/>
  <c r="E1938" i="54"/>
  <c r="K1602" i="54"/>
  <c r="F1406" i="28"/>
  <c r="E1924" i="54"/>
  <c r="AC1924" i="54"/>
  <c r="L1406" i="28"/>
  <c r="E1910" i="28"/>
  <c r="F1924" i="54"/>
  <c r="AD1924" i="54"/>
  <c r="X1924" i="54"/>
  <c r="L1112" i="54"/>
  <c r="L664" i="54"/>
  <c r="F1168" i="28"/>
  <c r="F1350" i="28"/>
  <c r="E1602" i="28"/>
  <c r="Q1616" i="28"/>
  <c r="E1686" i="28"/>
  <c r="W1714" i="28"/>
  <c r="K1770" i="28"/>
  <c r="L1350" i="28"/>
  <c r="K1602" i="28"/>
  <c r="W1616" i="28"/>
  <c r="K1686" i="28"/>
  <c r="E1714" i="28"/>
  <c r="E1742" i="28"/>
  <c r="E1896" i="28"/>
  <c r="X1896" i="28"/>
  <c r="AC1896" i="28"/>
  <c r="F426" i="54"/>
  <c r="BK426" i="54" s="1"/>
  <c r="F608" i="54"/>
  <c r="L650" i="54"/>
  <c r="L818" i="54"/>
  <c r="L720" i="54"/>
  <c r="R664" i="54"/>
  <c r="L1336" i="28"/>
  <c r="F1546" i="28"/>
  <c r="K1588" i="28"/>
  <c r="K1616" i="28"/>
  <c r="AI1616" i="28"/>
  <c r="F1630" i="28"/>
  <c r="Q1714" i="28"/>
  <c r="E1770" i="28"/>
  <c r="R1896" i="28"/>
  <c r="W1896" i="28"/>
  <c r="F650" i="54"/>
  <c r="F664" i="54"/>
  <c r="L706" i="54"/>
  <c r="E1560" i="54"/>
  <c r="BJ1560" i="54" s="1"/>
  <c r="E1602" i="54"/>
  <c r="L608" i="54"/>
  <c r="F636" i="54"/>
  <c r="R1168" i="28"/>
  <c r="F1336" i="28"/>
  <c r="E1546" i="28"/>
  <c r="E1588" i="28"/>
  <c r="E1616" i="28"/>
  <c r="AC1616" i="28"/>
  <c r="E1630" i="28"/>
  <c r="K1714" i="28"/>
  <c r="K1742" i="28"/>
  <c r="L1896" i="28"/>
  <c r="Q1896" i="28"/>
  <c r="AJ1896" i="28"/>
  <c r="L440" i="54"/>
  <c r="L636" i="54"/>
  <c r="F1224" i="28"/>
  <c r="R1224" i="28"/>
  <c r="F706" i="54"/>
  <c r="F720" i="54"/>
  <c r="F804" i="54"/>
  <c r="L944" i="54"/>
  <c r="F440" i="54"/>
  <c r="F1126" i="28"/>
  <c r="L1028" i="28"/>
  <c r="E944" i="28"/>
  <c r="F1000" i="28"/>
  <c r="E286" i="54"/>
  <c r="BJ286" i="54" s="1"/>
  <c r="E958" i="28"/>
  <c r="F1140" i="28"/>
  <c r="L1168" i="28"/>
  <c r="L1140" i="28"/>
  <c r="F1154" i="28"/>
  <c r="X1168" i="28"/>
  <c r="L1224" i="28"/>
  <c r="X1224" i="28"/>
  <c r="K944" i="28"/>
  <c r="E972" i="28"/>
  <c r="L1000" i="28"/>
  <c r="L818" i="28"/>
  <c r="F1042" i="28"/>
  <c r="R1042" i="28"/>
  <c r="L1266" i="28"/>
  <c r="X1266" i="28"/>
  <c r="F1532" i="28"/>
  <c r="F1938" i="28"/>
  <c r="F790" i="54"/>
  <c r="BK790" i="54" s="1"/>
  <c r="F944" i="28"/>
  <c r="F958" i="28"/>
  <c r="F1028" i="28"/>
  <c r="L944" i="28"/>
  <c r="K1098" i="28"/>
  <c r="F972" i="28"/>
  <c r="E90" i="54"/>
  <c r="BJ90" i="54" s="1"/>
  <c r="R818" i="28"/>
  <c r="L1042" i="28"/>
  <c r="R1266" i="28"/>
  <c r="F1280" i="28"/>
  <c r="E201" i="32" s="1"/>
  <c r="X1392" i="28"/>
  <c r="AD1504" i="28"/>
  <c r="F1518" i="28"/>
  <c r="E76" i="54"/>
  <c r="BJ76" i="54" s="1"/>
  <c r="E104" i="54"/>
  <c r="BJ104" i="54" s="1"/>
  <c r="F1182" i="28"/>
  <c r="R1182" i="28"/>
  <c r="F1210" i="28"/>
  <c r="AD1224" i="28"/>
  <c r="L1238" i="28"/>
  <c r="X1238" i="28"/>
  <c r="AJ1238" i="28"/>
  <c r="F1252" i="28"/>
  <c r="R1252" i="28"/>
  <c r="F1294" i="28"/>
  <c r="F1322" i="28"/>
  <c r="F1364" i="28"/>
  <c r="F1392" i="28"/>
  <c r="R1392" i="28"/>
  <c r="F1434" i="28"/>
  <c r="R1434" i="28"/>
  <c r="AD1434" i="28"/>
  <c r="AP1434" i="28"/>
  <c r="F1462" i="28"/>
  <c r="F1490" i="28"/>
  <c r="L1504" i="28"/>
  <c r="X1504" i="28"/>
  <c r="K1560" i="28"/>
  <c r="W1560" i="28"/>
  <c r="E1574" i="28"/>
  <c r="Q1574" i="28"/>
  <c r="AC1574" i="28"/>
  <c r="F1658" i="28"/>
  <c r="E1672" i="28"/>
  <c r="AC1714" i="28"/>
  <c r="K1728" i="28"/>
  <c r="Q1742" i="28"/>
  <c r="AC1742" i="28"/>
  <c r="E1784" i="28"/>
  <c r="K1798" i="28"/>
  <c r="W1798" i="28"/>
  <c r="E1812" i="28"/>
  <c r="E1840" i="28"/>
  <c r="F1924" i="28"/>
  <c r="F986" i="28"/>
  <c r="R986" i="28"/>
  <c r="AD986" i="28"/>
  <c r="L1014" i="28"/>
  <c r="E1070" i="28"/>
  <c r="K1084" i="28"/>
  <c r="L986" i="28"/>
  <c r="X986" i="28"/>
  <c r="F1014" i="28"/>
  <c r="R1014" i="28"/>
  <c r="E1056" i="28"/>
  <c r="E1084" i="28"/>
  <c r="Q1084" i="28"/>
  <c r="F1112" i="28"/>
  <c r="L1182" i="28"/>
  <c r="F1196" i="28"/>
  <c r="L1210" i="28"/>
  <c r="F1238" i="28"/>
  <c r="R1238" i="28"/>
  <c r="AD1238" i="28"/>
  <c r="AP1238" i="28"/>
  <c r="L1252" i="28"/>
  <c r="F1266" i="28"/>
  <c r="F1308" i="28"/>
  <c r="F1378" i="28"/>
  <c r="L1392" i="28"/>
  <c r="F1420" i="28"/>
  <c r="L1434" i="28"/>
  <c r="X1434" i="28"/>
  <c r="AJ1434" i="28"/>
  <c r="F1448" i="28"/>
  <c r="F1476" i="28"/>
  <c r="F1504" i="28"/>
  <c r="R1504" i="28"/>
  <c r="E1560" i="28"/>
  <c r="Q1560" i="28"/>
  <c r="AC1560" i="28"/>
  <c r="K1574" i="28"/>
  <c r="W1574" i="28"/>
  <c r="E1644" i="28"/>
  <c r="L1658" i="28"/>
  <c r="E1700" i="28"/>
  <c r="E1728" i="28"/>
  <c r="Q1728" i="28"/>
  <c r="W1742" i="28"/>
  <c r="E1756" i="28"/>
  <c r="E1798" i="28"/>
  <c r="Q1798" i="28"/>
  <c r="AC1798" i="28"/>
  <c r="E1826" i="28"/>
  <c r="E1854" i="28"/>
  <c r="E1882" i="28"/>
  <c r="E370" i="54"/>
  <c r="K370" i="54"/>
  <c r="Q370" i="54"/>
  <c r="F454" i="54"/>
  <c r="R454" i="54"/>
  <c r="AD454" i="54"/>
  <c r="AP454" i="54"/>
  <c r="AV454" i="54"/>
  <c r="L594" i="54"/>
  <c r="F622" i="54"/>
  <c r="BK622" i="54" s="1"/>
  <c r="F762" i="54"/>
  <c r="R762" i="54"/>
  <c r="L776" i="54"/>
  <c r="R986" i="54"/>
  <c r="AD986" i="54"/>
  <c r="AP1448" i="54"/>
  <c r="K1630" i="54"/>
  <c r="W1630" i="54"/>
  <c r="AI1630" i="54"/>
  <c r="L454" i="54"/>
  <c r="X454" i="54"/>
  <c r="AJ454" i="54"/>
  <c r="F594" i="54"/>
  <c r="R594" i="54"/>
  <c r="F678" i="54"/>
  <c r="BK678" i="54" s="1"/>
  <c r="L692" i="54"/>
  <c r="L762" i="54"/>
  <c r="F776" i="54"/>
  <c r="R776" i="54"/>
  <c r="L986" i="54"/>
  <c r="X986" i="54"/>
  <c r="E1630" i="54"/>
  <c r="Q1630" i="54"/>
  <c r="AC1630" i="54"/>
  <c r="AO1630" i="54"/>
  <c r="F734" i="54"/>
  <c r="BK734" i="54" s="1"/>
  <c r="E426" i="54"/>
  <c r="BJ426" i="54" s="1"/>
  <c r="AD1896" i="28"/>
  <c r="E1098" i="28"/>
  <c r="X1925" i="54" l="1"/>
  <c r="AI1925" i="54"/>
  <c r="R1925" i="54"/>
  <c r="P1925" i="54"/>
  <c r="P1897" i="28"/>
  <c r="Q1925" i="54"/>
  <c r="F1911" i="28"/>
  <c r="J1925" i="54"/>
  <c r="BK944" i="54"/>
  <c r="K1911" i="28"/>
  <c r="BJ1938" i="54"/>
  <c r="J1911" i="28"/>
  <c r="L1911" i="28"/>
  <c r="BK1938" i="54"/>
  <c r="E1911" i="28"/>
  <c r="W1925" i="54"/>
  <c r="L1925" i="54"/>
  <c r="E1939" i="54"/>
  <c r="BK650" i="54"/>
  <c r="V1925" i="54"/>
  <c r="AH1897" i="28"/>
  <c r="X1897" i="28"/>
  <c r="BK608" i="54"/>
  <c r="K1939" i="54"/>
  <c r="K1925" i="54"/>
  <c r="D1897" i="28"/>
  <c r="J1897" i="28"/>
  <c r="J1939" i="54"/>
  <c r="L1939" i="54"/>
  <c r="BK706" i="54"/>
  <c r="AH1925" i="54"/>
  <c r="E973" i="28"/>
  <c r="D1911" i="28"/>
  <c r="AD1925" i="54"/>
  <c r="F1925" i="54"/>
  <c r="F1939" i="54"/>
  <c r="K1897" i="28"/>
  <c r="D1939" i="54"/>
  <c r="L1897" i="28"/>
  <c r="AJ1925" i="54"/>
  <c r="BK664" i="54"/>
  <c r="AB1925" i="54"/>
  <c r="E1631" i="28"/>
  <c r="D1547" i="28"/>
  <c r="D1925" i="54"/>
  <c r="Q1897" i="28"/>
  <c r="E1897" i="28"/>
  <c r="BJ1924" i="54"/>
  <c r="E1925" i="54"/>
  <c r="AC1925" i="54"/>
  <c r="BJ1602" i="54"/>
  <c r="BK1924" i="54"/>
  <c r="F1897" i="28"/>
  <c r="E1547" i="28"/>
  <c r="D1631" i="28"/>
  <c r="AD1897" i="28"/>
  <c r="F1631" i="28"/>
  <c r="F1547" i="28"/>
  <c r="V1897" i="28"/>
  <c r="AJ1897" i="28"/>
  <c r="BK720" i="54"/>
  <c r="R1897" i="28"/>
  <c r="BK636" i="54"/>
  <c r="W1897" i="28"/>
  <c r="AI1897" i="28"/>
  <c r="BK440" i="54"/>
  <c r="AC1897" i="28"/>
  <c r="E945" i="28"/>
  <c r="F945" i="28"/>
  <c r="D945" i="28"/>
  <c r="K945" i="28"/>
  <c r="D973" i="28"/>
  <c r="J945" i="28"/>
  <c r="F959" i="28"/>
  <c r="E959" i="28"/>
  <c r="L945" i="28"/>
  <c r="F973" i="28"/>
  <c r="D959" i="28"/>
  <c r="AB1897" i="28"/>
  <c r="F427" i="54"/>
  <c r="D427" i="54"/>
  <c r="E427" i="54"/>
  <c r="BK594" i="54"/>
  <c r="BJ1630" i="54"/>
  <c r="BK776" i="54"/>
  <c r="BK762" i="54"/>
  <c r="BK454" i="54"/>
  <c r="K800" i="28" l="1"/>
  <c r="J796" i="28"/>
  <c r="F800" i="28"/>
  <c r="E800" i="28"/>
  <c r="D796" i="28"/>
  <c r="F786" i="28"/>
  <c r="D782" i="28"/>
  <c r="R772" i="28"/>
  <c r="P768" i="28"/>
  <c r="L772" i="28"/>
  <c r="J768" i="28"/>
  <c r="F772" i="28"/>
  <c r="D768" i="28"/>
  <c r="R758" i="28"/>
  <c r="P754" i="28"/>
  <c r="L758" i="28"/>
  <c r="J754" i="28"/>
  <c r="F758" i="28"/>
  <c r="D754" i="28"/>
  <c r="E744" i="28"/>
  <c r="D740" i="28"/>
  <c r="F730" i="28"/>
  <c r="D726" i="28"/>
  <c r="L716" i="28"/>
  <c r="J712" i="28"/>
  <c r="F716" i="28"/>
  <c r="D712" i="28"/>
  <c r="L702" i="28"/>
  <c r="J698" i="28"/>
  <c r="F702" i="28"/>
  <c r="D698" i="28"/>
  <c r="L688" i="28"/>
  <c r="J684" i="28"/>
  <c r="F688" i="28"/>
  <c r="D684" i="28"/>
  <c r="F674" i="28"/>
  <c r="D670" i="28"/>
  <c r="X660" i="28"/>
  <c r="V656" i="28"/>
  <c r="R660" i="28"/>
  <c r="P656" i="28"/>
  <c r="L660" i="28"/>
  <c r="J656" i="28"/>
  <c r="F660" i="28"/>
  <c r="D656" i="28"/>
  <c r="L646" i="28"/>
  <c r="J642" i="28"/>
  <c r="F646" i="28"/>
  <c r="D642" i="28"/>
  <c r="L632" i="28"/>
  <c r="J628" i="28"/>
  <c r="F632" i="28"/>
  <c r="D628" i="28"/>
  <c r="F618" i="28"/>
  <c r="D614" i="28"/>
  <c r="L604" i="28"/>
  <c r="J600" i="28"/>
  <c r="F604" i="28"/>
  <c r="D600" i="28"/>
  <c r="R590" i="28"/>
  <c r="P586" i="28"/>
  <c r="L590" i="28"/>
  <c r="J586" i="28"/>
  <c r="F590" i="28"/>
  <c r="D586" i="28"/>
  <c r="AP576" i="28"/>
  <c r="AN572" i="28"/>
  <c r="AJ576" i="28"/>
  <c r="AH572" i="28"/>
  <c r="AD576" i="28"/>
  <c r="AB572" i="28"/>
  <c r="X576" i="28"/>
  <c r="V572" i="28"/>
  <c r="R576" i="28"/>
  <c r="P572" i="28"/>
  <c r="L576" i="28"/>
  <c r="J572" i="28"/>
  <c r="F576" i="28"/>
  <c r="D572" i="28"/>
  <c r="AD562" i="28"/>
  <c r="AB558" i="28"/>
  <c r="X562" i="28"/>
  <c r="V558" i="28"/>
  <c r="R562" i="28"/>
  <c r="P558" i="28"/>
  <c r="L562" i="28"/>
  <c r="J558" i="28"/>
  <c r="F562" i="28"/>
  <c r="D558" i="28"/>
  <c r="L548" i="28"/>
  <c r="J544" i="28"/>
  <c r="F548" i="28"/>
  <c r="D544" i="28"/>
  <c r="X534" i="28"/>
  <c r="V530" i="28"/>
  <c r="R534" i="28"/>
  <c r="P530" i="28"/>
  <c r="L534" i="28"/>
  <c r="J530" i="28"/>
  <c r="F534" i="28"/>
  <c r="D530" i="28"/>
  <c r="L520" i="28"/>
  <c r="J516" i="28"/>
  <c r="F520" i="28"/>
  <c r="D516" i="28"/>
  <c r="L506" i="28"/>
  <c r="J502" i="28"/>
  <c r="F506" i="28"/>
  <c r="D502" i="28"/>
  <c r="F492" i="28"/>
  <c r="D488" i="28"/>
  <c r="X478" i="28"/>
  <c r="V474" i="28"/>
  <c r="R478" i="28"/>
  <c r="P474" i="28"/>
  <c r="L478" i="28"/>
  <c r="J474" i="28"/>
  <c r="F478" i="28"/>
  <c r="D474" i="28"/>
  <c r="F464" i="28"/>
  <c r="D460" i="28"/>
  <c r="AV450" i="28"/>
  <c r="AT446" i="28"/>
  <c r="AP450" i="28"/>
  <c r="AN446" i="28"/>
  <c r="AJ450" i="28"/>
  <c r="AH446" i="28"/>
  <c r="AD450" i="28"/>
  <c r="AB446" i="28"/>
  <c r="X450" i="28"/>
  <c r="V446" i="28"/>
  <c r="R450" i="28"/>
  <c r="P446" i="28"/>
  <c r="L450" i="28"/>
  <c r="J446" i="28"/>
  <c r="F450" i="28"/>
  <c r="D446" i="28"/>
  <c r="L436" i="28"/>
  <c r="J432" i="28"/>
  <c r="F436" i="28"/>
  <c r="D432" i="28"/>
  <c r="F422" i="28"/>
  <c r="E422" i="28"/>
  <c r="D418" i="28"/>
  <c r="F408" i="28"/>
  <c r="D404" i="28"/>
  <c r="F394" i="28"/>
  <c r="D390" i="28"/>
  <c r="F380" i="28"/>
  <c r="D376" i="28"/>
  <c r="X366" i="28"/>
  <c r="V362" i="28"/>
  <c r="R366" i="28"/>
  <c r="Q366" i="28"/>
  <c r="P362" i="28"/>
  <c r="L366" i="28"/>
  <c r="K366" i="28"/>
  <c r="J362" i="28"/>
  <c r="F366" i="28"/>
  <c r="E366" i="28"/>
  <c r="D362" i="28"/>
  <c r="F352" i="28"/>
  <c r="D348" i="28"/>
  <c r="F338" i="28"/>
  <c r="D334" i="28"/>
  <c r="F324" i="28"/>
  <c r="D320" i="28"/>
  <c r="F310" i="28"/>
  <c r="D306" i="28"/>
  <c r="F296" i="28"/>
  <c r="D292" i="28"/>
  <c r="F282" i="28"/>
  <c r="E282" i="28"/>
  <c r="D278" i="28"/>
  <c r="F268" i="28"/>
  <c r="D264" i="28"/>
  <c r="F254" i="28"/>
  <c r="D250" i="28"/>
  <c r="L240" i="28"/>
  <c r="J236" i="28"/>
  <c r="F240" i="28"/>
  <c r="D236" i="28"/>
  <c r="F226" i="28"/>
  <c r="D222" i="28"/>
  <c r="D208" i="28"/>
  <c r="L198" i="28"/>
  <c r="J194" i="28"/>
  <c r="F198" i="28"/>
  <c r="D194" i="28"/>
  <c r="F184" i="28"/>
  <c r="D180" i="28"/>
  <c r="F170" i="28"/>
  <c r="D166" i="28"/>
  <c r="D152" i="28"/>
  <c r="F142" i="28"/>
  <c r="D138" i="28"/>
  <c r="F128" i="28"/>
  <c r="D124" i="28"/>
  <c r="D110" i="28"/>
  <c r="E100" i="28"/>
  <c r="D96" i="28"/>
  <c r="E86" i="28"/>
  <c r="D82" i="28"/>
  <c r="E72" i="28"/>
  <c r="D68" i="28"/>
  <c r="J54" i="28"/>
  <c r="D54" i="28"/>
  <c r="D40" i="28"/>
  <c r="D26" i="28"/>
  <c r="F804" i="28" l="1"/>
  <c r="K804" i="28"/>
  <c r="E804" i="28"/>
  <c r="E286" i="28"/>
  <c r="E370" i="28"/>
  <c r="Q370" i="28"/>
  <c r="F286" i="28"/>
  <c r="K370" i="28"/>
  <c r="R370" i="28"/>
  <c r="F426" i="28"/>
  <c r="F370" i="28"/>
  <c r="L370" i="28"/>
  <c r="E426" i="28"/>
  <c r="F790" i="28"/>
  <c r="E90" i="28"/>
  <c r="L482" i="28"/>
  <c r="X482" i="28"/>
  <c r="F510" i="28"/>
  <c r="F524" i="28"/>
  <c r="F538" i="28"/>
  <c r="R538" i="28"/>
  <c r="F552" i="28"/>
  <c r="F566" i="28"/>
  <c r="R566" i="28"/>
  <c r="AD566" i="28"/>
  <c r="L580" i="28"/>
  <c r="X580" i="28"/>
  <c r="AJ580" i="28"/>
  <c r="F594" i="28"/>
  <c r="R594" i="28"/>
  <c r="L608" i="28"/>
  <c r="F636" i="28"/>
  <c r="F650" i="28"/>
  <c r="F664" i="28"/>
  <c r="R664" i="28"/>
  <c r="F678" i="28"/>
  <c r="L692" i="28"/>
  <c r="L706" i="28"/>
  <c r="L720" i="28"/>
  <c r="E76" i="28"/>
  <c r="E104" i="28"/>
  <c r="L202" i="28"/>
  <c r="AV454" i="28"/>
  <c r="AP580" i="28"/>
  <c r="F734" i="28"/>
  <c r="L762" i="28"/>
  <c r="F776" i="28"/>
  <c r="R776" i="28"/>
  <c r="F622" i="28"/>
  <c r="L636" i="28"/>
  <c r="L650" i="28"/>
  <c r="L664" i="28"/>
  <c r="F174" i="28"/>
  <c r="F202" i="28"/>
  <c r="F244" i="28"/>
  <c r="F258" i="28"/>
  <c r="F342" i="28"/>
  <c r="F384" i="28"/>
  <c r="F412" i="28"/>
  <c r="F440" i="28"/>
  <c r="F454" i="28"/>
  <c r="R454" i="28"/>
  <c r="AD454" i="28"/>
  <c r="AP454" i="28"/>
  <c r="F468" i="28"/>
  <c r="F132" i="28"/>
  <c r="F188" i="28"/>
  <c r="F230" i="28"/>
  <c r="L244" i="28"/>
  <c r="F272" i="28"/>
  <c r="F300" i="28"/>
  <c r="F328" i="28"/>
  <c r="F356" i="28"/>
  <c r="F398" i="28"/>
  <c r="L440" i="28"/>
  <c r="L454" i="28"/>
  <c r="X454" i="28"/>
  <c r="AJ454" i="28"/>
  <c r="F482" i="28"/>
  <c r="R482" i="28"/>
  <c r="F496" i="28"/>
  <c r="L510" i="28"/>
  <c r="L524" i="28"/>
  <c r="L538" i="28"/>
  <c r="X538" i="28"/>
  <c r="L552" i="28"/>
  <c r="L566" i="28"/>
  <c r="X566" i="28"/>
  <c r="F580" i="28"/>
  <c r="R580" i="28"/>
  <c r="AD580" i="28"/>
  <c r="L594" i="28"/>
  <c r="F608" i="28"/>
  <c r="X664" i="28"/>
  <c r="F692" i="28"/>
  <c r="F706" i="28"/>
  <c r="F720" i="28"/>
  <c r="F762" i="28"/>
  <c r="R762" i="28"/>
  <c r="L776" i="28"/>
  <c r="F314" i="28"/>
  <c r="F805" i="28" l="1"/>
  <c r="D805" i="28"/>
  <c r="E805" i="28"/>
  <c r="F287" i="28"/>
  <c r="E371" i="28"/>
  <c r="F371" i="28"/>
  <c r="P371" i="28"/>
  <c r="R371" i="28"/>
  <c r="E427" i="28"/>
  <c r="D287" i="28"/>
  <c r="K371" i="28"/>
  <c r="E287" i="28"/>
  <c r="Q371" i="28"/>
  <c r="D371" i="28"/>
  <c r="L371" i="28"/>
  <c r="J371" i="28"/>
  <c r="F427" i="28"/>
  <c r="D427" i="28"/>
  <c r="D12" i="28"/>
  <c r="D8" i="28"/>
  <c r="D6" i="28"/>
  <c r="D4" i="28"/>
  <c r="D2" i="28"/>
  <c r="I24" i="53"/>
  <c r="K23" i="53"/>
  <c r="K21" i="53"/>
  <c r="K20" i="53"/>
  <c r="K19" i="53"/>
  <c r="K18" i="53"/>
  <c r="K17" i="53"/>
  <c r="K16" i="53"/>
  <c r="K15" i="53"/>
  <c r="K14" i="53"/>
  <c r="K13" i="53"/>
  <c r="D10" i="32"/>
  <c r="D8" i="32"/>
  <c r="D6" i="32"/>
  <c r="D10" i="4"/>
  <c r="D8" i="4"/>
  <c r="D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BB186" i="51"/>
  <c r="BA186" i="51"/>
  <c r="AZ182" i="51"/>
  <c r="AZ178" i="51"/>
  <c r="AZ176" i="51"/>
  <c r="AZ174" i="51"/>
  <c r="AZ170" i="51"/>
  <c r="AV186" i="51"/>
  <c r="AU186" i="51"/>
  <c r="AT182" i="51"/>
  <c r="AT178" i="51"/>
  <c r="AT176" i="51"/>
  <c r="AT174" i="51"/>
  <c r="AT170" i="51"/>
  <c r="AP186" i="51"/>
  <c r="AO186" i="51"/>
  <c r="AN182" i="51"/>
  <c r="AN178" i="51"/>
  <c r="AN176" i="51"/>
  <c r="AN174" i="51"/>
  <c r="AN170" i="51"/>
  <c r="AJ186" i="51"/>
  <c r="AI186" i="51"/>
  <c r="AH182" i="51"/>
  <c r="AH178" i="51"/>
  <c r="AH176" i="51"/>
  <c r="AH174" i="51"/>
  <c r="AH170" i="51"/>
  <c r="AD186" i="51"/>
  <c r="AC186" i="51"/>
  <c r="AB182" i="51"/>
  <c r="AB178" i="51"/>
  <c r="AB176" i="51"/>
  <c r="AB174" i="51"/>
  <c r="AB170" i="51"/>
  <c r="X186" i="51"/>
  <c r="W186" i="51"/>
  <c r="V182" i="51"/>
  <c r="V178" i="51"/>
  <c r="V176" i="51"/>
  <c r="V174" i="51"/>
  <c r="V170" i="51"/>
  <c r="R186" i="51"/>
  <c r="Q186" i="51"/>
  <c r="P182" i="51"/>
  <c r="P178" i="51"/>
  <c r="P176" i="51"/>
  <c r="P174" i="51"/>
  <c r="P170" i="51"/>
  <c r="L186" i="51"/>
  <c r="K186" i="51"/>
  <c r="J182" i="51"/>
  <c r="J178" i="51"/>
  <c r="J176" i="51"/>
  <c r="J174" i="51"/>
  <c r="J170" i="51"/>
  <c r="F186" i="51" l="1"/>
  <c r="E186" i="51"/>
  <c r="D182" i="51"/>
  <c r="D178" i="51"/>
  <c r="D176" i="51"/>
  <c r="D174" i="51"/>
  <c r="D170" i="51"/>
  <c r="W211" i="51"/>
  <c r="Q211" i="51"/>
  <c r="K211" i="51"/>
  <c r="F211" i="51"/>
  <c r="E211" i="51"/>
  <c r="BH163" i="51"/>
  <c r="BB163" i="51"/>
  <c r="AV163" i="51"/>
  <c r="AP163" i="51"/>
  <c r="AO163" i="51"/>
  <c r="AJ163" i="51"/>
  <c r="AC163" i="51"/>
  <c r="X163" i="51"/>
  <c r="R163" i="51"/>
  <c r="BG139" i="51"/>
  <c r="BA139" i="51"/>
  <c r="AU139" i="51"/>
  <c r="AP139" i="51"/>
  <c r="AO139" i="51"/>
  <c r="AI139" i="51"/>
  <c r="AC139" i="51"/>
  <c r="W139" i="51"/>
  <c r="Q139" i="51"/>
  <c r="E139" i="51"/>
  <c r="AJ115" i="51"/>
  <c r="AI115" i="51"/>
  <c r="AD115" i="51"/>
  <c r="AC115" i="51"/>
  <c r="X115" i="51"/>
  <c r="W115" i="51"/>
  <c r="R115" i="51"/>
  <c r="Q115" i="51"/>
  <c r="L115" i="51"/>
  <c r="K115" i="51"/>
  <c r="F115" i="51"/>
  <c r="BH91" i="51"/>
  <c r="BG91" i="51"/>
  <c r="BB91" i="51"/>
  <c r="BA91" i="51"/>
  <c r="AV91" i="51"/>
  <c r="AU91" i="51"/>
  <c r="AP91" i="51"/>
  <c r="AJ91" i="51"/>
  <c r="AI91" i="51"/>
  <c r="AD91" i="51"/>
  <c r="X91" i="51"/>
  <c r="W91" i="51"/>
  <c r="R91" i="51"/>
  <c r="BH67" i="51"/>
  <c r="BB67" i="51"/>
  <c r="BA67" i="51"/>
  <c r="AU67" i="51"/>
  <c r="AP67" i="51"/>
  <c r="AO67" i="51"/>
  <c r="AJ67" i="51"/>
  <c r="AI67" i="51"/>
  <c r="AC67" i="51"/>
  <c r="W67" i="51"/>
  <c r="R67" i="51"/>
  <c r="Q67" i="51"/>
  <c r="L67" i="51"/>
  <c r="K67" i="51"/>
  <c r="F67" i="51"/>
  <c r="E67" i="51"/>
  <c r="BH43" i="51"/>
  <c r="BG43" i="51"/>
  <c r="BB43" i="51"/>
  <c r="BA43" i="51"/>
  <c r="AV43" i="51"/>
  <c r="AU43" i="51"/>
  <c r="AO43" i="51"/>
  <c r="AI43" i="51"/>
  <c r="AC43" i="51"/>
  <c r="X43" i="51"/>
  <c r="W43" i="51"/>
  <c r="R43" i="51"/>
  <c r="Q43" i="51"/>
  <c r="K43" i="51"/>
  <c r="E43" i="51"/>
  <c r="BB19" i="51"/>
  <c r="BA19" i="51"/>
  <c r="AU19" i="51"/>
  <c r="AP19" i="51"/>
  <c r="AO19" i="51"/>
  <c r="AI19" i="51"/>
  <c r="AD19" i="51"/>
  <c r="AC19" i="51"/>
  <c r="X19" i="51"/>
  <c r="W19" i="51"/>
  <c r="Q19" i="51"/>
  <c r="L19" i="51"/>
  <c r="K19" i="51"/>
  <c r="X210" i="51"/>
  <c r="R210" i="51"/>
  <c r="Q210" i="51"/>
  <c r="L210" i="51"/>
  <c r="F210" i="51"/>
  <c r="E210" i="51"/>
  <c r="V206" i="51"/>
  <c r="P206" i="51"/>
  <c r="J206" i="51"/>
  <c r="D206" i="51"/>
  <c r="V202" i="51"/>
  <c r="P202" i="51"/>
  <c r="J202" i="51"/>
  <c r="D202" i="51"/>
  <c r="V200" i="51"/>
  <c r="P200" i="51"/>
  <c r="J200" i="51"/>
  <c r="D200" i="51"/>
  <c r="V198" i="51"/>
  <c r="P198" i="51"/>
  <c r="J198" i="51"/>
  <c r="D198" i="51"/>
  <c r="V194" i="51"/>
  <c r="P194" i="51"/>
  <c r="J194" i="51"/>
  <c r="D194" i="51"/>
  <c r="BG162" i="51"/>
  <c r="BB162" i="51"/>
  <c r="BA162" i="51"/>
  <c r="AU162" i="51"/>
  <c r="AP162" i="51"/>
  <c r="AO162" i="51"/>
  <c r="AI162" i="51"/>
  <c r="AD162" i="51"/>
  <c r="W162" i="51"/>
  <c r="R162" i="51"/>
  <c r="Q162" i="51"/>
  <c r="L162" i="51"/>
  <c r="K162" i="51"/>
  <c r="E162" i="51"/>
  <c r="BF158" i="51"/>
  <c r="AZ158" i="51"/>
  <c r="AT158" i="51"/>
  <c r="AN158" i="51"/>
  <c r="AH158" i="51"/>
  <c r="AB158" i="51"/>
  <c r="V158" i="51"/>
  <c r="P158" i="51"/>
  <c r="J158" i="51"/>
  <c r="D158" i="51"/>
  <c r="BF154" i="51"/>
  <c r="AZ154" i="51"/>
  <c r="AT154" i="51"/>
  <c r="AN154" i="51"/>
  <c r="AH154" i="51"/>
  <c r="AB154" i="51"/>
  <c r="V154" i="51"/>
  <c r="P154" i="51"/>
  <c r="J154" i="51"/>
  <c r="D154" i="51"/>
  <c r="BF152" i="51"/>
  <c r="AZ152" i="51"/>
  <c r="AT152" i="51"/>
  <c r="AN152" i="51"/>
  <c r="AH152" i="51"/>
  <c r="AB152" i="51"/>
  <c r="V152" i="51"/>
  <c r="P152" i="51"/>
  <c r="J152" i="51"/>
  <c r="D152" i="51"/>
  <c r="BF150" i="51"/>
  <c r="AZ150" i="51"/>
  <c r="AT150" i="51"/>
  <c r="AN150" i="51"/>
  <c r="AH150" i="51"/>
  <c r="AB150" i="51"/>
  <c r="V150" i="51"/>
  <c r="P150" i="51"/>
  <c r="J150" i="51"/>
  <c r="D150" i="51"/>
  <c r="BF146" i="51"/>
  <c r="AZ146" i="51"/>
  <c r="AT146" i="51"/>
  <c r="AN146" i="51"/>
  <c r="AH146" i="51"/>
  <c r="AB146" i="51"/>
  <c r="V146" i="51"/>
  <c r="P146" i="51"/>
  <c r="J146" i="51"/>
  <c r="D146" i="51"/>
  <c r="BH138" i="51"/>
  <c r="BB138" i="51"/>
  <c r="AV138" i="51"/>
  <c r="AP138" i="51"/>
  <c r="AO138" i="51"/>
  <c r="AJ138" i="51"/>
  <c r="AD138" i="51"/>
  <c r="X138" i="51"/>
  <c r="R138" i="51"/>
  <c r="K138" i="51"/>
  <c r="F138" i="51"/>
  <c r="BF134" i="51"/>
  <c r="AZ134" i="51"/>
  <c r="AT134" i="51"/>
  <c r="AN134" i="51"/>
  <c r="AH134" i="51"/>
  <c r="AB134" i="51"/>
  <c r="V134" i="51"/>
  <c r="P134" i="51"/>
  <c r="J134" i="51"/>
  <c r="D134" i="51"/>
  <c r="BF130" i="51"/>
  <c r="AZ130" i="51"/>
  <c r="AT130" i="51"/>
  <c r="AN130" i="51"/>
  <c r="AH130" i="51"/>
  <c r="AB130" i="51"/>
  <c r="V130" i="51"/>
  <c r="P130" i="51"/>
  <c r="J130" i="51"/>
  <c r="D130" i="51"/>
  <c r="BF128" i="51"/>
  <c r="AZ128" i="51"/>
  <c r="AT128" i="51"/>
  <c r="AN128" i="51"/>
  <c r="AH128" i="51"/>
  <c r="AB128" i="51"/>
  <c r="V128" i="51"/>
  <c r="P128" i="51"/>
  <c r="J128" i="51"/>
  <c r="D128" i="51"/>
  <c r="BF126" i="51"/>
  <c r="AZ126" i="51"/>
  <c r="AT126" i="51"/>
  <c r="AN126" i="51"/>
  <c r="AH126" i="51"/>
  <c r="AB126" i="51"/>
  <c r="V126" i="51"/>
  <c r="P126" i="51"/>
  <c r="J126" i="51"/>
  <c r="D126" i="51"/>
  <c r="BF122" i="51"/>
  <c r="AZ122" i="51"/>
  <c r="AT122" i="51"/>
  <c r="AN122" i="51"/>
  <c r="AH122" i="51"/>
  <c r="AB122" i="51"/>
  <c r="V122" i="51"/>
  <c r="P122" i="51"/>
  <c r="J122" i="51"/>
  <c r="D122" i="51"/>
  <c r="AJ114" i="51"/>
  <c r="AI114" i="51"/>
  <c r="AD114" i="51"/>
  <c r="AC114" i="51"/>
  <c r="X114" i="51"/>
  <c r="W114" i="51"/>
  <c r="R114" i="51"/>
  <c r="Q114" i="51"/>
  <c r="L114" i="51"/>
  <c r="K114" i="51"/>
  <c r="E114" i="51"/>
  <c r="AN110" i="51"/>
  <c r="AH110" i="51"/>
  <c r="AB110" i="51"/>
  <c r="V110" i="51"/>
  <c r="P110" i="51"/>
  <c r="J110" i="51"/>
  <c r="D110" i="51"/>
  <c r="AN106" i="51"/>
  <c r="AH106" i="51"/>
  <c r="AB106" i="51"/>
  <c r="V106" i="51"/>
  <c r="P106" i="51"/>
  <c r="J106" i="51"/>
  <c r="D106" i="51"/>
  <c r="AN104" i="51"/>
  <c r="AH104" i="51"/>
  <c r="AB104" i="51"/>
  <c r="V104" i="51"/>
  <c r="P104" i="51"/>
  <c r="J104" i="51"/>
  <c r="D104" i="51"/>
  <c r="AN102" i="51"/>
  <c r="AH102" i="51"/>
  <c r="AB102" i="51"/>
  <c r="V102" i="51"/>
  <c r="P102" i="51"/>
  <c r="J102" i="51"/>
  <c r="D102" i="51"/>
  <c r="AN98" i="51"/>
  <c r="AH98" i="51"/>
  <c r="AB98" i="51"/>
  <c r="V98" i="51"/>
  <c r="P98" i="51"/>
  <c r="J98" i="51"/>
  <c r="D98" i="51"/>
  <c r="BH90" i="51"/>
  <c r="BG90" i="51"/>
  <c r="BB90" i="51"/>
  <c r="BA90" i="51"/>
  <c r="AV90" i="51"/>
  <c r="AU90" i="51"/>
  <c r="AJ90" i="51"/>
  <c r="AI90" i="51"/>
  <c r="AD90" i="51"/>
  <c r="X90" i="51"/>
  <c r="W90" i="51"/>
  <c r="BF86" i="51"/>
  <c r="AZ86" i="51"/>
  <c r="AT86" i="51"/>
  <c r="AN86" i="51"/>
  <c r="AH86" i="51"/>
  <c r="AB86" i="51"/>
  <c r="V86" i="51"/>
  <c r="P86" i="51"/>
  <c r="J86" i="51"/>
  <c r="D86" i="51"/>
  <c r="BF82" i="51"/>
  <c r="AZ82" i="51"/>
  <c r="AT82" i="51"/>
  <c r="AN82" i="51"/>
  <c r="AH82" i="51"/>
  <c r="AB82" i="51"/>
  <c r="V82" i="51"/>
  <c r="P82" i="51"/>
  <c r="J82" i="51"/>
  <c r="D82" i="51"/>
  <c r="BF80" i="51"/>
  <c r="AZ80" i="51"/>
  <c r="AT80" i="51"/>
  <c r="AN80" i="51"/>
  <c r="AH80" i="51"/>
  <c r="AB80" i="51"/>
  <c r="V80" i="51"/>
  <c r="P80" i="51"/>
  <c r="J80" i="51"/>
  <c r="D80" i="51"/>
  <c r="BF78" i="51"/>
  <c r="AZ78" i="51"/>
  <c r="AT78" i="51"/>
  <c r="AN78" i="51"/>
  <c r="AH78" i="51"/>
  <c r="AB78" i="51"/>
  <c r="V78" i="51"/>
  <c r="P78" i="51"/>
  <c r="J78" i="51"/>
  <c r="D78" i="51"/>
  <c r="BF74" i="51"/>
  <c r="AZ74" i="51"/>
  <c r="AT74" i="51"/>
  <c r="AN74" i="51"/>
  <c r="AH74" i="51"/>
  <c r="AB74" i="51"/>
  <c r="V74" i="51"/>
  <c r="P74" i="51"/>
  <c r="J74" i="51"/>
  <c r="D74" i="51"/>
  <c r="BG66" i="51"/>
  <c r="BB66" i="51"/>
  <c r="AP66" i="51"/>
  <c r="AO66" i="51"/>
  <c r="AJ66" i="51"/>
  <c r="AD66" i="51"/>
  <c r="X66" i="51"/>
  <c r="R66" i="51"/>
  <c r="L66" i="51"/>
  <c r="K66" i="51"/>
  <c r="F66" i="51"/>
  <c r="E66" i="51"/>
  <c r="BF62" i="51"/>
  <c r="AZ62" i="51"/>
  <c r="AT62" i="51"/>
  <c r="AN62" i="51"/>
  <c r="AH62" i="51"/>
  <c r="AB62" i="51"/>
  <c r="V62" i="51"/>
  <c r="P62" i="51"/>
  <c r="J62" i="51"/>
  <c r="D62" i="51"/>
  <c r="BF58" i="51"/>
  <c r="AZ58" i="51"/>
  <c r="AT58" i="51"/>
  <c r="AN58" i="51"/>
  <c r="AH58" i="51"/>
  <c r="AB58" i="51"/>
  <c r="V58" i="51"/>
  <c r="P58" i="51"/>
  <c r="J58" i="51"/>
  <c r="D58" i="51"/>
  <c r="BF56" i="51"/>
  <c r="AZ56" i="51"/>
  <c r="AT56" i="51"/>
  <c r="AN56" i="51"/>
  <c r="AH56" i="51"/>
  <c r="AB56" i="51"/>
  <c r="V56" i="51"/>
  <c r="P56" i="51"/>
  <c r="J56" i="51"/>
  <c r="D56" i="51"/>
  <c r="BF54" i="51"/>
  <c r="AZ54" i="51"/>
  <c r="AT54" i="51"/>
  <c r="AN54" i="51"/>
  <c r="AH54" i="51"/>
  <c r="AB54" i="51"/>
  <c r="V54" i="51"/>
  <c r="P54" i="51"/>
  <c r="J54" i="51"/>
  <c r="D54" i="51"/>
  <c r="BF50" i="51"/>
  <c r="AZ50" i="51"/>
  <c r="AT50" i="51"/>
  <c r="AN50" i="51"/>
  <c r="AH50" i="51"/>
  <c r="AB50" i="51"/>
  <c r="V50" i="51"/>
  <c r="P50" i="51"/>
  <c r="J50" i="51"/>
  <c r="D50" i="51"/>
  <c r="BH42" i="51"/>
  <c r="BG42" i="51"/>
  <c r="BB42" i="51"/>
  <c r="BA42" i="51"/>
  <c r="AV42" i="51"/>
  <c r="AU42" i="51"/>
  <c r="AP42" i="51"/>
  <c r="AJ42" i="51"/>
  <c r="AD42" i="51"/>
  <c r="X42" i="51"/>
  <c r="W42" i="51"/>
  <c r="R42" i="51"/>
  <c r="Q42" i="51"/>
  <c r="L42" i="51"/>
  <c r="BF38" i="51"/>
  <c r="AZ38" i="51"/>
  <c r="AT38" i="51"/>
  <c r="AN38" i="51"/>
  <c r="AH38" i="51"/>
  <c r="AB38" i="51"/>
  <c r="V38" i="51"/>
  <c r="P38" i="51"/>
  <c r="J38" i="51"/>
  <c r="D38" i="51"/>
  <c r="BF34" i="51"/>
  <c r="AZ34" i="51"/>
  <c r="AT34" i="51"/>
  <c r="AN34" i="51"/>
  <c r="AH34" i="51"/>
  <c r="AB34" i="51"/>
  <c r="V34" i="51"/>
  <c r="P34" i="51"/>
  <c r="J34" i="51"/>
  <c r="D34" i="51"/>
  <c r="BF32" i="51"/>
  <c r="AZ32" i="51"/>
  <c r="AT32" i="51"/>
  <c r="AN32" i="51"/>
  <c r="AH32" i="51"/>
  <c r="AB32" i="51"/>
  <c r="V32" i="51"/>
  <c r="P32" i="51"/>
  <c r="J32" i="51"/>
  <c r="D32" i="51"/>
  <c r="BF30" i="51"/>
  <c r="AZ30" i="51"/>
  <c r="AT30" i="51"/>
  <c r="AN30" i="51"/>
  <c r="AH30" i="51"/>
  <c r="AB30" i="51"/>
  <c r="V30" i="51"/>
  <c r="P30" i="51"/>
  <c r="J30" i="51"/>
  <c r="D30" i="51"/>
  <c r="BF26" i="51"/>
  <c r="AZ26" i="51"/>
  <c r="AT26" i="51"/>
  <c r="AN26" i="51"/>
  <c r="AH26" i="51"/>
  <c r="AB26" i="51"/>
  <c r="V26" i="51"/>
  <c r="P26" i="51"/>
  <c r="J26" i="51"/>
  <c r="D26" i="51"/>
  <c r="BB18" i="51"/>
  <c r="BA18" i="51"/>
  <c r="AP18" i="51"/>
  <c r="AO18" i="51"/>
  <c r="X18" i="51"/>
  <c r="W18" i="51"/>
  <c r="L18" i="51"/>
  <c r="K18" i="51"/>
  <c r="AZ14" i="51"/>
  <c r="AT14" i="51"/>
  <c r="AN14" i="51"/>
  <c r="AH14" i="51"/>
  <c r="AB14" i="51"/>
  <c r="V14" i="51"/>
  <c r="P14" i="51"/>
  <c r="J14" i="51"/>
  <c r="D14" i="51"/>
  <c r="AZ10" i="51"/>
  <c r="AT10" i="51"/>
  <c r="AN10" i="51"/>
  <c r="AH10" i="51"/>
  <c r="AB10" i="51"/>
  <c r="V10" i="51"/>
  <c r="P10" i="51"/>
  <c r="J10" i="51"/>
  <c r="D10" i="51"/>
  <c r="AZ8" i="51"/>
  <c r="AT8" i="51"/>
  <c r="AN8" i="51"/>
  <c r="AH8" i="51"/>
  <c r="AB8" i="51"/>
  <c r="V8" i="51"/>
  <c r="P8" i="51"/>
  <c r="J8" i="51"/>
  <c r="D8" i="51"/>
  <c r="AZ6" i="51"/>
  <c r="AT6" i="51"/>
  <c r="AN6" i="51"/>
  <c r="AH6" i="51"/>
  <c r="AB6" i="51"/>
  <c r="V6" i="51"/>
  <c r="P6" i="51"/>
  <c r="J6" i="51"/>
  <c r="D6" i="51"/>
  <c r="AZ2" i="51"/>
  <c r="AT2" i="51"/>
  <c r="AN2" i="51"/>
  <c r="AH2" i="51"/>
  <c r="AB2" i="51"/>
  <c r="V2" i="51"/>
  <c r="P2" i="51"/>
  <c r="J2" i="51"/>
  <c r="D2" i="51"/>
  <c r="R118" i="51" l="1"/>
  <c r="X118" i="51"/>
  <c r="L118" i="51"/>
  <c r="BB166" i="51"/>
  <c r="AJ118" i="51"/>
  <c r="K118" i="51"/>
  <c r="Q118" i="51"/>
  <c r="AC118" i="51"/>
  <c r="BA22" i="51"/>
  <c r="AP22" i="51"/>
  <c r="BB22" i="51"/>
  <c r="AD118" i="51"/>
  <c r="AI94" i="51"/>
  <c r="W118" i="51"/>
  <c r="AO22" i="51"/>
  <c r="AI118" i="51"/>
  <c r="AV94" i="51"/>
  <c r="BB94" i="51"/>
  <c r="BH94" i="51"/>
  <c r="L22" i="51"/>
  <c r="R70" i="51"/>
  <c r="AO142" i="51"/>
  <c r="E214" i="51"/>
  <c r="R166" i="51"/>
  <c r="AO166" i="51"/>
  <c r="AP166" i="51"/>
  <c r="X22" i="51"/>
  <c r="R46" i="51"/>
  <c r="X46" i="51"/>
  <c r="AU46" i="51"/>
  <c r="BA46" i="51"/>
  <c r="BG46" i="51"/>
  <c r="E70" i="51"/>
  <c r="K70" i="51"/>
  <c r="AO70" i="51"/>
  <c r="BB70" i="51"/>
  <c r="W94" i="51"/>
  <c r="Q46" i="51"/>
  <c r="W46" i="51"/>
  <c r="AV46" i="51"/>
  <c r="BB46" i="51"/>
  <c r="BH46" i="51"/>
  <c r="K22" i="51"/>
  <c r="W22" i="51"/>
  <c r="F70" i="51"/>
  <c r="L70" i="51"/>
  <c r="AJ70" i="51"/>
  <c r="AP70" i="51"/>
  <c r="X94" i="51"/>
  <c r="AD94" i="51"/>
  <c r="AJ94" i="51"/>
  <c r="AU94" i="51"/>
  <c r="BA94" i="51"/>
  <c r="BG94" i="51"/>
  <c r="AP142" i="51"/>
  <c r="F214" i="51"/>
  <c r="Q214" i="51"/>
  <c r="X186" i="5"/>
  <c r="V182" i="5"/>
  <c r="V178" i="5"/>
  <c r="V176" i="5"/>
  <c r="V174" i="5"/>
  <c r="V170" i="5"/>
  <c r="R186" i="5"/>
  <c r="Q186" i="5"/>
  <c r="P182" i="5"/>
  <c r="P178" i="5"/>
  <c r="P176" i="5"/>
  <c r="P174" i="5"/>
  <c r="P170" i="5"/>
  <c r="L186" i="5"/>
  <c r="J182" i="5"/>
  <c r="J178" i="5"/>
  <c r="J176" i="5"/>
  <c r="J174" i="5"/>
  <c r="J170" i="5"/>
  <c r="F186" i="5"/>
  <c r="E186" i="5"/>
  <c r="D182" i="5"/>
  <c r="D178" i="5"/>
  <c r="D176" i="5"/>
  <c r="D174" i="5"/>
  <c r="D170" i="5"/>
  <c r="K73" i="4"/>
  <c r="J73" i="4"/>
  <c r="N73" i="4"/>
  <c r="L73" i="4"/>
  <c r="K72" i="4"/>
  <c r="J72" i="4"/>
  <c r="N72" i="4"/>
  <c r="L72" i="4"/>
  <c r="K71" i="4"/>
  <c r="J71" i="4"/>
  <c r="O71" i="4"/>
  <c r="N71" i="4"/>
  <c r="M71" i="4"/>
  <c r="X119" i="51" l="1"/>
  <c r="R119" i="51"/>
  <c r="J119" i="51"/>
  <c r="AJ119" i="51"/>
  <c r="R190" i="5"/>
  <c r="AC119" i="51"/>
  <c r="L119" i="51"/>
  <c r="AJ95" i="51"/>
  <c r="BA23" i="51"/>
  <c r="Q190" i="5"/>
  <c r="K119" i="51"/>
  <c r="Q119" i="51"/>
  <c r="AP143" i="51"/>
  <c r="P119" i="51"/>
  <c r="AP71" i="51"/>
  <c r="AP23" i="51"/>
  <c r="AO23" i="51"/>
  <c r="BB23" i="51"/>
  <c r="AZ23" i="51"/>
  <c r="AD119" i="51"/>
  <c r="AB119" i="51"/>
  <c r="V119" i="51"/>
  <c r="W119" i="51"/>
  <c r="AN23" i="51"/>
  <c r="AH119" i="51"/>
  <c r="AI119" i="51"/>
  <c r="BB95" i="51"/>
  <c r="BH95" i="51"/>
  <c r="AV95" i="51"/>
  <c r="AO167" i="51"/>
  <c r="Q47" i="51"/>
  <c r="BF47" i="51"/>
  <c r="F215" i="51"/>
  <c r="V95" i="51"/>
  <c r="L23" i="51"/>
  <c r="BB47" i="51"/>
  <c r="X47" i="51"/>
  <c r="X190" i="5"/>
  <c r="BG47" i="51"/>
  <c r="AU47" i="51"/>
  <c r="R47" i="51"/>
  <c r="F190" i="5"/>
  <c r="E190" i="5"/>
  <c r="L190" i="5"/>
  <c r="AP167" i="51"/>
  <c r="W95" i="51"/>
  <c r="AT47" i="51"/>
  <c r="D215" i="51"/>
  <c r="AZ95" i="51"/>
  <c r="AN167" i="51"/>
  <c r="AN71" i="51"/>
  <c r="W23" i="51"/>
  <c r="F71" i="51"/>
  <c r="AZ47" i="51"/>
  <c r="J23" i="51"/>
  <c r="E71" i="51"/>
  <c r="X23" i="51"/>
  <c r="X95" i="51"/>
  <c r="J71" i="51"/>
  <c r="BH47" i="51"/>
  <c r="AV47" i="51"/>
  <c r="AH95" i="51"/>
  <c r="V23" i="51"/>
  <c r="P47" i="51"/>
  <c r="L71" i="51"/>
  <c r="AN143" i="51"/>
  <c r="AO71" i="51"/>
  <c r="W47" i="51"/>
  <c r="AO143" i="51"/>
  <c r="K71" i="51"/>
  <c r="BA47" i="51"/>
  <c r="K23" i="51"/>
  <c r="V47" i="51"/>
  <c r="BA95" i="51"/>
  <c r="E215" i="51"/>
  <c r="AI95" i="51"/>
  <c r="D71" i="51"/>
  <c r="BF95" i="51"/>
  <c r="AT95" i="51"/>
  <c r="BG95" i="51"/>
  <c r="AU95" i="51"/>
  <c r="BG162" i="5"/>
  <c r="BF158" i="5"/>
  <c r="BF154" i="5"/>
  <c r="BF152" i="5"/>
  <c r="BF150" i="5"/>
  <c r="BF146" i="5"/>
  <c r="BB162" i="5"/>
  <c r="BA162" i="5"/>
  <c r="AZ158" i="5"/>
  <c r="AZ154" i="5"/>
  <c r="AZ152" i="5"/>
  <c r="AZ150" i="5"/>
  <c r="AZ146" i="5"/>
  <c r="AU162" i="5"/>
  <c r="AT158" i="5"/>
  <c r="AT154" i="5"/>
  <c r="AT152" i="5"/>
  <c r="AT150" i="5"/>
  <c r="AT146" i="5"/>
  <c r="AP162" i="5"/>
  <c r="AO162" i="5"/>
  <c r="AN158" i="5"/>
  <c r="AN154" i="5"/>
  <c r="AN152" i="5"/>
  <c r="AN150" i="5"/>
  <c r="AN146" i="5"/>
  <c r="AI162" i="5"/>
  <c r="AH158" i="5"/>
  <c r="AH154" i="5"/>
  <c r="AH152" i="5"/>
  <c r="AH150" i="5"/>
  <c r="AH146" i="5"/>
  <c r="AD162" i="5"/>
  <c r="AB158" i="5"/>
  <c r="AB154" i="5"/>
  <c r="AB152" i="5"/>
  <c r="AB150" i="5"/>
  <c r="AB146" i="5"/>
  <c r="W162" i="5"/>
  <c r="V158" i="5"/>
  <c r="V154" i="5"/>
  <c r="V152" i="5"/>
  <c r="V150" i="5"/>
  <c r="V146" i="5"/>
  <c r="R162" i="5"/>
  <c r="Q162" i="5"/>
  <c r="P158" i="5"/>
  <c r="P154" i="5"/>
  <c r="P152" i="5"/>
  <c r="P150" i="5"/>
  <c r="P146" i="5"/>
  <c r="L162" i="5"/>
  <c r="K162" i="5"/>
  <c r="J158" i="5"/>
  <c r="J154" i="5"/>
  <c r="J152" i="5"/>
  <c r="J150" i="5"/>
  <c r="J146" i="5"/>
  <c r="E162" i="5"/>
  <c r="D158" i="5"/>
  <c r="D154" i="5"/>
  <c r="D152" i="5"/>
  <c r="D150" i="5"/>
  <c r="D146" i="5"/>
  <c r="BH138" i="5"/>
  <c r="BF134" i="5"/>
  <c r="BF130" i="5"/>
  <c r="BF128" i="5"/>
  <c r="BF126" i="5"/>
  <c r="BF122" i="5"/>
  <c r="BB138" i="5"/>
  <c r="AZ134" i="5"/>
  <c r="AZ130" i="5"/>
  <c r="AZ128" i="5"/>
  <c r="AZ126" i="5"/>
  <c r="AZ122" i="5"/>
  <c r="AV138" i="5"/>
  <c r="AT134" i="5"/>
  <c r="AT130" i="5"/>
  <c r="AT128" i="5"/>
  <c r="AT126" i="5"/>
  <c r="AT122" i="5"/>
  <c r="AP138" i="5"/>
  <c r="AO138" i="5"/>
  <c r="AN134" i="5"/>
  <c r="AN130" i="5"/>
  <c r="AN128" i="5"/>
  <c r="AN126" i="5"/>
  <c r="AN122" i="5"/>
  <c r="AJ138" i="5"/>
  <c r="AH134" i="5"/>
  <c r="AH130" i="5"/>
  <c r="AH128" i="5"/>
  <c r="AH126" i="5"/>
  <c r="AH122" i="5"/>
  <c r="AD138" i="5"/>
  <c r="AB134" i="5"/>
  <c r="AB130" i="5"/>
  <c r="AB128" i="5"/>
  <c r="AB126" i="5"/>
  <c r="AB122" i="5"/>
  <c r="X138" i="5"/>
  <c r="V134" i="5"/>
  <c r="V130" i="5"/>
  <c r="V128" i="5"/>
  <c r="V126" i="5"/>
  <c r="V122" i="5"/>
  <c r="R138" i="5"/>
  <c r="P134" i="5"/>
  <c r="P130" i="5"/>
  <c r="P128" i="5"/>
  <c r="P126" i="5"/>
  <c r="P122" i="5"/>
  <c r="K138" i="5"/>
  <c r="J134" i="5"/>
  <c r="J130" i="5"/>
  <c r="J128" i="5"/>
  <c r="J126" i="5"/>
  <c r="J122" i="5"/>
  <c r="F138" i="5"/>
  <c r="D134" i="5"/>
  <c r="D130" i="5"/>
  <c r="D128" i="5"/>
  <c r="D126" i="5"/>
  <c r="D122" i="5"/>
  <c r="AN110" i="5"/>
  <c r="AN106" i="5"/>
  <c r="AN104" i="5"/>
  <c r="AN102" i="5"/>
  <c r="AN98" i="5"/>
  <c r="AJ114" i="5"/>
  <c r="AI114" i="5"/>
  <c r="AH110" i="5"/>
  <c r="AH106" i="5"/>
  <c r="AH104" i="5"/>
  <c r="AH102" i="5"/>
  <c r="AH98" i="5"/>
  <c r="AD114" i="5"/>
  <c r="AC114" i="5"/>
  <c r="AB110" i="5"/>
  <c r="AB106" i="5"/>
  <c r="AB104" i="5"/>
  <c r="AB102" i="5"/>
  <c r="AB98" i="5"/>
  <c r="X114" i="5"/>
  <c r="W114" i="5"/>
  <c r="V110" i="5"/>
  <c r="V106" i="5"/>
  <c r="V104" i="5"/>
  <c r="V102" i="5"/>
  <c r="V98" i="5"/>
  <c r="R114" i="5"/>
  <c r="Q114" i="5"/>
  <c r="P110" i="5"/>
  <c r="P106" i="5"/>
  <c r="P104" i="5"/>
  <c r="P102" i="5"/>
  <c r="P98" i="5"/>
  <c r="L114" i="5"/>
  <c r="K114" i="5"/>
  <c r="J110" i="5"/>
  <c r="J106" i="5"/>
  <c r="J104" i="5"/>
  <c r="J102" i="5"/>
  <c r="J98" i="5"/>
  <c r="E114" i="5"/>
  <c r="D110" i="5"/>
  <c r="D106" i="5"/>
  <c r="D104" i="5"/>
  <c r="D102" i="5"/>
  <c r="D98" i="5"/>
  <c r="BH90" i="5"/>
  <c r="BG90" i="5"/>
  <c r="BF86" i="5"/>
  <c r="BF82" i="5"/>
  <c r="BF80" i="5"/>
  <c r="BF78" i="5"/>
  <c r="BF74" i="5"/>
  <c r="BB90" i="5"/>
  <c r="BA90" i="5"/>
  <c r="AZ86" i="5"/>
  <c r="AZ82" i="5"/>
  <c r="AZ80" i="5"/>
  <c r="AZ78" i="5"/>
  <c r="AZ74" i="5"/>
  <c r="AV90" i="5"/>
  <c r="AU90" i="5"/>
  <c r="AT86" i="5"/>
  <c r="AT82" i="5"/>
  <c r="AT80" i="5"/>
  <c r="AT78" i="5"/>
  <c r="AT74" i="5"/>
  <c r="AN86" i="5"/>
  <c r="AN82" i="5"/>
  <c r="AN80" i="5"/>
  <c r="AN78" i="5"/>
  <c r="AN74" i="5"/>
  <c r="AJ90" i="5"/>
  <c r="AI90" i="5"/>
  <c r="AH86" i="5"/>
  <c r="AH82" i="5"/>
  <c r="AH80" i="5"/>
  <c r="AH78" i="5"/>
  <c r="AH74" i="5"/>
  <c r="AD90" i="5"/>
  <c r="AB86" i="5"/>
  <c r="AB82" i="5"/>
  <c r="AB80" i="5"/>
  <c r="AB78" i="5"/>
  <c r="AB74" i="5"/>
  <c r="X90" i="5"/>
  <c r="W90" i="5"/>
  <c r="V86" i="5"/>
  <c r="V82" i="5"/>
  <c r="V80" i="5"/>
  <c r="V78" i="5"/>
  <c r="V74" i="5"/>
  <c r="P86" i="5"/>
  <c r="P82" i="5"/>
  <c r="P80" i="5"/>
  <c r="P78" i="5"/>
  <c r="P74" i="5"/>
  <c r="J86" i="5"/>
  <c r="J82" i="5"/>
  <c r="J80" i="5"/>
  <c r="J78" i="5"/>
  <c r="J74" i="5"/>
  <c r="D86" i="5"/>
  <c r="D82" i="5"/>
  <c r="D80" i="5"/>
  <c r="D78" i="5"/>
  <c r="D74" i="5"/>
  <c r="BG66" i="5"/>
  <c r="BF62" i="5"/>
  <c r="BF58" i="5"/>
  <c r="BF56" i="5"/>
  <c r="BF54" i="5"/>
  <c r="BF50" i="5"/>
  <c r="BB66" i="5"/>
  <c r="AZ62" i="5"/>
  <c r="AZ58" i="5"/>
  <c r="AZ56" i="5"/>
  <c r="AZ54" i="5"/>
  <c r="AZ50" i="5"/>
  <c r="AT62" i="5"/>
  <c r="AT58" i="5"/>
  <c r="AT56" i="5"/>
  <c r="AT54" i="5"/>
  <c r="AT50" i="5"/>
  <c r="AP66" i="5"/>
  <c r="AO66" i="5"/>
  <c r="AN62" i="5"/>
  <c r="AN58" i="5"/>
  <c r="AN56" i="5"/>
  <c r="AN54" i="5"/>
  <c r="AN50" i="5"/>
  <c r="AJ66" i="5"/>
  <c r="AH62" i="5"/>
  <c r="AH58" i="5"/>
  <c r="AH56" i="5"/>
  <c r="AH54" i="5"/>
  <c r="AH50" i="5"/>
  <c r="AD66" i="5"/>
  <c r="AB62" i="5"/>
  <c r="AB58" i="5"/>
  <c r="AB56" i="5"/>
  <c r="AB54" i="5"/>
  <c r="AB50" i="5"/>
  <c r="X66" i="5"/>
  <c r="V62" i="5"/>
  <c r="V58" i="5"/>
  <c r="V56" i="5"/>
  <c r="V54" i="5"/>
  <c r="V50" i="5"/>
  <c r="R66" i="5"/>
  <c r="P62" i="5"/>
  <c r="P58" i="5"/>
  <c r="P56" i="5"/>
  <c r="P54" i="5"/>
  <c r="P50" i="5"/>
  <c r="L66" i="5"/>
  <c r="K66" i="5"/>
  <c r="J62" i="5"/>
  <c r="J58" i="5"/>
  <c r="J56" i="5"/>
  <c r="J54" i="5"/>
  <c r="J50" i="5"/>
  <c r="F66" i="5"/>
  <c r="E66" i="5"/>
  <c r="D62" i="5"/>
  <c r="D58" i="5"/>
  <c r="D56" i="5"/>
  <c r="D54" i="5"/>
  <c r="D50" i="5"/>
  <c r="BH42" i="5"/>
  <c r="BG42" i="5"/>
  <c r="BF38" i="5"/>
  <c r="BF34" i="5"/>
  <c r="BF32" i="5"/>
  <c r="BF30" i="5"/>
  <c r="BF26" i="5"/>
  <c r="BB42" i="5"/>
  <c r="BA42" i="5"/>
  <c r="AZ38" i="5"/>
  <c r="AZ34" i="5"/>
  <c r="AZ32" i="5"/>
  <c r="AZ30" i="5"/>
  <c r="AZ26" i="5"/>
  <c r="AV42" i="5"/>
  <c r="AU42" i="5"/>
  <c r="AT38" i="5"/>
  <c r="AT34" i="5"/>
  <c r="AT32" i="5"/>
  <c r="AT30" i="5"/>
  <c r="AT26" i="5"/>
  <c r="AP42" i="5"/>
  <c r="AN38" i="5"/>
  <c r="AN34" i="5"/>
  <c r="AN32" i="5"/>
  <c r="AN30" i="5"/>
  <c r="AN26" i="5"/>
  <c r="AJ42" i="5"/>
  <c r="AH38" i="5"/>
  <c r="AH34" i="5"/>
  <c r="AH32" i="5"/>
  <c r="AH30" i="5"/>
  <c r="AH26" i="5"/>
  <c r="AD42" i="5"/>
  <c r="AB38" i="5"/>
  <c r="AB34" i="5"/>
  <c r="AB32" i="5"/>
  <c r="AB30" i="5"/>
  <c r="AB26" i="5"/>
  <c r="X42" i="5"/>
  <c r="W42" i="5"/>
  <c r="V38" i="5"/>
  <c r="V34" i="5"/>
  <c r="V32" i="5"/>
  <c r="V30" i="5"/>
  <c r="V26" i="5"/>
  <c r="R42" i="5"/>
  <c r="Q42" i="5"/>
  <c r="P38" i="5"/>
  <c r="P34" i="5"/>
  <c r="P32" i="5"/>
  <c r="P30" i="5"/>
  <c r="P26" i="5"/>
  <c r="L42" i="5"/>
  <c r="J38" i="5"/>
  <c r="J34" i="5"/>
  <c r="J32" i="5"/>
  <c r="J30" i="5"/>
  <c r="J26" i="5"/>
  <c r="D38" i="5"/>
  <c r="D34" i="5"/>
  <c r="D32" i="5"/>
  <c r="D30" i="5"/>
  <c r="D26" i="5"/>
  <c r="BB18" i="5"/>
  <c r="BA18" i="5"/>
  <c r="AZ14" i="5"/>
  <c r="AZ10" i="5"/>
  <c r="AZ8" i="5"/>
  <c r="AZ6" i="5"/>
  <c r="AZ2" i="5"/>
  <c r="AT14" i="5"/>
  <c r="AT10" i="5"/>
  <c r="AT8" i="5"/>
  <c r="AT6" i="5"/>
  <c r="AT2" i="5"/>
  <c r="AP18" i="5"/>
  <c r="AO18" i="5"/>
  <c r="AN14" i="5"/>
  <c r="AN10" i="5"/>
  <c r="AN8" i="5"/>
  <c r="AN6" i="5"/>
  <c r="AN2" i="5"/>
  <c r="AH14" i="5"/>
  <c r="AH10" i="5"/>
  <c r="AH8" i="5"/>
  <c r="AH6" i="5"/>
  <c r="AH2" i="5"/>
  <c r="AB14" i="5"/>
  <c r="AB10" i="5"/>
  <c r="AB8" i="5"/>
  <c r="AB6" i="5"/>
  <c r="AB2" i="5"/>
  <c r="X18" i="5"/>
  <c r="W18" i="5"/>
  <c r="V14" i="5"/>
  <c r="V10" i="5"/>
  <c r="V8" i="5"/>
  <c r="V6" i="5"/>
  <c r="V2" i="5"/>
  <c r="P14" i="5"/>
  <c r="P10" i="5"/>
  <c r="P8" i="5"/>
  <c r="P6" i="5"/>
  <c r="P2" i="5"/>
  <c r="J14" i="5"/>
  <c r="Q191" i="5" l="1"/>
  <c r="P191" i="5"/>
  <c r="AO166" i="5"/>
  <c r="BB166" i="5"/>
  <c r="K166" i="5"/>
  <c r="R191" i="5"/>
  <c r="R118" i="5"/>
  <c r="E12" i="53" s="1"/>
  <c r="E24" i="53" s="1"/>
  <c r="AD118" i="5"/>
  <c r="G12" i="53" s="1"/>
  <c r="G24" i="53" s="1"/>
  <c r="R166" i="5"/>
  <c r="X118" i="5"/>
  <c r="AJ118" i="5"/>
  <c r="H12" i="53" s="1"/>
  <c r="H24" i="53" s="1"/>
  <c r="AO142" i="5"/>
  <c r="L166" i="5"/>
  <c r="AP166" i="5"/>
  <c r="Q166" i="5"/>
  <c r="BA166" i="5"/>
  <c r="AP142" i="5"/>
  <c r="BH94" i="5"/>
  <c r="K118" i="5"/>
  <c r="W118" i="5"/>
  <c r="AI118" i="5"/>
  <c r="Q118" i="5"/>
  <c r="AC118" i="5"/>
  <c r="R142" i="5"/>
  <c r="E118" i="5"/>
  <c r="BB142" i="5"/>
  <c r="E191" i="5"/>
  <c r="Q46" i="5"/>
  <c r="AU46" i="5"/>
  <c r="BG46" i="5"/>
  <c r="K70" i="5"/>
  <c r="AI94" i="5"/>
  <c r="BA94" i="5"/>
  <c r="W46" i="5"/>
  <c r="BA46" i="5"/>
  <c r="E70" i="5"/>
  <c r="AO70" i="5"/>
  <c r="W94" i="5"/>
  <c r="AU94" i="5"/>
  <c r="BG94" i="5"/>
  <c r="F191" i="5"/>
  <c r="X22" i="5"/>
  <c r="BA22" i="5"/>
  <c r="AO22" i="5"/>
  <c r="D191" i="5"/>
  <c r="W22" i="5"/>
  <c r="AP22" i="5"/>
  <c r="R46" i="5"/>
  <c r="BB46" i="5"/>
  <c r="F70" i="5"/>
  <c r="AP70" i="5"/>
  <c r="AV94" i="5"/>
  <c r="AD142" i="5"/>
  <c r="BH142" i="5"/>
  <c r="E71" i="4" s="1"/>
  <c r="L46" i="5"/>
  <c r="X46" i="5"/>
  <c r="AV46" i="5"/>
  <c r="BH46" i="5"/>
  <c r="L70" i="5"/>
  <c r="BG70" i="5"/>
  <c r="X94" i="5"/>
  <c r="BB94" i="5"/>
  <c r="L118" i="5"/>
  <c r="F12" i="53" s="1"/>
  <c r="F24" i="53" s="1"/>
  <c r="AD94" i="5"/>
  <c r="R70" i="5"/>
  <c r="AD70" i="5"/>
  <c r="AJ70" i="5"/>
  <c r="BB70" i="5"/>
  <c r="F142" i="5"/>
  <c r="AD46" i="5"/>
  <c r="AP46" i="5"/>
  <c r="X142" i="5"/>
  <c r="AJ142" i="5"/>
  <c r="AV142" i="5"/>
  <c r="E166" i="5"/>
  <c r="W166" i="5"/>
  <c r="AD166" i="5"/>
  <c r="AI166" i="5"/>
  <c r="AU166" i="5"/>
  <c r="BG166" i="5"/>
  <c r="D81" i="4" s="1"/>
  <c r="AJ94" i="5"/>
  <c r="X70" i="5"/>
  <c r="BB22" i="5"/>
  <c r="L167" i="5" l="1"/>
  <c r="K119" i="5"/>
  <c r="AP167" i="5"/>
  <c r="AP143" i="5"/>
  <c r="BB167" i="5"/>
  <c r="AN167" i="5"/>
  <c r="AO167" i="5"/>
  <c r="AI119" i="5"/>
  <c r="Q167" i="5"/>
  <c r="V47" i="5"/>
  <c r="W23" i="5"/>
  <c r="R119" i="5"/>
  <c r="P167" i="5"/>
  <c r="R167" i="5"/>
  <c r="X119" i="5"/>
  <c r="AN143" i="5"/>
  <c r="BG95" i="5"/>
  <c r="BA167" i="5"/>
  <c r="AV47" i="5"/>
  <c r="AO143" i="5"/>
  <c r="V119" i="5"/>
  <c r="AC119" i="5"/>
  <c r="K167" i="5"/>
  <c r="AJ119" i="5"/>
  <c r="J167" i="5"/>
  <c r="AZ167" i="5"/>
  <c r="E71" i="5"/>
  <c r="P119" i="5"/>
  <c r="Q119" i="5"/>
  <c r="AH119" i="5"/>
  <c r="AD119" i="5"/>
  <c r="AB119" i="5"/>
  <c r="W119" i="5"/>
  <c r="AU47" i="5"/>
  <c r="V95" i="5"/>
  <c r="L71" i="5"/>
  <c r="K71" i="5"/>
  <c r="BB95" i="5"/>
  <c r="BG47" i="5"/>
  <c r="BH95" i="5"/>
  <c r="AH95" i="5"/>
  <c r="X95" i="5"/>
  <c r="AP71" i="5"/>
  <c r="BA95" i="5"/>
  <c r="BH47" i="5"/>
  <c r="BA47" i="5"/>
  <c r="P47" i="5"/>
  <c r="AZ23" i="5"/>
  <c r="AV95" i="5"/>
  <c r="R47" i="5"/>
  <c r="AN23" i="5"/>
  <c r="W95" i="5"/>
  <c r="D71" i="5"/>
  <c r="W47" i="5"/>
  <c r="J71" i="5"/>
  <c r="AT47" i="5"/>
  <c r="BF95" i="5"/>
  <c r="L119" i="5"/>
  <c r="AJ95" i="5"/>
  <c r="X47" i="5"/>
  <c r="AP23" i="5"/>
  <c r="AO71" i="5"/>
  <c r="BB47" i="5"/>
  <c r="AZ95" i="5"/>
  <c r="BF47" i="5"/>
  <c r="Q47" i="5"/>
  <c r="AI95" i="5"/>
  <c r="AN71" i="5"/>
  <c r="AZ47" i="5"/>
  <c r="AU95" i="5"/>
  <c r="AO23" i="5"/>
  <c r="AT95" i="5"/>
  <c r="J119" i="5"/>
  <c r="V23" i="5"/>
  <c r="F71" i="5"/>
  <c r="X23" i="5"/>
  <c r="BA23" i="5"/>
  <c r="BB23" i="5"/>
  <c r="L18" i="5"/>
  <c r="K18" i="5"/>
  <c r="J10" i="5"/>
  <c r="J8" i="5"/>
  <c r="J6" i="5"/>
  <c r="J2" i="5"/>
  <c r="D14" i="5"/>
  <c r="D2" i="5"/>
  <c r="D10" i="5"/>
  <c r="D8" i="5"/>
  <c r="D6" i="5"/>
  <c r="L22" i="5" l="1"/>
  <c r="K22" i="5"/>
  <c r="K23" i="5" l="1"/>
  <c r="L23" i="5"/>
  <c r="J23" i="5"/>
  <c r="K305" i="32" l="1"/>
  <c r="J305" i="32"/>
  <c r="K304" i="32"/>
  <c r="J304" i="32"/>
  <c r="K303" i="32"/>
  <c r="J303" i="32"/>
  <c r="K302" i="32"/>
  <c r="J302" i="32"/>
  <c r="K301" i="32"/>
  <c r="J301" i="32"/>
  <c r="K300" i="32"/>
  <c r="J300" i="32"/>
  <c r="K299" i="32"/>
  <c r="J299" i="32"/>
  <c r="K298" i="32"/>
  <c r="J298" i="32"/>
  <c r="K297" i="32"/>
  <c r="J297" i="32"/>
  <c r="K296" i="32"/>
  <c r="J296" i="32"/>
  <c r="K295" i="32"/>
  <c r="J295" i="32"/>
  <c r="K294" i="32"/>
  <c r="J294" i="32"/>
  <c r="K293" i="32"/>
  <c r="J293" i="32"/>
  <c r="K292" i="32"/>
  <c r="J292" i="32"/>
  <c r="K291" i="32"/>
  <c r="J291" i="32"/>
  <c r="K290" i="32"/>
  <c r="J290" i="32"/>
  <c r="K289" i="32"/>
  <c r="J289" i="32"/>
  <c r="K288" i="32"/>
  <c r="J288" i="32"/>
  <c r="K287" i="32"/>
  <c r="J287" i="32"/>
  <c r="K286" i="32"/>
  <c r="J286" i="32"/>
  <c r="K285" i="32"/>
  <c r="J285" i="32"/>
  <c r="K284" i="32"/>
  <c r="J284" i="32"/>
  <c r="K283" i="32"/>
  <c r="J283" i="32"/>
  <c r="K282" i="32"/>
  <c r="J282" i="32"/>
  <c r="K281" i="32"/>
  <c r="J281" i="32"/>
  <c r="K280" i="32"/>
  <c r="J280" i="32"/>
  <c r="K279" i="32"/>
  <c r="J279" i="32"/>
  <c r="K278" i="32"/>
  <c r="J278" i="32"/>
  <c r="K277" i="32"/>
  <c r="J277" i="32"/>
  <c r="K276" i="32"/>
  <c r="J276" i="32"/>
  <c r="K275" i="32"/>
  <c r="J275" i="32"/>
  <c r="K274" i="32"/>
  <c r="J274" i="32"/>
  <c r="K273" i="32"/>
  <c r="J273" i="32"/>
  <c r="K272" i="32"/>
  <c r="J272" i="32"/>
  <c r="K271" i="32"/>
  <c r="J271" i="32"/>
  <c r="K270" i="32"/>
  <c r="J270" i="32"/>
  <c r="K269" i="32"/>
  <c r="J269" i="32"/>
  <c r="K268" i="32"/>
  <c r="J268" i="32"/>
  <c r="K267" i="32"/>
  <c r="J267" i="32"/>
  <c r="K266" i="32"/>
  <c r="J266" i="32"/>
  <c r="K265" i="32"/>
  <c r="J265" i="32"/>
  <c r="K264" i="32"/>
  <c r="J264" i="32"/>
  <c r="K263" i="32"/>
  <c r="J263" i="32"/>
  <c r="K262" i="32"/>
  <c r="J262" i="32"/>
  <c r="K261" i="32"/>
  <c r="J261" i="32"/>
  <c r="K260" i="32"/>
  <c r="J260" i="32"/>
  <c r="K259" i="32"/>
  <c r="J259" i="32"/>
  <c r="K258" i="32"/>
  <c r="J258" i="32"/>
  <c r="K257" i="32"/>
  <c r="J257" i="32"/>
  <c r="K256" i="32"/>
  <c r="J256" i="32"/>
  <c r="K255" i="32"/>
  <c r="J255" i="32"/>
  <c r="K254" i="32"/>
  <c r="J254" i="32"/>
  <c r="K253" i="32"/>
  <c r="J253" i="32"/>
  <c r="K252" i="32"/>
  <c r="J252" i="32"/>
  <c r="K251" i="32"/>
  <c r="J251" i="32"/>
  <c r="K250" i="32"/>
  <c r="J250" i="32"/>
  <c r="K249" i="32"/>
  <c r="J249" i="32"/>
  <c r="K248" i="32"/>
  <c r="J248" i="32"/>
  <c r="K247" i="32"/>
  <c r="J247" i="32"/>
  <c r="K246" i="32"/>
  <c r="J246" i="32"/>
  <c r="K245" i="32"/>
  <c r="J245" i="32"/>
  <c r="K244" i="32"/>
  <c r="J244" i="32"/>
  <c r="K243" i="32"/>
  <c r="J243" i="32"/>
  <c r="K242" i="32"/>
  <c r="J242" i="32"/>
  <c r="K241" i="32"/>
  <c r="J241" i="32"/>
  <c r="K240" i="32"/>
  <c r="J240" i="32"/>
  <c r="K239" i="32"/>
  <c r="J239" i="32"/>
  <c r="K238" i="32"/>
  <c r="J238" i="32"/>
  <c r="K237" i="32"/>
  <c r="J237" i="32"/>
  <c r="K236" i="32"/>
  <c r="J236" i="32"/>
  <c r="K235" i="32"/>
  <c r="J235" i="32"/>
  <c r="K234" i="32"/>
  <c r="J234" i="32"/>
  <c r="K233" i="32"/>
  <c r="J233" i="32"/>
  <c r="K232" i="32"/>
  <c r="J232" i="32"/>
  <c r="K231" i="32"/>
  <c r="J231" i="32"/>
  <c r="K230" i="32"/>
  <c r="J230" i="32"/>
  <c r="K229" i="32"/>
  <c r="J229" i="32"/>
  <c r="K228" i="32"/>
  <c r="J228" i="32"/>
  <c r="K227" i="32"/>
  <c r="J227" i="32"/>
  <c r="K226" i="32"/>
  <c r="J226" i="32"/>
  <c r="K225" i="32"/>
  <c r="J225" i="32"/>
  <c r="K224" i="32"/>
  <c r="J224" i="32"/>
  <c r="K223" i="32"/>
  <c r="J223" i="32"/>
  <c r="K222" i="32"/>
  <c r="J222" i="32"/>
  <c r="K221" i="32"/>
  <c r="J221" i="32"/>
  <c r="K220" i="32"/>
  <c r="J220" i="32"/>
  <c r="K219" i="32"/>
  <c r="J219" i="32"/>
  <c r="K218" i="32"/>
  <c r="J218" i="32"/>
  <c r="K217" i="32"/>
  <c r="J217" i="32"/>
  <c r="K216" i="32"/>
  <c r="J216" i="32"/>
  <c r="K215" i="32"/>
  <c r="J215" i="32"/>
  <c r="K214" i="32"/>
  <c r="J214" i="32"/>
  <c r="K213" i="32"/>
  <c r="J213" i="32"/>
  <c r="K212" i="32"/>
  <c r="J212" i="32"/>
  <c r="K211" i="32"/>
  <c r="J211" i="32"/>
  <c r="K210" i="32"/>
  <c r="J210" i="32"/>
  <c r="K209" i="32"/>
  <c r="J209" i="32"/>
  <c r="K208" i="32"/>
  <c r="J208" i="32"/>
  <c r="K207" i="32"/>
  <c r="J207" i="32"/>
  <c r="K206" i="32"/>
  <c r="J206" i="32"/>
  <c r="K205" i="32"/>
  <c r="J205" i="32"/>
  <c r="K204" i="32"/>
  <c r="J204" i="32"/>
  <c r="K203" i="32"/>
  <c r="J203" i="32"/>
  <c r="K202" i="32"/>
  <c r="J202" i="32"/>
  <c r="K200" i="32"/>
  <c r="J200" i="32"/>
  <c r="K199" i="32"/>
  <c r="J199" i="32"/>
  <c r="K198" i="32"/>
  <c r="J198" i="32"/>
  <c r="K197" i="32"/>
  <c r="J197" i="32"/>
  <c r="K196" i="32"/>
  <c r="J196" i="32"/>
  <c r="K195" i="32"/>
  <c r="J195" i="32"/>
  <c r="K194" i="32"/>
  <c r="J194" i="32"/>
  <c r="K193" i="32"/>
  <c r="J193" i="32"/>
  <c r="K192" i="32"/>
  <c r="J192" i="32"/>
  <c r="K191" i="32"/>
  <c r="J191" i="32"/>
  <c r="K190" i="32"/>
  <c r="J190" i="32"/>
  <c r="K189" i="32"/>
  <c r="J189" i="32"/>
  <c r="K188" i="32"/>
  <c r="J188" i="32"/>
  <c r="K187" i="32"/>
  <c r="J187" i="32"/>
  <c r="K186" i="32"/>
  <c r="J186" i="32"/>
  <c r="K185" i="32"/>
  <c r="J185" i="32"/>
  <c r="K184" i="32"/>
  <c r="J184" i="32"/>
  <c r="K183" i="32"/>
  <c r="J183" i="32"/>
  <c r="K182" i="32"/>
  <c r="J182" i="32"/>
  <c r="K181" i="32"/>
  <c r="J181" i="32"/>
  <c r="K180" i="32"/>
  <c r="J180" i="32"/>
  <c r="K179" i="32"/>
  <c r="J179" i="32"/>
  <c r="K178" i="32"/>
  <c r="J178" i="32"/>
  <c r="K177" i="32"/>
  <c r="J177" i="32"/>
  <c r="K176" i="32"/>
  <c r="J176" i="32"/>
  <c r="K175" i="32"/>
  <c r="J175" i="32"/>
  <c r="K174" i="32"/>
  <c r="J174" i="32"/>
  <c r="K173" i="32"/>
  <c r="J173" i="32"/>
  <c r="K172" i="32"/>
  <c r="J172" i="32"/>
  <c r="K171" i="32"/>
  <c r="J171" i="32"/>
  <c r="K170" i="32"/>
  <c r="J170" i="32"/>
  <c r="K169" i="32"/>
  <c r="J169" i="32"/>
  <c r="K168" i="32"/>
  <c r="J168" i="32"/>
  <c r="K167" i="32"/>
  <c r="J167" i="32"/>
  <c r="K166" i="32"/>
  <c r="J166" i="32"/>
  <c r="K165" i="32"/>
  <c r="J165" i="32"/>
  <c r="K164" i="32"/>
  <c r="J164" i="32"/>
  <c r="K163" i="32"/>
  <c r="J163" i="32"/>
  <c r="K162" i="32"/>
  <c r="J162" i="32"/>
  <c r="K161" i="32"/>
  <c r="J161" i="32"/>
  <c r="K160" i="32"/>
  <c r="J160" i="32"/>
  <c r="K159" i="32"/>
  <c r="J159" i="32"/>
  <c r="K158" i="32"/>
  <c r="J158" i="32"/>
  <c r="K157" i="32"/>
  <c r="J157" i="32"/>
  <c r="K156" i="32"/>
  <c r="J156" i="32"/>
  <c r="K155" i="32"/>
  <c r="J155" i="32"/>
  <c r="K154" i="32"/>
  <c r="J154" i="32"/>
  <c r="K153" i="32"/>
  <c r="J153" i="32"/>
  <c r="K152" i="32"/>
  <c r="J152" i="32"/>
  <c r="K151" i="32"/>
  <c r="J151" i="32"/>
  <c r="K150" i="32"/>
  <c r="J150" i="32"/>
  <c r="K149" i="32"/>
  <c r="J149" i="32"/>
  <c r="K148" i="32"/>
  <c r="J148" i="32"/>
  <c r="K147" i="32"/>
  <c r="J147" i="32"/>
  <c r="K146" i="32"/>
  <c r="J146" i="32"/>
  <c r="K145" i="32"/>
  <c r="J145" i="32"/>
  <c r="K144" i="32"/>
  <c r="J144" i="32"/>
  <c r="K143" i="32"/>
  <c r="J143" i="32"/>
  <c r="K142" i="32"/>
  <c r="J142" i="32"/>
  <c r="O305" i="32"/>
  <c r="N305" i="32"/>
  <c r="O304" i="32"/>
  <c r="N304" i="32"/>
  <c r="O303" i="32"/>
  <c r="N303" i="32"/>
  <c r="O302" i="32"/>
  <c r="N302" i="32"/>
  <c r="O301" i="32"/>
  <c r="N301" i="32"/>
  <c r="O300" i="32"/>
  <c r="N300" i="32"/>
  <c r="O299" i="32"/>
  <c r="N299" i="32"/>
  <c r="O298" i="32"/>
  <c r="N298" i="32"/>
  <c r="O297" i="32"/>
  <c r="N297" i="32"/>
  <c r="O296" i="32"/>
  <c r="N296" i="32"/>
  <c r="O295" i="32"/>
  <c r="N295" i="32"/>
  <c r="N294" i="32"/>
  <c r="N293" i="32"/>
  <c r="N292" i="32"/>
  <c r="N291" i="32"/>
  <c r="N290" i="32"/>
  <c r="N289" i="32"/>
  <c r="N288" i="32"/>
  <c r="N287" i="32"/>
  <c r="N286" i="32"/>
  <c r="N285" i="32"/>
  <c r="N284" i="32"/>
  <c r="N283" i="32"/>
  <c r="N282" i="32"/>
  <c r="N281" i="32"/>
  <c r="N280" i="32"/>
  <c r="N279" i="32"/>
  <c r="N278" i="32"/>
  <c r="N277" i="32"/>
  <c r="N276" i="32"/>
  <c r="N275" i="32"/>
  <c r="N274" i="32"/>
  <c r="N273" i="32"/>
  <c r="N272" i="32"/>
  <c r="N271" i="32"/>
  <c r="N270" i="32"/>
  <c r="N269" i="32"/>
  <c r="N268" i="32"/>
  <c r="N267" i="32"/>
  <c r="N266" i="32"/>
  <c r="N265" i="32"/>
  <c r="N264" i="32"/>
  <c r="N263" i="32"/>
  <c r="H63" i="33" s="1"/>
  <c r="L1669" i="54" s="1"/>
  <c r="L1672" i="54" s="1"/>
  <c r="N261" i="32"/>
  <c r="N260" i="32"/>
  <c r="AP1627" i="54"/>
  <c r="N259" i="32"/>
  <c r="H59" i="33" s="1"/>
  <c r="AJ1627" i="54" s="1"/>
  <c r="N258" i="32"/>
  <c r="H58" i="33" s="1"/>
  <c r="AD1627" i="54" s="1"/>
  <c r="N257" i="32"/>
  <c r="H57" i="33" s="1"/>
  <c r="X1627" i="54" s="1"/>
  <c r="N256" i="32"/>
  <c r="H56" i="33" s="1"/>
  <c r="R1627" i="54" s="1"/>
  <c r="N255" i="32"/>
  <c r="H55" i="33" s="1"/>
  <c r="L1627" i="54" s="1"/>
  <c r="N253" i="32"/>
  <c r="N252" i="32"/>
  <c r="N251" i="32"/>
  <c r="N250" i="32"/>
  <c r="N249" i="32"/>
  <c r="N248" i="32"/>
  <c r="N247" i="32"/>
  <c r="N246" i="32"/>
  <c r="N245" i="32"/>
  <c r="N244" i="32"/>
  <c r="N243" i="32"/>
  <c r="N242" i="32"/>
  <c r="N241" i="32"/>
  <c r="N240" i="32"/>
  <c r="N239" i="32"/>
  <c r="N238" i="32"/>
  <c r="O237" i="32"/>
  <c r="O236" i="32"/>
  <c r="O235" i="32"/>
  <c r="O234" i="32"/>
  <c r="O233" i="32"/>
  <c r="O232" i="32"/>
  <c r="O231" i="32"/>
  <c r="O230" i="32"/>
  <c r="O229" i="32"/>
  <c r="O228" i="32"/>
  <c r="O227" i="32"/>
  <c r="O226" i="32"/>
  <c r="O225" i="32"/>
  <c r="O224" i="32"/>
  <c r="O223" i="32"/>
  <c r="O222" i="32"/>
  <c r="O221" i="32"/>
  <c r="O220" i="32"/>
  <c r="O219" i="32"/>
  <c r="O218" i="32"/>
  <c r="O217" i="32"/>
  <c r="O216" i="32"/>
  <c r="O215" i="32"/>
  <c r="O214" i="32"/>
  <c r="O213" i="32"/>
  <c r="O212" i="32"/>
  <c r="O211" i="32"/>
  <c r="O210" i="32"/>
  <c r="O209" i="32"/>
  <c r="O208" i="32"/>
  <c r="O207" i="32"/>
  <c r="O206" i="32"/>
  <c r="O205" i="32"/>
  <c r="O204" i="32"/>
  <c r="O203" i="32"/>
  <c r="O202" i="32"/>
  <c r="O200" i="32"/>
  <c r="O199" i="32"/>
  <c r="O198" i="32"/>
  <c r="O197" i="32"/>
  <c r="O196" i="32"/>
  <c r="O195" i="32"/>
  <c r="O194" i="32"/>
  <c r="O193" i="32"/>
  <c r="O192" i="32"/>
  <c r="O191" i="32"/>
  <c r="O190" i="32"/>
  <c r="O189" i="32"/>
  <c r="O188" i="32"/>
  <c r="O187" i="32"/>
  <c r="O186" i="32"/>
  <c r="O185" i="32"/>
  <c r="O184" i="32"/>
  <c r="O183" i="32"/>
  <c r="O182" i="32"/>
  <c r="O181" i="32"/>
  <c r="O180" i="32"/>
  <c r="O179" i="32"/>
  <c r="O178" i="32"/>
  <c r="O177" i="32"/>
  <c r="O176" i="32"/>
  <c r="O175" i="32"/>
  <c r="O174" i="32"/>
  <c r="O173" i="32"/>
  <c r="O172" i="32"/>
  <c r="O171" i="32"/>
  <c r="O170" i="32"/>
  <c r="O169" i="32"/>
  <c r="O168" i="32"/>
  <c r="O167" i="32"/>
  <c r="O166" i="32"/>
  <c r="O158" i="32"/>
  <c r="O157" i="32"/>
  <c r="O156" i="32"/>
  <c r="O155" i="32"/>
  <c r="O154" i="32"/>
  <c r="O153" i="32"/>
  <c r="O152" i="32"/>
  <c r="O151" i="32"/>
  <c r="O150" i="32"/>
  <c r="O149" i="32"/>
  <c r="O148" i="32"/>
  <c r="O147" i="32"/>
  <c r="O146" i="32"/>
  <c r="O145" i="32"/>
  <c r="O144" i="32"/>
  <c r="O143" i="32"/>
  <c r="O142" i="32"/>
  <c r="O141" i="32"/>
  <c r="O140" i="32"/>
  <c r="O139" i="32"/>
  <c r="N139" i="32"/>
  <c r="O138" i="32"/>
  <c r="N138" i="32"/>
  <c r="O137" i="32"/>
  <c r="N137" i="32"/>
  <c r="O136" i="32"/>
  <c r="N136" i="32"/>
  <c r="O135" i="32"/>
  <c r="N135" i="32"/>
  <c r="O134" i="32"/>
  <c r="N134" i="32"/>
  <c r="O133" i="32"/>
  <c r="N133" i="32"/>
  <c r="O132" i="32"/>
  <c r="N132" i="32"/>
  <c r="O131" i="32"/>
  <c r="N131" i="32"/>
  <c r="O130" i="32"/>
  <c r="N130" i="32"/>
  <c r="O129" i="32"/>
  <c r="N129" i="32"/>
  <c r="O128" i="32"/>
  <c r="N128" i="32"/>
  <c r="O127" i="32"/>
  <c r="N127" i="32"/>
  <c r="O126" i="32"/>
  <c r="N126" i="32"/>
  <c r="O125" i="32"/>
  <c r="N125" i="32"/>
  <c r="O124" i="32"/>
  <c r="N124" i="32"/>
  <c r="O123" i="32"/>
  <c r="N123" i="32"/>
  <c r="O122" i="32"/>
  <c r="N122" i="32"/>
  <c r="O121" i="32"/>
  <c r="N121" i="32"/>
  <c r="O120" i="32"/>
  <c r="N120" i="32"/>
  <c r="O119" i="32"/>
  <c r="N119" i="32"/>
  <c r="O118" i="32"/>
  <c r="N118" i="32"/>
  <c r="O117" i="32"/>
  <c r="N117" i="32"/>
  <c r="O116" i="32"/>
  <c r="N116" i="32"/>
  <c r="O115" i="32"/>
  <c r="N115" i="32"/>
  <c r="O114" i="32"/>
  <c r="N114" i="32"/>
  <c r="O113" i="32"/>
  <c r="N113" i="32"/>
  <c r="O112" i="32"/>
  <c r="N112" i="32"/>
  <c r="O111" i="32"/>
  <c r="N111" i="32"/>
  <c r="O110" i="32"/>
  <c r="N110" i="32"/>
  <c r="O109" i="32"/>
  <c r="N109" i="32"/>
  <c r="O108" i="32"/>
  <c r="N108" i="32"/>
  <c r="O107" i="32"/>
  <c r="N107" i="32"/>
  <c r="O106" i="32"/>
  <c r="N106" i="32"/>
  <c r="O105" i="32"/>
  <c r="N105" i="32"/>
  <c r="O104" i="32"/>
  <c r="N104" i="32"/>
  <c r="O103" i="32"/>
  <c r="N103" i="32"/>
  <c r="O102" i="32"/>
  <c r="N102" i="32"/>
  <c r="O101" i="32"/>
  <c r="N101" i="32"/>
  <c r="O100" i="32"/>
  <c r="N100" i="32"/>
  <c r="O99" i="32"/>
  <c r="N99" i="32"/>
  <c r="O98" i="32"/>
  <c r="N98" i="32"/>
  <c r="O97" i="32"/>
  <c r="N97" i="32"/>
  <c r="O96" i="32"/>
  <c r="N96" i="32"/>
  <c r="O95" i="32"/>
  <c r="N95" i="32"/>
  <c r="O94" i="32"/>
  <c r="N94" i="32"/>
  <c r="O93" i="32"/>
  <c r="N93" i="32"/>
  <c r="O92" i="32"/>
  <c r="N92" i="32"/>
  <c r="O91" i="32"/>
  <c r="N91" i="32"/>
  <c r="O90" i="32"/>
  <c r="N90" i="32"/>
  <c r="O89" i="32"/>
  <c r="N89" i="32"/>
  <c r="O88" i="32"/>
  <c r="N88" i="32"/>
  <c r="O87" i="32"/>
  <c r="N87" i="32"/>
  <c r="O86" i="32"/>
  <c r="N86" i="32"/>
  <c r="O85" i="32"/>
  <c r="N85" i="32"/>
  <c r="O84" i="32"/>
  <c r="N84" i="32"/>
  <c r="O83" i="32"/>
  <c r="N83" i="32"/>
  <c r="O82" i="32"/>
  <c r="N82" i="32"/>
  <c r="O81" i="32"/>
  <c r="N81" i="32"/>
  <c r="O80" i="32"/>
  <c r="N80" i="32"/>
  <c r="O79" i="32"/>
  <c r="N79" i="32"/>
  <c r="O78" i="32"/>
  <c r="N78" i="32"/>
  <c r="O77" i="32"/>
  <c r="N77" i="32"/>
  <c r="O76" i="32"/>
  <c r="N76" i="32"/>
  <c r="O75" i="32"/>
  <c r="N75" i="32"/>
  <c r="O74" i="32"/>
  <c r="N74" i="32"/>
  <c r="O73" i="32"/>
  <c r="N73" i="32"/>
  <c r="O72" i="32"/>
  <c r="N72" i="32"/>
  <c r="O71" i="32"/>
  <c r="N71" i="32"/>
  <c r="O70" i="32"/>
  <c r="N70" i="32"/>
  <c r="O69" i="32"/>
  <c r="N69" i="32"/>
  <c r="O68" i="32"/>
  <c r="N68" i="32"/>
  <c r="O67" i="32"/>
  <c r="N67" i="32"/>
  <c r="O66" i="32"/>
  <c r="N66" i="32"/>
  <c r="O65" i="32"/>
  <c r="N65" i="32"/>
  <c r="O64" i="32"/>
  <c r="N64" i="32"/>
  <c r="O63" i="32"/>
  <c r="N63" i="32"/>
  <c r="O62" i="32"/>
  <c r="N62" i="32"/>
  <c r="O61" i="32"/>
  <c r="N61" i="32"/>
  <c r="O60" i="32"/>
  <c r="N60" i="32"/>
  <c r="O59" i="32"/>
  <c r="N59" i="32"/>
  <c r="O58" i="32"/>
  <c r="N58" i="32"/>
  <c r="O57" i="32"/>
  <c r="N57" i="32"/>
  <c r="O56" i="32"/>
  <c r="N56" i="32"/>
  <c r="O55" i="32"/>
  <c r="N55" i="32"/>
  <c r="O54" i="32"/>
  <c r="N54" i="32"/>
  <c r="O53" i="32"/>
  <c r="N53" i="32"/>
  <c r="O52" i="32"/>
  <c r="N52" i="32"/>
  <c r="O51" i="32"/>
  <c r="N51" i="32"/>
  <c r="O50" i="32"/>
  <c r="N50" i="32"/>
  <c r="O49" i="32"/>
  <c r="N49" i="32"/>
  <c r="O48" i="32"/>
  <c r="N48" i="32"/>
  <c r="O47" i="32"/>
  <c r="N47" i="32"/>
  <c r="O46" i="32"/>
  <c r="N46" i="32"/>
  <c r="O45" i="32"/>
  <c r="N45" i="32"/>
  <c r="O44" i="32"/>
  <c r="N44" i="32"/>
  <c r="O43" i="32"/>
  <c r="N43" i="32"/>
  <c r="O42" i="32"/>
  <c r="N42" i="32"/>
  <c r="O41" i="32"/>
  <c r="N41" i="32"/>
  <c r="O40" i="32"/>
  <c r="N40" i="32"/>
  <c r="O39" i="32"/>
  <c r="N39" i="32"/>
  <c r="O38" i="32"/>
  <c r="N38" i="32"/>
  <c r="O37" i="32"/>
  <c r="N37" i="32"/>
  <c r="O36" i="32"/>
  <c r="N36" i="32"/>
  <c r="O35" i="32"/>
  <c r="N35" i="32"/>
  <c r="O34" i="32"/>
  <c r="N34" i="32"/>
  <c r="O33" i="32"/>
  <c r="N33" i="32"/>
  <c r="O32" i="32"/>
  <c r="N32" i="32"/>
  <c r="O31" i="32"/>
  <c r="N31" i="32"/>
  <c r="O30" i="32"/>
  <c r="N30" i="32"/>
  <c r="O29" i="32"/>
  <c r="N29" i="32"/>
  <c r="O28" i="32"/>
  <c r="N28" i="32"/>
  <c r="O27" i="32"/>
  <c r="N27" i="32"/>
  <c r="O26" i="32"/>
  <c r="N26" i="32"/>
  <c r="O25" i="32"/>
  <c r="N25" i="32"/>
  <c r="O24" i="32"/>
  <c r="N24" i="32"/>
  <c r="O23" i="32"/>
  <c r="N23" i="32"/>
  <c r="O22" i="32"/>
  <c r="N22" i="32"/>
  <c r="O21" i="32"/>
  <c r="N21" i="32"/>
  <c r="O20" i="32"/>
  <c r="N20" i="32"/>
  <c r="O19" i="32"/>
  <c r="N19" i="32"/>
  <c r="O18" i="32"/>
  <c r="N18" i="32"/>
  <c r="O17" i="32"/>
  <c r="N17" i="32"/>
  <c r="M305" i="32"/>
  <c r="M304" i="32"/>
  <c r="M303" i="32"/>
  <c r="M302" i="32"/>
  <c r="M301" i="32"/>
  <c r="M300" i="32"/>
  <c r="M299" i="32"/>
  <c r="M298" i="32"/>
  <c r="M297" i="32"/>
  <c r="M296" i="32"/>
  <c r="M295" i="32"/>
  <c r="L295" i="32"/>
  <c r="L294" i="32"/>
  <c r="L293" i="32"/>
  <c r="L292" i="32"/>
  <c r="L291" i="32"/>
  <c r="L290" i="32"/>
  <c r="L289" i="32"/>
  <c r="L288" i="32"/>
  <c r="L287" i="32"/>
  <c r="L286" i="32"/>
  <c r="L285" i="32"/>
  <c r="L284" i="32"/>
  <c r="L283" i="32"/>
  <c r="L282" i="32"/>
  <c r="L281" i="32"/>
  <c r="L280" i="32"/>
  <c r="L279" i="32"/>
  <c r="L278" i="32"/>
  <c r="L277" i="32"/>
  <c r="L276" i="32"/>
  <c r="L275" i="32"/>
  <c r="L274" i="32"/>
  <c r="L273" i="32"/>
  <c r="L272" i="32"/>
  <c r="L271" i="32"/>
  <c r="L270" i="32"/>
  <c r="L269" i="32"/>
  <c r="L268" i="32"/>
  <c r="L267" i="32"/>
  <c r="L266" i="32"/>
  <c r="L265" i="32"/>
  <c r="L264" i="32"/>
  <c r="L263" i="32"/>
  <c r="L261" i="32"/>
  <c r="L260" i="32"/>
  <c r="L259" i="32"/>
  <c r="L258" i="32"/>
  <c r="L257" i="32"/>
  <c r="L256" i="32"/>
  <c r="L255" i="32"/>
  <c r="L253" i="32"/>
  <c r="L252" i="32"/>
  <c r="L251" i="32"/>
  <c r="L250" i="32"/>
  <c r="L249" i="32"/>
  <c r="L248" i="32"/>
  <c r="L247" i="32"/>
  <c r="L246" i="32"/>
  <c r="L245" i="32"/>
  <c r="L244" i="32"/>
  <c r="L243" i="32"/>
  <c r="L242" i="32"/>
  <c r="L241" i="32"/>
  <c r="L240" i="32"/>
  <c r="L239" i="32"/>
  <c r="M237" i="32"/>
  <c r="L237" i="32"/>
  <c r="M236" i="32"/>
  <c r="L236" i="32"/>
  <c r="M235" i="32"/>
  <c r="L235" i="32"/>
  <c r="M234" i="32"/>
  <c r="L234" i="32"/>
  <c r="M233" i="32"/>
  <c r="L233" i="32"/>
  <c r="M232" i="32"/>
  <c r="L232" i="32"/>
  <c r="M231" i="32"/>
  <c r="L231" i="32"/>
  <c r="M230" i="32"/>
  <c r="L230" i="32"/>
  <c r="M229" i="32"/>
  <c r="L229" i="32"/>
  <c r="M228" i="32"/>
  <c r="L228" i="32"/>
  <c r="M227" i="32"/>
  <c r="L227" i="32"/>
  <c r="M226" i="32"/>
  <c r="L226" i="32"/>
  <c r="M225" i="32"/>
  <c r="L225" i="32"/>
  <c r="M224" i="32"/>
  <c r="L224" i="32"/>
  <c r="M223" i="32"/>
  <c r="L223" i="32"/>
  <c r="M222" i="32"/>
  <c r="L222" i="32"/>
  <c r="M221" i="32"/>
  <c r="L221" i="32"/>
  <c r="M220" i="32"/>
  <c r="L220" i="32"/>
  <c r="M219" i="32"/>
  <c r="L219" i="32"/>
  <c r="M218" i="32"/>
  <c r="L218" i="32"/>
  <c r="M217" i="32"/>
  <c r="L217" i="32"/>
  <c r="M216" i="32"/>
  <c r="L216" i="32"/>
  <c r="M215" i="32"/>
  <c r="L215" i="32"/>
  <c r="M214" i="32"/>
  <c r="L214" i="32"/>
  <c r="M213" i="32"/>
  <c r="L213" i="32"/>
  <c r="M212" i="32"/>
  <c r="L212" i="32"/>
  <c r="M211" i="32"/>
  <c r="L211" i="32"/>
  <c r="M210" i="32"/>
  <c r="L210" i="32"/>
  <c r="M209" i="32"/>
  <c r="L209" i="32"/>
  <c r="M208" i="32"/>
  <c r="L208" i="32"/>
  <c r="M207" i="32"/>
  <c r="L207" i="32"/>
  <c r="M206" i="32"/>
  <c r="L206" i="32"/>
  <c r="M205" i="32"/>
  <c r="L205" i="32"/>
  <c r="M204" i="32"/>
  <c r="L204" i="32"/>
  <c r="M203" i="32"/>
  <c r="L203" i="32"/>
  <c r="M202" i="32"/>
  <c r="L202" i="32"/>
  <c r="M200" i="32"/>
  <c r="L200" i="32"/>
  <c r="M199" i="32"/>
  <c r="L199" i="32"/>
  <c r="M198" i="32"/>
  <c r="L198" i="32"/>
  <c r="M197" i="32"/>
  <c r="L197" i="32"/>
  <c r="M196" i="32"/>
  <c r="L196" i="32"/>
  <c r="M195" i="32"/>
  <c r="L195" i="32"/>
  <c r="M194" i="32"/>
  <c r="L194" i="32"/>
  <c r="M193" i="32"/>
  <c r="L193" i="32"/>
  <c r="M192" i="32"/>
  <c r="L192" i="32"/>
  <c r="M191" i="32"/>
  <c r="L191" i="32"/>
  <c r="M190" i="32"/>
  <c r="L190" i="32"/>
  <c r="M189" i="32"/>
  <c r="L189" i="32"/>
  <c r="M188" i="32"/>
  <c r="L188" i="32"/>
  <c r="M187" i="32"/>
  <c r="L187" i="32"/>
  <c r="M186" i="32"/>
  <c r="L186" i="32"/>
  <c r="M185" i="32"/>
  <c r="L185" i="32"/>
  <c r="M184" i="32"/>
  <c r="L184" i="32"/>
  <c r="M183" i="32"/>
  <c r="L183" i="32"/>
  <c r="M182" i="32"/>
  <c r="L182" i="32"/>
  <c r="M181" i="32"/>
  <c r="L181" i="32"/>
  <c r="M180" i="32"/>
  <c r="L180" i="32"/>
  <c r="M179" i="32"/>
  <c r="L179" i="32"/>
  <c r="M178" i="32"/>
  <c r="L178" i="32"/>
  <c r="M177" i="32"/>
  <c r="L177" i="32"/>
  <c r="M176" i="32"/>
  <c r="L176" i="32"/>
  <c r="M175" i="32"/>
  <c r="L175" i="32"/>
  <c r="M174" i="32"/>
  <c r="L174" i="32"/>
  <c r="M173" i="32"/>
  <c r="L173" i="32"/>
  <c r="M172" i="32"/>
  <c r="L172" i="32"/>
  <c r="M171" i="32"/>
  <c r="L171" i="32"/>
  <c r="M170" i="32"/>
  <c r="L170" i="32"/>
  <c r="M169" i="32"/>
  <c r="L169" i="32"/>
  <c r="M168" i="32"/>
  <c r="L168" i="32"/>
  <c r="M167" i="32"/>
  <c r="L167" i="32"/>
  <c r="M166" i="32"/>
  <c r="L166" i="32"/>
  <c r="M165" i="32"/>
  <c r="L165" i="32"/>
  <c r="M164" i="32"/>
  <c r="L164" i="32"/>
  <c r="M163" i="32"/>
  <c r="L163" i="32"/>
  <c r="M162" i="32"/>
  <c r="L162" i="32"/>
  <c r="M161" i="32"/>
  <c r="L161" i="32"/>
  <c r="M160" i="32"/>
  <c r="L160" i="32"/>
  <c r="M159" i="32"/>
  <c r="L159" i="32"/>
  <c r="M158" i="32"/>
  <c r="L158" i="32"/>
  <c r="M157" i="32"/>
  <c r="L157" i="32"/>
  <c r="M156" i="32"/>
  <c r="L156" i="32"/>
  <c r="M155" i="32"/>
  <c r="L155" i="32"/>
  <c r="M154" i="32"/>
  <c r="L154" i="32"/>
  <c r="M153" i="32"/>
  <c r="L153" i="32"/>
  <c r="M152" i="32"/>
  <c r="L152" i="32"/>
  <c r="M151" i="32"/>
  <c r="L151" i="32"/>
  <c r="M150" i="32"/>
  <c r="L150" i="32"/>
  <c r="M149" i="32"/>
  <c r="L149" i="32"/>
  <c r="M148" i="32"/>
  <c r="L148" i="32"/>
  <c r="M147" i="32"/>
  <c r="L147" i="32"/>
  <c r="M146" i="32"/>
  <c r="L146" i="32"/>
  <c r="M145" i="32"/>
  <c r="L145" i="32"/>
  <c r="M144" i="32"/>
  <c r="L144" i="32"/>
  <c r="M143" i="32"/>
  <c r="L143" i="32"/>
  <c r="M142" i="32"/>
  <c r="L142" i="32"/>
  <c r="M141" i="32"/>
  <c r="L141" i="32"/>
  <c r="M140" i="32"/>
  <c r="L140" i="32"/>
  <c r="M139" i="32"/>
  <c r="L139" i="32"/>
  <c r="M138" i="32"/>
  <c r="L138" i="32"/>
  <c r="M137" i="32"/>
  <c r="L137" i="32"/>
  <c r="M136" i="32"/>
  <c r="L136" i="32"/>
  <c r="M135" i="32"/>
  <c r="L135" i="32"/>
  <c r="M134" i="32"/>
  <c r="L134" i="32"/>
  <c r="M133" i="32"/>
  <c r="L133" i="32"/>
  <c r="M132" i="32"/>
  <c r="L132" i="32"/>
  <c r="M131" i="32"/>
  <c r="L131" i="32"/>
  <c r="M130" i="32"/>
  <c r="L130" i="32"/>
  <c r="M129" i="32"/>
  <c r="L129" i="32"/>
  <c r="M128" i="32"/>
  <c r="L128" i="32"/>
  <c r="M127" i="32"/>
  <c r="L127" i="32"/>
  <c r="M126" i="32"/>
  <c r="L126" i="32"/>
  <c r="M125" i="32"/>
  <c r="L125" i="32"/>
  <c r="M124" i="32"/>
  <c r="L124" i="32"/>
  <c r="M123" i="32"/>
  <c r="L123" i="32"/>
  <c r="M122" i="32"/>
  <c r="L122" i="32"/>
  <c r="M121" i="32"/>
  <c r="L121" i="32"/>
  <c r="M120" i="32"/>
  <c r="L120" i="32"/>
  <c r="M119" i="32"/>
  <c r="L119" i="32"/>
  <c r="M118" i="32"/>
  <c r="L118" i="32"/>
  <c r="M117" i="32"/>
  <c r="L117" i="32"/>
  <c r="M116" i="32"/>
  <c r="L116" i="32"/>
  <c r="M115" i="32"/>
  <c r="L115" i="32"/>
  <c r="M114" i="32"/>
  <c r="L114" i="32"/>
  <c r="M113" i="32"/>
  <c r="L113" i="32"/>
  <c r="M112" i="32"/>
  <c r="L112" i="32"/>
  <c r="M111" i="32"/>
  <c r="L111" i="32"/>
  <c r="M110" i="32"/>
  <c r="L110" i="32"/>
  <c r="M109" i="32"/>
  <c r="L109" i="32"/>
  <c r="M108" i="32"/>
  <c r="L108" i="32"/>
  <c r="M107" i="32"/>
  <c r="L107" i="32"/>
  <c r="M106" i="32"/>
  <c r="L106" i="32"/>
  <c r="M105" i="32"/>
  <c r="L105" i="32"/>
  <c r="M104" i="32"/>
  <c r="L104" i="32"/>
  <c r="M103" i="32"/>
  <c r="L103" i="32"/>
  <c r="M102" i="32"/>
  <c r="L102" i="32"/>
  <c r="M101" i="32"/>
  <c r="L101" i="32"/>
  <c r="M100" i="32"/>
  <c r="L100" i="32"/>
  <c r="M99" i="32"/>
  <c r="L99" i="32"/>
  <c r="M98" i="32"/>
  <c r="L98" i="32"/>
  <c r="M97" i="32"/>
  <c r="L97" i="32"/>
  <c r="M96" i="32"/>
  <c r="L96" i="32"/>
  <c r="M95" i="32"/>
  <c r="L95" i="32"/>
  <c r="M94" i="32"/>
  <c r="L94" i="32"/>
  <c r="M93" i="32"/>
  <c r="L93" i="32"/>
  <c r="M92" i="32"/>
  <c r="L92" i="32"/>
  <c r="M91" i="32"/>
  <c r="L91" i="32"/>
  <c r="M90" i="32"/>
  <c r="L90" i="32"/>
  <c r="M89" i="32"/>
  <c r="L89" i="32"/>
  <c r="M88" i="32"/>
  <c r="L88" i="32"/>
  <c r="M87" i="32"/>
  <c r="L87" i="32"/>
  <c r="M86" i="32"/>
  <c r="L86" i="32"/>
  <c r="M85" i="32"/>
  <c r="L85" i="32"/>
  <c r="M84" i="32"/>
  <c r="L84" i="32"/>
  <c r="M83" i="32"/>
  <c r="L83" i="32"/>
  <c r="M82" i="32"/>
  <c r="L82" i="32"/>
  <c r="M81" i="32"/>
  <c r="L81" i="32"/>
  <c r="M80" i="32"/>
  <c r="L80" i="32"/>
  <c r="M79" i="32"/>
  <c r="L79" i="32"/>
  <c r="M78" i="32"/>
  <c r="L78" i="32"/>
  <c r="M77" i="32"/>
  <c r="L77" i="32"/>
  <c r="M76" i="32"/>
  <c r="L76" i="32"/>
  <c r="M75" i="32"/>
  <c r="L75" i="32"/>
  <c r="M74" i="32"/>
  <c r="L74" i="32"/>
  <c r="M73" i="32"/>
  <c r="L73" i="32"/>
  <c r="M72" i="32"/>
  <c r="L72" i="32"/>
  <c r="M71" i="32"/>
  <c r="L71" i="32"/>
  <c r="M70" i="32"/>
  <c r="L70" i="32"/>
  <c r="M69" i="32"/>
  <c r="L69" i="32"/>
  <c r="M68" i="32"/>
  <c r="L68" i="32"/>
  <c r="M67" i="32"/>
  <c r="L67" i="32"/>
  <c r="M66" i="32"/>
  <c r="L66" i="32"/>
  <c r="M65" i="32"/>
  <c r="L65" i="32"/>
  <c r="M64" i="32"/>
  <c r="L64" i="32"/>
  <c r="M63" i="32"/>
  <c r="L63" i="32"/>
  <c r="M62" i="32"/>
  <c r="L62" i="32"/>
  <c r="M61" i="32"/>
  <c r="L61" i="32"/>
  <c r="M60" i="32"/>
  <c r="L60" i="32"/>
  <c r="M59" i="32"/>
  <c r="L59" i="32"/>
  <c r="M58" i="32"/>
  <c r="L58" i="32"/>
  <c r="M57" i="32"/>
  <c r="L57" i="32"/>
  <c r="M56" i="32"/>
  <c r="L56" i="32"/>
  <c r="M55" i="32"/>
  <c r="L55" i="32"/>
  <c r="M54" i="32"/>
  <c r="L54" i="32"/>
  <c r="M53" i="32"/>
  <c r="L53" i="32"/>
  <c r="M52" i="32"/>
  <c r="L52" i="32"/>
  <c r="M51" i="32"/>
  <c r="L51" i="32"/>
  <c r="M50" i="32"/>
  <c r="L50" i="32"/>
  <c r="M49" i="32"/>
  <c r="L49" i="32"/>
  <c r="M48" i="32"/>
  <c r="L48" i="32"/>
  <c r="M47" i="32"/>
  <c r="L47" i="32"/>
  <c r="M46" i="32"/>
  <c r="L46" i="32"/>
  <c r="M45" i="32"/>
  <c r="L45" i="32"/>
  <c r="M44" i="32"/>
  <c r="L44" i="32"/>
  <c r="M43" i="32"/>
  <c r="L43" i="32"/>
  <c r="M42" i="32"/>
  <c r="L42" i="32"/>
  <c r="M41" i="32"/>
  <c r="L41" i="32"/>
  <c r="M40" i="32"/>
  <c r="L40" i="32"/>
  <c r="M39" i="32"/>
  <c r="L39" i="32"/>
  <c r="M38" i="32"/>
  <c r="L38" i="32"/>
  <c r="M37" i="32"/>
  <c r="L37" i="32"/>
  <c r="M36" i="32"/>
  <c r="L36" i="32"/>
  <c r="M35" i="32"/>
  <c r="L35" i="32"/>
  <c r="M34" i="32"/>
  <c r="L34" i="32"/>
  <c r="M33" i="32"/>
  <c r="L33" i="32"/>
  <c r="M32" i="32"/>
  <c r="L32" i="32"/>
  <c r="M31" i="32"/>
  <c r="L31" i="32"/>
  <c r="M30" i="32"/>
  <c r="L30" i="32"/>
  <c r="M29" i="32"/>
  <c r="L29" i="32"/>
  <c r="M28" i="32"/>
  <c r="L28" i="32"/>
  <c r="M27" i="32"/>
  <c r="L27" i="32"/>
  <c r="M26" i="32"/>
  <c r="L26" i="32"/>
  <c r="M25" i="32"/>
  <c r="L25" i="32"/>
  <c r="M24" i="32"/>
  <c r="L24" i="32"/>
  <c r="M23" i="32"/>
  <c r="L23" i="32"/>
  <c r="M22" i="32"/>
  <c r="L22" i="32"/>
  <c r="M21" i="32"/>
  <c r="L21" i="32"/>
  <c r="M20" i="32"/>
  <c r="L20" i="32"/>
  <c r="M19" i="32"/>
  <c r="L19" i="32"/>
  <c r="M18" i="32"/>
  <c r="L18" i="32"/>
  <c r="M17" i="32"/>
  <c r="L17" i="32"/>
  <c r="C303" i="32"/>
  <c r="C302" i="32"/>
  <c r="C304" i="32"/>
  <c r="C301" i="32"/>
  <c r="C300" i="32"/>
  <c r="C299" i="32"/>
  <c r="C298" i="32"/>
  <c r="C297" i="32"/>
  <c r="C296" i="32"/>
  <c r="C260" i="32"/>
  <c r="C239" i="32"/>
  <c r="C237" i="32"/>
  <c r="C158" i="32"/>
  <c r="C138" i="32"/>
  <c r="C120" i="32"/>
  <c r="C51" i="32"/>
  <c r="E158" i="32" l="1"/>
  <c r="K85" i="4" l="1"/>
  <c r="J85" i="4"/>
  <c r="K82" i="4"/>
  <c r="J82" i="4"/>
  <c r="K78" i="4"/>
  <c r="J78" i="4"/>
  <c r="K68" i="4"/>
  <c r="J68" i="4"/>
  <c r="O85" i="4"/>
  <c r="N85" i="4"/>
  <c r="O82" i="4"/>
  <c r="N82" i="4"/>
  <c r="N78" i="4"/>
  <c r="O68" i="4"/>
  <c r="O58" i="4"/>
  <c r="N58" i="4"/>
  <c r="O21" i="4"/>
  <c r="N21" i="4"/>
  <c r="M85" i="4"/>
  <c r="M82" i="4"/>
  <c r="L78" i="4"/>
  <c r="M68" i="4"/>
  <c r="M58" i="4"/>
  <c r="L58" i="4"/>
  <c r="M21" i="4"/>
  <c r="L21" i="4"/>
  <c r="C305" i="32"/>
  <c r="C295" i="32"/>
  <c r="C294" i="32"/>
  <c r="C293" i="32"/>
  <c r="C292" i="32"/>
  <c r="C291" i="32"/>
  <c r="C290" i="32"/>
  <c r="C289" i="32"/>
  <c r="C288" i="32"/>
  <c r="C287" i="32"/>
  <c r="C286" i="32"/>
  <c r="C285" i="32"/>
  <c r="C284" i="32"/>
  <c r="C283" i="32"/>
  <c r="C282" i="32"/>
  <c r="C281" i="32"/>
  <c r="C280" i="32"/>
  <c r="C279" i="32"/>
  <c r="C278" i="32"/>
  <c r="C277" i="32"/>
  <c r="C276" i="32"/>
  <c r="C275" i="32"/>
  <c r="C274" i="32"/>
  <c r="C273" i="32"/>
  <c r="C272" i="32"/>
  <c r="C271" i="32"/>
  <c r="C270" i="32"/>
  <c r="C269" i="32"/>
  <c r="C268" i="32"/>
  <c r="C267" i="32"/>
  <c r="C266" i="32"/>
  <c r="C265" i="32"/>
  <c r="C264" i="32"/>
  <c r="C263" i="32"/>
  <c r="C262" i="32"/>
  <c r="C261" i="32"/>
  <c r="C259" i="32"/>
  <c r="C258" i="32"/>
  <c r="C257" i="32"/>
  <c r="C256" i="32"/>
  <c r="C255" i="32"/>
  <c r="C254" i="32"/>
  <c r="C253" i="32"/>
  <c r="C252" i="32"/>
  <c r="C251" i="32"/>
  <c r="C250" i="32"/>
  <c r="C249" i="32"/>
  <c r="C248" i="32"/>
  <c r="C247" i="32"/>
  <c r="C246" i="32"/>
  <c r="C245" i="32"/>
  <c r="C244" i="32"/>
  <c r="C243" i="32"/>
  <c r="C242" i="32"/>
  <c r="C241" i="32"/>
  <c r="C240" i="32"/>
  <c r="C238" i="32"/>
  <c r="C236" i="32"/>
  <c r="C235" i="32"/>
  <c r="C234" i="32"/>
  <c r="C233" i="32"/>
  <c r="C232" i="32"/>
  <c r="C231" i="32"/>
  <c r="C230" i="32"/>
  <c r="C229" i="32"/>
  <c r="C228" i="32"/>
  <c r="C227" i="32"/>
  <c r="C226" i="32"/>
  <c r="C225" i="32"/>
  <c r="C224" i="32"/>
  <c r="C223" i="32"/>
  <c r="C222" i="32"/>
  <c r="C221" i="32"/>
  <c r="C220" i="32"/>
  <c r="C219" i="32"/>
  <c r="C218" i="32"/>
  <c r="C217" i="32"/>
  <c r="C216" i="32"/>
  <c r="C215" i="32"/>
  <c r="C214" i="32"/>
  <c r="C213" i="32"/>
  <c r="C212" i="32"/>
  <c r="C211" i="32"/>
  <c r="C210" i="32"/>
  <c r="C209" i="32"/>
  <c r="C208" i="32"/>
  <c r="C207" i="32"/>
  <c r="C206" i="32"/>
  <c r="C205" i="32"/>
  <c r="C204" i="32"/>
  <c r="C203" i="32"/>
  <c r="C202" i="32"/>
  <c r="C200" i="32"/>
  <c r="C199" i="32"/>
  <c r="C198" i="32"/>
  <c r="C197" i="32"/>
  <c r="C196" i="32"/>
  <c r="C195" i="32"/>
  <c r="C194" i="32"/>
  <c r="C193" i="32"/>
  <c r="C192" i="32"/>
  <c r="C191" i="32"/>
  <c r="C190" i="32"/>
  <c r="C189" i="32"/>
  <c r="C188" i="32"/>
  <c r="C187" i="32"/>
  <c r="C186" i="32"/>
  <c r="C185" i="32"/>
  <c r="C184" i="32"/>
  <c r="C183" i="32"/>
  <c r="C182" i="32"/>
  <c r="C181" i="32"/>
  <c r="C180" i="32"/>
  <c r="C179" i="32"/>
  <c r="C178" i="32"/>
  <c r="C177" i="32"/>
  <c r="C176" i="32"/>
  <c r="C175" i="32"/>
  <c r="C174" i="32"/>
  <c r="C173" i="32"/>
  <c r="C172" i="32"/>
  <c r="C171" i="32"/>
  <c r="C170" i="32"/>
  <c r="C169" i="32"/>
  <c r="C168" i="32"/>
  <c r="C167" i="32"/>
  <c r="C166" i="32"/>
  <c r="C165" i="32"/>
  <c r="C164" i="32"/>
  <c r="C163" i="32"/>
  <c r="C162" i="32"/>
  <c r="C161" i="32"/>
  <c r="C160" i="32"/>
  <c r="C159" i="32"/>
  <c r="C157" i="32"/>
  <c r="C156" i="32"/>
  <c r="C155" i="32"/>
  <c r="C154" i="32"/>
  <c r="C153" i="32"/>
  <c r="C152" i="32"/>
  <c r="C151" i="32"/>
  <c r="C150" i="32"/>
  <c r="C149" i="32"/>
  <c r="C148" i="32"/>
  <c r="C147" i="32"/>
  <c r="C146" i="32"/>
  <c r="C145" i="32"/>
  <c r="C144" i="32"/>
  <c r="C143" i="32"/>
  <c r="C142" i="32"/>
  <c r="C141" i="32"/>
  <c r="C140" i="32"/>
  <c r="C139" i="32"/>
  <c r="C137" i="32"/>
  <c r="C136" i="32"/>
  <c r="C135" i="32"/>
  <c r="C134" i="32"/>
  <c r="C133" i="32"/>
  <c r="C132" i="32"/>
  <c r="C131" i="32"/>
  <c r="C130" i="32"/>
  <c r="C129" i="32"/>
  <c r="C128" i="32"/>
  <c r="C127" i="32"/>
  <c r="C126" i="32"/>
  <c r="C125" i="32"/>
  <c r="C124" i="32"/>
  <c r="C123" i="32"/>
  <c r="C122" i="32"/>
  <c r="C121" i="32"/>
  <c r="C119" i="32"/>
  <c r="C118" i="32"/>
  <c r="C117" i="32"/>
  <c r="C116" i="32"/>
  <c r="C115" i="32"/>
  <c r="C114" i="32"/>
  <c r="C113" i="32"/>
  <c r="C112" i="32"/>
  <c r="C111" i="32"/>
  <c r="C110" i="32"/>
  <c r="C109" i="32"/>
  <c r="C108" i="32"/>
  <c r="C107" i="32"/>
  <c r="C106" i="32"/>
  <c r="C105" i="32"/>
  <c r="C104" i="32"/>
  <c r="C103" i="32"/>
  <c r="C102" i="32"/>
  <c r="C101" i="32"/>
  <c r="C100" i="32"/>
  <c r="C99" i="32"/>
  <c r="C98" i="32"/>
  <c r="C97" i="32"/>
  <c r="C96" i="32"/>
  <c r="C95" i="32"/>
  <c r="C94" i="32"/>
  <c r="C93" i="32"/>
  <c r="C92" i="32"/>
  <c r="C91" i="32"/>
  <c r="C90" i="32"/>
  <c r="C89" i="32"/>
  <c r="C88" i="32"/>
  <c r="C87" i="32"/>
  <c r="C86" i="32"/>
  <c r="C85" i="32"/>
  <c r="C84" i="32"/>
  <c r="C83" i="32"/>
  <c r="C82" i="32"/>
  <c r="C81" i="32"/>
  <c r="C80" i="32"/>
  <c r="C79" i="32"/>
  <c r="C78" i="32"/>
  <c r="C77" i="32"/>
  <c r="C76" i="32"/>
  <c r="C75" i="32"/>
  <c r="C74" i="32"/>
  <c r="C73" i="32"/>
  <c r="C72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K58" i="54" l="1"/>
  <c r="K62" i="54" s="1"/>
  <c r="K58" i="28"/>
  <c r="K62" i="28" s="1"/>
  <c r="E58" i="54"/>
  <c r="E62" i="54" s="1"/>
  <c r="E58" i="28"/>
  <c r="E62" i="28" s="1"/>
  <c r="BJ62" i="54" l="1"/>
  <c r="AC18" i="51"/>
  <c r="AC22" i="51" s="1"/>
  <c r="AC18" i="5"/>
  <c r="AC22" i="5" s="1"/>
  <c r="C16" i="4"/>
  <c r="E167" i="32"/>
  <c r="E46" i="32"/>
  <c r="D46" i="32"/>
  <c r="E45" i="32"/>
  <c r="D45" i="32"/>
  <c r="G45" i="32" l="1"/>
  <c r="K45" i="32" s="1"/>
  <c r="F45" i="32"/>
  <c r="J45" i="32" s="1"/>
  <c r="H474" i="33" s="1"/>
  <c r="F46" i="32"/>
  <c r="J46" i="32" s="1"/>
  <c r="H475" i="33" s="1"/>
  <c r="G46" i="32"/>
  <c r="K46" i="32" s="1"/>
  <c r="D20" i="32"/>
  <c r="E189" i="32"/>
  <c r="E190" i="32"/>
  <c r="E191" i="32"/>
  <c r="E192" i="32"/>
  <c r="E193" i="32"/>
  <c r="E196" i="32"/>
  <c r="E198" i="32"/>
  <c r="E199" i="32"/>
  <c r="E200" i="32"/>
  <c r="E206" i="32"/>
  <c r="E208" i="32"/>
  <c r="E214" i="32"/>
  <c r="E215" i="32"/>
  <c r="E227" i="32"/>
  <c r="E234" i="32"/>
  <c r="E235" i="32"/>
  <c r="E236" i="32"/>
  <c r="D241" i="32"/>
  <c r="D242" i="32"/>
  <c r="D243" i="32"/>
  <c r="D244" i="32"/>
  <c r="D246" i="32"/>
  <c r="D247" i="32"/>
  <c r="D248" i="32"/>
  <c r="D249" i="32"/>
  <c r="D251" i="32"/>
  <c r="D253" i="32"/>
  <c r="D255" i="32"/>
  <c r="D256" i="32"/>
  <c r="D257" i="32"/>
  <c r="D258" i="32"/>
  <c r="E263" i="32"/>
  <c r="D266" i="32"/>
  <c r="D269" i="32"/>
  <c r="D270" i="32"/>
  <c r="D271" i="32"/>
  <c r="D272" i="32"/>
  <c r="D274" i="32"/>
  <c r="D275" i="32"/>
  <c r="D277" i="32"/>
  <c r="D278" i="32"/>
  <c r="D279" i="32"/>
  <c r="D280" i="32"/>
  <c r="D283" i="32"/>
  <c r="D289" i="32"/>
  <c r="E31" i="32"/>
  <c r="E173" i="32"/>
  <c r="E174" i="32"/>
  <c r="E175" i="32"/>
  <c r="E181" i="32"/>
  <c r="E183" i="32"/>
  <c r="E184" i="32"/>
  <c r="E185" i="32"/>
  <c r="E186" i="32"/>
  <c r="E188" i="32"/>
  <c r="BG76" i="28"/>
  <c r="BG90" i="28"/>
  <c r="BG104" i="28"/>
  <c r="BH230" i="28"/>
  <c r="BH258" i="28"/>
  <c r="BH272" i="28"/>
  <c r="BH314" i="28"/>
  <c r="BH328" i="28"/>
  <c r="BH342" i="28"/>
  <c r="BH384" i="28"/>
  <c r="E35" i="32"/>
  <c r="E53" i="32"/>
  <c r="E55" i="32"/>
  <c r="E56" i="32"/>
  <c r="E57" i="32"/>
  <c r="E58" i="32"/>
  <c r="E59" i="32"/>
  <c r="E60" i="32"/>
  <c r="E61" i="32"/>
  <c r="E75" i="32"/>
  <c r="E87" i="32"/>
  <c r="E89" i="32"/>
  <c r="E101" i="32"/>
  <c r="E102" i="32"/>
  <c r="E103" i="32"/>
  <c r="BH678" i="28"/>
  <c r="E106" i="32"/>
  <c r="BH734" i="28"/>
  <c r="E143" i="32"/>
  <c r="E144" i="32"/>
  <c r="E145" i="32"/>
  <c r="E146" i="32"/>
  <c r="E148" i="32"/>
  <c r="E149" i="32"/>
  <c r="E150" i="32"/>
  <c r="E153" i="32"/>
  <c r="E157" i="32"/>
  <c r="D163" i="32"/>
  <c r="D259" i="32"/>
  <c r="E88" i="32"/>
  <c r="R367" i="54" l="1"/>
  <c r="R370" i="54" s="1"/>
  <c r="L367" i="54"/>
  <c r="L370" i="54" s="1"/>
  <c r="D19" i="32"/>
  <c r="BG62" i="28"/>
  <c r="E156" i="32"/>
  <c r="BH1042" i="28"/>
  <c r="E119" i="32"/>
  <c r="BH790" i="28"/>
  <c r="E34" i="32"/>
  <c r="BH244" i="28"/>
  <c r="E42" i="32"/>
  <c r="E40" i="32"/>
  <c r="E36" i="32"/>
  <c r="E33" i="32"/>
  <c r="D22" i="32"/>
  <c r="E111" i="32"/>
  <c r="E104" i="32"/>
  <c r="E48" i="32"/>
  <c r="E41" i="32"/>
  <c r="E37" i="32"/>
  <c r="D23" i="32"/>
  <c r="D21" i="32"/>
  <c r="E748" i="54" l="1"/>
  <c r="BJ748" i="54" s="1"/>
  <c r="E748" i="28"/>
  <c r="K371" i="54"/>
  <c r="J371" i="54"/>
  <c r="L371" i="54"/>
  <c r="P371" i="54"/>
  <c r="R371" i="54"/>
  <c r="Q371" i="54"/>
  <c r="X370" i="28" l="1"/>
  <c r="E47" i="32" s="1"/>
  <c r="F146" i="28"/>
  <c r="E1108" i="54" l="1"/>
  <c r="E1112" i="54" s="1"/>
  <c r="E1108" i="28"/>
  <c r="E1112" i="28" s="1"/>
  <c r="E1122" i="28"/>
  <c r="E1126" i="28" s="1"/>
  <c r="E1122" i="54"/>
  <c r="E1126" i="54" s="1"/>
  <c r="BJ1126" i="54" s="1"/>
  <c r="F842" i="54"/>
  <c r="F846" i="54" s="1"/>
  <c r="BK846" i="54" s="1"/>
  <c r="F842" i="28"/>
  <c r="F846" i="28" s="1"/>
  <c r="L856" i="54"/>
  <c r="L860" i="54" s="1"/>
  <c r="L856" i="28"/>
  <c r="L860" i="28" s="1"/>
  <c r="X856" i="54"/>
  <c r="X860" i="54" s="1"/>
  <c r="X856" i="28"/>
  <c r="X860" i="28" s="1"/>
  <c r="F884" i="54"/>
  <c r="F884" i="28"/>
  <c r="F888" i="28" s="1"/>
  <c r="K1136" i="28"/>
  <c r="K1140" i="28" s="1"/>
  <c r="K1136" i="54"/>
  <c r="K1140" i="54" s="1"/>
  <c r="F58" i="28"/>
  <c r="F62" i="28" s="1"/>
  <c r="F63" i="28" s="1"/>
  <c r="F58" i="54"/>
  <c r="F62" i="54" s="1"/>
  <c r="F828" i="28"/>
  <c r="F832" i="28" s="1"/>
  <c r="F828" i="54"/>
  <c r="F832" i="54" s="1"/>
  <c r="K1108" i="54"/>
  <c r="K1112" i="54" s="1"/>
  <c r="K1108" i="28"/>
  <c r="K1112" i="28" s="1"/>
  <c r="E1136" i="54"/>
  <c r="E1140" i="54" s="1"/>
  <c r="E1136" i="28"/>
  <c r="E1140" i="28" s="1"/>
  <c r="E1150" i="54"/>
  <c r="E1154" i="54" s="1"/>
  <c r="BJ1154" i="54" s="1"/>
  <c r="E1150" i="28"/>
  <c r="E1154" i="28" s="1"/>
  <c r="L58" i="28"/>
  <c r="L62" i="28" s="1"/>
  <c r="J63" i="28" s="1"/>
  <c r="L58" i="54"/>
  <c r="L62" i="54" s="1"/>
  <c r="L828" i="28"/>
  <c r="L832" i="28" s="1"/>
  <c r="L828" i="54"/>
  <c r="L832" i="54" s="1"/>
  <c r="F856" i="54"/>
  <c r="F860" i="54" s="1"/>
  <c r="F856" i="28"/>
  <c r="F860" i="28" s="1"/>
  <c r="R856" i="54"/>
  <c r="R860" i="54" s="1"/>
  <c r="R856" i="28"/>
  <c r="R860" i="28" s="1"/>
  <c r="F870" i="28"/>
  <c r="F874" i="28" s="1"/>
  <c r="F870" i="54"/>
  <c r="F874" i="54" s="1"/>
  <c r="BK874" i="54" s="1"/>
  <c r="K63" i="28" l="1"/>
  <c r="E63" i="28"/>
  <c r="BH62" i="28"/>
  <c r="L63" i="28"/>
  <c r="E19" i="32"/>
  <c r="G19" i="32" s="1"/>
  <c r="K19" i="32" s="1"/>
  <c r="D63" i="28"/>
  <c r="BJ1140" i="54"/>
  <c r="BK860" i="54"/>
  <c r="BJ1112" i="54"/>
  <c r="BK832" i="54"/>
  <c r="BK62" i="54"/>
  <c r="L1113" i="54"/>
  <c r="K1113" i="54"/>
  <c r="J1113" i="54"/>
  <c r="L1141" i="28"/>
  <c r="K1141" i="28"/>
  <c r="J1141" i="28"/>
  <c r="E1127" i="28"/>
  <c r="D1127" i="28"/>
  <c r="F1127" i="28"/>
  <c r="K63" i="54"/>
  <c r="J63" i="54"/>
  <c r="L63" i="54"/>
  <c r="D1155" i="28"/>
  <c r="F1155" i="28"/>
  <c r="E1155" i="28"/>
  <c r="D1141" i="28"/>
  <c r="F1141" i="28"/>
  <c r="E1141" i="28"/>
  <c r="K1113" i="28"/>
  <c r="J1113" i="28"/>
  <c r="L1113" i="28"/>
  <c r="F63" i="54"/>
  <c r="D63" i="54"/>
  <c r="E63" i="54"/>
  <c r="D1113" i="28"/>
  <c r="F1113" i="28"/>
  <c r="E1113" i="28"/>
  <c r="E20" i="32"/>
  <c r="F20" i="32" s="1"/>
  <c r="J20" i="32" s="1"/>
  <c r="D167" i="32"/>
  <c r="G167" i="32" s="1"/>
  <c r="F19" i="32" l="1"/>
  <c r="J19" i="32" s="1"/>
  <c r="F167" i="32"/>
  <c r="N167" i="32" s="1"/>
  <c r="H191" i="33" s="1"/>
  <c r="G20" i="32"/>
  <c r="K20" i="32" s="1"/>
  <c r="E10" i="6" l="1"/>
  <c r="E8" i="6"/>
  <c r="E6" i="6"/>
  <c r="E2" i="6"/>
  <c r="C459" i="11" l="1"/>
  <c r="C458" i="11"/>
  <c r="C457" i="11"/>
  <c r="C456" i="11"/>
  <c r="C455" i="11"/>
  <c r="C436" i="11"/>
  <c r="C435" i="11"/>
  <c r="C434" i="11"/>
  <c r="C433" i="11"/>
  <c r="C432" i="11"/>
  <c r="C431" i="11"/>
  <c r="C430" i="11"/>
  <c r="C421" i="11"/>
  <c r="C420" i="11"/>
  <c r="C419" i="11"/>
  <c r="C418" i="11"/>
  <c r="C417" i="11"/>
  <c r="C416" i="11"/>
  <c r="C415" i="11"/>
  <c r="C414" i="11"/>
  <c r="C413" i="11"/>
  <c r="C412" i="11"/>
  <c r="C411" i="11"/>
  <c r="C410" i="11"/>
  <c r="C409" i="11"/>
  <c r="C408" i="11"/>
  <c r="C407" i="11"/>
  <c r="C406" i="11"/>
  <c r="C405" i="11"/>
  <c r="C404" i="11"/>
  <c r="C403" i="11"/>
  <c r="C402" i="11"/>
  <c r="C401" i="11"/>
  <c r="C400" i="11"/>
  <c r="C399" i="11"/>
  <c r="C370" i="11"/>
  <c r="C369" i="11"/>
  <c r="C368" i="11"/>
  <c r="C367" i="11"/>
  <c r="C361" i="11"/>
  <c r="C354" i="11"/>
  <c r="C305" i="11"/>
  <c r="C293" i="11"/>
  <c r="C451" i="11"/>
  <c r="C737" i="11"/>
  <c r="C736" i="11"/>
  <c r="C735" i="11"/>
  <c r="C734" i="11"/>
  <c r="C733" i="11"/>
  <c r="C732" i="11"/>
  <c r="C731" i="11"/>
  <c r="C730" i="11"/>
  <c r="C729" i="11"/>
  <c r="C728" i="11"/>
  <c r="C727" i="11"/>
  <c r="C726" i="11"/>
  <c r="C725" i="11"/>
  <c r="C724" i="11"/>
  <c r="C723" i="11"/>
  <c r="C722" i="11"/>
  <c r="C721" i="11"/>
  <c r="C720" i="11"/>
  <c r="C719" i="11"/>
  <c r="C718" i="11"/>
  <c r="C717" i="11"/>
  <c r="C716" i="11"/>
  <c r="C715" i="11"/>
  <c r="C714" i="11"/>
  <c r="C713" i="11"/>
  <c r="C712" i="11"/>
  <c r="C711" i="11"/>
  <c r="C710" i="11"/>
  <c r="C709" i="11"/>
  <c r="C708" i="11"/>
  <c r="C707" i="11"/>
  <c r="C706" i="11"/>
  <c r="C705" i="11"/>
  <c r="C704" i="11"/>
  <c r="C703" i="11"/>
  <c r="C702" i="11"/>
  <c r="C701" i="11"/>
  <c r="C700" i="11"/>
  <c r="C699" i="11"/>
  <c r="C698" i="11"/>
  <c r="C697" i="11"/>
  <c r="C696" i="11"/>
  <c r="C695" i="11"/>
  <c r="C694" i="11"/>
  <c r="C693" i="11"/>
  <c r="C692" i="11"/>
  <c r="C691" i="11"/>
  <c r="C690" i="11"/>
  <c r="C689" i="11"/>
  <c r="C688" i="11"/>
  <c r="C687" i="11"/>
  <c r="C686" i="11"/>
  <c r="C685" i="11"/>
  <c r="C684" i="11"/>
  <c r="C683" i="11"/>
  <c r="C682" i="11"/>
  <c r="C681" i="11"/>
  <c r="C680" i="11"/>
  <c r="C678" i="11"/>
  <c r="C677" i="11"/>
  <c r="C676" i="11"/>
  <c r="C675" i="11"/>
  <c r="C674" i="11"/>
  <c r="C673" i="11"/>
  <c r="C672" i="11"/>
  <c r="C671" i="11"/>
  <c r="C670" i="11"/>
  <c r="C669" i="11"/>
  <c r="C668" i="11"/>
  <c r="C667" i="11"/>
  <c r="C666" i="11"/>
  <c r="C665" i="11"/>
  <c r="C664" i="11"/>
  <c r="C663" i="11"/>
  <c r="C662" i="11"/>
  <c r="C661" i="11"/>
  <c r="C660" i="11"/>
  <c r="C659" i="11"/>
  <c r="C658" i="11"/>
  <c r="C657" i="11"/>
  <c r="C656" i="11"/>
  <c r="C655" i="11"/>
  <c r="C654" i="11"/>
  <c r="C653" i="11"/>
  <c r="C652" i="11"/>
  <c r="C651" i="11"/>
  <c r="C650" i="11"/>
  <c r="C649" i="11"/>
  <c r="C648" i="11"/>
  <c r="C647" i="11"/>
  <c r="C646" i="11"/>
  <c r="C645" i="11"/>
  <c r="C644" i="11"/>
  <c r="C643" i="11"/>
  <c r="C642" i="11"/>
  <c r="C641" i="11"/>
  <c r="C640" i="11"/>
  <c r="C639" i="11"/>
  <c r="C638" i="11"/>
  <c r="C637" i="11"/>
  <c r="C636" i="11"/>
  <c r="C635" i="11"/>
  <c r="C634" i="11"/>
  <c r="C633" i="11"/>
  <c r="C632" i="11"/>
  <c r="C631" i="11"/>
  <c r="C630" i="11"/>
  <c r="C629" i="11"/>
  <c r="C628" i="11"/>
  <c r="C627" i="11"/>
  <c r="C626" i="11"/>
  <c r="C625" i="11"/>
  <c r="C624" i="11"/>
  <c r="C623" i="11"/>
  <c r="C622" i="11"/>
  <c r="C621" i="11"/>
  <c r="C620" i="11"/>
  <c r="C619" i="11"/>
  <c r="C618" i="11"/>
  <c r="C617" i="11"/>
  <c r="C616" i="11"/>
  <c r="C615" i="11"/>
  <c r="C614" i="11"/>
  <c r="C613" i="11"/>
  <c r="C612" i="11"/>
  <c r="C611" i="11"/>
  <c r="C610" i="11"/>
  <c r="C609" i="11"/>
  <c r="C608" i="11"/>
  <c r="C607" i="11"/>
  <c r="C606" i="11"/>
  <c r="C605" i="11"/>
  <c r="C604" i="11"/>
  <c r="C603" i="11"/>
  <c r="C602" i="11"/>
  <c r="C601" i="11"/>
  <c r="C600" i="11"/>
  <c r="C599" i="11"/>
  <c r="C598" i="11"/>
  <c r="C597" i="11"/>
  <c r="C596" i="11"/>
  <c r="C595" i="11"/>
  <c r="C594" i="11"/>
  <c r="C593" i="11"/>
  <c r="C592" i="11"/>
  <c r="C591" i="11"/>
  <c r="C590" i="11"/>
  <c r="C589" i="11"/>
  <c r="C588" i="11"/>
  <c r="C587" i="11"/>
  <c r="C586" i="11"/>
  <c r="C585" i="11"/>
  <c r="C584" i="11"/>
  <c r="C583" i="11"/>
  <c r="C582" i="11"/>
  <c r="C581" i="11"/>
  <c r="C580" i="11"/>
  <c r="C579" i="11"/>
  <c r="C550" i="11"/>
  <c r="C549" i="11"/>
  <c r="C548" i="11"/>
  <c r="C547" i="11"/>
  <c r="C546" i="11"/>
  <c r="C545" i="11"/>
  <c r="C544" i="11"/>
  <c r="C543" i="11"/>
  <c r="C542" i="11"/>
  <c r="C541" i="11"/>
  <c r="C540" i="11"/>
  <c r="C537" i="11"/>
  <c r="C536" i="11"/>
  <c r="C535" i="11"/>
  <c r="C534" i="11"/>
  <c r="C533" i="11"/>
  <c r="C528" i="11"/>
  <c r="C527" i="11"/>
  <c r="C526" i="11"/>
  <c r="C525" i="11"/>
  <c r="C524" i="11"/>
  <c r="C523" i="11"/>
  <c r="C522" i="11"/>
  <c r="C521" i="11"/>
  <c r="C520" i="11"/>
  <c r="C519" i="11"/>
  <c r="C518" i="11"/>
  <c r="C517" i="11"/>
  <c r="C516" i="11"/>
  <c r="C515" i="11"/>
  <c r="C514" i="11"/>
  <c r="C513" i="11"/>
  <c r="C512" i="11"/>
  <c r="C511" i="11"/>
  <c r="C508" i="11"/>
  <c r="C507" i="11"/>
  <c r="C504" i="11"/>
  <c r="C503" i="11"/>
  <c r="C502" i="11"/>
  <c r="C501" i="11"/>
  <c r="C500" i="11"/>
  <c r="C499" i="11"/>
  <c r="C498" i="11"/>
  <c r="C497" i="11"/>
  <c r="C496" i="11"/>
  <c r="C495" i="11"/>
  <c r="C494" i="11"/>
  <c r="C493" i="11"/>
  <c r="C492" i="11"/>
  <c r="C491" i="11"/>
  <c r="C490" i="11"/>
  <c r="C489" i="11"/>
  <c r="C488" i="11"/>
  <c r="C487" i="11"/>
  <c r="C486" i="11"/>
  <c r="C485" i="11"/>
  <c r="C463" i="11"/>
  <c r="C462" i="11"/>
  <c r="C454" i="11"/>
  <c r="C453" i="11"/>
  <c r="C452" i="11"/>
  <c r="C450" i="11"/>
  <c r="C449" i="11"/>
  <c r="C448" i="11"/>
  <c r="C447" i="11"/>
  <c r="C446" i="11"/>
  <c r="C445" i="11"/>
  <c r="C444" i="11"/>
  <c r="C443" i="11"/>
  <c r="C442" i="11"/>
  <c r="C441" i="11"/>
  <c r="C440" i="11"/>
  <c r="C439" i="11"/>
  <c r="C429" i="11"/>
  <c r="C428" i="11"/>
  <c r="C427" i="11"/>
  <c r="C426" i="11"/>
  <c r="C425" i="11"/>
  <c r="C424" i="11"/>
  <c r="C398" i="11"/>
  <c r="C397" i="11"/>
  <c r="C396" i="11"/>
  <c r="C395" i="11"/>
  <c r="C394" i="11"/>
  <c r="C393" i="11"/>
  <c r="C392" i="11"/>
  <c r="C389" i="11"/>
  <c r="C388" i="11"/>
  <c r="C387" i="11"/>
  <c r="C386" i="11"/>
  <c r="C385" i="11"/>
  <c r="C384" i="11"/>
  <c r="C383" i="11"/>
  <c r="C382" i="11"/>
  <c r="C381" i="11"/>
  <c r="C380" i="11"/>
  <c r="C379" i="11"/>
  <c r="C378" i="11"/>
  <c r="C377" i="11"/>
  <c r="C376" i="11"/>
  <c r="C375" i="11"/>
  <c r="C374" i="11"/>
  <c r="C371" i="11"/>
  <c r="C366" i="11"/>
  <c r="C365" i="11"/>
  <c r="C362" i="11"/>
  <c r="C360" i="11"/>
  <c r="C359" i="11"/>
  <c r="C358" i="11"/>
  <c r="C355" i="11"/>
  <c r="C353" i="11"/>
  <c r="C352" i="11"/>
  <c r="C351" i="11"/>
  <c r="C350" i="11"/>
  <c r="C349" i="11"/>
  <c r="C348" i="11"/>
  <c r="C347" i="11"/>
  <c r="C346" i="11"/>
  <c r="C345" i="11"/>
  <c r="C344" i="11"/>
  <c r="C343" i="11"/>
  <c r="C342" i="11"/>
  <c r="C341" i="11"/>
  <c r="C340" i="11"/>
  <c r="C339" i="11"/>
  <c r="C336" i="11"/>
  <c r="C335" i="11"/>
  <c r="C334" i="11"/>
  <c r="C333" i="11"/>
  <c r="C332" i="11"/>
  <c r="C331" i="11"/>
  <c r="C330" i="11"/>
  <c r="C329" i="11"/>
  <c r="C328" i="11"/>
  <c r="C327" i="11"/>
  <c r="C326" i="11"/>
  <c r="C325" i="11"/>
  <c r="C324" i="11"/>
  <c r="C323" i="11"/>
  <c r="C322" i="11"/>
  <c r="C321" i="11"/>
  <c r="C320" i="11"/>
  <c r="C319" i="11"/>
  <c r="C318" i="11"/>
  <c r="C317" i="11"/>
  <c r="C316" i="11"/>
  <c r="C315" i="11"/>
  <c r="C314" i="11"/>
  <c r="C313" i="11"/>
  <c r="C312" i="11"/>
  <c r="C311" i="11"/>
  <c r="C310" i="11"/>
  <c r="C309" i="11"/>
  <c r="C306" i="11"/>
  <c r="C304" i="11"/>
  <c r="C303" i="11"/>
  <c r="C302" i="11"/>
  <c r="C301" i="11"/>
  <c r="C300" i="11"/>
  <c r="C299" i="11"/>
  <c r="C298" i="11"/>
  <c r="C297" i="11"/>
  <c r="C294" i="11"/>
  <c r="C292" i="11"/>
  <c r="C291" i="11"/>
  <c r="C290" i="11"/>
  <c r="C289" i="11"/>
  <c r="C288" i="11"/>
  <c r="I15" i="33"/>
  <c r="K14" i="33" s="1"/>
  <c r="R211" i="51" s="1"/>
  <c r="R214" i="51" s="1"/>
  <c r="I78" i="33"/>
  <c r="J77" i="33" s="1"/>
  <c r="Q163" i="51" s="1"/>
  <c r="Q166" i="51" s="1"/>
  <c r="I271" i="33"/>
  <c r="J270" i="33" s="1"/>
  <c r="BA163" i="51" s="1"/>
  <c r="BA166" i="51" s="1"/>
  <c r="B4" i="18"/>
  <c r="B4" i="19"/>
  <c r="B4" i="20"/>
  <c r="B13" i="32"/>
  <c r="L16" i="32"/>
  <c r="M16" i="32"/>
  <c r="N16" i="32"/>
  <c r="O16" i="32"/>
  <c r="H86" i="33"/>
  <c r="F1641" i="54" s="1"/>
  <c r="F1644" i="54" s="1"/>
  <c r="BK1644" i="54" s="1"/>
  <c r="L16" i="4"/>
  <c r="M16" i="4"/>
  <c r="N16" i="4"/>
  <c r="O16" i="4"/>
  <c r="E127" i="32"/>
  <c r="E108" i="32"/>
  <c r="E66" i="32"/>
  <c r="BH426" i="28"/>
  <c r="D165" i="32"/>
  <c r="BG958" i="28"/>
  <c r="E97" i="32"/>
  <c r="E64" i="32"/>
  <c r="BH468" i="28"/>
  <c r="E85" i="32"/>
  <c r="E79" i="32"/>
  <c r="BH370" i="28"/>
  <c r="BH356" i="28"/>
  <c r="E195" i="32"/>
  <c r="BG972" i="28"/>
  <c r="BH846" i="28"/>
  <c r="D121" i="32"/>
  <c r="E118" i="32"/>
  <c r="E81" i="32"/>
  <c r="E80" i="32"/>
  <c r="E77" i="32"/>
  <c r="E71" i="32"/>
  <c r="BH412" i="28"/>
  <c r="BH398" i="28"/>
  <c r="E65" i="32"/>
  <c r="BG426" i="28"/>
  <c r="E94" i="32"/>
  <c r="BG1070" i="28"/>
  <c r="F1752" i="28" l="1"/>
  <c r="R1738" i="54"/>
  <c r="AD1738" i="28"/>
  <c r="AD1808" i="54"/>
  <c r="L1570" i="28"/>
  <c r="E128" i="54"/>
  <c r="R1570" i="28"/>
  <c r="X1626" i="54"/>
  <c r="E436" i="54"/>
  <c r="R1556" i="28"/>
  <c r="X1570" i="54"/>
  <c r="AD1570" i="54"/>
  <c r="AD1584" i="54"/>
  <c r="L1598" i="54"/>
  <c r="L1612" i="54"/>
  <c r="R1612" i="28"/>
  <c r="AD1626" i="54"/>
  <c r="K1668" i="54"/>
  <c r="L1696" i="54"/>
  <c r="L1724" i="54"/>
  <c r="E576" i="54"/>
  <c r="L1570" i="54"/>
  <c r="X1570" i="28"/>
  <c r="R1724" i="54"/>
  <c r="F1584" i="54"/>
  <c r="F1836" i="28"/>
  <c r="L1794" i="28"/>
  <c r="F1822" i="54"/>
  <c r="R1808" i="54"/>
  <c r="F1752" i="54"/>
  <c r="F1864" i="28"/>
  <c r="L1752" i="54"/>
  <c r="X1752" i="54"/>
  <c r="L1766" i="28"/>
  <c r="F1738" i="54"/>
  <c r="F1682" i="28"/>
  <c r="F1682" i="54"/>
  <c r="F1808" i="54"/>
  <c r="F1724" i="54"/>
  <c r="X1794" i="28"/>
  <c r="F1836" i="54"/>
  <c r="F1850" i="28"/>
  <c r="F1598" i="28"/>
  <c r="AO114" i="51"/>
  <c r="AO114" i="5"/>
  <c r="AO118" i="5" s="1"/>
  <c r="AU66" i="51"/>
  <c r="AU66" i="5"/>
  <c r="AV18" i="51"/>
  <c r="AV18" i="5"/>
  <c r="K142" i="5"/>
  <c r="AP114" i="51"/>
  <c r="AP114" i="5"/>
  <c r="AP118" i="5" s="1"/>
  <c r="J12" i="53" s="1"/>
  <c r="F114" i="51"/>
  <c r="F118" i="51" s="1"/>
  <c r="F114" i="5"/>
  <c r="F118" i="5" s="1"/>
  <c r="AV66" i="51"/>
  <c r="AV66" i="5"/>
  <c r="AV70" i="5" s="1"/>
  <c r="K42" i="51"/>
  <c r="K46" i="51" s="1"/>
  <c r="K42" i="5"/>
  <c r="K46" i="5" s="1"/>
  <c r="F156" i="54"/>
  <c r="F156" i="28"/>
  <c r="F160" i="28" s="1"/>
  <c r="BH160" i="28" s="1"/>
  <c r="F744" i="54"/>
  <c r="F744" i="28"/>
  <c r="F748" i="28" s="1"/>
  <c r="AJ46" i="5"/>
  <c r="E828" i="54"/>
  <c r="E828" i="28"/>
  <c r="E842" i="54"/>
  <c r="E842" i="28"/>
  <c r="K856" i="54"/>
  <c r="K856" i="28"/>
  <c r="W856" i="54"/>
  <c r="W856" i="28"/>
  <c r="E884" i="54"/>
  <c r="E884" i="28"/>
  <c r="E926" i="54"/>
  <c r="E926" i="28"/>
  <c r="F114" i="54"/>
  <c r="F114" i="28"/>
  <c r="F72" i="54"/>
  <c r="F76" i="54" s="1"/>
  <c r="F72" i="28"/>
  <c r="F76" i="28" s="1"/>
  <c r="X814" i="54"/>
  <c r="X814" i="28"/>
  <c r="F86" i="54"/>
  <c r="F90" i="54" s="1"/>
  <c r="F86" i="28"/>
  <c r="F90" i="28" s="1"/>
  <c r="E22" i="32" s="1"/>
  <c r="K814" i="54"/>
  <c r="K814" i="28"/>
  <c r="W814" i="54"/>
  <c r="W814" i="28"/>
  <c r="K828" i="54"/>
  <c r="K828" i="28"/>
  <c r="E856" i="54"/>
  <c r="E856" i="28"/>
  <c r="Q856" i="54"/>
  <c r="Q856" i="28"/>
  <c r="E870" i="54"/>
  <c r="E870" i="28"/>
  <c r="E1276" i="54"/>
  <c r="E1276" i="28"/>
  <c r="F100" i="54"/>
  <c r="F104" i="54" s="1"/>
  <c r="F100" i="28"/>
  <c r="F104" i="28" s="1"/>
  <c r="E912" i="54"/>
  <c r="E912" i="28"/>
  <c r="E916" i="28" s="1"/>
  <c r="P167" i="51"/>
  <c r="R167" i="51"/>
  <c r="Q167" i="51"/>
  <c r="BB167" i="51"/>
  <c r="BA167" i="51"/>
  <c r="AZ167" i="51"/>
  <c r="P215" i="51"/>
  <c r="Q215" i="51"/>
  <c r="R215" i="51"/>
  <c r="O23" i="4"/>
  <c r="M23" i="4"/>
  <c r="N23" i="4"/>
  <c r="L23" i="4"/>
  <c r="J80" i="4"/>
  <c r="N80" i="4"/>
  <c r="K80" i="4"/>
  <c r="L80" i="4"/>
  <c r="O18" i="4"/>
  <c r="M18" i="4"/>
  <c r="N18" i="4"/>
  <c r="L18" i="4"/>
  <c r="J84" i="4"/>
  <c r="N84" i="4"/>
  <c r="K84" i="4"/>
  <c r="O84" i="4"/>
  <c r="M84" i="4"/>
  <c r="J83" i="4"/>
  <c r="N83" i="4"/>
  <c r="M83" i="4"/>
  <c r="K83" i="4"/>
  <c r="O83" i="4"/>
  <c r="J79" i="4"/>
  <c r="L79" i="4"/>
  <c r="K79" i="4"/>
  <c r="N79" i="4"/>
  <c r="O22" i="4"/>
  <c r="M22" i="4"/>
  <c r="N22" i="4"/>
  <c r="L22" i="4"/>
  <c r="O17" i="4"/>
  <c r="M17" i="4"/>
  <c r="N17" i="4"/>
  <c r="L17" i="4"/>
  <c r="N60" i="4"/>
  <c r="L60" i="4"/>
  <c r="O60" i="4"/>
  <c r="M60" i="4"/>
  <c r="J70" i="4"/>
  <c r="O70" i="4"/>
  <c r="M70" i="4"/>
  <c r="K70" i="4"/>
  <c r="J69" i="4"/>
  <c r="O69" i="4"/>
  <c r="L69" i="4"/>
  <c r="K69" i="4"/>
  <c r="M69" i="4"/>
  <c r="N59" i="4"/>
  <c r="L59" i="4"/>
  <c r="O59" i="4"/>
  <c r="M59" i="4"/>
  <c r="E17" i="4"/>
  <c r="E26" i="4"/>
  <c r="D120" i="32"/>
  <c r="BG804" i="28"/>
  <c r="E26" i="32"/>
  <c r="BH146" i="28"/>
  <c r="E30" i="32"/>
  <c r="BH202" i="28"/>
  <c r="E52" i="32"/>
  <c r="BH440" i="28"/>
  <c r="E72" i="32"/>
  <c r="E90" i="32"/>
  <c r="E54" i="32"/>
  <c r="BH454" i="28"/>
  <c r="D161" i="32"/>
  <c r="E25" i="32"/>
  <c r="BH132" i="28"/>
  <c r="E29" i="32"/>
  <c r="BH188" i="28"/>
  <c r="E39" i="32"/>
  <c r="BH300" i="28"/>
  <c r="E28" i="32"/>
  <c r="BH174" i="28"/>
  <c r="E67" i="32"/>
  <c r="BH496" i="28"/>
  <c r="E221" i="32"/>
  <c r="D138" i="32"/>
  <c r="E109" i="32"/>
  <c r="E83" i="32"/>
  <c r="D250" i="32"/>
  <c r="BG1588" i="28"/>
  <c r="D164" i="32"/>
  <c r="BG1098" i="28"/>
  <c r="E38" i="32"/>
  <c r="BH286" i="28"/>
  <c r="D38" i="32"/>
  <c r="BG286" i="28"/>
  <c r="E68" i="32"/>
  <c r="D285" i="32"/>
  <c r="E216" i="32"/>
  <c r="E98" i="32"/>
  <c r="E63" i="32"/>
  <c r="BH482" i="28"/>
  <c r="E50" i="32"/>
  <c r="D141" i="32"/>
  <c r="E44" i="32"/>
  <c r="E51" i="32"/>
  <c r="D160" i="32"/>
  <c r="D51" i="32"/>
  <c r="E49" i="32"/>
  <c r="E128" i="32"/>
  <c r="E43" i="32"/>
  <c r="E62" i="32"/>
  <c r="D140" i="32"/>
  <c r="AD18" i="51"/>
  <c r="I85" i="33"/>
  <c r="K84" i="33" s="1"/>
  <c r="G83" i="33"/>
  <c r="BG1616" i="28"/>
  <c r="E177" i="32"/>
  <c r="E152" i="32"/>
  <c r="D82" i="4"/>
  <c r="E212" i="32"/>
  <c r="E123" i="32"/>
  <c r="E91" i="32"/>
  <c r="E82" i="32"/>
  <c r="E74" i="32"/>
  <c r="E69" i="32"/>
  <c r="BG1854" i="28"/>
  <c r="D301" i="32"/>
  <c r="D288" i="32"/>
  <c r="D286" i="32"/>
  <c r="E83" i="4"/>
  <c r="E217" i="32"/>
  <c r="E84" i="4"/>
  <c r="D297" i="32"/>
  <c r="E223" i="32"/>
  <c r="E219" i="32"/>
  <c r="E155" i="32"/>
  <c r="BG1714" i="28"/>
  <c r="BG748" i="28"/>
  <c r="D55" i="4"/>
  <c r="BG1728" i="28"/>
  <c r="BG1686" i="28"/>
  <c r="BG1644" i="28"/>
  <c r="BH1266" i="28"/>
  <c r="E73" i="32"/>
  <c r="D72" i="4"/>
  <c r="D300" i="32"/>
  <c r="D299" i="32"/>
  <c r="D298" i="32"/>
  <c r="D287" i="32"/>
  <c r="D303" i="32"/>
  <c r="D73" i="4"/>
  <c r="BH1154" i="28"/>
  <c r="E170" i="32"/>
  <c r="BH1490" i="28"/>
  <c r="BH1476" i="28"/>
  <c r="E213" i="32"/>
  <c r="BH1322" i="28"/>
  <c r="BH1294" i="28"/>
  <c r="BH1210" i="28"/>
  <c r="E117" i="32"/>
  <c r="E114" i="32"/>
  <c r="BH692" i="28"/>
  <c r="E92" i="32"/>
  <c r="BH874" i="28"/>
  <c r="E85" i="4"/>
  <c r="E303" i="32"/>
  <c r="E299" i="32"/>
  <c r="E226" i="32"/>
  <c r="E222" i="32"/>
  <c r="E218" i="32"/>
  <c r="BH1252" i="28"/>
  <c r="E178" i="32"/>
  <c r="E139" i="32"/>
  <c r="E110" i="32"/>
  <c r="E99" i="32"/>
  <c r="E86" i="32"/>
  <c r="E84" i="32"/>
  <c r="BG1112" i="28"/>
  <c r="BH1546" i="28"/>
  <c r="E233" i="32"/>
  <c r="E225" i="32"/>
  <c r="BG1154" i="28"/>
  <c r="D84" i="4"/>
  <c r="E62" i="4"/>
  <c r="BH1938" i="28"/>
  <c r="E301" i="32"/>
  <c r="E300" i="32"/>
  <c r="E298" i="32"/>
  <c r="E297" i="32"/>
  <c r="BG1742" i="28"/>
  <c r="BG1546" i="28"/>
  <c r="BH1532" i="28"/>
  <c r="BH1462" i="28"/>
  <c r="E224" i="32"/>
  <c r="BH1378" i="28"/>
  <c r="BH1336" i="28"/>
  <c r="BH1308" i="28"/>
  <c r="BH1280" i="28"/>
  <c r="BH1224" i="28"/>
  <c r="D170" i="32"/>
  <c r="BH1126" i="28"/>
  <c r="D162" i="32"/>
  <c r="BH972" i="28"/>
  <c r="BH958" i="28"/>
  <c r="D139" i="32"/>
  <c r="E131" i="32"/>
  <c r="E124" i="32"/>
  <c r="E115" i="32"/>
  <c r="E130" i="32"/>
  <c r="E132" i="32"/>
  <c r="E55" i="4" l="1"/>
  <c r="F55" i="4" s="1"/>
  <c r="D12" i="53"/>
  <c r="AP1626" i="54"/>
  <c r="AJ1612" i="28"/>
  <c r="AJ1616" i="28" s="1"/>
  <c r="W1416" i="54"/>
  <c r="F1570" i="28"/>
  <c r="F1766" i="54"/>
  <c r="K576" i="28"/>
  <c r="Q1500" i="28"/>
  <c r="Q772" i="28"/>
  <c r="AD1794" i="28"/>
  <c r="Q1234" i="54"/>
  <c r="R1724" i="28"/>
  <c r="AD1752" i="54"/>
  <c r="Q1220" i="28"/>
  <c r="E1654" i="28"/>
  <c r="L1584" i="54"/>
  <c r="AJ1626" i="54"/>
  <c r="F1780" i="28"/>
  <c r="R1584" i="54"/>
  <c r="K1164" i="54"/>
  <c r="E156" i="54"/>
  <c r="Q450" i="28"/>
  <c r="AC450" i="28"/>
  <c r="E1430" i="54"/>
  <c r="K1178" i="28"/>
  <c r="K1416" i="54"/>
  <c r="E1010" i="28"/>
  <c r="E1444" i="54"/>
  <c r="K1402" i="54"/>
  <c r="E604" i="28"/>
  <c r="E1290" i="28"/>
  <c r="K702" i="54"/>
  <c r="K534" i="54"/>
  <c r="Q534" i="28"/>
  <c r="K1234" i="54"/>
  <c r="E142" i="28"/>
  <c r="F1696" i="54"/>
  <c r="F1700" i="54" s="1"/>
  <c r="F1864" i="54"/>
  <c r="E1262" i="28"/>
  <c r="E464" i="54"/>
  <c r="Q562" i="54"/>
  <c r="X1584" i="54"/>
  <c r="R1570" i="54"/>
  <c r="X1612" i="28"/>
  <c r="AC1402" i="54"/>
  <c r="E1332" i="28"/>
  <c r="F1808" i="28"/>
  <c r="AD1570" i="28"/>
  <c r="X1738" i="28"/>
  <c r="AD1612" i="28"/>
  <c r="F1710" i="28"/>
  <c r="L1584" i="28"/>
  <c r="X1808" i="54"/>
  <c r="L1710" i="28"/>
  <c r="L1598" i="28"/>
  <c r="X1556" i="28"/>
  <c r="L1808" i="54"/>
  <c r="L1738" i="28"/>
  <c r="L1682" i="28"/>
  <c r="R1626" i="54"/>
  <c r="AD1556" i="28"/>
  <c r="F1822" i="28"/>
  <c r="K562" i="28"/>
  <c r="E506" i="54"/>
  <c r="W534" i="54"/>
  <c r="Q996" i="54"/>
  <c r="X162" i="5"/>
  <c r="AD1724" i="54"/>
  <c r="AD1710" i="28"/>
  <c r="Q478" i="54"/>
  <c r="R1710" i="28"/>
  <c r="K520" i="54"/>
  <c r="R1794" i="28"/>
  <c r="F1612" i="54"/>
  <c r="E618" i="28"/>
  <c r="Q860" i="28"/>
  <c r="D131" i="32" s="1"/>
  <c r="G131" i="32" s="1"/>
  <c r="K131" i="32" s="1"/>
  <c r="G396" i="33" s="1"/>
  <c r="F1668" i="28"/>
  <c r="E576" i="28"/>
  <c r="L1780" i="54"/>
  <c r="AD22" i="51"/>
  <c r="AB23" i="51" s="1"/>
  <c r="F1738" i="28"/>
  <c r="F1598" i="54"/>
  <c r="F1710" i="54"/>
  <c r="F1584" i="28"/>
  <c r="E618" i="54"/>
  <c r="F1602" i="28"/>
  <c r="G72" i="33" s="1"/>
  <c r="E1613" i="54" s="1"/>
  <c r="E1616" i="54" s="1"/>
  <c r="F1794" i="28"/>
  <c r="F1878" i="54"/>
  <c r="F1850" i="54"/>
  <c r="K1654" i="28"/>
  <c r="F1696" i="28"/>
  <c r="F1724" i="28"/>
  <c r="E436" i="28"/>
  <c r="L1556" i="28"/>
  <c r="E1280" i="28"/>
  <c r="K832" i="28"/>
  <c r="K833" i="28" s="1"/>
  <c r="F1686" i="28"/>
  <c r="E265" i="32" s="1"/>
  <c r="E1280" i="54"/>
  <c r="BJ1280" i="54" s="1"/>
  <c r="AU70" i="5"/>
  <c r="AT71" i="5" s="1"/>
  <c r="AU70" i="51"/>
  <c r="BH90" i="28"/>
  <c r="E128" i="28"/>
  <c r="E1416" i="54"/>
  <c r="E1402" i="28"/>
  <c r="F1812" i="54"/>
  <c r="E874" i="28"/>
  <c r="BG874" i="28" s="1"/>
  <c r="E860" i="28"/>
  <c r="D861" i="28" s="1"/>
  <c r="W818" i="28"/>
  <c r="D125" i="32" s="1"/>
  <c r="Q814" i="28"/>
  <c r="Q818" i="28" s="1"/>
  <c r="F1780" i="54"/>
  <c r="F1766" i="28"/>
  <c r="Q814" i="54"/>
  <c r="F749" i="28"/>
  <c r="D749" i="28"/>
  <c r="E749" i="28"/>
  <c r="K47" i="5"/>
  <c r="J47" i="5"/>
  <c r="L47" i="5"/>
  <c r="E119" i="5"/>
  <c r="F119" i="5"/>
  <c r="D119" i="5"/>
  <c r="AP119" i="5"/>
  <c r="AO119" i="5"/>
  <c r="AN119" i="5"/>
  <c r="AV22" i="5"/>
  <c r="F16" i="54"/>
  <c r="F16" i="28"/>
  <c r="E30" i="54"/>
  <c r="E30" i="28"/>
  <c r="BK104" i="54"/>
  <c r="F105" i="54"/>
  <c r="E105" i="54"/>
  <c r="D105" i="54"/>
  <c r="BK90" i="54"/>
  <c r="F91" i="54"/>
  <c r="E91" i="54"/>
  <c r="D91" i="54"/>
  <c r="BK76" i="54"/>
  <c r="E77" i="54"/>
  <c r="D77" i="54"/>
  <c r="F77" i="54"/>
  <c r="K818" i="54"/>
  <c r="X818" i="54"/>
  <c r="E16" i="54"/>
  <c r="E20" i="54" s="1"/>
  <c r="BJ20" i="54" s="1"/>
  <c r="E16" i="28"/>
  <c r="E20" i="28" s="1"/>
  <c r="F30" i="54"/>
  <c r="F30" i="28"/>
  <c r="F105" i="28"/>
  <c r="E105" i="28"/>
  <c r="D105" i="28"/>
  <c r="E91" i="28"/>
  <c r="D91" i="28"/>
  <c r="F91" i="28"/>
  <c r="D77" i="28"/>
  <c r="F77" i="28"/>
  <c r="E77" i="28"/>
  <c r="AJ18" i="5"/>
  <c r="K818" i="28"/>
  <c r="X818" i="28"/>
  <c r="E125" i="32" s="1"/>
  <c r="F118" i="28"/>
  <c r="E24" i="32" s="1"/>
  <c r="E930" i="28"/>
  <c r="BG930" i="28" s="1"/>
  <c r="E888" i="28"/>
  <c r="BG888" i="28" s="1"/>
  <c r="W860" i="28"/>
  <c r="K860" i="28"/>
  <c r="D130" i="32" s="1"/>
  <c r="F130" i="32" s="1"/>
  <c r="J130" i="32" s="1"/>
  <c r="E846" i="28"/>
  <c r="D128" i="32" s="1"/>
  <c r="E832" i="28"/>
  <c r="D126" i="32" s="1"/>
  <c r="K240" i="54"/>
  <c r="K240" i="28"/>
  <c r="X1724" i="54"/>
  <c r="X1710" i="28"/>
  <c r="E590" i="54"/>
  <c r="E590" i="28"/>
  <c r="Q1416" i="54"/>
  <c r="Q1402" i="28"/>
  <c r="K1444" i="54"/>
  <c r="K1430" i="28"/>
  <c r="AI1444" i="54"/>
  <c r="AI1430" i="28"/>
  <c r="E1486" i="54"/>
  <c r="E1472" i="28"/>
  <c r="AC1444" i="54"/>
  <c r="AC1430" i="28"/>
  <c r="K1514" i="54"/>
  <c r="K1500" i="28"/>
  <c r="E1346" i="54"/>
  <c r="E1346" i="28"/>
  <c r="K1374" i="54"/>
  <c r="Q1402" i="54"/>
  <c r="K1332" i="54"/>
  <c r="K1332" i="28"/>
  <c r="E1374" i="54"/>
  <c r="W1220" i="54"/>
  <c r="W1220" i="28"/>
  <c r="AO1234" i="54"/>
  <c r="AO1234" i="28"/>
  <c r="W1262" i="54"/>
  <c r="W1262" i="28"/>
  <c r="E1178" i="54"/>
  <c r="E1178" i="28"/>
  <c r="E1206" i="54"/>
  <c r="E1206" i="28"/>
  <c r="AI1234" i="54"/>
  <c r="AI1234" i="28"/>
  <c r="Q1248" i="54"/>
  <c r="Q1248" i="28"/>
  <c r="W982" i="54"/>
  <c r="W982" i="28"/>
  <c r="Q1010" i="54"/>
  <c r="Q1010" i="28"/>
  <c r="K1038" i="54"/>
  <c r="K1038" i="28"/>
  <c r="AC982" i="54"/>
  <c r="AC982" i="28"/>
  <c r="W996" i="54"/>
  <c r="W996" i="28"/>
  <c r="E1024" i="54"/>
  <c r="E1024" i="28"/>
  <c r="K772" i="54"/>
  <c r="K772" i="28"/>
  <c r="K758" i="54"/>
  <c r="K758" i="28"/>
  <c r="K716" i="54"/>
  <c r="K716" i="28"/>
  <c r="E646" i="54"/>
  <c r="E646" i="28"/>
  <c r="Q660" i="54"/>
  <c r="Q660" i="28"/>
  <c r="K632" i="54"/>
  <c r="K632" i="28"/>
  <c r="K660" i="54"/>
  <c r="K660" i="28"/>
  <c r="E688" i="54"/>
  <c r="E688" i="28"/>
  <c r="E478" i="54"/>
  <c r="E478" i="28"/>
  <c r="AC576" i="54"/>
  <c r="AC576" i="28"/>
  <c r="K478" i="54"/>
  <c r="K478" i="28"/>
  <c r="E548" i="54"/>
  <c r="E548" i="28"/>
  <c r="AI576" i="54"/>
  <c r="AI576" i="28"/>
  <c r="K436" i="54"/>
  <c r="K436" i="28"/>
  <c r="W450" i="54"/>
  <c r="W450" i="28"/>
  <c r="AO450" i="54"/>
  <c r="AO450" i="28"/>
  <c r="E184" i="54"/>
  <c r="E184" i="28"/>
  <c r="E394" i="54"/>
  <c r="E394" i="28"/>
  <c r="F1626" i="54"/>
  <c r="F1612" i="28"/>
  <c r="E758" i="54"/>
  <c r="E758" i="28"/>
  <c r="W1444" i="54"/>
  <c r="W1430" i="28"/>
  <c r="E1458" i="54"/>
  <c r="E1444" i="28"/>
  <c r="E1514" i="54"/>
  <c r="E1500" i="28"/>
  <c r="Q1444" i="54"/>
  <c r="Q1430" i="28"/>
  <c r="AO1444" i="54"/>
  <c r="AO1430" i="28"/>
  <c r="E1500" i="54"/>
  <c r="E1486" i="28"/>
  <c r="W1514" i="54"/>
  <c r="W1518" i="54" s="1"/>
  <c r="W1500" i="28"/>
  <c r="E1402" i="54"/>
  <c r="E1388" i="28"/>
  <c r="E1388" i="54"/>
  <c r="E1374" i="28"/>
  <c r="W1164" i="54"/>
  <c r="W1164" i="28"/>
  <c r="E1192" i="54"/>
  <c r="E1192" i="28"/>
  <c r="K1220" i="54"/>
  <c r="K1220" i="28"/>
  <c r="E1234" i="54"/>
  <c r="E1234" i="28"/>
  <c r="AC1234" i="54"/>
  <c r="AC1234" i="28"/>
  <c r="K1248" i="54"/>
  <c r="K1248" i="28"/>
  <c r="K1262" i="54"/>
  <c r="K1262" i="28"/>
  <c r="Q1164" i="54"/>
  <c r="Q1164" i="28"/>
  <c r="Q1178" i="54"/>
  <c r="Q1178" i="28"/>
  <c r="E1220" i="54"/>
  <c r="E1220" i="28"/>
  <c r="AC1220" i="54"/>
  <c r="AC1220" i="28"/>
  <c r="E1248" i="54"/>
  <c r="E1248" i="28"/>
  <c r="K982" i="54"/>
  <c r="K982" i="28"/>
  <c r="E996" i="54"/>
  <c r="E996" i="28"/>
  <c r="K1024" i="54"/>
  <c r="K1024" i="28"/>
  <c r="Q982" i="54"/>
  <c r="Q982" i="28"/>
  <c r="K996" i="54"/>
  <c r="K996" i="28"/>
  <c r="K1010" i="54"/>
  <c r="K1010" i="28"/>
  <c r="E1038" i="54"/>
  <c r="E1038" i="28"/>
  <c r="Q758" i="54"/>
  <c r="Q758" i="28"/>
  <c r="E772" i="54"/>
  <c r="E772" i="28"/>
  <c r="E716" i="54"/>
  <c r="E716" i="28"/>
  <c r="Q590" i="54"/>
  <c r="Q590" i="28"/>
  <c r="E632" i="54"/>
  <c r="E632" i="28"/>
  <c r="E660" i="54"/>
  <c r="E660" i="28"/>
  <c r="E674" i="54"/>
  <c r="E674" i="28"/>
  <c r="K590" i="54"/>
  <c r="K590" i="28"/>
  <c r="K646" i="54"/>
  <c r="K646" i="28"/>
  <c r="K506" i="54"/>
  <c r="K506" i="28"/>
  <c r="K548" i="54"/>
  <c r="K548" i="28"/>
  <c r="W562" i="54"/>
  <c r="W562" i="28"/>
  <c r="Q576" i="54"/>
  <c r="Q576" i="28"/>
  <c r="W478" i="54"/>
  <c r="W478" i="28"/>
  <c r="E520" i="54"/>
  <c r="E520" i="28"/>
  <c r="E562" i="54"/>
  <c r="E562" i="28"/>
  <c r="AC562" i="54"/>
  <c r="AC562" i="28"/>
  <c r="W576" i="54"/>
  <c r="W576" i="28"/>
  <c r="K450" i="54"/>
  <c r="K450" i="28"/>
  <c r="E450" i="54"/>
  <c r="E450" i="28"/>
  <c r="E170" i="54"/>
  <c r="E170" i="28"/>
  <c r="AD18" i="5"/>
  <c r="AD22" i="5" s="1"/>
  <c r="AC23" i="5" s="1"/>
  <c r="K90" i="51"/>
  <c r="K90" i="5"/>
  <c r="AC90" i="51"/>
  <c r="AC90" i="5"/>
  <c r="AC94" i="5" s="1"/>
  <c r="AO90" i="51"/>
  <c r="AO90" i="5"/>
  <c r="AC138" i="51"/>
  <c r="AC138" i="5"/>
  <c r="L90" i="5"/>
  <c r="L90" i="51"/>
  <c r="Q138" i="5"/>
  <c r="Q138" i="51"/>
  <c r="L163" i="51"/>
  <c r="L166" i="51" s="1"/>
  <c r="O24" i="4"/>
  <c r="M24" i="4"/>
  <c r="N24" i="4"/>
  <c r="L24" i="4"/>
  <c r="O19" i="4"/>
  <c r="M19" i="4"/>
  <c r="N19" i="4"/>
  <c r="L19" i="4"/>
  <c r="N61" i="4"/>
  <c r="L61" i="4"/>
  <c r="O61" i="4"/>
  <c r="M61" i="4"/>
  <c r="D26" i="4"/>
  <c r="G26" i="4" s="1"/>
  <c r="E73" i="4"/>
  <c r="F73" i="4" s="1"/>
  <c r="D63" i="4"/>
  <c r="E56" i="4"/>
  <c r="E36" i="4"/>
  <c r="D48" i="4"/>
  <c r="E74" i="4"/>
  <c r="J82" i="33"/>
  <c r="E134" i="32"/>
  <c r="BH888" i="28"/>
  <c r="D169" i="32"/>
  <c r="BG1140" i="28"/>
  <c r="D168" i="32"/>
  <c r="BG1126" i="28"/>
  <c r="E126" i="32"/>
  <c r="BH832" i="28"/>
  <c r="E95" i="32"/>
  <c r="BH622" i="28"/>
  <c r="E112" i="32"/>
  <c r="BH748" i="28"/>
  <c r="E116" i="32"/>
  <c r="BH776" i="28"/>
  <c r="G139" i="32"/>
  <c r="K139" i="32" s="1"/>
  <c r="G416" i="33" s="1"/>
  <c r="F139" i="32"/>
  <c r="J139" i="32" s="1"/>
  <c r="D159" i="32"/>
  <c r="BG1056" i="28"/>
  <c r="E169" i="32"/>
  <c r="BH1140" i="28"/>
  <c r="D245" i="32"/>
  <c r="BG1574" i="28"/>
  <c r="E260" i="32"/>
  <c r="BH1630" i="28"/>
  <c r="D264" i="32"/>
  <c r="BG1672" i="28"/>
  <c r="D292" i="32"/>
  <c r="BG1840" i="28"/>
  <c r="E296" i="32"/>
  <c r="BH1896" i="28"/>
  <c r="E151" i="32"/>
  <c r="BH1014" i="28"/>
  <c r="E176" i="32"/>
  <c r="BH1182" i="28"/>
  <c r="E147" i="32"/>
  <c r="BH1000" i="28"/>
  <c r="E304" i="32"/>
  <c r="BH1924" i="28"/>
  <c r="G303" i="32"/>
  <c r="F303" i="32"/>
  <c r="F298" i="32"/>
  <c r="G298" i="32"/>
  <c r="F300" i="32"/>
  <c r="G300" i="32"/>
  <c r="D281" i="32"/>
  <c r="BG1756" i="28"/>
  <c r="E120" i="32"/>
  <c r="G120" i="32" s="1"/>
  <c r="K120" i="32" s="1"/>
  <c r="G377" i="33" s="1"/>
  <c r="E237" i="32"/>
  <c r="BH1518" i="28"/>
  <c r="D296" i="32"/>
  <c r="BG1896" i="28"/>
  <c r="G301" i="32"/>
  <c r="F301" i="32"/>
  <c r="D290" i="32"/>
  <c r="BG1812" i="28"/>
  <c r="E70" i="32"/>
  <c r="BH524" i="28"/>
  <c r="E78" i="32"/>
  <c r="BH566" i="28"/>
  <c r="D136" i="32"/>
  <c r="BG916" i="28"/>
  <c r="E23" i="32"/>
  <c r="BH104" i="28"/>
  <c r="G22" i="32"/>
  <c r="K22" i="32" s="1"/>
  <c r="F22" i="32"/>
  <c r="J22" i="32" s="1"/>
  <c r="F38" i="32"/>
  <c r="J38" i="32" s="1"/>
  <c r="H459" i="33" s="1"/>
  <c r="G38" i="32"/>
  <c r="K38" i="32" s="1"/>
  <c r="BH944" i="28"/>
  <c r="E129" i="32"/>
  <c r="BH860" i="28"/>
  <c r="E100" i="32"/>
  <c r="BH664" i="28"/>
  <c r="E142" i="32"/>
  <c r="BH986" i="28"/>
  <c r="G170" i="32"/>
  <c r="F170" i="32"/>
  <c r="N170" i="32" s="1"/>
  <c r="H196" i="33" s="1"/>
  <c r="E179" i="32"/>
  <c r="BH1196" i="28"/>
  <c r="E187" i="32"/>
  <c r="BH1238" i="28"/>
  <c r="E209" i="32"/>
  <c r="BH1364" i="28"/>
  <c r="E211" i="32"/>
  <c r="BH1392" i="28"/>
  <c r="E228" i="32"/>
  <c r="BH1448" i="28"/>
  <c r="E232" i="32"/>
  <c r="BH1504" i="28"/>
  <c r="D252" i="32"/>
  <c r="BG1602" i="28"/>
  <c r="E262" i="32"/>
  <c r="BH1658" i="28"/>
  <c r="D267" i="32"/>
  <c r="BG1700" i="28"/>
  <c r="D284" i="32"/>
  <c r="BG1784" i="28"/>
  <c r="E220" i="32"/>
  <c r="BH1420" i="28"/>
  <c r="E93" i="32"/>
  <c r="BH608" i="28"/>
  <c r="E154" i="32"/>
  <c r="BH1028" i="28"/>
  <c r="E302" i="32"/>
  <c r="BH1910" i="28"/>
  <c r="E172" i="32"/>
  <c r="BH1168" i="28"/>
  <c r="E207" i="32"/>
  <c r="BH1350" i="28"/>
  <c r="E107" i="32"/>
  <c r="BH706" i="28"/>
  <c r="G299" i="32"/>
  <c r="F299" i="32"/>
  <c r="D302" i="32"/>
  <c r="BG1910" i="28"/>
  <c r="E96" i="32"/>
  <c r="BH636" i="28"/>
  <c r="E166" i="32"/>
  <c r="BH1112" i="28"/>
  <c r="E76" i="32"/>
  <c r="BH552" i="28"/>
  <c r="D260" i="32"/>
  <c r="BG1630" i="28"/>
  <c r="G297" i="32"/>
  <c r="F297" i="32"/>
  <c r="D282" i="32"/>
  <c r="BG1770" i="28"/>
  <c r="E113" i="32"/>
  <c r="BH762" i="28"/>
  <c r="D295" i="32"/>
  <c r="BG1882" i="28"/>
  <c r="D240" i="32"/>
  <c r="BG1560" i="28"/>
  <c r="D291" i="32"/>
  <c r="BG1826" i="28"/>
  <c r="E21" i="32"/>
  <c r="BH76" i="28"/>
  <c r="F51" i="32"/>
  <c r="J51" i="32" s="1"/>
  <c r="G51" i="32"/>
  <c r="K51" i="32" s="1"/>
  <c r="BH650" i="28"/>
  <c r="BH1406" i="28"/>
  <c r="BG1798" i="28"/>
  <c r="BH510" i="28"/>
  <c r="BH580" i="28"/>
  <c r="BH720" i="28"/>
  <c r="BG944" i="28"/>
  <c r="BH1434" i="28"/>
  <c r="BG1084" i="28"/>
  <c r="BH594" i="28"/>
  <c r="BH538" i="28"/>
  <c r="E141" i="32"/>
  <c r="G141" i="32" s="1"/>
  <c r="K141" i="32" s="1"/>
  <c r="E168" i="32"/>
  <c r="E203" i="32"/>
  <c r="D239" i="32"/>
  <c r="E305" i="32"/>
  <c r="E239" i="32"/>
  <c r="E105" i="32"/>
  <c r="E180" i="32"/>
  <c r="E204" i="32"/>
  <c r="E230" i="32"/>
  <c r="E171" i="32"/>
  <c r="E197" i="32"/>
  <c r="D265" i="32"/>
  <c r="D268" i="32"/>
  <c r="D293" i="32"/>
  <c r="E140" i="32"/>
  <c r="G140" i="32" s="1"/>
  <c r="K140" i="32" s="1"/>
  <c r="E182" i="32"/>
  <c r="E205" i="32"/>
  <c r="E210" i="32"/>
  <c r="E229" i="32"/>
  <c r="E238" i="32"/>
  <c r="D276" i="32"/>
  <c r="D171" i="32"/>
  <c r="D166" i="32"/>
  <c r="E138" i="32"/>
  <c r="G138" i="32" s="1"/>
  <c r="K138" i="32" s="1"/>
  <c r="G415" i="33" s="1"/>
  <c r="E194" i="32"/>
  <c r="E133" i="32"/>
  <c r="E202" i="32"/>
  <c r="E231" i="32"/>
  <c r="D261" i="32"/>
  <c r="D273" i="32"/>
  <c r="D112" i="32"/>
  <c r="D254" i="32"/>
  <c r="E27" i="32"/>
  <c r="F84" i="4"/>
  <c r="L84" i="4" s="1"/>
  <c r="G84" i="4"/>
  <c r="BK190" i="5"/>
  <c r="D74" i="4"/>
  <c r="D35" i="4"/>
  <c r="F18" i="5"/>
  <c r="E104" i="4"/>
  <c r="E82" i="4"/>
  <c r="G82" i="4" s="1"/>
  <c r="E324" i="32"/>
  <c r="E35" i="4"/>
  <c r="D36" i="4"/>
  <c r="E57" i="4"/>
  <c r="G55" i="4" l="1"/>
  <c r="D24" i="53"/>
  <c r="K12" i="53"/>
  <c r="W1402" i="28"/>
  <c r="W1406" i="28" s="1"/>
  <c r="D219" i="32" s="1"/>
  <c r="G219" i="32" s="1"/>
  <c r="K1318" i="54"/>
  <c r="K1322" i="54" s="1"/>
  <c r="Q1234" i="28"/>
  <c r="Q1238" i="28" s="1"/>
  <c r="D189" i="32" s="1"/>
  <c r="G189" i="32" s="1"/>
  <c r="K576" i="54"/>
  <c r="K580" i="54" s="1"/>
  <c r="Q772" i="54"/>
  <c r="Q776" i="54" s="1"/>
  <c r="Q1514" i="54"/>
  <c r="Q1518" i="54" s="1"/>
  <c r="E1668" i="54"/>
  <c r="E1672" i="54" s="1"/>
  <c r="AJ18" i="51"/>
  <c r="E492" i="28"/>
  <c r="E496" i="28" s="1"/>
  <c r="F497" i="28" s="1"/>
  <c r="K1402" i="28"/>
  <c r="K1406" i="28" s="1"/>
  <c r="E492" i="54"/>
  <c r="E496" i="54" s="1"/>
  <c r="BJ496" i="54" s="1"/>
  <c r="D1281" i="28"/>
  <c r="D201" i="32"/>
  <c r="E1458" i="28"/>
  <c r="E1462" i="28" s="1"/>
  <c r="D1463" i="28" s="1"/>
  <c r="AV162" i="5"/>
  <c r="Q1220" i="54"/>
  <c r="K1164" i="28"/>
  <c r="AC162" i="5"/>
  <c r="F44" i="54"/>
  <c r="E1010" i="54"/>
  <c r="E1014" i="54" s="1"/>
  <c r="E1290" i="54"/>
  <c r="F1794" i="54"/>
  <c r="AJ1630" i="54"/>
  <c r="AH1631" i="54" s="1"/>
  <c r="Q450" i="54"/>
  <c r="Q454" i="54" s="1"/>
  <c r="R455" i="54" s="1"/>
  <c r="E156" i="28"/>
  <c r="E160" i="28" s="1"/>
  <c r="F161" i="28" s="1"/>
  <c r="W660" i="28"/>
  <c r="W664" i="28" s="1"/>
  <c r="X665" i="28" s="1"/>
  <c r="K1178" i="54"/>
  <c r="K1182" i="54" s="1"/>
  <c r="W660" i="54"/>
  <c r="W664" i="54" s="1"/>
  <c r="V665" i="54" s="1"/>
  <c r="E142" i="54"/>
  <c r="E146" i="54" s="1"/>
  <c r="BJ146" i="54" s="1"/>
  <c r="AC450" i="54"/>
  <c r="AC454" i="54" s="1"/>
  <c r="AB455" i="54" s="1"/>
  <c r="K1388" i="28"/>
  <c r="F1080" i="54"/>
  <c r="Q534" i="54"/>
  <c r="Q538" i="54" s="1"/>
  <c r="E1416" i="28"/>
  <c r="E604" i="54"/>
  <c r="E1472" i="54"/>
  <c r="K702" i="28"/>
  <c r="K706" i="28" s="1"/>
  <c r="L707" i="28" s="1"/>
  <c r="E1430" i="28"/>
  <c r="E1434" i="28" s="1"/>
  <c r="D1435" i="28" s="1"/>
  <c r="K534" i="28"/>
  <c r="K538" i="28" s="1"/>
  <c r="D73" i="32" s="1"/>
  <c r="F73" i="32" s="1"/>
  <c r="J73" i="32" s="1"/>
  <c r="H509" i="33" s="1"/>
  <c r="K604" i="28"/>
  <c r="K604" i="54"/>
  <c r="AI450" i="28"/>
  <c r="AI454" i="28" s="1"/>
  <c r="D59" i="32" s="1"/>
  <c r="F59" i="32" s="1"/>
  <c r="J59" i="32" s="1"/>
  <c r="AI450" i="54"/>
  <c r="K1234" i="28"/>
  <c r="K1238" i="28" s="1"/>
  <c r="D188" i="32" s="1"/>
  <c r="G188" i="32" s="1"/>
  <c r="E1262" i="54"/>
  <c r="Q562" i="28"/>
  <c r="Q566" i="28" s="1"/>
  <c r="D80" i="32" s="1"/>
  <c r="AC142" i="5"/>
  <c r="AD143" i="5" s="1"/>
  <c r="AC142" i="51"/>
  <c r="E464" i="28"/>
  <c r="E468" i="28" s="1"/>
  <c r="BG468" i="28" s="1"/>
  <c r="E468" i="54"/>
  <c r="BJ468" i="54" s="1"/>
  <c r="E1332" i="54"/>
  <c r="D215" i="32"/>
  <c r="F215" i="32" s="1"/>
  <c r="N215" i="32" s="1"/>
  <c r="H234" i="33" s="1"/>
  <c r="E1360" i="28"/>
  <c r="W534" i="28"/>
  <c r="W538" i="28" s="1"/>
  <c r="D75" i="32" s="1"/>
  <c r="G75" i="32" s="1"/>
  <c r="K75" i="32" s="1"/>
  <c r="K1346" i="28"/>
  <c r="K1350" i="28" s="1"/>
  <c r="D208" i="32" s="1"/>
  <c r="G208" i="32" s="1"/>
  <c r="K1346" i="54"/>
  <c r="K1350" i="54" s="1"/>
  <c r="K562" i="54"/>
  <c r="K566" i="54" s="1"/>
  <c r="E1304" i="28"/>
  <c r="E1308" i="28" s="1"/>
  <c r="D1309" i="28" s="1"/>
  <c r="E1304" i="54"/>
  <c r="E1360" i="54"/>
  <c r="E132" i="54"/>
  <c r="BJ132" i="54" s="1"/>
  <c r="F1714" i="28"/>
  <c r="E1715" i="28" s="1"/>
  <c r="L1602" i="28"/>
  <c r="G73" i="33" s="1"/>
  <c r="K1613" i="54" s="1"/>
  <c r="K1616" i="54" s="1"/>
  <c r="BJ1616" i="54" s="1"/>
  <c r="R1752" i="54"/>
  <c r="R1738" i="28"/>
  <c r="AI580" i="28"/>
  <c r="AH581" i="28" s="1"/>
  <c r="AC454" i="28"/>
  <c r="D58" i="32" s="1"/>
  <c r="G58" i="32" s="1"/>
  <c r="K58" i="32" s="1"/>
  <c r="L1616" i="54"/>
  <c r="E506" i="28"/>
  <c r="E510" i="28" s="1"/>
  <c r="D68" i="32" s="1"/>
  <c r="K706" i="54"/>
  <c r="J707" i="54" s="1"/>
  <c r="E552" i="28"/>
  <c r="F553" i="28" s="1"/>
  <c r="F1882" i="54"/>
  <c r="BK1882" i="54" s="1"/>
  <c r="Q478" i="28"/>
  <c r="E1042" i="54"/>
  <c r="Q996" i="28"/>
  <c r="Q1000" i="28" s="1"/>
  <c r="P1001" i="28" s="1"/>
  <c r="E1182" i="28"/>
  <c r="F1183" i="28" s="1"/>
  <c r="K454" i="28"/>
  <c r="D55" i="32" s="1"/>
  <c r="F55" i="32" s="1"/>
  <c r="J55" i="32" s="1"/>
  <c r="K1028" i="28"/>
  <c r="J1029" i="28" s="1"/>
  <c r="K776" i="28"/>
  <c r="X162" i="51"/>
  <c r="Q594" i="54"/>
  <c r="R595" i="54" s="1"/>
  <c r="E1224" i="28"/>
  <c r="F1225" i="28" s="1"/>
  <c r="Q142" i="51"/>
  <c r="E552" i="54"/>
  <c r="AO1238" i="54"/>
  <c r="Q1406" i="54"/>
  <c r="E1392" i="28"/>
  <c r="D1393" i="28" s="1"/>
  <c r="F1640" i="28"/>
  <c r="F1654" i="54"/>
  <c r="F1658" i="54" s="1"/>
  <c r="BK1658" i="54" s="1"/>
  <c r="AC1238" i="54"/>
  <c r="E1182" i="54"/>
  <c r="E692" i="28"/>
  <c r="E693" i="28" s="1"/>
  <c r="K1504" i="28"/>
  <c r="J1505" i="28" s="1"/>
  <c r="K1266" i="54"/>
  <c r="E1238" i="54"/>
  <c r="K520" i="28"/>
  <c r="K524" i="28" s="1"/>
  <c r="D71" i="32" s="1"/>
  <c r="F71" i="32" s="1"/>
  <c r="J71" i="32" s="1"/>
  <c r="H504" i="33" s="1"/>
  <c r="Q664" i="54"/>
  <c r="Q665" i="54" s="1"/>
  <c r="E1252" i="28"/>
  <c r="F1253" i="28" s="1"/>
  <c r="E188" i="54"/>
  <c r="BJ188" i="54" s="1"/>
  <c r="F1616" i="54"/>
  <c r="E1378" i="54"/>
  <c r="BG1280" i="28"/>
  <c r="K1182" i="28"/>
  <c r="D177" i="32" s="1"/>
  <c r="F177" i="32" s="1"/>
  <c r="N177" i="32" s="1"/>
  <c r="H148" i="33" s="1"/>
  <c r="Q454" i="28"/>
  <c r="Q455" i="28" s="1"/>
  <c r="E1196" i="28"/>
  <c r="F1197" i="28" s="1"/>
  <c r="K636" i="28"/>
  <c r="D97" i="32" s="1"/>
  <c r="F97" i="32" s="1"/>
  <c r="J97" i="32" s="1"/>
  <c r="K510" i="54"/>
  <c r="E510" i="54"/>
  <c r="E678" i="28"/>
  <c r="Q1182" i="54"/>
  <c r="W538" i="54"/>
  <c r="Q580" i="54"/>
  <c r="E188" i="28"/>
  <c r="BG188" i="28" s="1"/>
  <c r="E1350" i="54"/>
  <c r="K1448" i="54"/>
  <c r="E1281" i="28"/>
  <c r="Q594" i="28"/>
  <c r="D92" i="32" s="1"/>
  <c r="G92" i="32" s="1"/>
  <c r="K92" i="32" s="1"/>
  <c r="D134" i="32"/>
  <c r="F134" i="32" s="1"/>
  <c r="J134" i="32" s="1"/>
  <c r="F1603" i="28"/>
  <c r="W1266" i="54"/>
  <c r="AU71" i="5"/>
  <c r="E678" i="54"/>
  <c r="BJ678" i="54" s="1"/>
  <c r="K1336" i="54"/>
  <c r="F34" i="28"/>
  <c r="E17" i="32" s="1"/>
  <c r="AC1434" i="28"/>
  <c r="AD1435" i="28" s="1"/>
  <c r="E1476" i="28"/>
  <c r="E1434" i="54"/>
  <c r="BJ1434" i="54" s="1"/>
  <c r="K244" i="28"/>
  <c r="E622" i="54"/>
  <c r="BJ622" i="54" s="1"/>
  <c r="K524" i="54"/>
  <c r="K1252" i="28"/>
  <c r="D195" i="32" s="1"/>
  <c r="F195" i="32" s="1"/>
  <c r="N195" i="32" s="1"/>
  <c r="H171" i="33" s="1"/>
  <c r="W1420" i="54"/>
  <c r="K580" i="28"/>
  <c r="D84" i="32" s="1"/>
  <c r="F84" i="32" s="1"/>
  <c r="J84" i="32" s="1"/>
  <c r="H526" i="33" s="1"/>
  <c r="K650" i="28"/>
  <c r="D99" i="32" s="1"/>
  <c r="F99" i="32" s="1"/>
  <c r="J99" i="32" s="1"/>
  <c r="Q566" i="54"/>
  <c r="E1504" i="28"/>
  <c r="W454" i="54"/>
  <c r="W455" i="54" s="1"/>
  <c r="Q1434" i="28"/>
  <c r="D223" i="32" s="1"/>
  <c r="G223" i="32" s="1"/>
  <c r="E440" i="28"/>
  <c r="D52" i="32" s="1"/>
  <c r="E252" i="32"/>
  <c r="F252" i="32" s="1"/>
  <c r="BH118" i="28"/>
  <c r="E622" i="28"/>
  <c r="F623" i="28" s="1"/>
  <c r="E1603" i="28"/>
  <c r="D1603" i="28"/>
  <c r="J833" i="28"/>
  <c r="E1224" i="54"/>
  <c r="Q1182" i="28"/>
  <c r="D178" i="32" s="1"/>
  <c r="G178" i="32" s="1"/>
  <c r="E440" i="54"/>
  <c r="F441" i="54" s="1"/>
  <c r="AI580" i="54"/>
  <c r="AC986" i="54"/>
  <c r="AD987" i="54" s="1"/>
  <c r="K1518" i="54"/>
  <c r="E1210" i="54"/>
  <c r="AC1224" i="54"/>
  <c r="E1336" i="28"/>
  <c r="F1728" i="54"/>
  <c r="F1798" i="28"/>
  <c r="E1799" i="28" s="1"/>
  <c r="W454" i="28"/>
  <c r="V455" i="28" s="1"/>
  <c r="E1164" i="54"/>
  <c r="E1168" i="54" s="1"/>
  <c r="W566" i="54"/>
  <c r="K1224" i="28"/>
  <c r="D183" i="32" s="1"/>
  <c r="F183" i="32" s="1"/>
  <c r="N183" i="32" s="1"/>
  <c r="H157" i="33" s="1"/>
  <c r="Q1252" i="28"/>
  <c r="D196" i="32" s="1"/>
  <c r="F196" i="32" s="1"/>
  <c r="N196" i="32" s="1"/>
  <c r="H172" i="33" s="1"/>
  <c r="E664" i="28"/>
  <c r="F665" i="28" s="1"/>
  <c r="AO1434" i="28"/>
  <c r="D227" i="32" s="1"/>
  <c r="G227" i="32" s="1"/>
  <c r="W1448" i="54"/>
  <c r="Q1238" i="54"/>
  <c r="AI1448" i="54"/>
  <c r="P861" i="28"/>
  <c r="E259" i="32"/>
  <c r="F259" i="32" s="1"/>
  <c r="AH1617" i="28"/>
  <c r="AI1617" i="28"/>
  <c r="K1014" i="54"/>
  <c r="Q986" i="54"/>
  <c r="AD23" i="51"/>
  <c r="E1164" i="28"/>
  <c r="E1168" i="28" s="1"/>
  <c r="D1169" i="28" s="1"/>
  <c r="AC566" i="28"/>
  <c r="AC567" i="28" s="1"/>
  <c r="AC1224" i="28"/>
  <c r="AD1225" i="28" s="1"/>
  <c r="Q1168" i="54"/>
  <c r="K1336" i="28"/>
  <c r="D206" i="32" s="1"/>
  <c r="G206" i="32" s="1"/>
  <c r="E776" i="54"/>
  <c r="E777" i="54" s="1"/>
  <c r="E174" i="28"/>
  <c r="Q861" i="28"/>
  <c r="K1168" i="54"/>
  <c r="K1014" i="28"/>
  <c r="D152" i="32" s="1"/>
  <c r="G152" i="32" s="1"/>
  <c r="E1252" i="54"/>
  <c r="AC23" i="51"/>
  <c r="Q580" i="28"/>
  <c r="R581" i="28" s="1"/>
  <c r="Q986" i="28"/>
  <c r="P987" i="28" s="1"/>
  <c r="K1224" i="54"/>
  <c r="E762" i="54"/>
  <c r="D763" i="54" s="1"/>
  <c r="AI1434" i="28"/>
  <c r="AJ1435" i="28" s="1"/>
  <c r="E454" i="28"/>
  <c r="D455" i="28" s="1"/>
  <c r="R861" i="28"/>
  <c r="AC580" i="28"/>
  <c r="F1714" i="54"/>
  <c r="BK1714" i="54" s="1"/>
  <c r="E692" i="54"/>
  <c r="Q142" i="5"/>
  <c r="P143" i="5" s="1"/>
  <c r="E1406" i="54"/>
  <c r="E762" i="28"/>
  <c r="E763" i="28" s="1"/>
  <c r="K1238" i="54"/>
  <c r="E174" i="54"/>
  <c r="BJ174" i="54" s="1"/>
  <c r="Q762" i="54"/>
  <c r="P763" i="54" s="1"/>
  <c r="AO1448" i="54"/>
  <c r="AP1449" i="54" s="1"/>
  <c r="K636" i="54"/>
  <c r="J637" i="54" s="1"/>
  <c r="W1000" i="54"/>
  <c r="F1281" i="28"/>
  <c r="L833" i="28"/>
  <c r="Q1014" i="54"/>
  <c r="AC1448" i="54"/>
  <c r="F131" i="32"/>
  <c r="J131" i="32" s="1"/>
  <c r="W566" i="28"/>
  <c r="X567" i="28" s="1"/>
  <c r="E1266" i="28"/>
  <c r="E1267" i="28" s="1"/>
  <c r="E608" i="28"/>
  <c r="E609" i="28" s="1"/>
  <c r="K566" i="28"/>
  <c r="K567" i="28" s="1"/>
  <c r="AC986" i="28"/>
  <c r="AB987" i="28" s="1"/>
  <c r="E594" i="54"/>
  <c r="F1700" i="28"/>
  <c r="F1701" i="28" s="1"/>
  <c r="D127" i="32"/>
  <c r="G127" i="32" s="1"/>
  <c r="K127" i="32" s="1"/>
  <c r="G390" i="33" s="1"/>
  <c r="L94" i="5"/>
  <c r="E46" i="4" s="1"/>
  <c r="K552" i="28"/>
  <c r="D77" i="32" s="1"/>
  <c r="F77" i="32" s="1"/>
  <c r="J77" i="32" s="1"/>
  <c r="H517" i="33" s="1"/>
  <c r="E1014" i="28"/>
  <c r="F1015" i="28" s="1"/>
  <c r="W1434" i="28"/>
  <c r="D224" i="32" s="1"/>
  <c r="G224" i="32" s="1"/>
  <c r="E146" i="28"/>
  <c r="D147" i="28" s="1"/>
  <c r="E1028" i="28"/>
  <c r="E1029" i="28" s="1"/>
  <c r="Q1014" i="28"/>
  <c r="Q1015" i="28" s="1"/>
  <c r="AI1238" i="28"/>
  <c r="D192" i="32" s="1"/>
  <c r="F192" i="32" s="1"/>
  <c r="N192" i="32" s="1"/>
  <c r="H167" i="33" s="1"/>
  <c r="E1350" i="28"/>
  <c r="D207" i="32" s="1"/>
  <c r="K594" i="28"/>
  <c r="K482" i="54"/>
  <c r="W986" i="54"/>
  <c r="W987" i="54" s="1"/>
  <c r="Q1420" i="54"/>
  <c r="K1028" i="54"/>
  <c r="W580" i="54"/>
  <c r="K552" i="54"/>
  <c r="W1168" i="54"/>
  <c r="W1504" i="28"/>
  <c r="W1505" i="28" s="1"/>
  <c r="X166" i="5"/>
  <c r="AV71" i="5"/>
  <c r="E776" i="28"/>
  <c r="D777" i="28" s="1"/>
  <c r="W1234" i="28"/>
  <c r="W1238" i="28" s="1"/>
  <c r="D190" i="32" s="1"/>
  <c r="G190" i="32" s="1"/>
  <c r="E1378" i="28"/>
  <c r="D1379" i="28" s="1"/>
  <c r="W1000" i="28"/>
  <c r="D150" i="32" s="1"/>
  <c r="W1266" i="28"/>
  <c r="D200" i="32" s="1"/>
  <c r="F200" i="32" s="1"/>
  <c r="N200" i="32" s="1"/>
  <c r="H177" i="33" s="1"/>
  <c r="D875" i="28"/>
  <c r="E1000" i="28"/>
  <c r="E1042" i="28"/>
  <c r="D156" i="32" s="1"/>
  <c r="G156" i="32" s="1"/>
  <c r="Q1252" i="54"/>
  <c r="AI1238" i="54"/>
  <c r="E454" i="54"/>
  <c r="F455" i="54" s="1"/>
  <c r="K650" i="54"/>
  <c r="K651" i="54" s="1"/>
  <c r="K440" i="54"/>
  <c r="L441" i="54" s="1"/>
  <c r="E1448" i="54"/>
  <c r="AC1406" i="54"/>
  <c r="E1406" i="28"/>
  <c r="F1407" i="28" s="1"/>
  <c r="K1378" i="54"/>
  <c r="E1028" i="54"/>
  <c r="K94" i="5"/>
  <c r="D46" i="4" s="1"/>
  <c r="Q762" i="28"/>
  <c r="D115" i="32" s="1"/>
  <c r="G115" i="32" s="1"/>
  <c r="K115" i="32" s="1"/>
  <c r="K1266" i="28"/>
  <c r="L1267" i="28" s="1"/>
  <c r="K1434" i="28"/>
  <c r="J1435" i="28" s="1"/>
  <c r="BG832" i="28"/>
  <c r="D133" i="32"/>
  <c r="G133" i="32" s="1"/>
  <c r="K133" i="32" s="1"/>
  <c r="E875" i="28"/>
  <c r="D129" i="32"/>
  <c r="G129" i="32" s="1"/>
  <c r="K129" i="32" s="1"/>
  <c r="G394" i="33" s="1"/>
  <c r="E1420" i="54"/>
  <c r="F875" i="28"/>
  <c r="F861" i="28"/>
  <c r="F125" i="32"/>
  <c r="J125" i="32" s="1"/>
  <c r="AJ1617" i="28"/>
  <c r="E132" i="28"/>
  <c r="E133" i="28" s="1"/>
  <c r="E861" i="28"/>
  <c r="BG860" i="28"/>
  <c r="AD23" i="5"/>
  <c r="L1588" i="28"/>
  <c r="L1602" i="54"/>
  <c r="L1603" i="54" s="1"/>
  <c r="F1770" i="28"/>
  <c r="F1854" i="54"/>
  <c r="BK1854" i="54" s="1"/>
  <c r="F1840" i="28"/>
  <c r="BH1840" i="28" s="1"/>
  <c r="L1574" i="28"/>
  <c r="L1588" i="54"/>
  <c r="R1714" i="28"/>
  <c r="R1728" i="54"/>
  <c r="AD1742" i="28"/>
  <c r="AD1756" i="54"/>
  <c r="K1658" i="28"/>
  <c r="K1672" i="54"/>
  <c r="R1560" i="28"/>
  <c r="R1574" i="54"/>
  <c r="AD1616" i="28"/>
  <c r="AD1630" i="54"/>
  <c r="L1742" i="28"/>
  <c r="L1756" i="54"/>
  <c r="L1686" i="28"/>
  <c r="BH1686" i="28" s="1"/>
  <c r="L1700" i="54"/>
  <c r="BK1700" i="54" s="1"/>
  <c r="AJ162" i="51"/>
  <c r="L1738" i="54"/>
  <c r="L1742" i="54" s="1"/>
  <c r="L1724" i="28"/>
  <c r="L1728" i="28" s="1"/>
  <c r="K454" i="54"/>
  <c r="K455" i="54" s="1"/>
  <c r="E1000" i="54"/>
  <c r="Q1168" i="28"/>
  <c r="P1169" i="28" s="1"/>
  <c r="Q664" i="28"/>
  <c r="D102" i="32" s="1"/>
  <c r="G102" i="32" s="1"/>
  <c r="K102" i="32" s="1"/>
  <c r="W986" i="28"/>
  <c r="V987" i="28" s="1"/>
  <c r="AO1238" i="28"/>
  <c r="D193" i="32" s="1"/>
  <c r="G193" i="32" s="1"/>
  <c r="W1224" i="28"/>
  <c r="D185" i="32" s="1"/>
  <c r="F185" i="32" s="1"/>
  <c r="N185" i="32" s="1"/>
  <c r="H159" i="33" s="1"/>
  <c r="Q1504" i="28"/>
  <c r="D234" i="32" s="1"/>
  <c r="G234" i="32" s="1"/>
  <c r="Q1406" i="28"/>
  <c r="D218" i="32" s="1"/>
  <c r="F218" i="32" s="1"/>
  <c r="N218" i="32" s="1"/>
  <c r="H289" i="33" s="1"/>
  <c r="E580" i="28"/>
  <c r="D581" i="28" s="1"/>
  <c r="K986" i="54"/>
  <c r="K664" i="54"/>
  <c r="L665" i="54" s="1"/>
  <c r="K1042" i="54"/>
  <c r="F1868" i="54"/>
  <c r="BK1868" i="54" s="1"/>
  <c r="F1854" i="28"/>
  <c r="E293" i="32" s="1"/>
  <c r="G293" i="32" s="1"/>
  <c r="Q1224" i="28"/>
  <c r="X1798" i="28"/>
  <c r="X1812" i="54"/>
  <c r="L1626" i="54"/>
  <c r="L1630" i="54" s="1"/>
  <c r="L1612" i="28"/>
  <c r="L1616" i="28" s="1"/>
  <c r="AD1574" i="28"/>
  <c r="AD1588" i="54"/>
  <c r="X1574" i="28"/>
  <c r="X1588" i="54"/>
  <c r="AP1630" i="54"/>
  <c r="F1742" i="28"/>
  <c r="E276" i="32" s="1"/>
  <c r="F276" i="32" s="1"/>
  <c r="F1756" i="54"/>
  <c r="R1728" i="28"/>
  <c r="R1742" i="54"/>
  <c r="L1812" i="54"/>
  <c r="L1798" i="28"/>
  <c r="E286" i="32" s="1"/>
  <c r="R1616" i="28"/>
  <c r="R1630" i="54"/>
  <c r="R1588" i="54"/>
  <c r="R1574" i="28"/>
  <c r="K1000" i="28"/>
  <c r="J1001" i="28" s="1"/>
  <c r="E1238" i="28"/>
  <c r="D1239" i="28" s="1"/>
  <c r="K482" i="28"/>
  <c r="L483" i="28" s="1"/>
  <c r="W580" i="28"/>
  <c r="D86" i="32" s="1"/>
  <c r="F86" i="32" s="1"/>
  <c r="J86" i="32" s="1"/>
  <c r="H528" i="33" s="1"/>
  <c r="K510" i="28"/>
  <c r="D69" i="32" s="1"/>
  <c r="F69" i="32" s="1"/>
  <c r="J69" i="32" s="1"/>
  <c r="H499" i="33" s="1"/>
  <c r="K1252" i="54"/>
  <c r="E1392" i="54"/>
  <c r="BJ1392" i="54" s="1"/>
  <c r="E580" i="54"/>
  <c r="K1000" i="54"/>
  <c r="E1504" i="54"/>
  <c r="BJ1504" i="54" s="1"/>
  <c r="K986" i="28"/>
  <c r="K987" i="28" s="1"/>
  <c r="Q1000" i="54"/>
  <c r="K664" i="28"/>
  <c r="K1042" i="28"/>
  <c r="J1043" i="28" s="1"/>
  <c r="W1224" i="54"/>
  <c r="F1686" i="54"/>
  <c r="BK1686" i="54" s="1"/>
  <c r="F1672" i="28"/>
  <c r="E264" i="32" s="1"/>
  <c r="K1406" i="54"/>
  <c r="AO454" i="28"/>
  <c r="AO454" i="54"/>
  <c r="F1840" i="54"/>
  <c r="BK1840" i="54" s="1"/>
  <c r="F1826" i="28"/>
  <c r="R1812" i="54"/>
  <c r="R1798" i="28"/>
  <c r="E287" i="32" s="1"/>
  <c r="G287" i="32" s="1"/>
  <c r="O287" i="32" s="1"/>
  <c r="G321" i="33" s="1"/>
  <c r="Q1809" i="54" s="1"/>
  <c r="Q1812" i="54" s="1"/>
  <c r="AD1560" i="28"/>
  <c r="AD1574" i="54"/>
  <c r="F1784" i="28"/>
  <c r="X1742" i="28"/>
  <c r="X1756" i="54"/>
  <c r="F1742" i="54"/>
  <c r="F1728" i="28"/>
  <c r="F1574" i="28"/>
  <c r="F1588" i="54"/>
  <c r="F1756" i="28"/>
  <c r="E281" i="32" s="1"/>
  <c r="F281" i="32" s="1"/>
  <c r="F1770" i="54"/>
  <c r="BK1770" i="54" s="1"/>
  <c r="AC580" i="54"/>
  <c r="E1490" i="54"/>
  <c r="BJ1490" i="54" s="1"/>
  <c r="F1616" i="28"/>
  <c r="F1588" i="28"/>
  <c r="F1602" i="54"/>
  <c r="AC566" i="54"/>
  <c r="K538" i="54"/>
  <c r="Q482" i="54"/>
  <c r="W1234" i="54"/>
  <c r="G125" i="32"/>
  <c r="K125" i="32" s="1"/>
  <c r="G386" i="33" s="1"/>
  <c r="W815" i="54" s="1"/>
  <c r="W818" i="54" s="1"/>
  <c r="E1196" i="54"/>
  <c r="BJ1196" i="54" s="1"/>
  <c r="E1490" i="28"/>
  <c r="F1491" i="28" s="1"/>
  <c r="AC1238" i="28"/>
  <c r="AD1239" i="28" s="1"/>
  <c r="W1168" i="28"/>
  <c r="D175" i="32" s="1"/>
  <c r="G175" i="32" s="1"/>
  <c r="Q1448" i="54"/>
  <c r="E1518" i="54"/>
  <c r="K440" i="28"/>
  <c r="K441" i="28" s="1"/>
  <c r="E1210" i="28"/>
  <c r="D1211" i="28" s="1"/>
  <c r="E594" i="28"/>
  <c r="E595" i="28" s="1"/>
  <c r="X1714" i="28"/>
  <c r="X1728" i="54"/>
  <c r="K1420" i="54"/>
  <c r="F1826" i="54"/>
  <c r="BK1826" i="54" s="1"/>
  <c r="F1812" i="28"/>
  <c r="BH1812" i="28" s="1"/>
  <c r="AD1798" i="28"/>
  <c r="AD1812" i="54"/>
  <c r="AD1714" i="28"/>
  <c r="AD1728" i="54"/>
  <c r="L1560" i="28"/>
  <c r="L1574" i="54"/>
  <c r="L1714" i="28"/>
  <c r="L1728" i="54"/>
  <c r="X1616" i="28"/>
  <c r="X1630" i="54"/>
  <c r="L1784" i="54"/>
  <c r="L1770" i="28"/>
  <c r="E283" i="32" s="1"/>
  <c r="F283" i="32" s="1"/>
  <c r="X1560" i="28"/>
  <c r="X1574" i="54"/>
  <c r="F1784" i="54"/>
  <c r="E1294" i="28"/>
  <c r="E1528" i="28"/>
  <c r="E1542" i="54"/>
  <c r="E702" i="54"/>
  <c r="E706" i="54" s="1"/>
  <c r="D707" i="54" s="1"/>
  <c r="E702" i="28"/>
  <c r="E706" i="28" s="1"/>
  <c r="D107" i="32" s="1"/>
  <c r="F107" i="32" s="1"/>
  <c r="J107" i="32" s="1"/>
  <c r="E160" i="54"/>
  <c r="BJ160" i="54" s="1"/>
  <c r="E566" i="54"/>
  <c r="E524" i="54"/>
  <c r="W482" i="54"/>
  <c r="K594" i="54"/>
  <c r="L595" i="54" s="1"/>
  <c r="E664" i="54"/>
  <c r="F665" i="54" s="1"/>
  <c r="E720" i="54"/>
  <c r="F721" i="54" s="1"/>
  <c r="E566" i="28"/>
  <c r="F567" i="28" s="1"/>
  <c r="Q538" i="28"/>
  <c r="R539" i="28" s="1"/>
  <c r="E524" i="28"/>
  <c r="E525" i="28" s="1"/>
  <c r="W482" i="28"/>
  <c r="V483" i="28" s="1"/>
  <c r="E720" i="28"/>
  <c r="E721" i="28" s="1"/>
  <c r="F22" i="5"/>
  <c r="E636" i="28"/>
  <c r="E637" i="28" s="1"/>
  <c r="E1448" i="28"/>
  <c r="E1462" i="54"/>
  <c r="BJ1462" i="54" s="1"/>
  <c r="E833" i="28"/>
  <c r="F833" i="28"/>
  <c r="D833" i="28"/>
  <c r="L861" i="28"/>
  <c r="J861" i="28"/>
  <c r="K861" i="28"/>
  <c r="E889" i="28"/>
  <c r="F889" i="28"/>
  <c r="D889" i="28"/>
  <c r="L819" i="28"/>
  <c r="J819" i="28"/>
  <c r="K819" i="28"/>
  <c r="D123" i="32"/>
  <c r="L819" i="54"/>
  <c r="K819" i="54"/>
  <c r="J819" i="54"/>
  <c r="W819" i="28"/>
  <c r="X819" i="28"/>
  <c r="Q1038" i="54"/>
  <c r="Q1038" i="28"/>
  <c r="P819" i="28"/>
  <c r="R819" i="28"/>
  <c r="Q819" i="28"/>
  <c r="D124" i="32"/>
  <c r="D847" i="28"/>
  <c r="E847" i="28"/>
  <c r="F847" i="28"/>
  <c r="V861" i="28"/>
  <c r="W861" i="28"/>
  <c r="X861" i="28"/>
  <c r="D132" i="32"/>
  <c r="V819" i="28"/>
  <c r="E34" i="28"/>
  <c r="BG34" i="28" s="1"/>
  <c r="F20" i="28"/>
  <c r="E21" i="28" s="1"/>
  <c r="G73" i="4"/>
  <c r="O73" i="4" s="1"/>
  <c r="E636" i="54"/>
  <c r="AB23" i="5"/>
  <c r="E941" i="54"/>
  <c r="E944" i="54" s="1"/>
  <c r="L1137" i="54"/>
  <c r="L1140" i="54" s="1"/>
  <c r="Q857" i="54"/>
  <c r="Q860" i="54" s="1"/>
  <c r="F283" i="54"/>
  <c r="F286" i="54" s="1"/>
  <c r="BK286" i="54" s="1"/>
  <c r="E801" i="54"/>
  <c r="E804" i="54" s="1"/>
  <c r="K941" i="54"/>
  <c r="K944" i="54" s="1"/>
  <c r="E408" i="54"/>
  <c r="E412" i="54" s="1"/>
  <c r="BJ412" i="54" s="1"/>
  <c r="E408" i="28"/>
  <c r="E412" i="28" s="1"/>
  <c r="BG412" i="28" s="1"/>
  <c r="E338" i="54"/>
  <c r="E338" i="28"/>
  <c r="E254" i="54"/>
  <c r="E254" i="28"/>
  <c r="F1094" i="54"/>
  <c r="F1094" i="28"/>
  <c r="E398" i="54"/>
  <c r="BJ398" i="54" s="1"/>
  <c r="E398" i="28"/>
  <c r="E1658" i="28"/>
  <c r="E296" i="54"/>
  <c r="E296" i="28"/>
  <c r="E268" i="54"/>
  <c r="E268" i="28"/>
  <c r="E240" i="54"/>
  <c r="E240" i="28"/>
  <c r="E226" i="54"/>
  <c r="E226" i="28"/>
  <c r="L1080" i="54"/>
  <c r="L1080" i="28"/>
  <c r="W366" i="54"/>
  <c r="W366" i="28"/>
  <c r="F1687" i="28"/>
  <c r="E1687" i="28"/>
  <c r="D1687" i="28"/>
  <c r="E650" i="28"/>
  <c r="Q776" i="28"/>
  <c r="D118" i="32" s="1"/>
  <c r="K762" i="28"/>
  <c r="D114" i="32" s="1"/>
  <c r="E482" i="54"/>
  <c r="E482" i="28"/>
  <c r="K720" i="54"/>
  <c r="K720" i="28"/>
  <c r="E380" i="54"/>
  <c r="E380" i="28"/>
  <c r="E310" i="54"/>
  <c r="E310" i="28"/>
  <c r="E650" i="54"/>
  <c r="K762" i="54"/>
  <c r="K776" i="54"/>
  <c r="F120" i="32"/>
  <c r="J120" i="32" s="1"/>
  <c r="D16" i="32"/>
  <c r="G130" i="32"/>
  <c r="K130" i="32" s="1"/>
  <c r="G395" i="33" s="1"/>
  <c r="BG846" i="28"/>
  <c r="D137" i="32"/>
  <c r="E18" i="5"/>
  <c r="E18" i="51"/>
  <c r="AB95" i="5"/>
  <c r="AD95" i="5"/>
  <c r="AC95" i="5"/>
  <c r="AO94" i="5"/>
  <c r="AJ22" i="5"/>
  <c r="F18" i="51"/>
  <c r="F26" i="4"/>
  <c r="O20" i="4"/>
  <c r="M20" i="4"/>
  <c r="N20" i="4"/>
  <c r="L20" i="4"/>
  <c r="O25" i="4"/>
  <c r="M25" i="4"/>
  <c r="N25" i="4"/>
  <c r="L25" i="4"/>
  <c r="J62" i="4"/>
  <c r="O62" i="4"/>
  <c r="L62" i="4"/>
  <c r="K62" i="4"/>
  <c r="M62" i="4"/>
  <c r="E27" i="4"/>
  <c r="D19" i="4"/>
  <c r="D27" i="4"/>
  <c r="E19" i="4"/>
  <c r="D57" i="4"/>
  <c r="F57" i="4" s="1"/>
  <c r="D26" i="18"/>
  <c r="E37" i="4"/>
  <c r="E64" i="4"/>
  <c r="G112" i="32"/>
  <c r="K112" i="32" s="1"/>
  <c r="F112" i="32"/>
  <c r="J112" i="32" s="1"/>
  <c r="H537" i="33" s="1"/>
  <c r="G166" i="32"/>
  <c r="F166" i="32"/>
  <c r="N166" i="32" s="1"/>
  <c r="L297" i="32"/>
  <c r="I297" i="32"/>
  <c r="L299" i="32"/>
  <c r="I299" i="32"/>
  <c r="F128" i="32"/>
  <c r="J128" i="32" s="1"/>
  <c r="G128" i="32"/>
  <c r="K128" i="32" s="1"/>
  <c r="G392" i="33" s="1"/>
  <c r="F23" i="32"/>
  <c r="J23" i="32" s="1"/>
  <c r="G23" i="32"/>
  <c r="K23" i="32" s="1"/>
  <c r="F296" i="32"/>
  <c r="G296" i="32"/>
  <c r="L300" i="32"/>
  <c r="I300" i="32"/>
  <c r="L298" i="32"/>
  <c r="I298" i="32"/>
  <c r="G168" i="32"/>
  <c r="F168" i="32"/>
  <c r="N168" i="32" s="1"/>
  <c r="H193" i="33" s="1"/>
  <c r="F169" i="32"/>
  <c r="N169" i="32" s="1"/>
  <c r="H195" i="33" s="1"/>
  <c r="G169" i="32"/>
  <c r="F141" i="32"/>
  <c r="F138" i="32"/>
  <c r="J138" i="32" s="1"/>
  <c r="F140" i="32"/>
  <c r="F171" i="32"/>
  <c r="N171" i="32" s="1"/>
  <c r="H198" i="33" s="1"/>
  <c r="G171" i="32"/>
  <c r="G265" i="32"/>
  <c r="F265" i="32"/>
  <c r="G239" i="32"/>
  <c r="F239" i="32"/>
  <c r="F21" i="32"/>
  <c r="J21" i="32" s="1"/>
  <c r="G21" i="32"/>
  <c r="K21" i="32" s="1"/>
  <c r="F260" i="32"/>
  <c r="G260" i="32"/>
  <c r="F302" i="32"/>
  <c r="G302" i="32"/>
  <c r="F126" i="32"/>
  <c r="J126" i="32" s="1"/>
  <c r="G126" i="32"/>
  <c r="K126" i="32" s="1"/>
  <c r="G389" i="33" s="1"/>
  <c r="L301" i="32"/>
  <c r="I301" i="32"/>
  <c r="L303" i="32"/>
  <c r="I303" i="32"/>
  <c r="Q1388" i="28"/>
  <c r="Q1392" i="28" s="1"/>
  <c r="D213" i="32" s="1"/>
  <c r="G213" i="32" s="1"/>
  <c r="F74" i="4"/>
  <c r="G74" i="4"/>
  <c r="F82" i="4"/>
  <c r="L82" i="4" s="1"/>
  <c r="F36" i="4"/>
  <c r="G36" i="4"/>
  <c r="F35" i="4"/>
  <c r="G35" i="4"/>
  <c r="E48" i="4"/>
  <c r="G48" i="4" s="1"/>
  <c r="C26" i="18"/>
  <c r="E76" i="4"/>
  <c r="E65" i="4"/>
  <c r="E28" i="4"/>
  <c r="I84" i="4"/>
  <c r="BG20" i="28"/>
  <c r="D17" i="4"/>
  <c r="D56" i="4"/>
  <c r="G28" i="33"/>
  <c r="G400" i="33" l="1"/>
  <c r="E871" i="54" s="1"/>
  <c r="E874" i="54" s="1"/>
  <c r="BJ874" i="54" s="1"/>
  <c r="AC162" i="51"/>
  <c r="AC166" i="51" s="1"/>
  <c r="E982" i="28"/>
  <c r="E986" i="28" s="1"/>
  <c r="E987" i="28" s="1"/>
  <c r="E982" i="54"/>
  <c r="E986" i="54" s="1"/>
  <c r="BJ986" i="54" s="1"/>
  <c r="AI42" i="51"/>
  <c r="F44" i="28"/>
  <c r="F48" i="28" s="1"/>
  <c r="F201" i="32"/>
  <c r="N201" i="32" s="1"/>
  <c r="C50" i="19" s="1"/>
  <c r="G201" i="32"/>
  <c r="Q1224" i="54"/>
  <c r="BJ1224" i="54" s="1"/>
  <c r="F1798" i="54"/>
  <c r="BK1798" i="54" s="1"/>
  <c r="K1168" i="28"/>
  <c r="K1169" i="28" s="1"/>
  <c r="E1294" i="54"/>
  <c r="BJ1294" i="54" s="1"/>
  <c r="F162" i="51"/>
  <c r="R18" i="5"/>
  <c r="E352" i="28"/>
  <c r="E356" i="28" s="1"/>
  <c r="BG356" i="28" s="1"/>
  <c r="E1476" i="54"/>
  <c r="BJ1476" i="54" s="1"/>
  <c r="F1556" i="28"/>
  <c r="F1560" i="28" s="1"/>
  <c r="G37" i="33" s="1"/>
  <c r="E1571" i="54" s="1"/>
  <c r="E1574" i="54" s="1"/>
  <c r="F1080" i="28"/>
  <c r="E352" i="54"/>
  <c r="E356" i="54" s="1"/>
  <c r="BJ356" i="54" s="1"/>
  <c r="AI1631" i="54"/>
  <c r="AJ1631" i="54"/>
  <c r="E608" i="54"/>
  <c r="E609" i="54" s="1"/>
  <c r="E1420" i="28"/>
  <c r="E1421" i="28" s="1"/>
  <c r="K1392" i="28"/>
  <c r="D212" i="32" s="1"/>
  <c r="F212" i="32" s="1"/>
  <c r="N212" i="32" s="1"/>
  <c r="H231" i="33" s="1"/>
  <c r="L1403" i="54" s="1"/>
  <c r="L1406" i="54" s="1"/>
  <c r="K608" i="28"/>
  <c r="D94" i="32" s="1"/>
  <c r="G94" i="32" s="1"/>
  <c r="K94" i="32" s="1"/>
  <c r="K608" i="54"/>
  <c r="J609" i="54" s="1"/>
  <c r="E534" i="54"/>
  <c r="E538" i="54" s="1"/>
  <c r="BJ538" i="54" s="1"/>
  <c r="E534" i="28"/>
  <c r="E538" i="28" s="1"/>
  <c r="D72" i="32" s="1"/>
  <c r="G72" i="32" s="1"/>
  <c r="K72" i="32" s="1"/>
  <c r="AI454" i="54"/>
  <c r="AI455" i="54" s="1"/>
  <c r="E1266" i="54"/>
  <c r="F1570" i="54"/>
  <c r="F1574" i="54" s="1"/>
  <c r="BK1574" i="54" s="1"/>
  <c r="BK1616" i="54"/>
  <c r="AC143" i="5"/>
  <c r="AB143" i="5"/>
  <c r="E324" i="28"/>
  <c r="E328" i="28" s="1"/>
  <c r="D41" i="32" s="1"/>
  <c r="F41" i="32" s="1"/>
  <c r="J41" i="32" s="1"/>
  <c r="H466" i="33" s="1"/>
  <c r="E1364" i="28"/>
  <c r="D1365" i="28" s="1"/>
  <c r="E1336" i="54"/>
  <c r="BJ1336" i="54" s="1"/>
  <c r="E1364" i="54"/>
  <c r="BJ1364" i="54" s="1"/>
  <c r="F1715" i="28"/>
  <c r="R1742" i="28"/>
  <c r="E278" i="32" s="1"/>
  <c r="K1617" i="54"/>
  <c r="F469" i="28"/>
  <c r="D469" i="28"/>
  <c r="D62" i="32"/>
  <c r="F62" i="32" s="1"/>
  <c r="J62" i="32" s="1"/>
  <c r="H486" i="33" s="1"/>
  <c r="E469" i="28"/>
  <c r="BH1602" i="28"/>
  <c r="E898" i="54"/>
  <c r="D1715" i="28"/>
  <c r="E1318" i="54"/>
  <c r="E1322" i="54" s="1"/>
  <c r="BJ1322" i="54" s="1"/>
  <c r="E1318" i="28"/>
  <c r="E1322" i="28" s="1"/>
  <c r="F1323" i="28" s="1"/>
  <c r="AB455" i="28"/>
  <c r="E324" i="54"/>
  <c r="E268" i="32"/>
  <c r="F268" i="32" s="1"/>
  <c r="F58" i="32"/>
  <c r="J58" i="32" s="1"/>
  <c r="E1308" i="54"/>
  <c r="BJ1308" i="54" s="1"/>
  <c r="AI581" i="28"/>
  <c r="AJ581" i="28"/>
  <c r="E898" i="28"/>
  <c r="E902" i="28" s="1"/>
  <c r="BG902" i="28" s="1"/>
  <c r="R1756" i="54"/>
  <c r="BK1756" i="54" s="1"/>
  <c r="P455" i="28"/>
  <c r="I71" i="33"/>
  <c r="K1603" i="28"/>
  <c r="E253" i="32"/>
  <c r="G253" i="32" s="1"/>
  <c r="O253" i="32" s="1"/>
  <c r="L1603" i="28"/>
  <c r="J1603" i="28"/>
  <c r="F1029" i="28"/>
  <c r="D88" i="32"/>
  <c r="F88" i="32" s="1"/>
  <c r="J88" i="32" s="1"/>
  <c r="H530" i="33" s="1"/>
  <c r="AJ577" i="54" s="1"/>
  <c r="AJ580" i="54" s="1"/>
  <c r="X539" i="28"/>
  <c r="AC455" i="28"/>
  <c r="D623" i="28"/>
  <c r="AD455" i="28"/>
  <c r="K1505" i="28"/>
  <c r="D180" i="32"/>
  <c r="F180" i="32" s="1"/>
  <c r="N180" i="32" s="1"/>
  <c r="H153" i="33" s="1"/>
  <c r="G55" i="32"/>
  <c r="K55" i="32" s="1"/>
  <c r="K455" i="28"/>
  <c r="L1617" i="54"/>
  <c r="L455" i="28"/>
  <c r="J1617" i="54"/>
  <c r="J455" i="28"/>
  <c r="F1644" i="28"/>
  <c r="E261" i="32" s="1"/>
  <c r="F261" i="32" s="1"/>
  <c r="D155" i="32"/>
  <c r="G155" i="32" s="1"/>
  <c r="K1029" i="28"/>
  <c r="F133" i="32"/>
  <c r="J133" i="32" s="1"/>
  <c r="AO1435" i="28"/>
  <c r="D441" i="28"/>
  <c r="L1029" i="28"/>
  <c r="Q482" i="28"/>
  <c r="Q483" i="28" s="1"/>
  <c r="G200" i="32"/>
  <c r="P595" i="54"/>
  <c r="D1029" i="28"/>
  <c r="E1197" i="28"/>
  <c r="D144" i="32"/>
  <c r="F144" i="32" s="1"/>
  <c r="N144" i="32" s="1"/>
  <c r="E244" i="54"/>
  <c r="E138" i="51"/>
  <c r="J1225" i="28"/>
  <c r="F156" i="32"/>
  <c r="N156" i="32" s="1"/>
  <c r="H127" i="33" s="1"/>
  <c r="X1407" i="28"/>
  <c r="BG1196" i="28"/>
  <c r="K244" i="54"/>
  <c r="BG622" i="28"/>
  <c r="V665" i="28"/>
  <c r="P665" i="54"/>
  <c r="R455" i="28"/>
  <c r="Q595" i="54"/>
  <c r="G134" i="32"/>
  <c r="K134" i="32" s="1"/>
  <c r="G404" i="33" s="1"/>
  <c r="D56" i="32"/>
  <c r="F56" i="32" s="1"/>
  <c r="J56" i="32" s="1"/>
  <c r="R665" i="54"/>
  <c r="BJ1350" i="54"/>
  <c r="E1617" i="54"/>
  <c r="F1617" i="54"/>
  <c r="D1617" i="54"/>
  <c r="L1505" i="28"/>
  <c r="BG1308" i="28"/>
  <c r="F127" i="32"/>
  <c r="J127" i="32" s="1"/>
  <c r="D233" i="32"/>
  <c r="F233" i="32" s="1"/>
  <c r="N233" i="32" s="1"/>
  <c r="H311" i="33" s="1"/>
  <c r="L1515" i="54" s="1"/>
  <c r="L1518" i="54" s="1"/>
  <c r="D203" i="32"/>
  <c r="F203" i="32" s="1"/>
  <c r="N203" i="32" s="1"/>
  <c r="H216" i="33" s="1"/>
  <c r="F1043" i="28"/>
  <c r="D179" i="32"/>
  <c r="F179" i="32" s="1"/>
  <c r="N179" i="32" s="1"/>
  <c r="H151" i="33" s="1"/>
  <c r="F219" i="32"/>
  <c r="N219" i="32" s="1"/>
  <c r="H290" i="33" s="1"/>
  <c r="X1417" i="54" s="1"/>
  <c r="X1420" i="54" s="1"/>
  <c r="BH34" i="28"/>
  <c r="R1393" i="28"/>
  <c r="W1407" i="28"/>
  <c r="D1197" i="28"/>
  <c r="K1253" i="28"/>
  <c r="AD455" i="54"/>
  <c r="AD567" i="28"/>
  <c r="AC455" i="54"/>
  <c r="D82" i="32"/>
  <c r="G82" i="32" s="1"/>
  <c r="K82" i="32" s="1"/>
  <c r="V1407" i="28"/>
  <c r="AD581" i="28"/>
  <c r="AB581" i="28"/>
  <c r="AH1435" i="28"/>
  <c r="J1183" i="28"/>
  <c r="R763" i="54"/>
  <c r="G84" i="32"/>
  <c r="K84" i="32" s="1"/>
  <c r="P581" i="28"/>
  <c r="AI1435" i="28"/>
  <c r="Q763" i="54"/>
  <c r="Q581" i="28"/>
  <c r="E623" i="54"/>
  <c r="D85" i="32"/>
  <c r="F85" i="32" s="1"/>
  <c r="J85" i="32" s="1"/>
  <c r="H527" i="33" s="1"/>
  <c r="D229" i="32"/>
  <c r="G229" i="32" s="1"/>
  <c r="D226" i="32"/>
  <c r="F226" i="32" s="1"/>
  <c r="N226" i="32" s="1"/>
  <c r="H299" i="33" s="1"/>
  <c r="G177" i="32"/>
  <c r="J581" i="28"/>
  <c r="K1183" i="28"/>
  <c r="AB1225" i="28"/>
  <c r="L1183" i="28"/>
  <c r="K1799" i="28"/>
  <c r="G59" i="32"/>
  <c r="K59" i="32" s="1"/>
  <c r="G252" i="32"/>
  <c r="M252" i="32" s="1"/>
  <c r="K707" i="28"/>
  <c r="F189" i="32"/>
  <c r="N189" i="32" s="1"/>
  <c r="H164" i="33" s="1"/>
  <c r="R1235" i="54" s="1"/>
  <c r="R1238" i="54" s="1"/>
  <c r="R143" i="5"/>
  <c r="L637" i="54"/>
  <c r="F777" i="28"/>
  <c r="W665" i="54"/>
  <c r="P595" i="28"/>
  <c r="D116" i="32"/>
  <c r="F116" i="32" s="1"/>
  <c r="J116" i="32" s="1"/>
  <c r="K637" i="54"/>
  <c r="E1183" i="28"/>
  <c r="E665" i="28"/>
  <c r="BJ636" i="54"/>
  <c r="J441" i="28"/>
  <c r="F679" i="28"/>
  <c r="BG678" i="28"/>
  <c r="E679" i="28"/>
  <c r="D679" i="28"/>
  <c r="D104" i="32"/>
  <c r="F104" i="32" s="1"/>
  <c r="J104" i="32" s="1"/>
  <c r="F178" i="32"/>
  <c r="N178" i="32" s="1"/>
  <c r="H149" i="33" s="1"/>
  <c r="R1179" i="54" s="1"/>
  <c r="R1182" i="54" s="1"/>
  <c r="BG146" i="28"/>
  <c r="P1239" i="28"/>
  <c r="AC987" i="54"/>
  <c r="L637" i="28"/>
  <c r="F147" i="28"/>
  <c r="L1253" i="28"/>
  <c r="Q595" i="28"/>
  <c r="E441" i="28"/>
  <c r="L1799" i="28"/>
  <c r="G195" i="32"/>
  <c r="F115" i="32"/>
  <c r="J115" i="32" s="1"/>
  <c r="F213" i="32"/>
  <c r="N213" i="32" s="1"/>
  <c r="H232" i="33" s="1"/>
  <c r="R1403" i="54" s="1"/>
  <c r="R1406" i="54" s="1"/>
  <c r="Q1239" i="28"/>
  <c r="J637" i="28"/>
  <c r="F763" i="28"/>
  <c r="R595" i="28"/>
  <c r="F441" i="28"/>
  <c r="BG1182" i="28"/>
  <c r="AC987" i="28"/>
  <c r="X665" i="54"/>
  <c r="R1239" i="28"/>
  <c r="K637" i="28"/>
  <c r="J1253" i="28"/>
  <c r="X1239" i="28"/>
  <c r="J1799" i="28"/>
  <c r="G283" i="32"/>
  <c r="O283" i="32" s="1"/>
  <c r="G269" i="33" s="1"/>
  <c r="K1781" i="54" s="1"/>
  <c r="K1784" i="54" s="1"/>
  <c r="P1393" i="28"/>
  <c r="X455" i="28"/>
  <c r="D27" i="32"/>
  <c r="G27" i="32" s="1"/>
  <c r="K27" i="32" s="1"/>
  <c r="Q1393" i="28"/>
  <c r="E497" i="28"/>
  <c r="Q1183" i="28"/>
  <c r="BJ1168" i="54"/>
  <c r="F175" i="32"/>
  <c r="N175" i="32" s="1"/>
  <c r="H145" i="33" s="1"/>
  <c r="X1165" i="54" s="1"/>
  <c r="X1168" i="54" s="1"/>
  <c r="BG440" i="28"/>
  <c r="D679" i="54"/>
  <c r="G196" i="32"/>
  <c r="D81" i="32"/>
  <c r="G81" i="32" s="1"/>
  <c r="K81" i="32" s="1"/>
  <c r="Q1253" i="28"/>
  <c r="D497" i="28"/>
  <c r="L441" i="28"/>
  <c r="P455" i="54"/>
  <c r="W1239" i="28"/>
  <c r="E679" i="54"/>
  <c r="E342" i="28"/>
  <c r="BG342" i="28" s="1"/>
  <c r="E285" i="32"/>
  <c r="G285" i="32" s="1"/>
  <c r="M285" i="32" s="1"/>
  <c r="E292" i="32"/>
  <c r="G292" i="32" s="1"/>
  <c r="O292" i="32" s="1"/>
  <c r="G329" i="33" s="1"/>
  <c r="E1851" i="54" s="1"/>
  <c r="E1854" i="54" s="1"/>
  <c r="X166" i="51"/>
  <c r="K483" i="28"/>
  <c r="W1169" i="28"/>
  <c r="J539" i="28"/>
  <c r="V1239" i="28"/>
  <c r="F679" i="54"/>
  <c r="W370" i="54"/>
  <c r="BJ370" i="54" s="1"/>
  <c r="D1701" i="28"/>
  <c r="D1505" i="28"/>
  <c r="F1505" i="28"/>
  <c r="F1477" i="28"/>
  <c r="E1477" i="28"/>
  <c r="F224" i="32"/>
  <c r="N224" i="32" s="1"/>
  <c r="H297" i="33" s="1"/>
  <c r="X1445" i="54" s="1"/>
  <c r="X1448" i="54" s="1"/>
  <c r="K525" i="28"/>
  <c r="K581" i="28"/>
  <c r="L581" i="28"/>
  <c r="AN1449" i="54"/>
  <c r="R763" i="28"/>
  <c r="D623" i="54"/>
  <c r="F193" i="32"/>
  <c r="N193" i="32" s="1"/>
  <c r="H168" i="33" s="1"/>
  <c r="AP1235" i="54" s="1"/>
  <c r="AP1238" i="54" s="1"/>
  <c r="AO1239" i="28"/>
  <c r="D1225" i="28"/>
  <c r="F623" i="54"/>
  <c r="E230" i="54"/>
  <c r="BJ230" i="54" s="1"/>
  <c r="X1435" i="28"/>
  <c r="D161" i="28"/>
  <c r="G259" i="32"/>
  <c r="W1238" i="54"/>
  <c r="BJ1238" i="54" s="1"/>
  <c r="F1337" i="28"/>
  <c r="D1337" i="28"/>
  <c r="BG1336" i="28"/>
  <c r="D205" i="32"/>
  <c r="F205" i="32" s="1"/>
  <c r="N205" i="32" s="1"/>
  <c r="H220" i="33" s="1"/>
  <c r="F227" i="32"/>
  <c r="N227" i="32" s="1"/>
  <c r="F1211" i="28"/>
  <c r="V539" i="28"/>
  <c r="W455" i="28"/>
  <c r="V1505" i="28"/>
  <c r="E1379" i="28"/>
  <c r="K539" i="28"/>
  <c r="E244" i="28"/>
  <c r="D34" i="32" s="1"/>
  <c r="F34" i="32" s="1"/>
  <c r="J34" i="32" s="1"/>
  <c r="H451" i="33" s="1"/>
  <c r="G73" i="32"/>
  <c r="K73" i="32" s="1"/>
  <c r="K1239" i="28"/>
  <c r="W539" i="28"/>
  <c r="X1505" i="28"/>
  <c r="E567" i="28"/>
  <c r="Q987" i="28"/>
  <c r="D235" i="32"/>
  <c r="G235" i="32" s="1"/>
  <c r="D232" i="32"/>
  <c r="F232" i="32" s="1"/>
  <c r="N232" i="32" s="1"/>
  <c r="H310" i="33" s="1"/>
  <c r="F1515" i="54" s="1"/>
  <c r="F1518" i="54" s="1"/>
  <c r="F188" i="32"/>
  <c r="N188" i="32" s="1"/>
  <c r="H163" i="33" s="1"/>
  <c r="L1235" i="54" s="1"/>
  <c r="L1238" i="54" s="1"/>
  <c r="D87" i="32"/>
  <c r="G87" i="32" s="1"/>
  <c r="K87" i="32" s="1"/>
  <c r="L1239" i="28"/>
  <c r="E1505" i="28"/>
  <c r="L539" i="28"/>
  <c r="AP1435" i="28"/>
  <c r="L1225" i="28"/>
  <c r="R987" i="28"/>
  <c r="J707" i="28"/>
  <c r="E230" i="28"/>
  <c r="D33" i="32" s="1"/>
  <c r="F33" i="32" s="1"/>
  <c r="J33" i="32" s="1"/>
  <c r="H449" i="33" s="1"/>
  <c r="BJ552" i="54"/>
  <c r="AC581" i="28"/>
  <c r="D153" i="32"/>
  <c r="F153" i="32" s="1"/>
  <c r="N153" i="32" s="1"/>
  <c r="D763" i="28"/>
  <c r="K1225" i="28"/>
  <c r="P1435" i="28"/>
  <c r="E300" i="54"/>
  <c r="BJ300" i="54" s="1"/>
  <c r="BJ524" i="54"/>
  <c r="E623" i="28"/>
  <c r="D1799" i="28"/>
  <c r="D146" i="32"/>
  <c r="F146" i="32" s="1"/>
  <c r="N146" i="32" s="1"/>
  <c r="BG1490" i="28"/>
  <c r="G71" i="32"/>
  <c r="K71" i="32" s="1"/>
  <c r="D230" i="32"/>
  <c r="G230" i="32" s="1"/>
  <c r="D57" i="32"/>
  <c r="F57" i="32" s="1"/>
  <c r="J57" i="32" s="1"/>
  <c r="J1239" i="28"/>
  <c r="L525" i="28"/>
  <c r="F763" i="54"/>
  <c r="AO1449" i="54"/>
  <c r="F1267" i="28"/>
  <c r="Q539" i="28"/>
  <c r="E581" i="28"/>
  <c r="BG650" i="28"/>
  <c r="V1267" i="28"/>
  <c r="D189" i="28"/>
  <c r="AN1435" i="28"/>
  <c r="K651" i="28"/>
  <c r="E455" i="54"/>
  <c r="D441" i="54"/>
  <c r="F1799" i="28"/>
  <c r="BG160" i="28"/>
  <c r="D95" i="32"/>
  <c r="G95" i="32" s="1"/>
  <c r="K95" i="32" s="1"/>
  <c r="BG1476" i="28"/>
  <c r="G99" i="32"/>
  <c r="K99" i="32" s="1"/>
  <c r="AD987" i="28"/>
  <c r="V1435" i="28"/>
  <c r="E161" i="28"/>
  <c r="E1463" i="28"/>
  <c r="J651" i="28"/>
  <c r="W665" i="28"/>
  <c r="AI455" i="28"/>
  <c r="D103" i="32"/>
  <c r="F103" i="32" s="1"/>
  <c r="J103" i="32" s="1"/>
  <c r="J525" i="28"/>
  <c r="W1435" i="28"/>
  <c r="D1267" i="28"/>
  <c r="D1477" i="28"/>
  <c r="L1351" i="28"/>
  <c r="E763" i="54"/>
  <c r="E441" i="54"/>
  <c r="BJ510" i="54"/>
  <c r="Q143" i="5"/>
  <c r="P1253" i="28"/>
  <c r="X987" i="54"/>
  <c r="P1183" i="28"/>
  <c r="D1015" i="28"/>
  <c r="E777" i="28"/>
  <c r="AN1239" i="28"/>
  <c r="D1183" i="28"/>
  <c r="Q455" i="54"/>
  <c r="E147" i="28"/>
  <c r="D665" i="28"/>
  <c r="W567" i="28"/>
  <c r="BJ1028" i="54"/>
  <c r="BJ1378" i="54"/>
  <c r="BJ650" i="54"/>
  <c r="E1309" i="28"/>
  <c r="R1253" i="28"/>
  <c r="E1239" i="28"/>
  <c r="P763" i="28"/>
  <c r="W483" i="28"/>
  <c r="E1435" i="28"/>
  <c r="AP1239" i="28"/>
  <c r="E707" i="54"/>
  <c r="F1309" i="28"/>
  <c r="V987" i="54"/>
  <c r="R1183" i="28"/>
  <c r="Q763" i="28"/>
  <c r="E1351" i="28"/>
  <c r="K441" i="54"/>
  <c r="V567" i="28"/>
  <c r="BJ440" i="54"/>
  <c r="E314" i="28"/>
  <c r="F152" i="32"/>
  <c r="N152" i="32" s="1"/>
  <c r="H121" i="33" s="1"/>
  <c r="F1435" i="28"/>
  <c r="W1267" i="28"/>
  <c r="AB987" i="54"/>
  <c r="E1225" i="28"/>
  <c r="V581" i="28"/>
  <c r="AJ455" i="28"/>
  <c r="D455" i="54"/>
  <c r="BJ1014" i="54"/>
  <c r="E198" i="54"/>
  <c r="E202" i="54" s="1"/>
  <c r="E198" i="28"/>
  <c r="E202" i="28" s="1"/>
  <c r="D30" i="32" s="1"/>
  <c r="F30" i="32" s="1"/>
  <c r="J30" i="32" s="1"/>
  <c r="H443" i="33" s="1"/>
  <c r="L1319" i="54"/>
  <c r="L1322" i="54" s="1"/>
  <c r="D176" i="32"/>
  <c r="F176" i="32" s="1"/>
  <c r="N176" i="32" s="1"/>
  <c r="H147" i="33" s="1"/>
  <c r="D26" i="32"/>
  <c r="G26" i="32" s="1"/>
  <c r="K26" i="32" s="1"/>
  <c r="E1337" i="28"/>
  <c r="E1015" i="28"/>
  <c r="K1015" i="28"/>
  <c r="E455" i="28"/>
  <c r="D182" i="32"/>
  <c r="G182" i="32" s="1"/>
  <c r="D221" i="32"/>
  <c r="F221" i="32" s="1"/>
  <c r="N221" i="32" s="1"/>
  <c r="H294" i="33" s="1"/>
  <c r="D64" i="4"/>
  <c r="G64" i="4" s="1"/>
  <c r="L1015" i="28"/>
  <c r="F455" i="28"/>
  <c r="X1267" i="28"/>
  <c r="AH455" i="28"/>
  <c r="BJ1182" i="54"/>
  <c r="BJ1252" i="54"/>
  <c r="E267" i="32"/>
  <c r="BH1700" i="28"/>
  <c r="R987" i="54"/>
  <c r="Q987" i="54"/>
  <c r="P987" i="54"/>
  <c r="E175" i="28"/>
  <c r="F175" i="28"/>
  <c r="D175" i="28"/>
  <c r="E189" i="28"/>
  <c r="Q1435" i="28"/>
  <c r="J1351" i="28"/>
  <c r="AC1225" i="28"/>
  <c r="D93" i="32"/>
  <c r="F93" i="32" s="1"/>
  <c r="J93" i="32" s="1"/>
  <c r="BG1462" i="28"/>
  <c r="D54" i="32"/>
  <c r="G54" i="32" s="1"/>
  <c r="K54" i="32" s="1"/>
  <c r="D186" i="32"/>
  <c r="G186" i="32" s="1"/>
  <c r="D79" i="32"/>
  <c r="G79" i="32" s="1"/>
  <c r="K79" i="32" s="1"/>
  <c r="E384" i="54"/>
  <c r="BJ384" i="54" s="1"/>
  <c r="L95" i="5"/>
  <c r="X987" i="28"/>
  <c r="J441" i="54"/>
  <c r="K1351" i="28"/>
  <c r="W370" i="28"/>
  <c r="D47" i="32" s="1"/>
  <c r="F47" i="32" s="1"/>
  <c r="J47" i="32" s="1"/>
  <c r="H476" i="33" s="1"/>
  <c r="D145" i="32"/>
  <c r="F145" i="32" s="1"/>
  <c r="N145" i="32" s="1"/>
  <c r="D105" i="32"/>
  <c r="F105" i="32" s="1"/>
  <c r="J105" i="32" s="1"/>
  <c r="H534" i="33" s="1"/>
  <c r="F595" i="28"/>
  <c r="W987" i="28"/>
  <c r="W1001" i="28"/>
  <c r="L567" i="28"/>
  <c r="X1001" i="28"/>
  <c r="F609" i="28"/>
  <c r="E258" i="54"/>
  <c r="BJ258" i="54" s="1"/>
  <c r="V1001" i="28"/>
  <c r="BG1252" i="28"/>
  <c r="G77" i="32"/>
  <c r="K77" i="32" s="1"/>
  <c r="K1435" i="28"/>
  <c r="J1015" i="28"/>
  <c r="J651" i="54"/>
  <c r="J567" i="28"/>
  <c r="F1463" i="28"/>
  <c r="P1015" i="28"/>
  <c r="D609" i="28"/>
  <c r="AB567" i="28"/>
  <c r="E258" i="28"/>
  <c r="BG258" i="28" s="1"/>
  <c r="BH1588" i="28"/>
  <c r="F223" i="32"/>
  <c r="N223" i="32" s="1"/>
  <c r="H296" i="33" s="1"/>
  <c r="R1445" i="54" s="1"/>
  <c r="R1448" i="54" s="1"/>
  <c r="K95" i="5"/>
  <c r="F46" i="4"/>
  <c r="AH1239" i="28"/>
  <c r="J95" i="5"/>
  <c r="L1337" i="28"/>
  <c r="AI1239" i="28"/>
  <c r="F1379" i="28"/>
  <c r="D1253" i="28"/>
  <c r="R1015" i="28"/>
  <c r="F208" i="32"/>
  <c r="N208" i="32" s="1"/>
  <c r="H224" i="33" s="1"/>
  <c r="L1347" i="54" s="1"/>
  <c r="L1350" i="54" s="1"/>
  <c r="D194" i="32"/>
  <c r="F194" i="32" s="1"/>
  <c r="N194" i="32" s="1"/>
  <c r="H170" i="33" s="1"/>
  <c r="F206" i="32"/>
  <c r="N206" i="32" s="1"/>
  <c r="H221" i="33" s="1"/>
  <c r="L1333" i="54" s="1"/>
  <c r="L1336" i="54" s="1"/>
  <c r="G86" i="32"/>
  <c r="K86" i="32" s="1"/>
  <c r="D64" i="32"/>
  <c r="F64" i="32" s="1"/>
  <c r="J64" i="32" s="1"/>
  <c r="H490" i="33" s="1"/>
  <c r="L479" i="54" s="1"/>
  <c r="L482" i="54" s="1"/>
  <c r="BJ762" i="54"/>
  <c r="L1435" i="28"/>
  <c r="J1337" i="28"/>
  <c r="AJ1239" i="28"/>
  <c r="X1169" i="28"/>
  <c r="E1253" i="28"/>
  <c r="D1043" i="28"/>
  <c r="L651" i="54"/>
  <c r="K553" i="28"/>
  <c r="D222" i="32"/>
  <c r="G222" i="32" s="1"/>
  <c r="D29" i="32"/>
  <c r="G29" i="32" s="1"/>
  <c r="K29" i="32" s="1"/>
  <c r="BG1014" i="28"/>
  <c r="D216" i="32"/>
  <c r="F216" i="32" s="1"/>
  <c r="N216" i="32" s="1"/>
  <c r="K1337" i="28"/>
  <c r="E1393" i="28"/>
  <c r="V1169" i="28"/>
  <c r="E1043" i="28"/>
  <c r="F189" i="28"/>
  <c r="R1435" i="28"/>
  <c r="L651" i="28"/>
  <c r="E272" i="28"/>
  <c r="BG272" i="28" s="1"/>
  <c r="BK1784" i="54"/>
  <c r="BJ1448" i="54"/>
  <c r="E1701" i="28"/>
  <c r="D1001" i="28"/>
  <c r="D147" i="32"/>
  <c r="F147" i="32" s="1"/>
  <c r="N147" i="32" s="1"/>
  <c r="E1001" i="28"/>
  <c r="F1001" i="28"/>
  <c r="D91" i="32"/>
  <c r="J595" i="28"/>
  <c r="K595" i="28"/>
  <c r="BG594" i="28"/>
  <c r="L595" i="28"/>
  <c r="D1351" i="28"/>
  <c r="G215" i="32"/>
  <c r="E250" i="32"/>
  <c r="G250" i="32" s="1"/>
  <c r="AV162" i="51"/>
  <c r="D53" i="32"/>
  <c r="F53" i="32" s="1"/>
  <c r="J53" i="32" s="1"/>
  <c r="E1211" i="28"/>
  <c r="J483" i="28"/>
  <c r="F693" i="28"/>
  <c r="D1407" i="28"/>
  <c r="BJ1420" i="54"/>
  <c r="D151" i="32"/>
  <c r="F151" i="32" s="1"/>
  <c r="N151" i="32" s="1"/>
  <c r="F1351" i="28"/>
  <c r="V455" i="54"/>
  <c r="F777" i="54"/>
  <c r="F133" i="28"/>
  <c r="BG1350" i="28"/>
  <c r="F129" i="32"/>
  <c r="J129" i="32" s="1"/>
  <c r="F1393" i="28"/>
  <c r="L553" i="28"/>
  <c r="E1407" i="28"/>
  <c r="E384" i="28"/>
  <c r="F385" i="28" s="1"/>
  <c r="K1267" i="28"/>
  <c r="BG1000" i="28"/>
  <c r="E300" i="28"/>
  <c r="E301" i="28" s="1"/>
  <c r="D211" i="32"/>
  <c r="F211" i="32" s="1"/>
  <c r="N211" i="32" s="1"/>
  <c r="H230" i="33" s="1"/>
  <c r="W1225" i="28"/>
  <c r="D693" i="28"/>
  <c r="J1267" i="28"/>
  <c r="G107" i="32"/>
  <c r="K107" i="32" s="1"/>
  <c r="BG1378" i="28"/>
  <c r="D210" i="32"/>
  <c r="G210" i="32" s="1"/>
  <c r="D198" i="32"/>
  <c r="F198" i="32" s="1"/>
  <c r="N198" i="32" s="1"/>
  <c r="H175" i="33" s="1"/>
  <c r="L1263" i="54" s="1"/>
  <c r="L1266" i="54" s="1"/>
  <c r="D1491" i="28"/>
  <c r="J553" i="28"/>
  <c r="D1813" i="28"/>
  <c r="K595" i="54"/>
  <c r="BK1728" i="54"/>
  <c r="E1813" i="28"/>
  <c r="D149" i="32"/>
  <c r="G149" i="32" s="1"/>
  <c r="F1813" i="28"/>
  <c r="L511" i="28"/>
  <c r="D96" i="32"/>
  <c r="G96" i="32" s="1"/>
  <c r="K96" i="32" s="1"/>
  <c r="D76" i="32"/>
  <c r="G76" i="32" s="1"/>
  <c r="K76" i="32" s="1"/>
  <c r="BG132" i="28"/>
  <c r="F234" i="32"/>
  <c r="N234" i="32" s="1"/>
  <c r="H312" i="33" s="1"/>
  <c r="R1515" i="54" s="1"/>
  <c r="R1518" i="54" s="1"/>
  <c r="R1519" i="54" s="1"/>
  <c r="D74" i="32"/>
  <c r="G74" i="32" s="1"/>
  <c r="K74" i="32" s="1"/>
  <c r="R1001" i="28"/>
  <c r="E1491" i="28"/>
  <c r="D637" i="28"/>
  <c r="J455" i="54"/>
  <c r="Q1505" i="28"/>
  <c r="F707" i="54"/>
  <c r="D133" i="28"/>
  <c r="Q1001" i="28"/>
  <c r="E1841" i="28"/>
  <c r="D25" i="32"/>
  <c r="F25" i="32" s="1"/>
  <c r="J25" i="32" s="1"/>
  <c r="H433" i="33" s="1"/>
  <c r="D70" i="32"/>
  <c r="F70" i="32" s="1"/>
  <c r="J70" i="32" s="1"/>
  <c r="H502" i="33" s="1"/>
  <c r="M73" i="4"/>
  <c r="F637" i="28"/>
  <c r="L455" i="54"/>
  <c r="R1505" i="28"/>
  <c r="D553" i="28"/>
  <c r="P1505" i="28"/>
  <c r="Q1169" i="28"/>
  <c r="E290" i="32"/>
  <c r="G290" i="32" s="1"/>
  <c r="M290" i="32" s="1"/>
  <c r="E553" i="28"/>
  <c r="D777" i="54"/>
  <c r="D637" i="54"/>
  <c r="Q665" i="28"/>
  <c r="D511" i="28"/>
  <c r="J511" i="28"/>
  <c r="P567" i="28"/>
  <c r="F102" i="32"/>
  <c r="J102" i="32" s="1"/>
  <c r="D174" i="32"/>
  <c r="G174" i="32" s="1"/>
  <c r="D157" i="32"/>
  <c r="G157" i="32" s="1"/>
  <c r="D721" i="28"/>
  <c r="K511" i="28"/>
  <c r="P539" i="28"/>
  <c r="BJ482" i="54"/>
  <c r="Q567" i="28"/>
  <c r="F287" i="32"/>
  <c r="BJ706" i="54"/>
  <c r="D231" i="32"/>
  <c r="G231" i="32" s="1"/>
  <c r="M287" i="32"/>
  <c r="J665" i="54"/>
  <c r="F1841" i="28"/>
  <c r="K1001" i="28"/>
  <c r="L707" i="54"/>
  <c r="P1799" i="28"/>
  <c r="R1169" i="28"/>
  <c r="W581" i="28"/>
  <c r="F1239" i="28"/>
  <c r="R567" i="28"/>
  <c r="D148" i="32"/>
  <c r="F148" i="32" s="1"/>
  <c r="N148" i="32" s="1"/>
  <c r="H116" i="33" s="1"/>
  <c r="D1841" i="28"/>
  <c r="L1001" i="28"/>
  <c r="K707" i="54"/>
  <c r="F581" i="28"/>
  <c r="AB1435" i="28"/>
  <c r="Q1799" i="28"/>
  <c r="X581" i="28"/>
  <c r="D665" i="54"/>
  <c r="D83" i="32"/>
  <c r="F83" i="32" s="1"/>
  <c r="J83" i="32" s="1"/>
  <c r="H525" i="33" s="1"/>
  <c r="D187" i="32"/>
  <c r="G187" i="32" s="1"/>
  <c r="BG552" i="28"/>
  <c r="K1043" i="28"/>
  <c r="R1799" i="28"/>
  <c r="E1785" i="28"/>
  <c r="F1785" i="28"/>
  <c r="D1771" i="28"/>
  <c r="E282" i="32"/>
  <c r="G282" i="32" s="1"/>
  <c r="O282" i="32" s="1"/>
  <c r="G268" i="33" s="1"/>
  <c r="E1781" i="54" s="1"/>
  <c r="E1784" i="54" s="1"/>
  <c r="E1771" i="28"/>
  <c r="F1771" i="28"/>
  <c r="E251" i="32"/>
  <c r="J1589" i="28"/>
  <c r="L1589" i="28"/>
  <c r="K1589" i="28"/>
  <c r="BJ776" i="54"/>
  <c r="BK1812" i="54"/>
  <c r="J1603" i="54"/>
  <c r="K1603" i="54"/>
  <c r="BJ1672" i="54"/>
  <c r="BJ1000" i="54"/>
  <c r="K665" i="54"/>
  <c r="BJ720" i="54"/>
  <c r="D721" i="54"/>
  <c r="BJ566" i="54"/>
  <c r="E721" i="54"/>
  <c r="AO455" i="28"/>
  <c r="AN455" i="28"/>
  <c r="D60" i="32"/>
  <c r="G60" i="32" s="1"/>
  <c r="K60" i="32" s="1"/>
  <c r="AP455" i="28"/>
  <c r="D184" i="32"/>
  <c r="R1225" i="28"/>
  <c r="BG1224" i="28"/>
  <c r="Q1225" i="28"/>
  <c r="P1225" i="28"/>
  <c r="L987" i="54"/>
  <c r="J987" i="54"/>
  <c r="K987" i="54"/>
  <c r="D217" i="32"/>
  <c r="L1407" i="28"/>
  <c r="K1407" i="28"/>
  <c r="BG1406" i="28"/>
  <c r="J1407" i="28"/>
  <c r="V1715" i="28"/>
  <c r="E271" i="32"/>
  <c r="G271" i="32" s="1"/>
  <c r="X1715" i="28"/>
  <c r="W1715" i="28"/>
  <c r="D101" i="32"/>
  <c r="K665" i="28"/>
  <c r="J665" i="28"/>
  <c r="L665" i="28"/>
  <c r="BH1616" i="28"/>
  <c r="D1617" i="28"/>
  <c r="F1617" i="28"/>
  <c r="E1617" i="28"/>
  <c r="E254" i="32"/>
  <c r="F254" i="32" s="1"/>
  <c r="N254" i="32" s="1"/>
  <c r="AO455" i="54"/>
  <c r="AN455" i="54"/>
  <c r="AP455" i="54"/>
  <c r="X1617" i="28"/>
  <c r="E257" i="32"/>
  <c r="W1617" i="28"/>
  <c r="V1617" i="28"/>
  <c r="R1631" i="54"/>
  <c r="Q1631" i="54"/>
  <c r="P1631" i="54"/>
  <c r="K1206" i="28"/>
  <c r="K1210" i="28" s="1"/>
  <c r="K1206" i="54"/>
  <c r="K1210" i="54" s="1"/>
  <c r="BJ1210" i="54" s="1"/>
  <c r="D263" i="32"/>
  <c r="K1659" i="28"/>
  <c r="J1659" i="28"/>
  <c r="L1659" i="28"/>
  <c r="D172" i="32"/>
  <c r="G172" i="32" s="1"/>
  <c r="E511" i="28"/>
  <c r="K1771" i="28"/>
  <c r="BK1602" i="54"/>
  <c r="E1603" i="54"/>
  <c r="F1603" i="54"/>
  <c r="D1603" i="54"/>
  <c r="BK1588" i="54"/>
  <c r="F1729" i="28"/>
  <c r="BH1728" i="28"/>
  <c r="E1729" i="28"/>
  <c r="E273" i="32"/>
  <c r="D1729" i="28"/>
  <c r="E279" i="32"/>
  <c r="V1743" i="28"/>
  <c r="W1743" i="28"/>
  <c r="X1743" i="28"/>
  <c r="E256" i="32"/>
  <c r="R1617" i="28"/>
  <c r="Q1617" i="28"/>
  <c r="P1617" i="28"/>
  <c r="F1743" i="28"/>
  <c r="D1743" i="28"/>
  <c r="E1743" i="28"/>
  <c r="G69" i="33"/>
  <c r="W1585" i="54" s="1"/>
  <c r="W1588" i="54" s="1"/>
  <c r="X1575" i="28"/>
  <c r="W1575" i="28"/>
  <c r="E248" i="32"/>
  <c r="V1575" i="28"/>
  <c r="J1631" i="54"/>
  <c r="L1631" i="54"/>
  <c r="K1631" i="54"/>
  <c r="D1855" i="28"/>
  <c r="E1855" i="28"/>
  <c r="BH1854" i="28"/>
  <c r="F1855" i="28"/>
  <c r="G40" i="33"/>
  <c r="W1571" i="54" s="1"/>
  <c r="W1574" i="54" s="1"/>
  <c r="V1561" i="28"/>
  <c r="X1561" i="28"/>
  <c r="W1561" i="28"/>
  <c r="E243" i="32"/>
  <c r="E255" i="32"/>
  <c r="K1617" i="28"/>
  <c r="J1617" i="28"/>
  <c r="L1617" i="28"/>
  <c r="E258" i="32"/>
  <c r="AD1617" i="28"/>
  <c r="AB1617" i="28"/>
  <c r="AC1617" i="28"/>
  <c r="AB1239" i="28"/>
  <c r="X483" i="28"/>
  <c r="E1169" i="28"/>
  <c r="P1407" i="28"/>
  <c r="AC1435" i="28"/>
  <c r="L1043" i="28"/>
  <c r="R665" i="28"/>
  <c r="L987" i="28"/>
  <c r="J595" i="54"/>
  <c r="BG1434" i="28"/>
  <c r="G218" i="32"/>
  <c r="G185" i="32"/>
  <c r="E314" i="54"/>
  <c r="BJ314" i="54" s="1"/>
  <c r="X1225" i="28"/>
  <c r="X455" i="54"/>
  <c r="J987" i="28"/>
  <c r="D525" i="28"/>
  <c r="D707" i="28"/>
  <c r="J1771" i="28"/>
  <c r="L1715" i="28"/>
  <c r="E269" i="32"/>
  <c r="J1715" i="28"/>
  <c r="K1715" i="28"/>
  <c r="AB1715" i="28"/>
  <c r="E272" i="32"/>
  <c r="AD1715" i="28"/>
  <c r="AC1715" i="28"/>
  <c r="D1589" i="28"/>
  <c r="F1589" i="28"/>
  <c r="E1589" i="28"/>
  <c r="F1575" i="28"/>
  <c r="BH1574" i="28"/>
  <c r="G66" i="33"/>
  <c r="D1575" i="28"/>
  <c r="E1575" i="28"/>
  <c r="E245" i="32"/>
  <c r="G41" i="33"/>
  <c r="AC1571" i="54" s="1"/>
  <c r="AC1574" i="54" s="1"/>
  <c r="AC1561" i="28"/>
  <c r="AD1561" i="28"/>
  <c r="AB1561" i="28"/>
  <c r="E244" i="32"/>
  <c r="E1673" i="28"/>
  <c r="F1673" i="28"/>
  <c r="D1673" i="28"/>
  <c r="BH1672" i="28"/>
  <c r="G68" i="33"/>
  <c r="Q1585" i="54" s="1"/>
  <c r="Q1588" i="54" s="1"/>
  <c r="R1575" i="28"/>
  <c r="E247" i="32"/>
  <c r="Q1575" i="28"/>
  <c r="P1575" i="28"/>
  <c r="R1729" i="28"/>
  <c r="E275" i="32"/>
  <c r="P1729" i="28"/>
  <c r="Q1729" i="28"/>
  <c r="AN1631" i="54"/>
  <c r="AP1631" i="54"/>
  <c r="AO1631" i="54"/>
  <c r="E288" i="32"/>
  <c r="X1799" i="28"/>
  <c r="W1799" i="28"/>
  <c r="V1799" i="28"/>
  <c r="J1743" i="28"/>
  <c r="L1743" i="28"/>
  <c r="K1743" i="28"/>
  <c r="E277" i="32"/>
  <c r="G39" i="33"/>
  <c r="Q1571" i="54" s="1"/>
  <c r="Q1574" i="54" s="1"/>
  <c r="R1561" i="28"/>
  <c r="E242" i="32"/>
  <c r="Q1561" i="28"/>
  <c r="P1561" i="28"/>
  <c r="E280" i="32"/>
  <c r="AB1743" i="28"/>
  <c r="AC1743" i="28"/>
  <c r="AD1743" i="28"/>
  <c r="G67" i="33"/>
  <c r="K1585" i="54" s="1"/>
  <c r="K1588" i="54" s="1"/>
  <c r="L1575" i="28"/>
  <c r="E246" i="32"/>
  <c r="K1575" i="28"/>
  <c r="J1575" i="28"/>
  <c r="BH1770" i="28"/>
  <c r="G38" i="33"/>
  <c r="K1571" i="54" s="1"/>
  <c r="K1574" i="54" s="1"/>
  <c r="L1561" i="28"/>
  <c r="K1561" i="28"/>
  <c r="E241" i="32"/>
  <c r="J1561" i="28"/>
  <c r="AB1799" i="28"/>
  <c r="AD1799" i="28"/>
  <c r="AC1799" i="28"/>
  <c r="E289" i="32"/>
  <c r="J1687" i="28"/>
  <c r="L1687" i="28"/>
  <c r="K1687" i="28"/>
  <c r="E266" i="32"/>
  <c r="E270" i="32"/>
  <c r="Q1715" i="28"/>
  <c r="P1715" i="28"/>
  <c r="R1715" i="28"/>
  <c r="D143" i="32"/>
  <c r="G143" i="32" s="1"/>
  <c r="E272" i="54"/>
  <c r="BJ272" i="54" s="1"/>
  <c r="BG510" i="28"/>
  <c r="BH1784" i="28"/>
  <c r="AJ162" i="5"/>
  <c r="D66" i="32"/>
  <c r="F66" i="32" s="1"/>
  <c r="J66" i="32" s="1"/>
  <c r="H492" i="33" s="1"/>
  <c r="X479" i="54" s="1"/>
  <c r="X482" i="54" s="1"/>
  <c r="D1785" i="28"/>
  <c r="F511" i="28"/>
  <c r="AC1239" i="28"/>
  <c r="F1169" i="28"/>
  <c r="D595" i="28"/>
  <c r="Q1407" i="28"/>
  <c r="BG1238" i="28"/>
  <c r="E284" i="32"/>
  <c r="F284" i="32" s="1"/>
  <c r="Q1813" i="54"/>
  <c r="D191" i="32"/>
  <c r="F191" i="32" s="1"/>
  <c r="N191" i="32" s="1"/>
  <c r="H166" i="33" s="1"/>
  <c r="AD1235" i="54" s="1"/>
  <c r="AD1238" i="54" s="1"/>
  <c r="R1407" i="28"/>
  <c r="V1225" i="28"/>
  <c r="P665" i="28"/>
  <c r="F525" i="28"/>
  <c r="BH1798" i="28"/>
  <c r="L1771" i="28"/>
  <c r="X1631" i="54"/>
  <c r="W1631" i="54"/>
  <c r="V1631" i="54"/>
  <c r="F1757" i="28"/>
  <c r="E1757" i="28"/>
  <c r="BH1756" i="28"/>
  <c r="D1757" i="28"/>
  <c r="BK1742" i="54"/>
  <c r="E1827" i="28"/>
  <c r="BH1826" i="28"/>
  <c r="E291" i="32"/>
  <c r="F1827" i="28"/>
  <c r="D1827" i="28"/>
  <c r="G70" i="33"/>
  <c r="AC1585" i="54" s="1"/>
  <c r="AC1588" i="54" s="1"/>
  <c r="AC1575" i="28"/>
  <c r="E249" i="32"/>
  <c r="AB1575" i="28"/>
  <c r="AD1575" i="28"/>
  <c r="E274" i="32"/>
  <c r="L1729" i="28"/>
  <c r="J1729" i="28"/>
  <c r="K1729" i="28"/>
  <c r="AB1631" i="54"/>
  <c r="AD1631" i="54"/>
  <c r="AC1631" i="54"/>
  <c r="L1673" i="54"/>
  <c r="J1673" i="54"/>
  <c r="K1673" i="54"/>
  <c r="BH1714" i="28"/>
  <c r="BJ594" i="54"/>
  <c r="BJ664" i="54"/>
  <c r="E342" i="54"/>
  <c r="BJ342" i="54" s="1"/>
  <c r="D1295" i="28"/>
  <c r="E1295" i="28"/>
  <c r="BG1294" i="28"/>
  <c r="F1295" i="28"/>
  <c r="D202" i="32"/>
  <c r="G202" i="32" s="1"/>
  <c r="BG138" i="51"/>
  <c r="BG138" i="5"/>
  <c r="F212" i="28"/>
  <c r="F212" i="54"/>
  <c r="E814" i="54"/>
  <c r="E814" i="28"/>
  <c r="E90" i="5"/>
  <c r="E16" i="32"/>
  <c r="F16" i="32" s="1"/>
  <c r="D78" i="32"/>
  <c r="G78" i="32" s="1"/>
  <c r="K78" i="32" s="1"/>
  <c r="D109" i="32"/>
  <c r="F109" i="32" s="1"/>
  <c r="J109" i="32" s="1"/>
  <c r="BG636" i="28"/>
  <c r="BG524" i="28"/>
  <c r="F721" i="28"/>
  <c r="E665" i="54"/>
  <c r="D567" i="28"/>
  <c r="F707" i="28"/>
  <c r="E707" i="28"/>
  <c r="D595" i="54"/>
  <c r="E595" i="54"/>
  <c r="D98" i="32"/>
  <c r="F98" i="32" s="1"/>
  <c r="J98" i="32" s="1"/>
  <c r="G97" i="32"/>
  <c r="K97" i="32" s="1"/>
  <c r="F92" i="32"/>
  <c r="J92" i="32" s="1"/>
  <c r="G69" i="32"/>
  <c r="K69" i="32" s="1"/>
  <c r="J245" i="28"/>
  <c r="K245" i="28"/>
  <c r="L245" i="28"/>
  <c r="D35" i="32"/>
  <c r="G35" i="32" s="1"/>
  <c r="K35" i="32" s="1"/>
  <c r="F293" i="32"/>
  <c r="E22" i="5"/>
  <c r="D23" i="5" s="1"/>
  <c r="F75" i="32"/>
  <c r="J75" i="32" s="1"/>
  <c r="H513" i="33" s="1"/>
  <c r="X535" i="54" s="1"/>
  <c r="X538" i="54" s="1"/>
  <c r="F114" i="32"/>
  <c r="J114" i="32" s="1"/>
  <c r="G114" i="32"/>
  <c r="K114" i="32" s="1"/>
  <c r="BG762" i="28"/>
  <c r="G46" i="4"/>
  <c r="G183" i="32"/>
  <c r="G192" i="32"/>
  <c r="BG1448" i="28"/>
  <c r="E1449" i="28"/>
  <c r="D228" i="32"/>
  <c r="F228" i="32" s="1"/>
  <c r="N228" i="32" s="1"/>
  <c r="H302" i="33" s="1"/>
  <c r="F1449" i="28"/>
  <c r="D1449" i="28"/>
  <c r="L1084" i="28"/>
  <c r="L1085" i="28" s="1"/>
  <c r="E637" i="54"/>
  <c r="F637" i="54"/>
  <c r="BH20" i="28"/>
  <c r="F595" i="54"/>
  <c r="K198" i="54"/>
  <c r="K202" i="54" s="1"/>
  <c r="K198" i="28"/>
  <c r="W1402" i="54"/>
  <c r="W1406" i="54" s="1"/>
  <c r="BJ1406" i="54" s="1"/>
  <c r="W1388" i="28"/>
  <c r="E730" i="54"/>
  <c r="E730" i="28"/>
  <c r="E734" i="28" s="1"/>
  <c r="AU450" i="54"/>
  <c r="AU450" i="28"/>
  <c r="AU454" i="28" s="1"/>
  <c r="Q1262" i="54"/>
  <c r="Q1266" i="54" s="1"/>
  <c r="Q1262" i="28"/>
  <c r="F124" i="32"/>
  <c r="J124" i="32" s="1"/>
  <c r="H542" i="33" s="1"/>
  <c r="G124" i="32"/>
  <c r="K124" i="32" s="1"/>
  <c r="Q1042" i="28"/>
  <c r="BG1042" i="28" s="1"/>
  <c r="F21" i="28"/>
  <c r="D21" i="28"/>
  <c r="AC1514" i="54"/>
  <c r="AC1500" i="28"/>
  <c r="AC1504" i="28" s="1"/>
  <c r="BG1504" i="28" s="1"/>
  <c r="E786" i="54"/>
  <c r="E790" i="54" s="1"/>
  <c r="E786" i="28"/>
  <c r="K688" i="54"/>
  <c r="K688" i="28"/>
  <c r="E35" i="28"/>
  <c r="D35" i="28"/>
  <c r="F35" i="28"/>
  <c r="G132" i="32"/>
  <c r="K132" i="32" s="1"/>
  <c r="G397" i="33" s="1"/>
  <c r="W857" i="54" s="1"/>
  <c r="W860" i="54" s="1"/>
  <c r="V861" i="54" s="1"/>
  <c r="F132" i="32"/>
  <c r="J132" i="32" s="1"/>
  <c r="G123" i="32"/>
  <c r="K123" i="32" s="1"/>
  <c r="F123" i="32"/>
  <c r="J123" i="32" s="1"/>
  <c r="Q1042" i="54"/>
  <c r="BJ1042" i="54" s="1"/>
  <c r="P1813" i="54"/>
  <c r="BJ944" i="54"/>
  <c r="R1813" i="54"/>
  <c r="E829" i="54"/>
  <c r="E832" i="54" s="1"/>
  <c r="AD1403" i="54"/>
  <c r="AD1406" i="54" s="1"/>
  <c r="L549" i="54"/>
  <c r="L552" i="54" s="1"/>
  <c r="X1221" i="54"/>
  <c r="X1224" i="54" s="1"/>
  <c r="X1263" i="54"/>
  <c r="X1266" i="54" s="1"/>
  <c r="R1249" i="54"/>
  <c r="R1252" i="54" s="1"/>
  <c r="K829" i="54"/>
  <c r="K832" i="54" s="1"/>
  <c r="F745" i="54"/>
  <c r="F748" i="54" s="1"/>
  <c r="BK748" i="54" s="1"/>
  <c r="L535" i="54"/>
  <c r="L538" i="54" s="1"/>
  <c r="L577" i="54"/>
  <c r="L580" i="54" s="1"/>
  <c r="F1151" i="54"/>
  <c r="F1154" i="54" s="1"/>
  <c r="BK1154" i="54" s="1"/>
  <c r="L1249" i="54"/>
  <c r="L1252" i="54" s="1"/>
  <c r="R1417" i="54"/>
  <c r="R1420" i="54" s="1"/>
  <c r="L1179" i="54"/>
  <c r="L1182" i="54" s="1"/>
  <c r="F1123" i="54"/>
  <c r="F1126" i="54" s="1"/>
  <c r="BK1126" i="54" s="1"/>
  <c r="E843" i="54"/>
  <c r="E846" i="54" s="1"/>
  <c r="BJ846" i="54" s="1"/>
  <c r="L1375" i="54"/>
  <c r="L1378" i="54" s="1"/>
  <c r="AJ1235" i="54"/>
  <c r="AJ1238" i="54" s="1"/>
  <c r="X577" i="54"/>
  <c r="X580" i="54" s="1"/>
  <c r="L507" i="54"/>
  <c r="L510" i="54" s="1"/>
  <c r="L1221" i="54"/>
  <c r="L1224" i="54" s="1"/>
  <c r="K857" i="54"/>
  <c r="K860" i="54" s="1"/>
  <c r="G57" i="4"/>
  <c r="F190" i="32"/>
  <c r="N190" i="32" s="1"/>
  <c r="H165" i="33" s="1"/>
  <c r="L521" i="54"/>
  <c r="L524" i="54" s="1"/>
  <c r="F1137" i="54"/>
  <c r="F1140" i="54" s="1"/>
  <c r="BK1140" i="54" s="1"/>
  <c r="E857" i="54"/>
  <c r="E860" i="54" s="1"/>
  <c r="X819" i="54"/>
  <c r="W819" i="54"/>
  <c r="V819" i="54"/>
  <c r="L945" i="54"/>
  <c r="K945" i="54"/>
  <c r="J945" i="54"/>
  <c r="F805" i="54"/>
  <c r="D805" i="54"/>
  <c r="E805" i="54"/>
  <c r="F287" i="54"/>
  <c r="E287" i="54"/>
  <c r="D287" i="54"/>
  <c r="P861" i="54"/>
  <c r="Q861" i="54"/>
  <c r="R861" i="54"/>
  <c r="K1141" i="54"/>
  <c r="L1141" i="54"/>
  <c r="J1141" i="54"/>
  <c r="D945" i="54"/>
  <c r="E945" i="54"/>
  <c r="F945" i="54"/>
  <c r="J721" i="28"/>
  <c r="L721" i="28"/>
  <c r="K721" i="28"/>
  <c r="BG720" i="28"/>
  <c r="R1080" i="54"/>
  <c r="R1080" i="28"/>
  <c r="E44" i="54"/>
  <c r="E44" i="28"/>
  <c r="L777" i="54"/>
  <c r="J777" i="54"/>
  <c r="K777" i="54"/>
  <c r="Q777" i="54"/>
  <c r="R777" i="54"/>
  <c r="P777" i="54"/>
  <c r="F651" i="54"/>
  <c r="D651" i="54"/>
  <c r="E651" i="54"/>
  <c r="K777" i="28"/>
  <c r="J777" i="28"/>
  <c r="L777" i="28"/>
  <c r="R777" i="28"/>
  <c r="Q777" i="28"/>
  <c r="P777" i="28"/>
  <c r="F651" i="28"/>
  <c r="E651" i="28"/>
  <c r="D651" i="28"/>
  <c r="E399" i="28"/>
  <c r="D399" i="28"/>
  <c r="F399" i="28"/>
  <c r="F413" i="28"/>
  <c r="E413" i="28"/>
  <c r="D413" i="28"/>
  <c r="F1098" i="28"/>
  <c r="AI18" i="5"/>
  <c r="E114" i="54"/>
  <c r="E114" i="28"/>
  <c r="E118" i="28" s="1"/>
  <c r="F898" i="54"/>
  <c r="F902" i="54" s="1"/>
  <c r="BK902" i="54" s="1"/>
  <c r="L1094" i="54"/>
  <c r="L1094" i="28"/>
  <c r="L1098" i="28" s="1"/>
  <c r="E165" i="32" s="1"/>
  <c r="L763" i="54"/>
  <c r="J763" i="54"/>
  <c r="K763" i="54"/>
  <c r="K721" i="54"/>
  <c r="L721" i="54"/>
  <c r="J721" i="54"/>
  <c r="E483" i="28"/>
  <c r="D483" i="28"/>
  <c r="F483" i="28"/>
  <c r="L763" i="28"/>
  <c r="K763" i="28"/>
  <c r="J763" i="28"/>
  <c r="E1659" i="28"/>
  <c r="D1659" i="28"/>
  <c r="F1659" i="28"/>
  <c r="Q90" i="51"/>
  <c r="Q90" i="5"/>
  <c r="AO42" i="51"/>
  <c r="AO42" i="5"/>
  <c r="V167" i="5"/>
  <c r="X167" i="5"/>
  <c r="W167" i="5"/>
  <c r="AC166" i="5"/>
  <c r="AC42" i="51"/>
  <c r="AC42" i="5"/>
  <c r="F19" i="4"/>
  <c r="J19" i="4" s="1"/>
  <c r="F18" i="20" s="1"/>
  <c r="O26" i="4"/>
  <c r="M26" i="4"/>
  <c r="N26" i="4"/>
  <c r="L26" i="4"/>
  <c r="J26" i="4"/>
  <c r="K26" i="4"/>
  <c r="J63" i="4"/>
  <c r="L63" i="4"/>
  <c r="K63" i="4"/>
  <c r="M63" i="4"/>
  <c r="J74" i="4"/>
  <c r="K74" i="4"/>
  <c r="N74" i="4"/>
  <c r="L74" i="4"/>
  <c r="G27" i="4"/>
  <c r="F27" i="4"/>
  <c r="J27" i="4" s="1"/>
  <c r="G19" i="4"/>
  <c r="K19" i="4" s="1"/>
  <c r="D77" i="4"/>
  <c r="D58" i="4"/>
  <c r="E38" i="4"/>
  <c r="E78" i="4"/>
  <c r="E58" i="4"/>
  <c r="E20" i="4"/>
  <c r="H190" i="33"/>
  <c r="C49" i="19"/>
  <c r="D49" i="19"/>
  <c r="BG776" i="28"/>
  <c r="D262" i="32"/>
  <c r="BG1658" i="28"/>
  <c r="G80" i="32"/>
  <c r="K80" i="32" s="1"/>
  <c r="F80" i="32"/>
  <c r="J80" i="32" s="1"/>
  <c r="H521" i="33" s="1"/>
  <c r="D154" i="32"/>
  <c r="BG1028" i="28"/>
  <c r="F118" i="32"/>
  <c r="J118" i="32" s="1"/>
  <c r="G118" i="32"/>
  <c r="K118" i="32" s="1"/>
  <c r="D100" i="32"/>
  <c r="BG664" i="28"/>
  <c r="O260" i="32"/>
  <c r="M260" i="32"/>
  <c r="G52" i="32"/>
  <c r="K52" i="32" s="1"/>
  <c r="F52" i="32"/>
  <c r="J52" i="32" s="1"/>
  <c r="G207" i="32"/>
  <c r="F207" i="32"/>
  <c r="N207" i="32" s="1"/>
  <c r="H223" i="33" s="1"/>
  <c r="G68" i="32"/>
  <c r="K68" i="32" s="1"/>
  <c r="F68" i="32"/>
  <c r="J68" i="32" s="1"/>
  <c r="H497" i="33" s="1"/>
  <c r="J141" i="32"/>
  <c r="H546" i="33" s="1"/>
  <c r="N141" i="32"/>
  <c r="G264" i="32"/>
  <c r="G281" i="32"/>
  <c r="G276" i="32"/>
  <c r="D49" i="32"/>
  <c r="BG398" i="28"/>
  <c r="D44" i="32"/>
  <c r="D63" i="32"/>
  <c r="D67" i="32"/>
  <c r="BG496" i="28"/>
  <c r="BG706" i="28"/>
  <c r="D28" i="32"/>
  <c r="BG174" i="28"/>
  <c r="G150" i="32"/>
  <c r="F150" i="32"/>
  <c r="N150" i="32" s="1"/>
  <c r="H118" i="33" s="1"/>
  <c r="F286" i="32"/>
  <c r="G286" i="32"/>
  <c r="L302" i="32"/>
  <c r="I302" i="32"/>
  <c r="O239" i="32"/>
  <c r="M239" i="32"/>
  <c r="O265" i="32"/>
  <c r="G245" i="33" s="1"/>
  <c r="E1697" i="54" s="1"/>
  <c r="E1700" i="54" s="1"/>
  <c r="M265" i="32"/>
  <c r="O293" i="32"/>
  <c r="G331" i="33" s="1"/>
  <c r="E1865" i="54" s="1"/>
  <c r="E1868" i="54" s="1"/>
  <c r="M293" i="32"/>
  <c r="J140" i="32"/>
  <c r="N140" i="32"/>
  <c r="L296" i="32"/>
  <c r="I296" i="32"/>
  <c r="BG566" i="28"/>
  <c r="F264" i="32"/>
  <c r="D197" i="32"/>
  <c r="D50" i="32"/>
  <c r="D117" i="32"/>
  <c r="D225" i="32"/>
  <c r="D110" i="32"/>
  <c r="D113" i="32"/>
  <c r="D90" i="32"/>
  <c r="D108" i="32"/>
  <c r="D17" i="32"/>
  <c r="AC66" i="51"/>
  <c r="BA66" i="51"/>
  <c r="F56" i="4"/>
  <c r="G56" i="4"/>
  <c r="G17" i="4"/>
  <c r="K17" i="4" s="1"/>
  <c r="F17" i="4"/>
  <c r="J17" i="4" s="1"/>
  <c r="F48" i="4"/>
  <c r="O74" i="4"/>
  <c r="M74" i="4"/>
  <c r="D75" i="4"/>
  <c r="D49" i="4"/>
  <c r="E66" i="4"/>
  <c r="E29" i="4"/>
  <c r="D28" i="4"/>
  <c r="E16" i="4"/>
  <c r="I82" i="4"/>
  <c r="H31" i="33"/>
  <c r="F1557" i="54" s="1"/>
  <c r="F1560" i="54" s="1"/>
  <c r="I27" i="33"/>
  <c r="J26" i="33" s="1"/>
  <c r="E75" i="4"/>
  <c r="F898" i="28" l="1"/>
  <c r="F902" i="28" s="1"/>
  <c r="F903" i="28" s="1"/>
  <c r="E212" i="28"/>
  <c r="E216" i="28" s="1"/>
  <c r="D32" i="32" s="1"/>
  <c r="E212" i="54"/>
  <c r="E216" i="54" s="1"/>
  <c r="BJ216" i="54" s="1"/>
  <c r="D50" i="19"/>
  <c r="H201" i="33"/>
  <c r="F1277" i="54" s="1"/>
  <c r="F1280" i="54" s="1"/>
  <c r="BK1280" i="54" s="1"/>
  <c r="L1169" i="28"/>
  <c r="AU138" i="51"/>
  <c r="AU142" i="51" s="1"/>
  <c r="J1169" i="28"/>
  <c r="BG1168" i="28"/>
  <c r="D173" i="32"/>
  <c r="F173" i="32" s="1"/>
  <c r="N173" i="32" s="1"/>
  <c r="H143" i="33" s="1"/>
  <c r="L1165" i="54" s="1"/>
  <c r="L1168" i="54" s="1"/>
  <c r="K1169" i="54" s="1"/>
  <c r="F64" i="4"/>
  <c r="N64" i="4" s="1"/>
  <c r="R18" i="51"/>
  <c r="BG608" i="28"/>
  <c r="BJ608" i="54"/>
  <c r="F162" i="5"/>
  <c r="F166" i="5" s="1"/>
  <c r="L1393" i="28"/>
  <c r="D609" i="54"/>
  <c r="J609" i="28"/>
  <c r="F1084" i="28"/>
  <c r="E1085" i="28" s="1"/>
  <c r="F609" i="54"/>
  <c r="D220" i="32"/>
  <c r="F220" i="32" s="1"/>
  <c r="N220" i="32" s="1"/>
  <c r="H292" i="33" s="1"/>
  <c r="D1421" i="28"/>
  <c r="J1393" i="28"/>
  <c r="K1393" i="28"/>
  <c r="F1421" i="28"/>
  <c r="BG1420" i="28"/>
  <c r="K609" i="28"/>
  <c r="L609" i="28"/>
  <c r="L609" i="54"/>
  <c r="F1066" i="28"/>
  <c r="F1066" i="54"/>
  <c r="K609" i="54"/>
  <c r="AJ455" i="54"/>
  <c r="AH455" i="54"/>
  <c r="AO576" i="28"/>
  <c r="AO580" i="28" s="1"/>
  <c r="BG580" i="28" s="1"/>
  <c r="AO576" i="54"/>
  <c r="AO580" i="54" s="1"/>
  <c r="BJ580" i="54" s="1"/>
  <c r="D539" i="28"/>
  <c r="F539" i="28"/>
  <c r="E539" i="28"/>
  <c r="BG538" i="28"/>
  <c r="BJ1266" i="54"/>
  <c r="W66" i="5"/>
  <c r="K692" i="28"/>
  <c r="L693" i="28" s="1"/>
  <c r="AU454" i="54"/>
  <c r="AU455" i="54" s="1"/>
  <c r="D1645" i="28"/>
  <c r="BH1644" i="28"/>
  <c r="K692" i="54"/>
  <c r="L693" i="54" s="1"/>
  <c r="AC1518" i="54"/>
  <c r="BJ1518" i="54" s="1"/>
  <c r="E734" i="54"/>
  <c r="BJ734" i="54" s="1"/>
  <c r="Q1266" i="28"/>
  <c r="BG1266" i="28" s="1"/>
  <c r="D209" i="32"/>
  <c r="G209" i="32" s="1"/>
  <c r="BG1364" i="28"/>
  <c r="F1365" i="28"/>
  <c r="E1365" i="28"/>
  <c r="K202" i="28"/>
  <c r="K203" i="28" s="1"/>
  <c r="E790" i="28"/>
  <c r="F791" i="28" s="1"/>
  <c r="W1392" i="28"/>
  <c r="X1393" i="28" s="1"/>
  <c r="G268" i="32"/>
  <c r="M268" i="32" s="1"/>
  <c r="R1743" i="28"/>
  <c r="Q1743" i="28"/>
  <c r="BH1742" i="28"/>
  <c r="P1743" i="28"/>
  <c r="G180" i="32"/>
  <c r="E328" i="54"/>
  <c r="BJ328" i="54" s="1"/>
  <c r="E90" i="51"/>
  <c r="G62" i="32"/>
  <c r="K62" i="32" s="1"/>
  <c r="E138" i="5"/>
  <c r="D204" i="32"/>
  <c r="G204" i="32" s="1"/>
  <c r="E1323" i="28"/>
  <c r="D1323" i="28"/>
  <c r="BG1322" i="28"/>
  <c r="AU18" i="51"/>
  <c r="D42" i="32"/>
  <c r="G42" i="32" s="1"/>
  <c r="K42" i="32" s="1"/>
  <c r="E118" i="54"/>
  <c r="BJ118" i="54" s="1"/>
  <c r="M253" i="32"/>
  <c r="F253" i="32"/>
  <c r="G88" i="32"/>
  <c r="K88" i="32" s="1"/>
  <c r="G203" i="32"/>
  <c r="P483" i="28"/>
  <c r="BG482" i="28"/>
  <c r="G261" i="32"/>
  <c r="M261" i="32" s="1"/>
  <c r="G240" i="33" s="1"/>
  <c r="E1655" i="54" s="1"/>
  <c r="E1658" i="54" s="1"/>
  <c r="R483" i="28"/>
  <c r="E1645" i="28"/>
  <c r="F1645" i="28"/>
  <c r="D65" i="32"/>
  <c r="F65" i="32" s="1"/>
  <c r="J65" i="32" s="1"/>
  <c r="H491" i="33" s="1"/>
  <c r="R479" i="54" s="1"/>
  <c r="R482" i="54" s="1"/>
  <c r="P483" i="54" s="1"/>
  <c r="F155" i="32"/>
  <c r="N155" i="32" s="1"/>
  <c r="H125" i="33" s="1"/>
  <c r="G144" i="32"/>
  <c r="F230" i="32"/>
  <c r="N230" i="32" s="1"/>
  <c r="H306" i="33" s="1"/>
  <c r="F1487" i="54" s="1"/>
  <c r="F1490" i="54" s="1"/>
  <c r="F1491" i="54" s="1"/>
  <c r="F182" i="32"/>
  <c r="N182" i="32" s="1"/>
  <c r="H156" i="33" s="1"/>
  <c r="F1221" i="54" s="1"/>
  <c r="F1224" i="54" s="1"/>
  <c r="F273" i="28"/>
  <c r="G56" i="32"/>
  <c r="K56" i="32" s="1"/>
  <c r="BJ244" i="54"/>
  <c r="G233" i="32"/>
  <c r="F229" i="32"/>
  <c r="N229" i="32" s="1"/>
  <c r="H304" i="33" s="1"/>
  <c r="F1473" i="54" s="1"/>
  <c r="F1476" i="54" s="1"/>
  <c r="BK1476" i="54" s="1"/>
  <c r="O285" i="32"/>
  <c r="G319" i="33" s="1"/>
  <c r="E1809" i="54" s="1"/>
  <c r="E1812" i="54" s="1"/>
  <c r="E1813" i="54" s="1"/>
  <c r="G153" i="32"/>
  <c r="F26" i="32"/>
  <c r="J26" i="32" s="1"/>
  <c r="H435" i="33" s="1"/>
  <c r="F143" i="54" s="1"/>
  <c r="F146" i="54" s="1"/>
  <c r="BK146" i="54" s="1"/>
  <c r="G232" i="32"/>
  <c r="AO46" i="5"/>
  <c r="AP47" i="5" s="1"/>
  <c r="F285" i="32"/>
  <c r="AO46" i="51"/>
  <c r="M292" i="32"/>
  <c r="F245" i="28"/>
  <c r="G179" i="32"/>
  <c r="G176" i="32"/>
  <c r="F292" i="32"/>
  <c r="G34" i="32"/>
  <c r="K34" i="32" s="1"/>
  <c r="G205" i="32"/>
  <c r="G211" i="32"/>
  <c r="D245" i="28"/>
  <c r="F82" i="32"/>
  <c r="J82" i="32" s="1"/>
  <c r="H523" i="33" s="1"/>
  <c r="AD563" i="54" s="1"/>
  <c r="AD566" i="54" s="1"/>
  <c r="AC567" i="54" s="1"/>
  <c r="D16" i="4"/>
  <c r="F16" i="4" s="1"/>
  <c r="J16" i="4" s="1"/>
  <c r="G15" i="20" s="1"/>
  <c r="G226" i="32"/>
  <c r="G85" i="32"/>
  <c r="K85" i="32" s="1"/>
  <c r="G33" i="32"/>
  <c r="K33" i="32" s="1"/>
  <c r="F1375" i="54"/>
  <c r="F1378" i="54" s="1"/>
  <c r="BK1378" i="54" s="1"/>
  <c r="O252" i="32"/>
  <c r="G116" i="32"/>
  <c r="K116" i="32" s="1"/>
  <c r="F149" i="32"/>
  <c r="N149" i="32" s="1"/>
  <c r="H117" i="33" s="1"/>
  <c r="R997" i="54" s="1"/>
  <c r="R1000" i="54" s="1"/>
  <c r="L254" i="32"/>
  <c r="G146" i="32"/>
  <c r="F27" i="32"/>
  <c r="J27" i="32" s="1"/>
  <c r="H437" i="33" s="1"/>
  <c r="F157" i="54" s="1"/>
  <c r="F160" i="54" s="1"/>
  <c r="BK160" i="54" s="1"/>
  <c r="M283" i="32"/>
  <c r="G104" i="32"/>
  <c r="K104" i="32" s="1"/>
  <c r="G93" i="32"/>
  <c r="K93" i="32" s="1"/>
  <c r="C28" i="19"/>
  <c r="G212" i="32"/>
  <c r="F95" i="32"/>
  <c r="J95" i="32" s="1"/>
  <c r="BG230" i="28"/>
  <c r="D40" i="32"/>
  <c r="F40" i="32" s="1"/>
  <c r="J40" i="32" s="1"/>
  <c r="H464" i="33" s="1"/>
  <c r="F311" i="54" s="1"/>
  <c r="F314" i="54" s="1"/>
  <c r="BK314" i="54" s="1"/>
  <c r="D315" i="28"/>
  <c r="F343" i="28"/>
  <c r="D343" i="28"/>
  <c r="F81" i="32"/>
  <c r="J81" i="32" s="1"/>
  <c r="H522" i="33" s="1"/>
  <c r="X563" i="54" s="1"/>
  <c r="X566" i="54" s="1"/>
  <c r="W567" i="54" s="1"/>
  <c r="E343" i="28"/>
  <c r="F29" i="32"/>
  <c r="J29" i="32" s="1"/>
  <c r="H441" i="33" s="1"/>
  <c r="F185" i="54" s="1"/>
  <c r="F188" i="54" s="1"/>
  <c r="BK188" i="54" s="1"/>
  <c r="F235" i="32"/>
  <c r="N235" i="32" s="1"/>
  <c r="H313" i="33" s="1"/>
  <c r="X1515" i="54" s="1"/>
  <c r="X1518" i="54" s="1"/>
  <c r="X1519" i="54" s="1"/>
  <c r="G151" i="32"/>
  <c r="G105" i="32"/>
  <c r="K105" i="32" s="1"/>
  <c r="G30" i="32"/>
  <c r="K30" i="32" s="1"/>
  <c r="F72" i="32"/>
  <c r="J72" i="32" s="1"/>
  <c r="H507" i="33" s="1"/>
  <c r="F535" i="54" s="1"/>
  <c r="F538" i="54" s="1"/>
  <c r="G194" i="32"/>
  <c r="E231" i="28"/>
  <c r="F203" i="28"/>
  <c r="D203" i="28"/>
  <c r="F231" i="28"/>
  <c r="D231" i="28"/>
  <c r="E203" i="28"/>
  <c r="G198" i="32"/>
  <c r="M259" i="32"/>
  <c r="O259" i="32"/>
  <c r="BG244" i="28"/>
  <c r="E245" i="28"/>
  <c r="F87" i="32"/>
  <c r="J87" i="32" s="1"/>
  <c r="H529" i="33" s="1"/>
  <c r="AD577" i="54" s="1"/>
  <c r="AD580" i="54" s="1"/>
  <c r="AC581" i="54" s="1"/>
  <c r="F174" i="32"/>
  <c r="N174" i="32" s="1"/>
  <c r="H144" i="33" s="1"/>
  <c r="R1165" i="54" s="1"/>
  <c r="R1168" i="54" s="1"/>
  <c r="Q1169" i="54" s="1"/>
  <c r="G221" i="32"/>
  <c r="D273" i="28"/>
  <c r="F987" i="28"/>
  <c r="E315" i="28"/>
  <c r="D385" i="28"/>
  <c r="AP90" i="5"/>
  <c r="G284" i="32"/>
  <c r="O284" i="32" s="1"/>
  <c r="G317" i="33" s="1"/>
  <c r="E1795" i="54" s="1"/>
  <c r="E1798" i="54" s="1"/>
  <c r="F315" i="28"/>
  <c r="G57" i="32"/>
  <c r="K57" i="32" s="1"/>
  <c r="G145" i="32"/>
  <c r="F222" i="32"/>
  <c r="N222" i="32" s="1"/>
  <c r="H295" i="33" s="1"/>
  <c r="L1445" i="54" s="1"/>
  <c r="L1448" i="54" s="1"/>
  <c r="G103" i="32"/>
  <c r="K103" i="32" s="1"/>
  <c r="G83" i="32"/>
  <c r="K83" i="32" s="1"/>
  <c r="G216" i="32"/>
  <c r="F54" i="32"/>
  <c r="J54" i="32" s="1"/>
  <c r="F202" i="32"/>
  <c r="N202" i="32" s="1"/>
  <c r="H214" i="33" s="1"/>
  <c r="BG384" i="28"/>
  <c r="E273" i="28"/>
  <c r="D987" i="28"/>
  <c r="E385" i="28"/>
  <c r="D48" i="32"/>
  <c r="F48" i="32" s="1"/>
  <c r="J48" i="32" s="1"/>
  <c r="H478" i="33" s="1"/>
  <c r="D37" i="32"/>
  <c r="G37" i="32" s="1"/>
  <c r="K37" i="32" s="1"/>
  <c r="BG314" i="28"/>
  <c r="D28" i="19"/>
  <c r="F96" i="32"/>
  <c r="J96" i="32" s="1"/>
  <c r="BJ202" i="54"/>
  <c r="F74" i="32"/>
  <c r="J74" i="32" s="1"/>
  <c r="H511" i="33" s="1"/>
  <c r="R535" i="54" s="1"/>
  <c r="R538" i="54" s="1"/>
  <c r="Q539" i="54" s="1"/>
  <c r="E357" i="28"/>
  <c r="AP90" i="51"/>
  <c r="F267" i="32"/>
  <c r="G267" i="32"/>
  <c r="F357" i="28"/>
  <c r="G25" i="32"/>
  <c r="K25" i="32" s="1"/>
  <c r="D357" i="28"/>
  <c r="G53" i="32"/>
  <c r="K53" i="32" s="1"/>
  <c r="F79" i="32"/>
  <c r="J79" i="32" s="1"/>
  <c r="H520" i="33" s="1"/>
  <c r="L563" i="54" s="1"/>
  <c r="L566" i="54" s="1"/>
  <c r="K567" i="54" s="1"/>
  <c r="D43" i="32"/>
  <c r="G43" i="32" s="1"/>
  <c r="K43" i="32" s="1"/>
  <c r="F290" i="32"/>
  <c r="F250" i="32"/>
  <c r="F186" i="32"/>
  <c r="N186" i="32" s="1"/>
  <c r="H160" i="33" s="1"/>
  <c r="AD1221" i="54" s="1"/>
  <c r="AD1224" i="54" s="1"/>
  <c r="AD1225" i="54" s="1"/>
  <c r="BG328" i="28"/>
  <c r="F94" i="32"/>
  <c r="J94" i="32" s="1"/>
  <c r="BG370" i="28"/>
  <c r="G41" i="32"/>
  <c r="K41" i="32" s="1"/>
  <c r="F78" i="32"/>
  <c r="J78" i="32" s="1"/>
  <c r="H519" i="33" s="1"/>
  <c r="F563" i="54" s="1"/>
  <c r="F566" i="54" s="1"/>
  <c r="F329" i="28"/>
  <c r="F76" i="32"/>
  <c r="J76" i="32" s="1"/>
  <c r="H516" i="33" s="1"/>
  <c r="F549" i="54" s="1"/>
  <c r="F552" i="54" s="1"/>
  <c r="BK552" i="54" s="1"/>
  <c r="D329" i="28"/>
  <c r="V371" i="28"/>
  <c r="G64" i="32"/>
  <c r="K64" i="32" s="1"/>
  <c r="G254" i="32"/>
  <c r="O254" i="32" s="1"/>
  <c r="G148" i="32"/>
  <c r="E329" i="28"/>
  <c r="BG300" i="28"/>
  <c r="G228" i="32"/>
  <c r="D39" i="32"/>
  <c r="F39" i="32" s="1"/>
  <c r="J39" i="32" s="1"/>
  <c r="H462" i="33" s="1"/>
  <c r="F301" i="28"/>
  <c r="F210" i="32"/>
  <c r="N210" i="32" s="1"/>
  <c r="H228" i="33" s="1"/>
  <c r="F1389" i="54" s="1"/>
  <c r="F1392" i="54" s="1"/>
  <c r="BK1392" i="54" s="1"/>
  <c r="G147" i="32"/>
  <c r="G66" i="32"/>
  <c r="K66" i="32" s="1"/>
  <c r="F91" i="32"/>
  <c r="J91" i="32" s="1"/>
  <c r="G91" i="32"/>
  <c r="K91" i="32" s="1"/>
  <c r="D301" i="28"/>
  <c r="E259" i="28"/>
  <c r="G70" i="32"/>
  <c r="K70" i="32" s="1"/>
  <c r="O290" i="32"/>
  <c r="G325" i="33" s="1"/>
  <c r="E1823" i="54" s="1"/>
  <c r="E1826" i="54" s="1"/>
  <c r="D1827" i="54" s="1"/>
  <c r="AC46" i="51"/>
  <c r="Q94" i="5"/>
  <c r="D47" i="4" s="1"/>
  <c r="AI42" i="5"/>
  <c r="G47" i="32"/>
  <c r="K47" i="32" s="1"/>
  <c r="AC46" i="5"/>
  <c r="E818" i="28"/>
  <c r="D122" i="32" s="1"/>
  <c r="J1085" i="28"/>
  <c r="D36" i="32"/>
  <c r="E162" i="32"/>
  <c r="F162" i="32" s="1"/>
  <c r="E23" i="5"/>
  <c r="E1561" i="28"/>
  <c r="K1085" i="28"/>
  <c r="Q1519" i="54"/>
  <c r="F60" i="32"/>
  <c r="J60" i="32" s="1"/>
  <c r="F187" i="32"/>
  <c r="N187" i="32" s="1"/>
  <c r="H162" i="33" s="1"/>
  <c r="F1235" i="54" s="1"/>
  <c r="F1238" i="54" s="1"/>
  <c r="F1561" i="28"/>
  <c r="P1519" i="54"/>
  <c r="F157" i="32"/>
  <c r="N157" i="32" s="1"/>
  <c r="H128" i="33" s="1"/>
  <c r="L1039" i="54" s="1"/>
  <c r="L1042" i="54" s="1"/>
  <c r="L1043" i="54" s="1"/>
  <c r="M282" i="32"/>
  <c r="D1561" i="28"/>
  <c r="X371" i="28"/>
  <c r="G16" i="32"/>
  <c r="K16" i="32" s="1"/>
  <c r="F172" i="32"/>
  <c r="N172" i="32" s="1"/>
  <c r="H142" i="33" s="1"/>
  <c r="G98" i="32"/>
  <c r="K98" i="32" s="1"/>
  <c r="F143" i="32"/>
  <c r="N143" i="32" s="1"/>
  <c r="F282" i="32"/>
  <c r="F231" i="32"/>
  <c r="N231" i="32" s="1"/>
  <c r="H308" i="33" s="1"/>
  <c r="F1501" i="54" s="1"/>
  <c r="F1504" i="54" s="1"/>
  <c r="BK1504" i="54" s="1"/>
  <c r="G191" i="32"/>
  <c r="W371" i="28"/>
  <c r="G251" i="32"/>
  <c r="F251" i="32"/>
  <c r="L1575" i="54"/>
  <c r="K1575" i="54"/>
  <c r="J1575" i="54"/>
  <c r="BJ1574" i="54"/>
  <c r="F926" i="28"/>
  <c r="F259" i="28"/>
  <c r="G274" i="32"/>
  <c r="F274" i="32"/>
  <c r="F291" i="32"/>
  <c r="G291" i="32"/>
  <c r="F241" i="32"/>
  <c r="G241" i="32"/>
  <c r="F246" i="32"/>
  <c r="G246" i="32"/>
  <c r="F277" i="32"/>
  <c r="G277" i="32"/>
  <c r="G245" i="32"/>
  <c r="F245" i="32"/>
  <c r="AJ166" i="51"/>
  <c r="AJ166" i="5"/>
  <c r="F279" i="32"/>
  <c r="G279" i="32"/>
  <c r="F101" i="32"/>
  <c r="J101" i="32" s="1"/>
  <c r="G101" i="32"/>
  <c r="K101" i="32" s="1"/>
  <c r="R1575" i="54"/>
  <c r="Q1575" i="54"/>
  <c r="P1575" i="54"/>
  <c r="F288" i="32"/>
  <c r="G288" i="32"/>
  <c r="G248" i="32"/>
  <c r="F248" i="32"/>
  <c r="F257" i="32"/>
  <c r="G257" i="32"/>
  <c r="W138" i="51"/>
  <c r="F271" i="32"/>
  <c r="W861" i="54"/>
  <c r="AC1589" i="54"/>
  <c r="AD1589" i="54"/>
  <c r="AB1589" i="54"/>
  <c r="G270" i="32"/>
  <c r="F270" i="32"/>
  <c r="G242" i="32"/>
  <c r="F242" i="32"/>
  <c r="F275" i="32"/>
  <c r="G275" i="32"/>
  <c r="F247" i="32"/>
  <c r="G247" i="32"/>
  <c r="F272" i="32"/>
  <c r="G272" i="32"/>
  <c r="F269" i="32"/>
  <c r="G269" i="32"/>
  <c r="G258" i="32"/>
  <c r="F258" i="32"/>
  <c r="F255" i="32"/>
  <c r="G255" i="32"/>
  <c r="G263" i="32"/>
  <c r="F263" i="32"/>
  <c r="D181" i="32"/>
  <c r="J1211" i="28"/>
  <c r="BG1210" i="28"/>
  <c r="K1211" i="28"/>
  <c r="L1211" i="28"/>
  <c r="F217" i="32"/>
  <c r="N217" i="32" s="1"/>
  <c r="H288" i="33" s="1"/>
  <c r="L1417" i="54" s="1"/>
  <c r="L1420" i="54" s="1"/>
  <c r="K1421" i="54" s="1"/>
  <c r="G217" i="32"/>
  <c r="G184" i="32"/>
  <c r="F184" i="32"/>
  <c r="N184" i="32" s="1"/>
  <c r="H158" i="33" s="1"/>
  <c r="R1221" i="54" s="1"/>
  <c r="R1224" i="54" s="1"/>
  <c r="Q1225" i="54" s="1"/>
  <c r="F249" i="32"/>
  <c r="G249" i="32"/>
  <c r="F289" i="32"/>
  <c r="G289" i="32"/>
  <c r="Q1589" i="54"/>
  <c r="P1589" i="54"/>
  <c r="R1589" i="54"/>
  <c r="AV166" i="51"/>
  <c r="AV166" i="5"/>
  <c r="AT167" i="5" s="1"/>
  <c r="E1585" i="54"/>
  <c r="E1588" i="54" s="1"/>
  <c r="I65" i="33"/>
  <c r="J64" i="33" s="1"/>
  <c r="G109" i="32"/>
  <c r="K109" i="32" s="1"/>
  <c r="E94" i="5"/>
  <c r="R1084" i="28"/>
  <c r="E163" i="32" s="1"/>
  <c r="F163" i="32" s="1"/>
  <c r="AI18" i="51"/>
  <c r="D259" i="28"/>
  <c r="F266" i="32"/>
  <c r="G266" i="32"/>
  <c r="G278" i="32"/>
  <c r="F278" i="32"/>
  <c r="L1589" i="54"/>
  <c r="K1589" i="54"/>
  <c r="J1589" i="54"/>
  <c r="F280" i="32"/>
  <c r="G280" i="32"/>
  <c r="F244" i="32"/>
  <c r="G244" i="32"/>
  <c r="AC1575" i="54"/>
  <c r="AB1575" i="54"/>
  <c r="AD1575" i="54"/>
  <c r="G243" i="32"/>
  <c r="F243" i="32"/>
  <c r="V1575" i="54"/>
  <c r="X1575" i="54"/>
  <c r="W1575" i="54"/>
  <c r="W1589" i="54"/>
  <c r="X1589" i="54"/>
  <c r="V1589" i="54"/>
  <c r="F256" i="32"/>
  <c r="G256" i="32"/>
  <c r="F273" i="32"/>
  <c r="G273" i="32"/>
  <c r="F926" i="54"/>
  <c r="X861" i="54"/>
  <c r="F35" i="32"/>
  <c r="J35" i="32" s="1"/>
  <c r="H452" i="33" s="1"/>
  <c r="L241" i="54" s="1"/>
  <c r="L244" i="54" s="1"/>
  <c r="K245" i="54" s="1"/>
  <c r="F42" i="51"/>
  <c r="F42" i="5"/>
  <c r="F23" i="5"/>
  <c r="BJ860" i="54"/>
  <c r="E142" i="51"/>
  <c r="AI46" i="51"/>
  <c r="J1785" i="54"/>
  <c r="L1785" i="54"/>
  <c r="K1785" i="54"/>
  <c r="E48" i="28"/>
  <c r="E49" i="28" s="1"/>
  <c r="BK1560" i="54"/>
  <c r="E1561" i="54"/>
  <c r="D1561" i="54"/>
  <c r="F1561" i="54"/>
  <c r="E48" i="54"/>
  <c r="BJ48" i="54" s="1"/>
  <c r="F814" i="54"/>
  <c r="F814" i="28"/>
  <c r="E1962" i="54"/>
  <c r="E1966" i="54" s="1"/>
  <c r="BJ1966" i="54" s="1"/>
  <c r="E1934" i="28"/>
  <c r="E1938" i="28" s="1"/>
  <c r="AC1505" i="28"/>
  <c r="AB1505" i="28"/>
  <c r="AD1505" i="28"/>
  <c r="R1043" i="28"/>
  <c r="Q1043" i="28"/>
  <c r="P1043" i="28"/>
  <c r="BJ790" i="54"/>
  <c r="E791" i="54"/>
  <c r="D791" i="54"/>
  <c r="F791" i="54"/>
  <c r="AV455" i="28"/>
  <c r="AU455" i="28"/>
  <c r="AT455" i="28"/>
  <c r="E735" i="28"/>
  <c r="D735" i="28"/>
  <c r="F735" i="28"/>
  <c r="BJ1868" i="54"/>
  <c r="D1869" i="54"/>
  <c r="E1869" i="54"/>
  <c r="F1869" i="54"/>
  <c r="F1701" i="54"/>
  <c r="E1701" i="54"/>
  <c r="D1701" i="54"/>
  <c r="E1519" i="54"/>
  <c r="D1519" i="54"/>
  <c r="F1519" i="54"/>
  <c r="E1575" i="54"/>
  <c r="J1519" i="54"/>
  <c r="L1519" i="54"/>
  <c r="K1519" i="54"/>
  <c r="BJ1854" i="54"/>
  <c r="D1855" i="54"/>
  <c r="E1855" i="54"/>
  <c r="F1855" i="54"/>
  <c r="BJ1784" i="54"/>
  <c r="D1785" i="54"/>
  <c r="F1785" i="54"/>
  <c r="E1785" i="54"/>
  <c r="D1575" i="54"/>
  <c r="F1575" i="54"/>
  <c r="BJ832" i="54"/>
  <c r="X997" i="54"/>
  <c r="X1000" i="54" s="1"/>
  <c r="X367" i="54"/>
  <c r="X370" i="54" s="1"/>
  <c r="F689" i="54"/>
  <c r="F692" i="54" s="1"/>
  <c r="BK692" i="54" s="1"/>
  <c r="F1193" i="54"/>
  <c r="F1196" i="54" s="1"/>
  <c r="BK1196" i="54" s="1"/>
  <c r="F1333" i="54"/>
  <c r="F1336" i="54" s="1"/>
  <c r="BK1336" i="54" s="1"/>
  <c r="F1249" i="54"/>
  <c r="F1252" i="54" s="1"/>
  <c r="BK1252" i="54" s="1"/>
  <c r="R577" i="54"/>
  <c r="R580" i="54" s="1"/>
  <c r="F577" i="54"/>
  <c r="F580" i="54" s="1"/>
  <c r="F1459" i="54"/>
  <c r="F1462" i="54" s="1"/>
  <c r="BK1462" i="54" s="1"/>
  <c r="F325" i="54"/>
  <c r="F328" i="54" s="1"/>
  <c r="BK328" i="54" s="1"/>
  <c r="F521" i="54"/>
  <c r="F524" i="54" s="1"/>
  <c r="BK524" i="54" s="1"/>
  <c r="F507" i="54"/>
  <c r="F510" i="54" s="1"/>
  <c r="BK510" i="54" s="1"/>
  <c r="F1179" i="54"/>
  <c r="F1182" i="54" s="1"/>
  <c r="BK1182" i="54" s="1"/>
  <c r="F1347" i="54"/>
  <c r="F1350" i="54" s="1"/>
  <c r="BK1350" i="54" s="1"/>
  <c r="F1305" i="54"/>
  <c r="F1308" i="54" s="1"/>
  <c r="BK1308" i="54" s="1"/>
  <c r="F1445" i="54"/>
  <c r="F1448" i="54" s="1"/>
  <c r="F1207" i="54"/>
  <c r="F1210" i="54" s="1"/>
  <c r="F1403" i="54"/>
  <c r="F1406" i="54" s="1"/>
  <c r="L997" i="54"/>
  <c r="L1000" i="54" s="1"/>
  <c r="R563" i="54"/>
  <c r="R566" i="54" s="1"/>
  <c r="L1011" i="54"/>
  <c r="L1014" i="54" s="1"/>
  <c r="F861" i="54"/>
  <c r="E861" i="54"/>
  <c r="D861" i="54"/>
  <c r="D1141" i="54"/>
  <c r="F1141" i="54"/>
  <c r="E1141" i="54"/>
  <c r="Q1407" i="54"/>
  <c r="P1407" i="54"/>
  <c r="R1407" i="54"/>
  <c r="K525" i="54"/>
  <c r="J525" i="54"/>
  <c r="L525" i="54"/>
  <c r="W1421" i="54"/>
  <c r="V1421" i="54"/>
  <c r="X1421" i="54"/>
  <c r="K1323" i="54"/>
  <c r="J1323" i="54"/>
  <c r="L1323" i="54"/>
  <c r="X1235" i="54"/>
  <c r="X1238" i="54" s="1"/>
  <c r="F969" i="54"/>
  <c r="F972" i="54" s="1"/>
  <c r="BK972" i="54" s="1"/>
  <c r="F465" i="54"/>
  <c r="F468" i="54" s="1"/>
  <c r="BK468" i="54" s="1"/>
  <c r="AJ1445" i="54"/>
  <c r="AJ1448" i="54" s="1"/>
  <c r="F1109" i="54"/>
  <c r="F1112" i="54" s="1"/>
  <c r="BK1112" i="54" s="1"/>
  <c r="F1039" i="54"/>
  <c r="F1042" i="54" s="1"/>
  <c r="K861" i="54"/>
  <c r="L861" i="54"/>
  <c r="J861" i="54"/>
  <c r="L1225" i="54"/>
  <c r="K1225" i="54"/>
  <c r="J1225" i="54"/>
  <c r="L511" i="54"/>
  <c r="K511" i="54"/>
  <c r="J511" i="54"/>
  <c r="X581" i="54"/>
  <c r="W581" i="54"/>
  <c r="V581" i="54"/>
  <c r="D875" i="54"/>
  <c r="E875" i="54"/>
  <c r="F875" i="54"/>
  <c r="AH581" i="54"/>
  <c r="AJ581" i="54"/>
  <c r="AI581" i="54"/>
  <c r="AH1239" i="54"/>
  <c r="AJ1239" i="54"/>
  <c r="AI1239" i="54"/>
  <c r="L1239" i="54"/>
  <c r="K1239" i="54"/>
  <c r="J1239" i="54"/>
  <c r="L1337" i="54"/>
  <c r="K1337" i="54"/>
  <c r="J1337" i="54"/>
  <c r="K1379" i="54"/>
  <c r="J1379" i="54"/>
  <c r="L1379" i="54"/>
  <c r="E847" i="54"/>
  <c r="F847" i="54"/>
  <c r="D847" i="54"/>
  <c r="F1127" i="54"/>
  <c r="E1127" i="54"/>
  <c r="D1127" i="54"/>
  <c r="J1183" i="54"/>
  <c r="L1183" i="54"/>
  <c r="K1183" i="54"/>
  <c r="K483" i="54"/>
  <c r="J483" i="54"/>
  <c r="L483" i="54"/>
  <c r="P1421" i="54"/>
  <c r="R1421" i="54"/>
  <c r="Q1421" i="54"/>
  <c r="J1253" i="54"/>
  <c r="L1253" i="54"/>
  <c r="K1253" i="54"/>
  <c r="X1449" i="54"/>
  <c r="W1449" i="54"/>
  <c r="V1449" i="54"/>
  <c r="W1169" i="54"/>
  <c r="V1169" i="54"/>
  <c r="X1169" i="54"/>
  <c r="L1351" i="54"/>
  <c r="K1351" i="54"/>
  <c r="J1351" i="54"/>
  <c r="E1155" i="54"/>
  <c r="F1155" i="54"/>
  <c r="D1155" i="54"/>
  <c r="AB1239" i="54"/>
  <c r="AC1239" i="54"/>
  <c r="AD1239" i="54"/>
  <c r="L581" i="54"/>
  <c r="K581" i="54"/>
  <c r="J581" i="54"/>
  <c r="K539" i="54"/>
  <c r="J539" i="54"/>
  <c r="L539" i="54"/>
  <c r="W483" i="54"/>
  <c r="V483" i="54"/>
  <c r="X483" i="54"/>
  <c r="E749" i="54"/>
  <c r="D749" i="54"/>
  <c r="F749" i="54"/>
  <c r="L833" i="54"/>
  <c r="J833" i="54"/>
  <c r="K833" i="54"/>
  <c r="X539" i="54"/>
  <c r="W539" i="54"/>
  <c r="V539" i="54"/>
  <c r="Q1253" i="54"/>
  <c r="P1253" i="54"/>
  <c r="R1253" i="54"/>
  <c r="W1267" i="54"/>
  <c r="V1267" i="54"/>
  <c r="X1267" i="54"/>
  <c r="AP1239" i="54"/>
  <c r="AO1239" i="54"/>
  <c r="AN1239" i="54"/>
  <c r="Q1239" i="54"/>
  <c r="P1239" i="54"/>
  <c r="R1239" i="54"/>
  <c r="V1225" i="54"/>
  <c r="X1225" i="54"/>
  <c r="W1225" i="54"/>
  <c r="J1407" i="54"/>
  <c r="L1407" i="54"/>
  <c r="K1407" i="54"/>
  <c r="L553" i="54"/>
  <c r="K553" i="54"/>
  <c r="J553" i="54"/>
  <c r="R1183" i="54"/>
  <c r="Q1183" i="54"/>
  <c r="P1183" i="54"/>
  <c r="R1449" i="54"/>
  <c r="Q1449" i="54"/>
  <c r="P1449" i="54"/>
  <c r="AD1407" i="54"/>
  <c r="AC1407" i="54"/>
  <c r="AB1407" i="54"/>
  <c r="D833" i="54"/>
  <c r="F833" i="54"/>
  <c r="E833" i="54"/>
  <c r="K1267" i="54"/>
  <c r="J1267" i="54"/>
  <c r="L1267" i="54"/>
  <c r="F227" i="54"/>
  <c r="F230" i="54" s="1"/>
  <c r="BK230" i="54" s="1"/>
  <c r="F129" i="54"/>
  <c r="F132" i="54" s="1"/>
  <c r="BK132" i="54" s="1"/>
  <c r="F241" i="54"/>
  <c r="F244" i="54" s="1"/>
  <c r="F199" i="54"/>
  <c r="F202" i="54" s="1"/>
  <c r="F1052" i="54"/>
  <c r="F1052" i="28"/>
  <c r="D1099" i="28"/>
  <c r="F1099" i="28"/>
  <c r="G107" i="33" s="1"/>
  <c r="E1099" i="28"/>
  <c r="F119" i="28"/>
  <c r="E119" i="28"/>
  <c r="D119" i="28"/>
  <c r="L1099" i="28"/>
  <c r="G108" i="33" s="1"/>
  <c r="K1099" i="28"/>
  <c r="J1099" i="28"/>
  <c r="AU138" i="5"/>
  <c r="AU142" i="5" s="1"/>
  <c r="AV143" i="5" s="1"/>
  <c r="AU18" i="5"/>
  <c r="W138" i="5"/>
  <c r="BA66" i="5"/>
  <c r="Q66" i="5"/>
  <c r="Q66" i="51"/>
  <c r="Q70" i="51" s="1"/>
  <c r="R71" i="51" s="1"/>
  <c r="AI66" i="51"/>
  <c r="AI66" i="5"/>
  <c r="AI70" i="5" s="1"/>
  <c r="AJ71" i="5" s="1"/>
  <c r="AI138" i="51"/>
  <c r="AI138" i="5"/>
  <c r="AC70" i="51"/>
  <c r="AC66" i="5"/>
  <c r="AI22" i="5"/>
  <c r="AJ23" i="5" s="1"/>
  <c r="G18" i="20"/>
  <c r="BA70" i="51"/>
  <c r="BB71" i="51" s="1"/>
  <c r="AC167" i="5"/>
  <c r="AB167" i="5"/>
  <c r="AD167" i="5"/>
  <c r="E42" i="51"/>
  <c r="E42" i="5"/>
  <c r="R22" i="5"/>
  <c r="R90" i="51"/>
  <c r="R94" i="51" s="1"/>
  <c r="R90" i="5"/>
  <c r="Q18" i="51"/>
  <c r="Q18" i="5"/>
  <c r="O27" i="4"/>
  <c r="M27" i="4"/>
  <c r="N27" i="4"/>
  <c r="L27" i="4"/>
  <c r="K27" i="4"/>
  <c r="J75" i="4"/>
  <c r="N75" i="4"/>
  <c r="L75" i="4"/>
  <c r="K75" i="4"/>
  <c r="J64" i="4"/>
  <c r="L64" i="4"/>
  <c r="K64" i="4"/>
  <c r="O64" i="4"/>
  <c r="M64" i="4"/>
  <c r="E67" i="4"/>
  <c r="D50" i="4"/>
  <c r="F58" i="4"/>
  <c r="J58" i="4" s="1"/>
  <c r="D20" i="4"/>
  <c r="F20" i="4" s="1"/>
  <c r="J20" i="4" s="1"/>
  <c r="G58" i="4"/>
  <c r="K58" i="4" s="1"/>
  <c r="E59" i="4"/>
  <c r="E39" i="4"/>
  <c r="E21" i="4"/>
  <c r="H122" i="33"/>
  <c r="C29" i="19"/>
  <c r="D29" i="19"/>
  <c r="H115" i="33"/>
  <c r="H287" i="33"/>
  <c r="H120" i="33"/>
  <c r="C27" i="19"/>
  <c r="D27" i="19"/>
  <c r="C22" i="19"/>
  <c r="D22" i="19"/>
  <c r="H54" i="33"/>
  <c r="F1627" i="54" s="1"/>
  <c r="F1630" i="54" s="1"/>
  <c r="C13" i="19"/>
  <c r="D13" i="19"/>
  <c r="I36" i="33"/>
  <c r="E240" i="32"/>
  <c r="E313" i="32" s="1"/>
  <c r="BH1560" i="28"/>
  <c r="D142" i="32"/>
  <c r="BG986" i="28"/>
  <c r="G165" i="32"/>
  <c r="F165" i="32"/>
  <c r="E18" i="32"/>
  <c r="BH48" i="28"/>
  <c r="G17" i="32"/>
  <c r="K17" i="32" s="1"/>
  <c r="G374" i="33" s="1"/>
  <c r="F17" i="32"/>
  <c r="J17" i="32" s="1"/>
  <c r="H424" i="33" s="1"/>
  <c r="G108" i="32"/>
  <c r="K108" i="32" s="1"/>
  <c r="F108" i="32"/>
  <c r="J108" i="32" s="1"/>
  <c r="G225" i="32"/>
  <c r="F225" i="32"/>
  <c r="N225" i="32" s="1"/>
  <c r="H298" i="33" s="1"/>
  <c r="G50" i="32"/>
  <c r="K50" i="32" s="1"/>
  <c r="F50" i="32"/>
  <c r="J50" i="32" s="1"/>
  <c r="H483" i="33" s="1"/>
  <c r="O271" i="32"/>
  <c r="G253" i="33" s="1"/>
  <c r="W1725" i="54" s="1"/>
  <c r="W1728" i="54" s="1"/>
  <c r="M271" i="32"/>
  <c r="F28" i="32"/>
  <c r="J28" i="32" s="1"/>
  <c r="H439" i="33" s="1"/>
  <c r="G28" i="32"/>
  <c r="K28" i="32" s="1"/>
  <c r="F67" i="32"/>
  <c r="J67" i="32" s="1"/>
  <c r="H494" i="33" s="1"/>
  <c r="G67" i="32"/>
  <c r="K67" i="32" s="1"/>
  <c r="G63" i="32"/>
  <c r="K63" i="32" s="1"/>
  <c r="F63" i="32"/>
  <c r="J63" i="32" s="1"/>
  <c r="H489" i="33" s="1"/>
  <c r="F44" i="32"/>
  <c r="J44" i="32" s="1"/>
  <c r="H473" i="33" s="1"/>
  <c r="G44" i="32"/>
  <c r="K44" i="32" s="1"/>
  <c r="F49" i="32"/>
  <c r="J49" i="32" s="1"/>
  <c r="H481" i="33" s="1"/>
  <c r="G49" i="32"/>
  <c r="K49" i="32" s="1"/>
  <c r="O276" i="32"/>
  <c r="G260" i="33" s="1"/>
  <c r="E1753" i="54" s="1"/>
  <c r="E1756" i="54" s="1"/>
  <c r="M276" i="32"/>
  <c r="O281" i="32"/>
  <c r="G266" i="33" s="1"/>
  <c r="E1767" i="54" s="1"/>
  <c r="E1770" i="54" s="1"/>
  <c r="M281" i="32"/>
  <c r="O264" i="32"/>
  <c r="M264" i="32"/>
  <c r="O250" i="32"/>
  <c r="M250" i="32"/>
  <c r="G154" i="32"/>
  <c r="F154" i="32"/>
  <c r="N154" i="32" s="1"/>
  <c r="F262" i="32"/>
  <c r="G262" i="32"/>
  <c r="E164" i="32"/>
  <c r="BH1098" i="28"/>
  <c r="D24" i="32"/>
  <c r="BG118" i="28"/>
  <c r="D61" i="32"/>
  <c r="BG454" i="28"/>
  <c r="D111" i="32"/>
  <c r="BG734" i="28"/>
  <c r="F90" i="32"/>
  <c r="J90" i="32" s="1"/>
  <c r="G90" i="32"/>
  <c r="K90" i="32" s="1"/>
  <c r="F113" i="32"/>
  <c r="J113" i="32" s="1"/>
  <c r="G113" i="32"/>
  <c r="K113" i="32" s="1"/>
  <c r="G110" i="32"/>
  <c r="K110" i="32" s="1"/>
  <c r="F110" i="32"/>
  <c r="J110" i="32" s="1"/>
  <c r="G117" i="32"/>
  <c r="K117" i="32" s="1"/>
  <c r="F117" i="32"/>
  <c r="J117" i="32" s="1"/>
  <c r="G197" i="32"/>
  <c r="F197" i="32"/>
  <c r="N197" i="32" s="1"/>
  <c r="H174" i="33" s="1"/>
  <c r="O286" i="32"/>
  <c r="G320" i="33" s="1"/>
  <c r="K1809" i="54" s="1"/>
  <c r="K1812" i="54" s="1"/>
  <c r="M286" i="32"/>
  <c r="G100" i="32"/>
  <c r="K100" i="32" s="1"/>
  <c r="F100" i="32"/>
  <c r="J100" i="32" s="1"/>
  <c r="D158" i="32"/>
  <c r="D135" i="32"/>
  <c r="D236" i="32"/>
  <c r="G28" i="4"/>
  <c r="K28" i="4" s="1"/>
  <c r="F28" i="4"/>
  <c r="F75" i="4"/>
  <c r="G75" i="4"/>
  <c r="D66" i="4"/>
  <c r="E49" i="4"/>
  <c r="F49" i="4" s="1"/>
  <c r="E30" i="4"/>
  <c r="J16" i="32"/>
  <c r="H422" i="33" s="1"/>
  <c r="C34" i="18"/>
  <c r="D34" i="18"/>
  <c r="D76" i="4"/>
  <c r="G104" i="33"/>
  <c r="G16" i="20"/>
  <c r="F16" i="20"/>
  <c r="I30" i="33"/>
  <c r="K29" i="33" s="1"/>
  <c r="BG216" i="28" l="1"/>
  <c r="G173" i="32"/>
  <c r="L1169" i="54"/>
  <c r="J1169" i="54"/>
  <c r="W66" i="51"/>
  <c r="W70" i="51" s="1"/>
  <c r="BJ454" i="54"/>
  <c r="BG692" i="28"/>
  <c r="E161" i="32"/>
  <c r="F161" i="32" s="1"/>
  <c r="D1085" i="28"/>
  <c r="F209" i="32"/>
  <c r="N209" i="32" s="1"/>
  <c r="H226" i="33" s="1"/>
  <c r="F1361" i="54" s="1"/>
  <c r="F1364" i="54" s="1"/>
  <c r="BK1364" i="54" s="1"/>
  <c r="F1085" i="28"/>
  <c r="G103" i="33" s="1"/>
  <c r="E1081" i="54" s="1"/>
  <c r="E1084" i="54" s="1"/>
  <c r="G220" i="32"/>
  <c r="F1070" i="28"/>
  <c r="BH1070" i="28" s="1"/>
  <c r="AN581" i="28"/>
  <c r="AT455" i="54"/>
  <c r="D106" i="32"/>
  <c r="F106" i="32" s="1"/>
  <c r="J106" i="32" s="1"/>
  <c r="AO581" i="28"/>
  <c r="D89" i="32"/>
  <c r="F89" i="32" s="1"/>
  <c r="J89" i="32" s="1"/>
  <c r="H531" i="33" s="1"/>
  <c r="AP581" i="28"/>
  <c r="AV455" i="54"/>
  <c r="J693" i="28"/>
  <c r="BA70" i="5"/>
  <c r="BA71" i="5" s="1"/>
  <c r="K693" i="28"/>
  <c r="BJ692" i="54"/>
  <c r="K693" i="54"/>
  <c r="J693" i="54"/>
  <c r="E735" i="54"/>
  <c r="AI70" i="51"/>
  <c r="AJ71" i="51" s="1"/>
  <c r="W70" i="5"/>
  <c r="X71" i="5" s="1"/>
  <c r="D735" i="54"/>
  <c r="F735" i="54"/>
  <c r="AU22" i="5"/>
  <c r="AT23" i="5" s="1"/>
  <c r="AI142" i="51"/>
  <c r="Q70" i="5"/>
  <c r="Q71" i="5" s="1"/>
  <c r="F1056" i="28"/>
  <c r="E1057" i="28" s="1"/>
  <c r="Q1267" i="28"/>
  <c r="AI22" i="51"/>
  <c r="D199" i="32"/>
  <c r="G199" i="32" s="1"/>
  <c r="R1267" i="28"/>
  <c r="AC70" i="5"/>
  <c r="AC71" i="5" s="1"/>
  <c r="P1267" i="28"/>
  <c r="F818" i="28"/>
  <c r="BH818" i="28" s="1"/>
  <c r="AI142" i="5"/>
  <c r="D67" i="4" s="1"/>
  <c r="F67" i="4" s="1"/>
  <c r="E791" i="28"/>
  <c r="O268" i="32"/>
  <c r="G250" i="33" s="1"/>
  <c r="E1725" i="54" s="1"/>
  <c r="E1728" i="54" s="1"/>
  <c r="F1729" i="54" s="1"/>
  <c r="D31" i="19"/>
  <c r="D31" i="32"/>
  <c r="F31" i="32" s="1"/>
  <c r="J31" i="32" s="1"/>
  <c r="H444" i="33" s="1"/>
  <c r="L203" i="28"/>
  <c r="D1477" i="54"/>
  <c r="J203" i="28"/>
  <c r="BG790" i="28"/>
  <c r="BG202" i="28"/>
  <c r="D119" i="32"/>
  <c r="F119" i="32" s="1"/>
  <c r="J119" i="32" s="1"/>
  <c r="D791" i="28"/>
  <c r="W1393" i="28"/>
  <c r="BG1392" i="28"/>
  <c r="D214" i="32"/>
  <c r="F214" i="32" s="1"/>
  <c r="N214" i="32" s="1"/>
  <c r="V1393" i="28"/>
  <c r="E46" i="5"/>
  <c r="D25" i="4" s="1"/>
  <c r="E142" i="5"/>
  <c r="F143" i="5" s="1"/>
  <c r="W142" i="5"/>
  <c r="V143" i="5" s="1"/>
  <c r="W142" i="51"/>
  <c r="AU22" i="51"/>
  <c r="Q483" i="54"/>
  <c r="F204" i="32"/>
  <c r="N204" i="32" s="1"/>
  <c r="H218" i="33" s="1"/>
  <c r="F1319" i="54" s="1"/>
  <c r="F1322" i="54" s="1"/>
  <c r="BK1322" i="54" s="1"/>
  <c r="O261" i="32"/>
  <c r="C56" i="19" s="1"/>
  <c r="D1813" i="54"/>
  <c r="R483" i="54"/>
  <c r="F42" i="32"/>
  <c r="J42" i="32" s="1"/>
  <c r="H468" i="33" s="1"/>
  <c r="F339" i="54" s="1"/>
  <c r="F342" i="54" s="1"/>
  <c r="BK342" i="54" s="1"/>
  <c r="G65" i="32"/>
  <c r="K65" i="32" s="1"/>
  <c r="C31" i="19"/>
  <c r="F1477" i="54"/>
  <c r="E1491" i="54"/>
  <c r="D1491" i="54"/>
  <c r="BK1490" i="54"/>
  <c r="R94" i="5"/>
  <c r="Q95" i="5" s="1"/>
  <c r="G16" i="4"/>
  <c r="K16" i="4" s="1"/>
  <c r="AN47" i="5"/>
  <c r="F43" i="32"/>
  <c r="J43" i="32" s="1"/>
  <c r="H471" i="33" s="1"/>
  <c r="F353" i="54" s="1"/>
  <c r="F356" i="54" s="1"/>
  <c r="BK356" i="54" s="1"/>
  <c r="E1477" i="54"/>
  <c r="D26" i="19"/>
  <c r="AO47" i="5"/>
  <c r="F1813" i="54"/>
  <c r="X567" i="54"/>
  <c r="V567" i="54"/>
  <c r="M284" i="32"/>
  <c r="AD567" i="54"/>
  <c r="AB567" i="54"/>
  <c r="AB581" i="54"/>
  <c r="C26" i="19"/>
  <c r="L1421" i="54"/>
  <c r="J1421" i="54"/>
  <c r="AP94" i="5"/>
  <c r="AN95" i="5" s="1"/>
  <c r="G40" i="32"/>
  <c r="K40" i="32" s="1"/>
  <c r="W1519" i="54"/>
  <c r="AD581" i="54"/>
  <c r="V1519" i="54"/>
  <c r="G48" i="32"/>
  <c r="K48" i="32" s="1"/>
  <c r="AI46" i="5"/>
  <c r="D30" i="4" s="1"/>
  <c r="G30" i="4" s="1"/>
  <c r="R1169" i="54"/>
  <c r="P1169" i="54"/>
  <c r="G162" i="32"/>
  <c r="N162" i="32" s="1"/>
  <c r="AP94" i="51"/>
  <c r="BH902" i="28"/>
  <c r="F1827" i="54"/>
  <c r="F37" i="32"/>
  <c r="J37" i="32" s="1"/>
  <c r="H456" i="33" s="1"/>
  <c r="F269" i="54" s="1"/>
  <c r="F272" i="54" s="1"/>
  <c r="BK272" i="54" s="1"/>
  <c r="R539" i="54"/>
  <c r="J567" i="54"/>
  <c r="M254" i="32"/>
  <c r="D903" i="28"/>
  <c r="E903" i="28"/>
  <c r="E1827" i="54"/>
  <c r="BJ1826" i="54"/>
  <c r="F49" i="28"/>
  <c r="J1043" i="54"/>
  <c r="P539" i="54"/>
  <c r="L567" i="54"/>
  <c r="BK538" i="54"/>
  <c r="K1043" i="54"/>
  <c r="BG818" i="28"/>
  <c r="F930" i="54"/>
  <c r="BK930" i="54" s="1"/>
  <c r="M267" i="32"/>
  <c r="O267" i="32"/>
  <c r="G248" i="33" s="1"/>
  <c r="E1711" i="54" s="1"/>
  <c r="E1714" i="54" s="1"/>
  <c r="D18" i="32"/>
  <c r="G18" i="32" s="1"/>
  <c r="K18" i="32" s="1"/>
  <c r="D167" i="5"/>
  <c r="E72" i="4"/>
  <c r="G72" i="4" s="1"/>
  <c r="E167" i="5"/>
  <c r="D29" i="4"/>
  <c r="AC47" i="5"/>
  <c r="AB47" i="5"/>
  <c r="AD47" i="5"/>
  <c r="E135" i="32"/>
  <c r="G135" i="32" s="1"/>
  <c r="K135" i="32" s="1"/>
  <c r="G407" i="33" s="1"/>
  <c r="L245" i="54"/>
  <c r="G39" i="32"/>
  <c r="K39" i="32" s="1"/>
  <c r="AU167" i="5"/>
  <c r="AB1225" i="54"/>
  <c r="AV167" i="5"/>
  <c r="AC1225" i="54"/>
  <c r="E1505" i="54"/>
  <c r="F1505" i="54"/>
  <c r="F930" i="28"/>
  <c r="E137" i="32" s="1"/>
  <c r="Q22" i="51"/>
  <c r="D1505" i="54"/>
  <c r="F167" i="5"/>
  <c r="G36" i="32"/>
  <c r="K36" i="32" s="1"/>
  <c r="F36" i="32"/>
  <c r="J36" i="32" s="1"/>
  <c r="H454" i="33" s="1"/>
  <c r="F255" i="54" s="1"/>
  <c r="F258" i="54" s="1"/>
  <c r="BK258" i="54" s="1"/>
  <c r="G163" i="32"/>
  <c r="D49" i="28"/>
  <c r="R1225" i="54"/>
  <c r="BK1224" i="54"/>
  <c r="R1085" i="28"/>
  <c r="G105" i="33" s="1"/>
  <c r="P1225" i="54"/>
  <c r="BH1084" i="28"/>
  <c r="P1085" i="28"/>
  <c r="Q1085" i="28"/>
  <c r="M251" i="32"/>
  <c r="O251" i="32"/>
  <c r="J245" i="54"/>
  <c r="BK244" i="54"/>
  <c r="M273" i="32"/>
  <c r="O273" i="32"/>
  <c r="G256" i="33" s="1"/>
  <c r="E1739" i="54" s="1"/>
  <c r="E1742" i="54" s="1"/>
  <c r="BJ1588" i="54"/>
  <c r="F1589" i="54"/>
  <c r="D1589" i="54"/>
  <c r="E1589" i="54"/>
  <c r="M249" i="32"/>
  <c r="O249" i="32"/>
  <c r="M272" i="32"/>
  <c r="O272" i="32"/>
  <c r="M275" i="32"/>
  <c r="O275" i="32"/>
  <c r="G258" i="33" s="1"/>
  <c r="Q1739" i="54" s="1"/>
  <c r="Q1742" i="54" s="1"/>
  <c r="O248" i="32"/>
  <c r="M248" i="32"/>
  <c r="O279" i="32"/>
  <c r="G263" i="33" s="1"/>
  <c r="W1753" i="54" s="1"/>
  <c r="W1756" i="54" s="1"/>
  <c r="M279" i="32"/>
  <c r="M277" i="32"/>
  <c r="O277" i="32"/>
  <c r="G261" i="33" s="1"/>
  <c r="K1753" i="54" s="1"/>
  <c r="K1756" i="54" s="1"/>
  <c r="O241" i="32"/>
  <c r="M241" i="32"/>
  <c r="M244" i="32"/>
  <c r="O244" i="32"/>
  <c r="O278" i="32"/>
  <c r="G262" i="33" s="1"/>
  <c r="Q1753" i="54" s="1"/>
  <c r="Q1756" i="54" s="1"/>
  <c r="M278" i="32"/>
  <c r="M263" i="32"/>
  <c r="O263" i="32"/>
  <c r="O258" i="32"/>
  <c r="M258" i="32"/>
  <c r="O270" i="32"/>
  <c r="G252" i="33" s="1"/>
  <c r="Q1725" i="54" s="1"/>
  <c r="Q1728" i="54" s="1"/>
  <c r="M270" i="32"/>
  <c r="M257" i="32"/>
  <c r="O257" i="32"/>
  <c r="O288" i="32"/>
  <c r="G322" i="33" s="1"/>
  <c r="W1809" i="54" s="1"/>
  <c r="W1812" i="54" s="1"/>
  <c r="M288" i="32"/>
  <c r="O245" i="32"/>
  <c r="M245" i="32"/>
  <c r="O256" i="32"/>
  <c r="M256" i="32"/>
  <c r="O266" i="32"/>
  <c r="G246" i="33" s="1"/>
  <c r="K1697" i="54" s="1"/>
  <c r="K1700" i="54" s="1"/>
  <c r="M266" i="32"/>
  <c r="O289" i="32"/>
  <c r="G323" i="33" s="1"/>
  <c r="AC1809" i="54" s="1"/>
  <c r="AC1812" i="54" s="1"/>
  <c r="M289" i="32"/>
  <c r="O255" i="32"/>
  <c r="M255" i="32"/>
  <c r="O269" i="32"/>
  <c r="G251" i="33" s="1"/>
  <c r="K1725" i="54" s="1"/>
  <c r="K1728" i="54" s="1"/>
  <c r="M269" i="32"/>
  <c r="O247" i="32"/>
  <c r="M247" i="32"/>
  <c r="AJ167" i="5"/>
  <c r="E77" i="4"/>
  <c r="AH167" i="5"/>
  <c r="AI167" i="5"/>
  <c r="O246" i="32"/>
  <c r="M246" i="32"/>
  <c r="M291" i="32"/>
  <c r="O291" i="32"/>
  <c r="G327" i="33" s="1"/>
  <c r="E1837" i="54" s="1"/>
  <c r="E1840" i="54" s="1"/>
  <c r="BG48" i="28"/>
  <c r="M243" i="32"/>
  <c r="O243" i="32"/>
  <c r="M280" i="32"/>
  <c r="O280" i="32"/>
  <c r="G264" i="33" s="1"/>
  <c r="AC1753" i="54" s="1"/>
  <c r="AC1756" i="54" s="1"/>
  <c r="G181" i="32"/>
  <c r="F181" i="32"/>
  <c r="N181" i="32" s="1"/>
  <c r="H154" i="33" s="1"/>
  <c r="L1207" i="54" s="1"/>
  <c r="L1210" i="54" s="1"/>
  <c r="BK1210" i="54" s="1"/>
  <c r="M242" i="32"/>
  <c r="O242" i="32"/>
  <c r="O274" i="32"/>
  <c r="G257" i="33" s="1"/>
  <c r="K1739" i="54" s="1"/>
  <c r="K1742" i="54" s="1"/>
  <c r="M274" i="32"/>
  <c r="Q22" i="5"/>
  <c r="R23" i="5" s="1"/>
  <c r="AU143" i="5"/>
  <c r="AT143" i="5"/>
  <c r="D40" i="4"/>
  <c r="E46" i="51"/>
  <c r="BJ46" i="51" s="1"/>
  <c r="E1546" i="54"/>
  <c r="BJ1546" i="54" s="1"/>
  <c r="E1532" i="28"/>
  <c r="F1939" i="28"/>
  <c r="E1939" i="28"/>
  <c r="D1939" i="28"/>
  <c r="AH71" i="5"/>
  <c r="Q71" i="51"/>
  <c r="BK1238" i="54"/>
  <c r="BJ1658" i="54"/>
  <c r="E1659" i="54"/>
  <c r="D1659" i="54"/>
  <c r="F1659" i="54"/>
  <c r="K1813" i="54"/>
  <c r="L1813" i="54"/>
  <c r="J1813" i="54"/>
  <c r="BJ1770" i="54"/>
  <c r="E1771" i="54"/>
  <c r="F1771" i="54"/>
  <c r="D1771" i="54"/>
  <c r="F1757" i="54"/>
  <c r="D1757" i="54"/>
  <c r="E1757" i="54"/>
  <c r="W1729" i="54"/>
  <c r="X1729" i="54"/>
  <c r="V1729" i="54"/>
  <c r="BK1630" i="54"/>
  <c r="F1631" i="54"/>
  <c r="E1631" i="54"/>
  <c r="D1631" i="54"/>
  <c r="AI23" i="5"/>
  <c r="BK566" i="54"/>
  <c r="BJ1798" i="54"/>
  <c r="D1799" i="54"/>
  <c r="E1799" i="54"/>
  <c r="F1799" i="54"/>
  <c r="K1095" i="54"/>
  <c r="K1098" i="54" s="1"/>
  <c r="F381" i="54"/>
  <c r="F384" i="54" s="1"/>
  <c r="BK384" i="54" s="1"/>
  <c r="F297" i="54"/>
  <c r="F300" i="54" s="1"/>
  <c r="BK300" i="54" s="1"/>
  <c r="F1263" i="54"/>
  <c r="F1266" i="54" s="1"/>
  <c r="F479" i="54"/>
  <c r="F482" i="54" s="1"/>
  <c r="BK482" i="54" s="1"/>
  <c r="F409" i="54"/>
  <c r="F412" i="54" s="1"/>
  <c r="BK412" i="54" s="1"/>
  <c r="AD1445" i="54"/>
  <c r="AD1448" i="54" s="1"/>
  <c r="BK1448" i="54" s="1"/>
  <c r="F1165" i="54"/>
  <c r="F1168" i="54" s="1"/>
  <c r="BK1168" i="54" s="1"/>
  <c r="F1011" i="54"/>
  <c r="F1014" i="54" s="1"/>
  <c r="F1417" i="54"/>
  <c r="F1420" i="54" s="1"/>
  <c r="BK1420" i="54" s="1"/>
  <c r="L1025" i="54"/>
  <c r="L1028" i="54" s="1"/>
  <c r="F395" i="54"/>
  <c r="F398" i="54" s="1"/>
  <c r="BK398" i="54" s="1"/>
  <c r="F367" i="54"/>
  <c r="F370" i="54" s="1"/>
  <c r="BK370" i="54" s="1"/>
  <c r="F493" i="54"/>
  <c r="F496" i="54" s="1"/>
  <c r="BK496" i="54" s="1"/>
  <c r="F1431" i="54"/>
  <c r="F1434" i="54" s="1"/>
  <c r="BK1434" i="54" s="1"/>
  <c r="F1291" i="54"/>
  <c r="F1294" i="54" s="1"/>
  <c r="BK1294" i="54" s="1"/>
  <c r="F997" i="54"/>
  <c r="F1000" i="54" s="1"/>
  <c r="BK1000" i="54" s="1"/>
  <c r="R1011" i="54"/>
  <c r="R1014" i="54" s="1"/>
  <c r="E1043" i="54"/>
  <c r="D1043" i="54"/>
  <c r="F1043" i="54"/>
  <c r="D1113" i="54"/>
  <c r="F1113" i="54"/>
  <c r="E1113" i="54"/>
  <c r="AH1449" i="54"/>
  <c r="AJ1449" i="54"/>
  <c r="AI1449" i="54"/>
  <c r="L1449" i="54"/>
  <c r="K1449" i="54"/>
  <c r="J1449" i="54"/>
  <c r="D1379" i="54"/>
  <c r="E1379" i="54"/>
  <c r="F1379" i="54"/>
  <c r="E469" i="54"/>
  <c r="D469" i="54"/>
  <c r="F469" i="54"/>
  <c r="F315" i="54"/>
  <c r="E315" i="54"/>
  <c r="D315" i="54"/>
  <c r="AH23" i="5"/>
  <c r="E1095" i="54"/>
  <c r="E1098" i="54" s="1"/>
  <c r="K1081" i="54"/>
  <c r="K1084" i="54" s="1"/>
  <c r="X1239" i="54"/>
  <c r="W1239" i="54"/>
  <c r="V1239" i="54"/>
  <c r="F1281" i="54"/>
  <c r="E1281" i="54"/>
  <c r="D1281" i="54"/>
  <c r="L1015" i="54"/>
  <c r="K1015" i="54"/>
  <c r="J1015" i="54"/>
  <c r="Q567" i="54"/>
  <c r="P567" i="54"/>
  <c r="R567" i="54"/>
  <c r="L1001" i="54"/>
  <c r="K1001" i="54"/>
  <c r="J1001" i="54"/>
  <c r="E1407" i="54"/>
  <c r="D1407" i="54"/>
  <c r="F1407" i="54"/>
  <c r="E1225" i="54"/>
  <c r="F1225" i="54"/>
  <c r="D1225" i="54"/>
  <c r="F1211" i="54"/>
  <c r="D1211" i="54"/>
  <c r="E1211" i="54"/>
  <c r="D539" i="54"/>
  <c r="E539" i="54"/>
  <c r="F539" i="54"/>
  <c r="F1449" i="54"/>
  <c r="E1449" i="54"/>
  <c r="D1449" i="54"/>
  <c r="E567" i="54"/>
  <c r="D567" i="54"/>
  <c r="F567" i="54"/>
  <c r="E1309" i="54"/>
  <c r="D1309" i="54"/>
  <c r="F1309" i="54"/>
  <c r="D1351" i="54"/>
  <c r="E1351" i="54"/>
  <c r="F1351" i="54"/>
  <c r="E1183" i="54"/>
  <c r="D1183" i="54"/>
  <c r="F1183" i="54"/>
  <c r="D553" i="54"/>
  <c r="E553" i="54"/>
  <c r="F553" i="54"/>
  <c r="F511" i="54"/>
  <c r="D511" i="54"/>
  <c r="E511" i="54"/>
  <c r="F525" i="54"/>
  <c r="D525" i="54"/>
  <c r="E525" i="54"/>
  <c r="E329" i="54"/>
  <c r="D329" i="54"/>
  <c r="F329" i="54"/>
  <c r="E1463" i="54"/>
  <c r="D1463" i="54"/>
  <c r="F1463" i="54"/>
  <c r="E581" i="54"/>
  <c r="D581" i="54"/>
  <c r="F581" i="54"/>
  <c r="R1001" i="54"/>
  <c r="Q1001" i="54"/>
  <c r="P1001" i="54"/>
  <c r="R581" i="54"/>
  <c r="Q581" i="54"/>
  <c r="P581" i="54"/>
  <c r="F1393" i="54"/>
  <c r="E1393" i="54"/>
  <c r="D1393" i="54"/>
  <c r="E1253" i="54"/>
  <c r="D1253" i="54"/>
  <c r="F1253" i="54"/>
  <c r="D1337" i="54"/>
  <c r="E1337" i="54"/>
  <c r="F1337" i="54"/>
  <c r="F1197" i="54"/>
  <c r="E1197" i="54"/>
  <c r="D1197" i="54"/>
  <c r="F693" i="54"/>
  <c r="D693" i="54"/>
  <c r="E693" i="54"/>
  <c r="E1239" i="54"/>
  <c r="F1239" i="54"/>
  <c r="D1239" i="54"/>
  <c r="X371" i="54"/>
  <c r="W371" i="54"/>
  <c r="V371" i="54"/>
  <c r="X1001" i="54"/>
  <c r="W1001" i="54"/>
  <c r="V1001" i="54"/>
  <c r="F171" i="54"/>
  <c r="F174" i="54" s="1"/>
  <c r="BK174" i="54" s="1"/>
  <c r="E31" i="54"/>
  <c r="E34" i="54" s="1"/>
  <c r="BJ34" i="54" s="1"/>
  <c r="F17" i="54"/>
  <c r="F20" i="54" s="1"/>
  <c r="BK20" i="54" s="1"/>
  <c r="F31" i="54"/>
  <c r="F34" i="54" s="1"/>
  <c r="BK34" i="54" s="1"/>
  <c r="F147" i="54"/>
  <c r="E147" i="54"/>
  <c r="D147" i="54"/>
  <c r="D203" i="54"/>
  <c r="E203" i="54"/>
  <c r="F203" i="54"/>
  <c r="D245" i="54"/>
  <c r="E245" i="54"/>
  <c r="F245" i="54"/>
  <c r="F189" i="54"/>
  <c r="E189" i="54"/>
  <c r="D189" i="54"/>
  <c r="E161" i="54"/>
  <c r="D161" i="54"/>
  <c r="F161" i="54"/>
  <c r="E133" i="54"/>
  <c r="D133" i="54"/>
  <c r="F133" i="54"/>
  <c r="F231" i="54"/>
  <c r="E231" i="54"/>
  <c r="D231" i="54"/>
  <c r="AI71" i="5"/>
  <c r="P71" i="51"/>
  <c r="BA71" i="51"/>
  <c r="W210" i="51"/>
  <c r="W214" i="51" s="1"/>
  <c r="W186" i="5"/>
  <c r="W190" i="5" s="1"/>
  <c r="AZ71" i="51"/>
  <c r="L138" i="51"/>
  <c r="L138" i="5"/>
  <c r="O28" i="4"/>
  <c r="M28" i="4"/>
  <c r="N28" i="4"/>
  <c r="L28" i="4"/>
  <c r="J28" i="4"/>
  <c r="J76" i="4"/>
  <c r="K76" i="4"/>
  <c r="J65" i="4"/>
  <c r="O65" i="4"/>
  <c r="L65" i="4"/>
  <c r="K65" i="4"/>
  <c r="M65" i="4"/>
  <c r="G20" i="4"/>
  <c r="K20" i="4" s="1"/>
  <c r="D31" i="4"/>
  <c r="E40" i="4"/>
  <c r="D60" i="4"/>
  <c r="D59" i="4"/>
  <c r="D41" i="4"/>
  <c r="E22" i="4"/>
  <c r="H124" i="33"/>
  <c r="C30" i="19"/>
  <c r="D30" i="19"/>
  <c r="G243" i="33"/>
  <c r="E1683" i="54" s="1"/>
  <c r="E1686" i="54" s="1"/>
  <c r="D305" i="32"/>
  <c r="BG1938" i="28"/>
  <c r="F236" i="32"/>
  <c r="N236" i="32" s="1"/>
  <c r="H314" i="33" s="1"/>
  <c r="AD1515" i="54" s="1"/>
  <c r="AD1518" i="54" s="1"/>
  <c r="G236" i="32"/>
  <c r="F111" i="32"/>
  <c r="J111" i="32" s="1"/>
  <c r="G111" i="32"/>
  <c r="K111" i="32" s="1"/>
  <c r="G61" i="32"/>
  <c r="K61" i="32" s="1"/>
  <c r="F61" i="32"/>
  <c r="J61" i="32" s="1"/>
  <c r="F24" i="32"/>
  <c r="J24" i="32" s="1"/>
  <c r="H430" i="33" s="1"/>
  <c r="G24" i="32"/>
  <c r="K24" i="32" s="1"/>
  <c r="F164" i="32"/>
  <c r="G164" i="32"/>
  <c r="N262" i="32"/>
  <c r="L262" i="32"/>
  <c r="N165" i="32"/>
  <c r="O165" i="32"/>
  <c r="F142" i="32"/>
  <c r="N142" i="32" s="1"/>
  <c r="G142" i="32"/>
  <c r="F240" i="32"/>
  <c r="G240" i="32"/>
  <c r="G158" i="32"/>
  <c r="F158" i="32"/>
  <c r="N158" i="32" s="1"/>
  <c r="O262" i="32"/>
  <c r="M262" i="32"/>
  <c r="G49" i="4"/>
  <c r="G76" i="4"/>
  <c r="F76" i="4"/>
  <c r="O75" i="4"/>
  <c r="M75" i="4"/>
  <c r="G66" i="4"/>
  <c r="F66" i="4"/>
  <c r="N66" i="4" s="1"/>
  <c r="D68" i="4"/>
  <c r="E18" i="4"/>
  <c r="E50" i="4"/>
  <c r="D78" i="4"/>
  <c r="E79" i="4"/>
  <c r="D51" i="4"/>
  <c r="E31" i="4"/>
  <c r="D79" i="4"/>
  <c r="F15" i="20"/>
  <c r="D21" i="4"/>
  <c r="D45" i="4"/>
  <c r="I106" i="33"/>
  <c r="J35" i="33"/>
  <c r="G161" i="32" l="1"/>
  <c r="N161" i="32" s="1"/>
  <c r="F1365" i="54"/>
  <c r="D1365" i="54"/>
  <c r="E1365" i="54"/>
  <c r="I102" i="33"/>
  <c r="F1071" i="28"/>
  <c r="G101" i="33" s="1"/>
  <c r="E1067" i="54" s="1"/>
  <c r="E1070" i="54" s="1"/>
  <c r="BJ1070" i="54" s="1"/>
  <c r="E160" i="32"/>
  <c r="F160" i="32" s="1"/>
  <c r="E1071" i="28"/>
  <c r="G89" i="32"/>
  <c r="K89" i="32" s="1"/>
  <c r="G106" i="32"/>
  <c r="K106" i="32" s="1"/>
  <c r="D1071" i="28"/>
  <c r="BB71" i="5"/>
  <c r="G67" i="4"/>
  <c r="AZ71" i="5"/>
  <c r="E159" i="32"/>
  <c r="F159" i="32" s="1"/>
  <c r="BH1056" i="28"/>
  <c r="F1057" i="28"/>
  <c r="D1057" i="28"/>
  <c r="AH71" i="51"/>
  <c r="AH143" i="5"/>
  <c r="AJ143" i="5"/>
  <c r="D38" i="4"/>
  <c r="G38" i="4" s="1"/>
  <c r="V71" i="5"/>
  <c r="W71" i="5"/>
  <c r="AI71" i="51"/>
  <c r="E1729" i="54"/>
  <c r="AU23" i="5"/>
  <c r="P71" i="5"/>
  <c r="AB71" i="5"/>
  <c r="D37" i="4"/>
  <c r="G37" i="4" s="1"/>
  <c r="D23" i="4"/>
  <c r="R71" i="5"/>
  <c r="AV23" i="5"/>
  <c r="F199" i="32"/>
  <c r="N199" i="32" s="1"/>
  <c r="H176" i="33" s="1"/>
  <c r="R1263" i="54" s="1"/>
  <c r="R1266" i="54" s="1"/>
  <c r="BK1266" i="54" s="1"/>
  <c r="E819" i="28"/>
  <c r="AD71" i="5"/>
  <c r="D39" i="4"/>
  <c r="G39" i="4" s="1"/>
  <c r="AI143" i="5"/>
  <c r="E122" i="32"/>
  <c r="G122" i="32" s="1"/>
  <c r="K122" i="32" s="1"/>
  <c r="G382" i="33" s="1"/>
  <c r="E815" i="54" s="1"/>
  <c r="E818" i="54" s="1"/>
  <c r="D819" i="28"/>
  <c r="F819" i="28"/>
  <c r="L142" i="5"/>
  <c r="K143" i="5" s="1"/>
  <c r="BH930" i="28"/>
  <c r="D1729" i="54"/>
  <c r="G31" i="32"/>
  <c r="K31" i="32" s="1"/>
  <c r="D62" i="4"/>
  <c r="F62" i="4" s="1"/>
  <c r="N62" i="4" s="1"/>
  <c r="E143" i="5"/>
  <c r="D65" i="4"/>
  <c r="F65" i="4" s="1"/>
  <c r="N65" i="4" s="1"/>
  <c r="D143" i="5"/>
  <c r="G119" i="32"/>
  <c r="K119" i="32" s="1"/>
  <c r="G214" i="32"/>
  <c r="D1323" i="54"/>
  <c r="W143" i="5"/>
  <c r="E1323" i="54"/>
  <c r="X143" i="5"/>
  <c r="D56" i="19"/>
  <c r="F1323" i="54"/>
  <c r="D343" i="54"/>
  <c r="E343" i="54"/>
  <c r="F343" i="54"/>
  <c r="E47" i="4"/>
  <c r="G47" i="4" s="1"/>
  <c r="R95" i="5"/>
  <c r="P95" i="5"/>
  <c r="AP95" i="5"/>
  <c r="AO95" i="5"/>
  <c r="E51" i="4"/>
  <c r="G51" i="4" s="1"/>
  <c r="O162" i="32"/>
  <c r="D41" i="19" s="1"/>
  <c r="Q1081" i="54"/>
  <c r="Q1084" i="54" s="1"/>
  <c r="BJ1084" i="54" s="1"/>
  <c r="D12" i="18"/>
  <c r="C12" i="18"/>
  <c r="F72" i="4"/>
  <c r="AJ47" i="5"/>
  <c r="AH47" i="5"/>
  <c r="E93" i="4"/>
  <c r="AI47" i="5"/>
  <c r="F259" i="54"/>
  <c r="E273" i="54"/>
  <c r="D931" i="28"/>
  <c r="F273" i="54"/>
  <c r="D273" i="54"/>
  <c r="F18" i="32"/>
  <c r="J18" i="32" s="1"/>
  <c r="H427" i="33" s="1"/>
  <c r="F45" i="54" s="1"/>
  <c r="F48" i="54" s="1"/>
  <c r="BK48" i="54" s="1"/>
  <c r="F135" i="32"/>
  <c r="J135" i="32" s="1"/>
  <c r="F931" i="28"/>
  <c r="BJ1714" i="54"/>
  <c r="F1715" i="54"/>
  <c r="D1715" i="54"/>
  <c r="E1715" i="54"/>
  <c r="E931" i="28"/>
  <c r="F29" i="4"/>
  <c r="J29" i="4" s="1"/>
  <c r="G29" i="4"/>
  <c r="K29" i="4" s="1"/>
  <c r="F137" i="32"/>
  <c r="J137" i="32" s="1"/>
  <c r="G137" i="32"/>
  <c r="K137" i="32" s="1"/>
  <c r="G412" i="33" s="1"/>
  <c r="E927" i="54" s="1"/>
  <c r="E930" i="54" s="1"/>
  <c r="BJ930" i="54" s="1"/>
  <c r="D259" i="54"/>
  <c r="E259" i="54"/>
  <c r="P23" i="5"/>
  <c r="D57" i="19"/>
  <c r="Q23" i="5"/>
  <c r="O163" i="32"/>
  <c r="N163" i="32"/>
  <c r="BJ1812" i="54"/>
  <c r="BJ1756" i="54"/>
  <c r="K1743" i="54"/>
  <c r="L1743" i="54"/>
  <c r="J1743" i="54"/>
  <c r="J1701" i="54"/>
  <c r="K1701" i="54"/>
  <c r="L1701" i="54"/>
  <c r="BJ1700" i="54"/>
  <c r="P1757" i="54"/>
  <c r="Q1757" i="54"/>
  <c r="R1757" i="54"/>
  <c r="W1757" i="54"/>
  <c r="V1757" i="54"/>
  <c r="X1757" i="54"/>
  <c r="Q1743" i="54"/>
  <c r="P1743" i="54"/>
  <c r="R1743" i="54"/>
  <c r="L1211" i="54"/>
  <c r="K1211" i="54"/>
  <c r="J1211" i="54"/>
  <c r="BJ1840" i="54"/>
  <c r="E1841" i="54"/>
  <c r="F1841" i="54"/>
  <c r="D1841" i="54"/>
  <c r="G77" i="4"/>
  <c r="O77" i="4" s="1"/>
  <c r="F77" i="4"/>
  <c r="L1757" i="54"/>
  <c r="K1757" i="54"/>
  <c r="J1757" i="54"/>
  <c r="G254" i="33"/>
  <c r="AC1725" i="54" s="1"/>
  <c r="AC1728" i="54" s="1"/>
  <c r="G76" i="33"/>
  <c r="D1743" i="54"/>
  <c r="BJ1742" i="54"/>
  <c r="E1743" i="54"/>
  <c r="F1743" i="54"/>
  <c r="AB1757" i="54"/>
  <c r="AC1757" i="54"/>
  <c r="AD1757" i="54"/>
  <c r="C57" i="19"/>
  <c r="L1729" i="54"/>
  <c r="K1729" i="54"/>
  <c r="J1729" i="54"/>
  <c r="AB1813" i="54"/>
  <c r="AD1813" i="54"/>
  <c r="AC1813" i="54"/>
  <c r="W1813" i="54"/>
  <c r="V1813" i="54"/>
  <c r="X1813" i="54"/>
  <c r="R1729" i="54"/>
  <c r="Q1729" i="54"/>
  <c r="P1729" i="54"/>
  <c r="F30" i="4"/>
  <c r="J30" i="4" s="1"/>
  <c r="F40" i="4"/>
  <c r="G40" i="4"/>
  <c r="BJ1098" i="54"/>
  <c r="E1533" i="28"/>
  <c r="D1533" i="28"/>
  <c r="F1533" i="28"/>
  <c r="F216" i="28"/>
  <c r="BJ1686" i="54"/>
  <c r="D1687" i="54"/>
  <c r="E1687" i="54"/>
  <c r="F1687" i="54"/>
  <c r="BK1014" i="54"/>
  <c r="AC1519" i="54"/>
  <c r="AB1519" i="54"/>
  <c r="AD1519" i="54"/>
  <c r="BK1518" i="54"/>
  <c r="E899" i="54"/>
  <c r="E902" i="54" s="1"/>
  <c r="BJ902" i="54" s="1"/>
  <c r="AP577" i="54"/>
  <c r="AP580" i="54" s="1"/>
  <c r="BK580" i="54" s="1"/>
  <c r="F1025" i="54"/>
  <c r="F1028" i="54" s="1"/>
  <c r="BK1028" i="54" s="1"/>
  <c r="Q1015" i="54"/>
  <c r="P1015" i="54"/>
  <c r="R1015" i="54"/>
  <c r="D1001" i="54"/>
  <c r="E1001" i="54"/>
  <c r="F1001" i="54"/>
  <c r="E1295" i="54"/>
  <c r="D1295" i="54"/>
  <c r="F1295" i="54"/>
  <c r="F1435" i="54"/>
  <c r="E1435" i="54"/>
  <c r="D1435" i="54"/>
  <c r="F497" i="54"/>
  <c r="E497" i="54"/>
  <c r="D497" i="54"/>
  <c r="D371" i="54"/>
  <c r="F371" i="54"/>
  <c r="E371" i="54"/>
  <c r="E399" i="54"/>
  <c r="D399" i="54"/>
  <c r="F399" i="54"/>
  <c r="L1029" i="54"/>
  <c r="K1029" i="54"/>
  <c r="J1029" i="54"/>
  <c r="D1421" i="54"/>
  <c r="E1421" i="54"/>
  <c r="F1421" i="54"/>
  <c r="E1015" i="54"/>
  <c r="D1015" i="54"/>
  <c r="F1015" i="54"/>
  <c r="D1169" i="54"/>
  <c r="E1169" i="54"/>
  <c r="F1169" i="54"/>
  <c r="AC1449" i="54"/>
  <c r="AB1449" i="54"/>
  <c r="AD1449" i="54"/>
  <c r="E413" i="54"/>
  <c r="D413" i="54"/>
  <c r="F413" i="54"/>
  <c r="D483" i="54"/>
  <c r="E483" i="54"/>
  <c r="F483" i="54"/>
  <c r="E357" i="54"/>
  <c r="D357" i="54"/>
  <c r="F357" i="54"/>
  <c r="F1267" i="54"/>
  <c r="D1267" i="54"/>
  <c r="E1267" i="54"/>
  <c r="E301" i="54"/>
  <c r="D301" i="54"/>
  <c r="F301" i="54"/>
  <c r="F385" i="54"/>
  <c r="E385" i="54"/>
  <c r="D385" i="54"/>
  <c r="L199" i="54"/>
  <c r="L202" i="54" s="1"/>
  <c r="BK202" i="54" s="1"/>
  <c r="F115" i="54"/>
  <c r="F118" i="54" s="1"/>
  <c r="BK118" i="54" s="1"/>
  <c r="F21" i="54"/>
  <c r="D21" i="54"/>
  <c r="E21" i="54"/>
  <c r="E35" i="54"/>
  <c r="D35" i="54"/>
  <c r="F35" i="54"/>
  <c r="E175" i="54"/>
  <c r="D175" i="54"/>
  <c r="F175" i="54"/>
  <c r="BG142" i="51"/>
  <c r="BG142" i="5"/>
  <c r="W191" i="5"/>
  <c r="V191" i="5"/>
  <c r="X191" i="5"/>
  <c r="E163" i="51"/>
  <c r="E166" i="51" s="1"/>
  <c r="O72" i="4"/>
  <c r="M72" i="4"/>
  <c r="O29" i="4"/>
  <c r="M29" i="4"/>
  <c r="N29" i="4"/>
  <c r="L29" i="4"/>
  <c r="J77" i="4"/>
  <c r="K77" i="4"/>
  <c r="N77" i="4"/>
  <c r="L77" i="4"/>
  <c r="J66" i="4"/>
  <c r="L66" i="4"/>
  <c r="K66" i="4"/>
  <c r="O66" i="4"/>
  <c r="M66" i="4"/>
  <c r="G31" i="4"/>
  <c r="D61" i="4"/>
  <c r="E41" i="4"/>
  <c r="F41" i="4" s="1"/>
  <c r="BK118" i="5"/>
  <c r="D52" i="4"/>
  <c r="D22" i="4"/>
  <c r="E42" i="4"/>
  <c r="D42" i="4"/>
  <c r="F59" i="4"/>
  <c r="J59" i="4" s="1"/>
  <c r="G59" i="4"/>
  <c r="K59" i="4" s="1"/>
  <c r="E60" i="4"/>
  <c r="H129" i="33"/>
  <c r="D32" i="19"/>
  <c r="C32" i="19"/>
  <c r="C44" i="19"/>
  <c r="D44" i="19"/>
  <c r="C62" i="19"/>
  <c r="H48" i="33"/>
  <c r="C16" i="19"/>
  <c r="D16" i="19"/>
  <c r="H139" i="33"/>
  <c r="C38" i="19"/>
  <c r="D38" i="19"/>
  <c r="H62" i="33"/>
  <c r="F1669" i="54" s="1"/>
  <c r="F1672" i="54" s="1"/>
  <c r="C14" i="19"/>
  <c r="D14" i="19"/>
  <c r="H135" i="33"/>
  <c r="C35" i="19"/>
  <c r="D35" i="19"/>
  <c r="H233" i="33"/>
  <c r="D54" i="19"/>
  <c r="C54" i="19"/>
  <c r="D62" i="19"/>
  <c r="G305" i="32"/>
  <c r="F305" i="32"/>
  <c r="I305" i="32" s="1"/>
  <c r="D238" i="32"/>
  <c r="E314" i="32" s="1"/>
  <c r="BG1532" i="28"/>
  <c r="O240" i="32"/>
  <c r="M240" i="32"/>
  <c r="N164" i="32"/>
  <c r="O164" i="32"/>
  <c r="C16" i="18"/>
  <c r="D16" i="18"/>
  <c r="E80" i="4"/>
  <c r="D85" i="4"/>
  <c r="F79" i="4"/>
  <c r="G79" i="4"/>
  <c r="G50" i="4"/>
  <c r="F50" i="4"/>
  <c r="O76" i="4"/>
  <c r="M76" i="4"/>
  <c r="F31" i="4"/>
  <c r="G21" i="4"/>
  <c r="K21" i="4" s="1"/>
  <c r="F21" i="4"/>
  <c r="J21" i="4" s="1"/>
  <c r="F78" i="4"/>
  <c r="G78" i="4"/>
  <c r="N76" i="4"/>
  <c r="L76" i="4"/>
  <c r="C14" i="18" s="1"/>
  <c r="E69" i="4"/>
  <c r="D69" i="4"/>
  <c r="E68" i="4"/>
  <c r="G68" i="4" s="1"/>
  <c r="C33" i="18"/>
  <c r="D33" i="18"/>
  <c r="BJ166" i="5"/>
  <c r="E32" i="4"/>
  <c r="M15" i="20"/>
  <c r="N15" i="20"/>
  <c r="D18" i="4"/>
  <c r="O161" i="32" l="1"/>
  <c r="C40" i="19" s="1"/>
  <c r="I100" i="33"/>
  <c r="J99" i="33" s="1"/>
  <c r="G160" i="32"/>
  <c r="N160" i="32" s="1"/>
  <c r="H132" i="33" s="1"/>
  <c r="H110" i="33"/>
  <c r="K109" i="33" s="1"/>
  <c r="G159" i="32"/>
  <c r="F38" i="4"/>
  <c r="F37" i="4"/>
  <c r="F122" i="32"/>
  <c r="J122" i="32" s="1"/>
  <c r="H540" i="33" s="1"/>
  <c r="F815" i="54" s="1"/>
  <c r="F818" i="54" s="1"/>
  <c r="C45" i="19"/>
  <c r="D45" i="19"/>
  <c r="L143" i="5"/>
  <c r="J143" i="5"/>
  <c r="E63" i="4"/>
  <c r="G63" i="4" s="1"/>
  <c r="G65" i="4"/>
  <c r="F39" i="4"/>
  <c r="G62" i="4"/>
  <c r="F47" i="4"/>
  <c r="F51" i="4"/>
  <c r="C41" i="19"/>
  <c r="C15" i="18"/>
  <c r="C18" i="18" s="1"/>
  <c r="M77" i="4"/>
  <c r="C31" i="18" s="1"/>
  <c r="C42" i="19"/>
  <c r="D42" i="19"/>
  <c r="H136" i="33"/>
  <c r="R1081" i="54" s="1"/>
  <c r="R1084" i="54" s="1"/>
  <c r="R1085" i="54" s="1"/>
  <c r="D36" i="19"/>
  <c r="C36" i="19"/>
  <c r="AD1729" i="54"/>
  <c r="AB1729" i="54"/>
  <c r="AC1729" i="54"/>
  <c r="BJ1728" i="54"/>
  <c r="E1641" i="54"/>
  <c r="E1644" i="54" s="1"/>
  <c r="I75" i="33"/>
  <c r="J74" i="33" s="1"/>
  <c r="K163" i="51" s="1"/>
  <c r="K166" i="51" s="1"/>
  <c r="H81" i="33"/>
  <c r="E217" i="28"/>
  <c r="F217" i="28"/>
  <c r="D217" i="28"/>
  <c r="BK1672" i="54"/>
  <c r="D1673" i="54"/>
  <c r="F1673" i="54"/>
  <c r="E1673" i="54"/>
  <c r="L1081" i="54"/>
  <c r="L1084" i="54" s="1"/>
  <c r="L1095" i="54"/>
  <c r="L1098" i="54" s="1"/>
  <c r="R1039" i="54"/>
  <c r="R1042" i="54" s="1"/>
  <c r="BK1042" i="54" s="1"/>
  <c r="X1403" i="54"/>
  <c r="X1406" i="54" s="1"/>
  <c r="BK1406" i="54" s="1"/>
  <c r="F983" i="54"/>
  <c r="F986" i="54" s="1"/>
  <c r="BK986" i="54" s="1"/>
  <c r="D1029" i="54"/>
  <c r="E1029" i="54"/>
  <c r="F1029" i="54"/>
  <c r="AO581" i="54"/>
  <c r="AN581" i="54"/>
  <c r="AP581" i="54"/>
  <c r="E903" i="54"/>
  <c r="D903" i="54"/>
  <c r="F903" i="54"/>
  <c r="D931" i="54"/>
  <c r="E931" i="54"/>
  <c r="F931" i="54"/>
  <c r="R1267" i="54"/>
  <c r="Q1267" i="54"/>
  <c r="P1267" i="54"/>
  <c r="E119" i="54"/>
  <c r="D119" i="54"/>
  <c r="F119" i="54"/>
  <c r="E49" i="54"/>
  <c r="D49" i="54"/>
  <c r="F49" i="54"/>
  <c r="L203" i="54"/>
  <c r="K203" i="54"/>
  <c r="J203" i="54"/>
  <c r="F46" i="5"/>
  <c r="D71" i="4"/>
  <c r="BH143" i="5"/>
  <c r="BG143" i="5"/>
  <c r="BF143" i="5"/>
  <c r="O30" i="4"/>
  <c r="M30" i="4"/>
  <c r="N30" i="4"/>
  <c r="L30" i="4"/>
  <c r="J31" i="4"/>
  <c r="K30" i="4"/>
  <c r="J67" i="4"/>
  <c r="O67" i="4"/>
  <c r="L67" i="4"/>
  <c r="K67" i="4"/>
  <c r="M67" i="4"/>
  <c r="N67" i="4"/>
  <c r="G41" i="4"/>
  <c r="BJ118" i="5"/>
  <c r="E61" i="4"/>
  <c r="G61" i="4" s="1"/>
  <c r="K61" i="4" s="1"/>
  <c r="F42" i="4"/>
  <c r="BJ22" i="5"/>
  <c r="E24" i="4"/>
  <c r="E23" i="4"/>
  <c r="BK22" i="5"/>
  <c r="F60" i="4"/>
  <c r="J60" i="4" s="1"/>
  <c r="G60" i="4"/>
  <c r="K60" i="4" s="1"/>
  <c r="N42" i="20"/>
  <c r="M42" i="20"/>
  <c r="G22" i="4"/>
  <c r="K22" i="4" s="1"/>
  <c r="F22" i="4"/>
  <c r="J22" i="4" s="1"/>
  <c r="C43" i="19"/>
  <c r="D43" i="19"/>
  <c r="H138" i="33"/>
  <c r="C37" i="19"/>
  <c r="D37" i="19"/>
  <c r="C12" i="19"/>
  <c r="D12" i="19"/>
  <c r="H134" i="33"/>
  <c r="C34" i="19"/>
  <c r="D34" i="19"/>
  <c r="L305" i="32"/>
  <c r="H19" i="33"/>
  <c r="F1963" i="54" s="1"/>
  <c r="F1966" i="54" s="1"/>
  <c r="E32" i="32"/>
  <c r="BH216" i="28"/>
  <c r="F238" i="32"/>
  <c r="H25" i="33" s="1"/>
  <c r="F1543" i="54" s="1"/>
  <c r="F1546" i="54" s="1"/>
  <c r="G238" i="32"/>
  <c r="D14" i="18"/>
  <c r="D15" i="18" s="1"/>
  <c r="D18" i="18" s="1"/>
  <c r="G85" i="4"/>
  <c r="F85" i="4"/>
  <c r="O78" i="4"/>
  <c r="M78" i="4"/>
  <c r="G42" i="4"/>
  <c r="F68" i="4"/>
  <c r="F18" i="4"/>
  <c r="J18" i="4" s="1"/>
  <c r="G18" i="4"/>
  <c r="K18" i="4" s="1"/>
  <c r="F69" i="4"/>
  <c r="N69" i="4" s="1"/>
  <c r="G69" i="4"/>
  <c r="O79" i="4"/>
  <c r="M79" i="4"/>
  <c r="D33" i="4"/>
  <c r="E33" i="4"/>
  <c r="D80" i="4"/>
  <c r="E70" i="4"/>
  <c r="E52" i="4"/>
  <c r="D32" i="4"/>
  <c r="E315" i="32"/>
  <c r="H314" i="32" s="1"/>
  <c r="I314" i="32" s="1"/>
  <c r="G168" i="6" l="1"/>
  <c r="E1528" i="54"/>
  <c r="E1532" i="54" s="1"/>
  <c r="BJ1532" i="54" s="1"/>
  <c r="E1514" i="28"/>
  <c r="E1518" i="28" s="1"/>
  <c r="E1519" i="28" s="1"/>
  <c r="D40" i="19"/>
  <c r="C33" i="19"/>
  <c r="D33" i="19"/>
  <c r="O160" i="32"/>
  <c r="C39" i="19" s="1"/>
  <c r="F63" i="4"/>
  <c r="D31" i="18"/>
  <c r="P1085" i="54"/>
  <c r="Q1085" i="54"/>
  <c r="H96" i="33"/>
  <c r="K95" i="33" s="1"/>
  <c r="K80" i="33"/>
  <c r="BJ1644" i="54"/>
  <c r="F1645" i="54"/>
  <c r="D1645" i="54"/>
  <c r="E1645" i="54"/>
  <c r="L167" i="51"/>
  <c r="J167" i="51"/>
  <c r="K167" i="51"/>
  <c r="BK1966" i="54"/>
  <c r="E1967" i="54"/>
  <c r="D1967" i="54"/>
  <c r="F1967" i="54"/>
  <c r="BK1546" i="54"/>
  <c r="F1547" i="54"/>
  <c r="E1547" i="54"/>
  <c r="D1547" i="54"/>
  <c r="D819" i="54"/>
  <c r="E819" i="54"/>
  <c r="F819" i="54"/>
  <c r="F1081" i="54"/>
  <c r="F1084" i="54" s="1"/>
  <c r="BK1084" i="54" s="1"/>
  <c r="F1067" i="54"/>
  <c r="F1070" i="54" s="1"/>
  <c r="BK1070" i="54" s="1"/>
  <c r="F1095" i="54"/>
  <c r="F1098" i="54" s="1"/>
  <c r="BK1098" i="54" s="1"/>
  <c r="E987" i="54"/>
  <c r="D987" i="54"/>
  <c r="F987" i="54"/>
  <c r="V1407" i="54"/>
  <c r="X1407" i="54"/>
  <c r="W1407" i="54"/>
  <c r="R1043" i="54"/>
  <c r="Q1043" i="54"/>
  <c r="P1043" i="54"/>
  <c r="J1099" i="54"/>
  <c r="L1099" i="54"/>
  <c r="K1099" i="54"/>
  <c r="L1085" i="54"/>
  <c r="K1085" i="54"/>
  <c r="J1085" i="54"/>
  <c r="E94" i="4"/>
  <c r="F71" i="4"/>
  <c r="G71" i="4"/>
  <c r="F47" i="5"/>
  <c r="E47" i="5"/>
  <c r="D47" i="5"/>
  <c r="N68" i="4"/>
  <c r="L68" i="4"/>
  <c r="O31" i="4"/>
  <c r="M31" i="4"/>
  <c r="N31" i="4"/>
  <c r="L31" i="4"/>
  <c r="K31" i="4"/>
  <c r="F61" i="4"/>
  <c r="J61" i="4" s="1"/>
  <c r="D24" i="4"/>
  <c r="G24" i="4" s="1"/>
  <c r="K24" i="4" s="1"/>
  <c r="D43" i="4"/>
  <c r="E43" i="4"/>
  <c r="F23" i="4"/>
  <c r="J23" i="4" s="1"/>
  <c r="G23" i="4"/>
  <c r="K23" i="4" s="1"/>
  <c r="N43" i="20"/>
  <c r="M43" i="20"/>
  <c r="O238" i="32"/>
  <c r="M238" i="32"/>
  <c r="L238" i="32"/>
  <c r="I238" i="32"/>
  <c r="H159" i="32"/>
  <c r="G32" i="32"/>
  <c r="K32" i="32" s="1"/>
  <c r="F32" i="32"/>
  <c r="J32" i="32" s="1"/>
  <c r="L85" i="4"/>
  <c r="I85" i="4"/>
  <c r="F33" i="4"/>
  <c r="G33" i="4"/>
  <c r="G52" i="4"/>
  <c r="F52" i="4"/>
  <c r="F80" i="4"/>
  <c r="G80" i="4"/>
  <c r="G32" i="4"/>
  <c r="F32" i="4"/>
  <c r="J32" i="4" s="1"/>
  <c r="D54" i="4"/>
  <c r="BK142" i="5"/>
  <c r="D53" i="4"/>
  <c r="BJ94" i="5"/>
  <c r="E34" i="4"/>
  <c r="BJ46" i="5"/>
  <c r="E53" i="4"/>
  <c r="E25" i="4"/>
  <c r="F1519" i="28" l="1"/>
  <c r="BG1518" i="28"/>
  <c r="D237" i="32"/>
  <c r="G237" i="32" s="1"/>
  <c r="D1519" i="28"/>
  <c r="I168" i="6"/>
  <c r="E1948" i="54"/>
  <c r="E1952" i="54" s="1"/>
  <c r="BJ1952" i="54" s="1"/>
  <c r="E1920" i="28"/>
  <c r="E1924" i="28" s="1"/>
  <c r="BG1924" i="28" s="1"/>
  <c r="BA138" i="51"/>
  <c r="BA142" i="51" s="1"/>
  <c r="BA138" i="5"/>
  <c r="BA142" i="5" s="1"/>
  <c r="D70" i="4" s="1"/>
  <c r="F70" i="4" s="1"/>
  <c r="N70" i="4" s="1"/>
  <c r="L800" i="54"/>
  <c r="L804" i="54" s="1"/>
  <c r="BK804" i="54" s="1"/>
  <c r="L800" i="28"/>
  <c r="L804" i="28" s="1"/>
  <c r="L805" i="28" s="1"/>
  <c r="D39" i="19"/>
  <c r="L1907" i="54"/>
  <c r="L1910" i="54" s="1"/>
  <c r="L187" i="51"/>
  <c r="L190" i="51" s="1"/>
  <c r="G90" i="33"/>
  <c r="F1099" i="54"/>
  <c r="D1099" i="54"/>
  <c r="E1099" i="54"/>
  <c r="D1071" i="54"/>
  <c r="E1071" i="54"/>
  <c r="F1071" i="54"/>
  <c r="F1085" i="54"/>
  <c r="E1085" i="54"/>
  <c r="D1085" i="54"/>
  <c r="L71" i="4"/>
  <c r="I71" i="4"/>
  <c r="H63" i="4"/>
  <c r="M80" i="4"/>
  <c r="O80" i="4"/>
  <c r="O32" i="4"/>
  <c r="M32" i="4"/>
  <c r="N32" i="4"/>
  <c r="L32" i="4"/>
  <c r="K33" i="4"/>
  <c r="K32" i="4"/>
  <c r="J33" i="4"/>
  <c r="F24" i="4"/>
  <c r="J24" i="4" s="1"/>
  <c r="F43" i="4"/>
  <c r="G43" i="4"/>
  <c r="G21" i="20"/>
  <c r="F21" i="20"/>
  <c r="H447" i="33"/>
  <c r="E95" i="4"/>
  <c r="H94" i="4" s="1"/>
  <c r="I94" i="4" s="1"/>
  <c r="N159" i="32"/>
  <c r="O159" i="32"/>
  <c r="L70" i="4"/>
  <c r="C32" i="18"/>
  <c r="D32" i="18"/>
  <c r="D34" i="4"/>
  <c r="G34" i="4" s="1"/>
  <c r="F25" i="4"/>
  <c r="J25" i="4" s="1"/>
  <c r="G25" i="4"/>
  <c r="K25" i="4" s="1"/>
  <c r="G53" i="4"/>
  <c r="F53" i="4"/>
  <c r="BK46" i="5"/>
  <c r="G17" i="20"/>
  <c r="F17" i="20"/>
  <c r="E54" i="4"/>
  <c r="F237" i="32" l="1"/>
  <c r="N237" i="32" s="1"/>
  <c r="H237" i="33" s="1"/>
  <c r="E1925" i="28"/>
  <c r="D304" i="32"/>
  <c r="F304" i="32" s="1"/>
  <c r="BA143" i="5"/>
  <c r="G70" i="4"/>
  <c r="J805" i="28"/>
  <c r="BJ142" i="5"/>
  <c r="D1925" i="28"/>
  <c r="E121" i="32"/>
  <c r="G121" i="32" s="1"/>
  <c r="K805" i="28"/>
  <c r="BB143" i="5"/>
  <c r="BH66" i="5"/>
  <c r="BH70" i="5" s="1"/>
  <c r="BG71" i="5" s="1"/>
  <c r="BH66" i="51"/>
  <c r="BH70" i="51" s="1"/>
  <c r="K210" i="51"/>
  <c r="K214" i="51" s="1"/>
  <c r="BJ214" i="51" s="1"/>
  <c r="K186" i="5"/>
  <c r="K190" i="5" s="1"/>
  <c r="L191" i="5" s="1"/>
  <c r="F1925" i="28"/>
  <c r="BH804" i="28"/>
  <c r="AZ143" i="5"/>
  <c r="F1892" i="54"/>
  <c r="F1896" i="54" s="1"/>
  <c r="BK1896" i="54" s="1"/>
  <c r="F1878" i="28"/>
  <c r="F1882" i="28" s="1"/>
  <c r="E1883" i="28" s="1"/>
  <c r="K1907" i="54"/>
  <c r="K1910" i="54" s="1"/>
  <c r="J89" i="33"/>
  <c r="K187" i="51" s="1"/>
  <c r="K190" i="51" s="1"/>
  <c r="F213" i="54"/>
  <c r="F216" i="54" s="1"/>
  <c r="BK216" i="54" s="1"/>
  <c r="C20" i="18"/>
  <c r="C22" i="18" s="1"/>
  <c r="D20" i="18"/>
  <c r="D22" i="18" s="1"/>
  <c r="O33" i="4"/>
  <c r="M33" i="4"/>
  <c r="N33" i="4"/>
  <c r="L33" i="4"/>
  <c r="K34" i="4"/>
  <c r="O63" i="4"/>
  <c r="BJ70" i="5"/>
  <c r="D44" i="4"/>
  <c r="C17" i="19"/>
  <c r="D17" i="19"/>
  <c r="D18" i="19"/>
  <c r="C18" i="19"/>
  <c r="N63" i="4"/>
  <c r="F34" i="4"/>
  <c r="J34" i="4" s="1"/>
  <c r="F54" i="4"/>
  <c r="G54" i="4"/>
  <c r="N308" i="32" l="1"/>
  <c r="D55" i="19"/>
  <c r="C55" i="19"/>
  <c r="G304" i="32"/>
  <c r="BH71" i="5"/>
  <c r="BK70" i="5"/>
  <c r="E295" i="32"/>
  <c r="G295" i="32" s="1"/>
  <c r="BJ190" i="5"/>
  <c r="BJ191" i="5" s="1"/>
  <c r="BF71" i="5"/>
  <c r="E44" i="4"/>
  <c r="F44" i="4" s="1"/>
  <c r="BH1882" i="28"/>
  <c r="J191" i="5"/>
  <c r="F121" i="32"/>
  <c r="J121" i="32" s="1"/>
  <c r="D1883" i="28"/>
  <c r="D83" i="4"/>
  <c r="D90" i="4" s="1"/>
  <c r="F1883" i="28"/>
  <c r="K191" i="5"/>
  <c r="BH162" i="5"/>
  <c r="BH166" i="5" s="1"/>
  <c r="BH167" i="5" s="1"/>
  <c r="BH162" i="51"/>
  <c r="BH166" i="51" s="1"/>
  <c r="F1529" i="54"/>
  <c r="F1532" i="54" s="1"/>
  <c r="F1533" i="54" s="1"/>
  <c r="G211" i="33"/>
  <c r="J191" i="51"/>
  <c r="L191" i="51"/>
  <c r="K191" i="51"/>
  <c r="L1911" i="54"/>
  <c r="K1911" i="54"/>
  <c r="J1911" i="54"/>
  <c r="K121" i="32"/>
  <c r="H13" i="33"/>
  <c r="F1949" i="54" s="1"/>
  <c r="F1952" i="54" s="1"/>
  <c r="I304" i="32"/>
  <c r="I310" i="32" s="1"/>
  <c r="L304" i="32"/>
  <c r="L308" i="32" s="1"/>
  <c r="E217" i="54"/>
  <c r="D217" i="54"/>
  <c r="F217" i="54"/>
  <c r="O34" i="4"/>
  <c r="M34" i="4"/>
  <c r="N34" i="4"/>
  <c r="L34" i="4"/>
  <c r="G20" i="20"/>
  <c r="F20" i="20"/>
  <c r="G44" i="4" l="1"/>
  <c r="F295" i="32"/>
  <c r="G83" i="4"/>
  <c r="F83" i="4"/>
  <c r="D25" i="18" s="1"/>
  <c r="D28" i="18" s="1"/>
  <c r="D37" i="18" s="1"/>
  <c r="BK166" i="5"/>
  <c r="BG167" i="5"/>
  <c r="E81" i="4"/>
  <c r="BF167" i="5"/>
  <c r="D1533" i="54"/>
  <c r="BK1532" i="54"/>
  <c r="E1533" i="54"/>
  <c r="F1953" i="54"/>
  <c r="D1953" i="54"/>
  <c r="BK1952" i="54"/>
  <c r="E1953" i="54"/>
  <c r="G378" i="33"/>
  <c r="K801" i="54" s="1"/>
  <c r="K804" i="54" s="1"/>
  <c r="G10" i="33"/>
  <c r="H295" i="32"/>
  <c r="H310" i="32" s="1"/>
  <c r="O35" i="4"/>
  <c r="M35" i="4"/>
  <c r="N35" i="4"/>
  <c r="L35" i="4"/>
  <c r="K35" i="4"/>
  <c r="J35" i="4"/>
  <c r="L83" i="4" l="1"/>
  <c r="I83" i="4"/>
  <c r="I90" i="4" s="1"/>
  <c r="F81" i="4"/>
  <c r="C25" i="18"/>
  <c r="C28" i="18" s="1"/>
  <c r="C37" i="18" s="1"/>
  <c r="C43" i="18" s="1"/>
  <c r="C48" i="18" s="1"/>
  <c r="C52" i="18" s="1"/>
  <c r="G81" i="4"/>
  <c r="H81" i="4" s="1"/>
  <c r="H90" i="4" s="1"/>
  <c r="E1893" i="54"/>
  <c r="E1896" i="54" s="1"/>
  <c r="I9" i="33"/>
  <c r="J8" i="33" s="1"/>
  <c r="BG163" i="51" s="1"/>
  <c r="BG166" i="51" s="1"/>
  <c r="BJ804" i="54"/>
  <c r="K805" i="54"/>
  <c r="L805" i="54"/>
  <c r="J805" i="54"/>
  <c r="O36" i="4"/>
  <c r="M36" i="4"/>
  <c r="N36" i="4"/>
  <c r="L36" i="4"/>
  <c r="K36" i="4"/>
  <c r="J36" i="4"/>
  <c r="F31" i="20" s="1"/>
  <c r="BJ1896" i="54" l="1"/>
  <c r="F1897" i="54"/>
  <c r="E1897" i="54"/>
  <c r="D1897" i="54"/>
  <c r="BG167" i="51"/>
  <c r="BF167" i="51"/>
  <c r="BH167" i="51"/>
  <c r="G31" i="20"/>
  <c r="O37" i="4"/>
  <c r="M37" i="4"/>
  <c r="N37" i="4"/>
  <c r="L37" i="4"/>
  <c r="K37" i="4"/>
  <c r="J37" i="4"/>
  <c r="O38" i="4" l="1"/>
  <c r="M38" i="4"/>
  <c r="N38" i="4"/>
  <c r="L38" i="4"/>
  <c r="K38" i="4"/>
  <c r="J38" i="4"/>
  <c r="I414" i="33"/>
  <c r="J413" i="33" s="1"/>
  <c r="I458" i="33"/>
  <c r="K457" i="33" s="1"/>
  <c r="E115" i="51" l="1"/>
  <c r="E118" i="51" s="1"/>
  <c r="L43" i="51"/>
  <c r="L46" i="51" s="1"/>
  <c r="AC91" i="51"/>
  <c r="AC94" i="51" s="1"/>
  <c r="O39" i="4"/>
  <c r="M39" i="4"/>
  <c r="N39" i="4"/>
  <c r="L39" i="4"/>
  <c r="K39" i="4"/>
  <c r="J39" i="4"/>
  <c r="I403" i="33"/>
  <c r="I391" i="33"/>
  <c r="I399" i="33"/>
  <c r="I388" i="33"/>
  <c r="I393" i="33"/>
  <c r="I536" i="33"/>
  <c r="K535" i="33" s="1"/>
  <c r="I376" i="33"/>
  <c r="J375" i="33" s="1"/>
  <c r="I448" i="33"/>
  <c r="I450" i="33"/>
  <c r="I463" i="33"/>
  <c r="I453" i="33"/>
  <c r="I465" i="33"/>
  <c r="I455" i="33"/>
  <c r="I467" i="33"/>
  <c r="I440" i="33"/>
  <c r="AV67" i="51" l="1"/>
  <c r="AV70" i="51" s="1"/>
  <c r="BG67" i="51"/>
  <c r="BG70" i="51" s="1"/>
  <c r="AD95" i="51"/>
  <c r="AC95" i="51"/>
  <c r="AB95" i="51"/>
  <c r="K47" i="51"/>
  <c r="J47" i="51"/>
  <c r="L47" i="51"/>
  <c r="F119" i="51"/>
  <c r="E119" i="51"/>
  <c r="D119" i="51"/>
  <c r="G34" i="20"/>
  <c r="F34" i="20"/>
  <c r="O40" i="4"/>
  <c r="M40" i="4"/>
  <c r="N40" i="4"/>
  <c r="L40" i="4"/>
  <c r="K40" i="4"/>
  <c r="J40" i="4"/>
  <c r="I501" i="33"/>
  <c r="I432" i="33"/>
  <c r="I496" i="33"/>
  <c r="I515" i="33"/>
  <c r="I436" i="33"/>
  <c r="I303" i="33"/>
  <c r="I307" i="33"/>
  <c r="I518" i="33"/>
  <c r="I506" i="33"/>
  <c r="I330" i="33"/>
  <c r="I301" i="33"/>
  <c r="I545" i="33"/>
  <c r="K544" i="33" s="1"/>
  <c r="I305" i="33"/>
  <c r="I434" i="33"/>
  <c r="I485" i="33"/>
  <c r="I533" i="33"/>
  <c r="K532" i="33" s="1"/>
  <c r="I326" i="33"/>
  <c r="I328" i="33"/>
  <c r="I324" i="33"/>
  <c r="I189" i="33"/>
  <c r="G187" i="33"/>
  <c r="J186" i="33" s="1"/>
  <c r="I200" i="33"/>
  <c r="K199" i="33" s="1"/>
  <c r="I194" i="33"/>
  <c r="I236" i="33"/>
  <c r="K235" i="33" s="1"/>
  <c r="I192" i="33"/>
  <c r="I197" i="33"/>
  <c r="I472" i="33"/>
  <c r="I477" i="33"/>
  <c r="BB139" i="51" l="1"/>
  <c r="BB142" i="51" s="1"/>
  <c r="AD139" i="51"/>
  <c r="AD142" i="51" s="1"/>
  <c r="AD67" i="51"/>
  <c r="AD70" i="51" s="1"/>
  <c r="BH71" i="51"/>
  <c r="BG71" i="51"/>
  <c r="BF71" i="51"/>
  <c r="BJ70" i="51"/>
  <c r="AT71" i="51"/>
  <c r="AV71" i="51"/>
  <c r="AU71" i="51"/>
  <c r="O41" i="4"/>
  <c r="M41" i="4"/>
  <c r="N41" i="4"/>
  <c r="L41" i="4"/>
  <c r="J41" i="4"/>
  <c r="K41" i="4"/>
  <c r="I461" i="33"/>
  <c r="K460" i="33" s="1"/>
  <c r="I239" i="33"/>
  <c r="J238" i="33" s="1"/>
  <c r="I470" i="33"/>
  <c r="K469" i="33" s="1"/>
  <c r="I488" i="33"/>
  <c r="I482" i="33"/>
  <c r="I423" i="33"/>
  <c r="I114" i="33"/>
  <c r="I247" i="33"/>
  <c r="I316" i="33"/>
  <c r="K188" i="33"/>
  <c r="I421" i="33"/>
  <c r="I318" i="33"/>
  <c r="I480" i="33"/>
  <c r="I493" i="33"/>
  <c r="I438" i="33"/>
  <c r="I249" i="33"/>
  <c r="I291" i="33"/>
  <c r="I373" i="33"/>
  <c r="J372" i="33" s="1"/>
  <c r="I267" i="33"/>
  <c r="I53" i="33"/>
  <c r="K52" i="33" s="1"/>
  <c r="I227" i="33"/>
  <c r="I169" i="33"/>
  <c r="I219" i="33"/>
  <c r="I150" i="33"/>
  <c r="I161" i="33"/>
  <c r="I119" i="33"/>
  <c r="I213" i="33"/>
  <c r="I217" i="33"/>
  <c r="I286" i="33"/>
  <c r="I244" i="33"/>
  <c r="I255" i="33"/>
  <c r="I155" i="33"/>
  <c r="I152" i="33"/>
  <c r="I215" i="33"/>
  <c r="I222" i="33"/>
  <c r="I146" i="33"/>
  <c r="I225" i="33"/>
  <c r="I141" i="33"/>
  <c r="I293" i="33"/>
  <c r="I309" i="33"/>
  <c r="I442" i="33"/>
  <c r="K420" i="33" l="1"/>
  <c r="F19" i="51" s="1"/>
  <c r="F22" i="51" s="1"/>
  <c r="K479" i="33"/>
  <c r="AP43" i="51" s="1"/>
  <c r="AP46" i="51" s="1"/>
  <c r="F163" i="51"/>
  <c r="F166" i="51" s="1"/>
  <c r="E19" i="51"/>
  <c r="E22" i="51" s="1"/>
  <c r="R139" i="51"/>
  <c r="R142" i="51" s="1"/>
  <c r="AJ43" i="51"/>
  <c r="AJ46" i="51" s="1"/>
  <c r="AD43" i="51"/>
  <c r="AD46" i="51" s="1"/>
  <c r="W163" i="51"/>
  <c r="W166" i="51" s="1"/>
  <c r="AC71" i="51"/>
  <c r="AB71" i="51"/>
  <c r="AD71" i="51"/>
  <c r="AD143" i="51"/>
  <c r="AC143" i="51"/>
  <c r="AB143" i="51"/>
  <c r="AZ143" i="51"/>
  <c r="BB143" i="51"/>
  <c r="BA143" i="51"/>
  <c r="O42" i="4"/>
  <c r="M42" i="4"/>
  <c r="N42" i="4"/>
  <c r="L42" i="4"/>
  <c r="K42" i="4"/>
  <c r="J42" i="4"/>
  <c r="K431" i="33"/>
  <c r="H274" i="33"/>
  <c r="K273" i="33" s="1"/>
  <c r="I123" i="33"/>
  <c r="I173" i="33"/>
  <c r="K140" i="33" s="1"/>
  <c r="K285" i="33"/>
  <c r="G284" i="33"/>
  <c r="J283" i="33" s="1"/>
  <c r="I411" i="33"/>
  <c r="J410" i="33" s="1"/>
  <c r="I426" i="33"/>
  <c r="K425" i="33" s="1"/>
  <c r="I429" i="33"/>
  <c r="K428" i="33" s="1"/>
  <c r="I406" i="33"/>
  <c r="I524" i="33"/>
  <c r="K484" i="33" s="1"/>
  <c r="I259" i="33"/>
  <c r="I265" i="33"/>
  <c r="I242" i="33"/>
  <c r="X67" i="51" l="1"/>
  <c r="X70" i="51" s="1"/>
  <c r="AJ19" i="51"/>
  <c r="AJ22" i="51" s="1"/>
  <c r="AO91" i="51"/>
  <c r="AO94" i="51" s="1"/>
  <c r="X139" i="51"/>
  <c r="X142" i="51" s="1"/>
  <c r="R19" i="51"/>
  <c r="R22" i="51" s="1"/>
  <c r="AV139" i="51"/>
  <c r="AV142" i="51" s="1"/>
  <c r="AV19" i="51"/>
  <c r="AV22" i="51" s="1"/>
  <c r="W167" i="51"/>
  <c r="X167" i="51"/>
  <c r="V167" i="51"/>
  <c r="AO47" i="51"/>
  <c r="AN47" i="51"/>
  <c r="AP47" i="51"/>
  <c r="AB47" i="51"/>
  <c r="AD47" i="51"/>
  <c r="AC47" i="51"/>
  <c r="AH47" i="51"/>
  <c r="AJ47" i="51"/>
  <c r="AI47" i="51"/>
  <c r="R143" i="51"/>
  <c r="P143" i="51"/>
  <c r="Q143" i="51"/>
  <c r="F23" i="51"/>
  <c r="D23" i="51"/>
  <c r="E23" i="51"/>
  <c r="BJ22" i="51"/>
  <c r="E167" i="51"/>
  <c r="D167" i="51"/>
  <c r="F167" i="51"/>
  <c r="J241" i="33"/>
  <c r="G36" i="20"/>
  <c r="F36" i="20"/>
  <c r="O43" i="4"/>
  <c r="M43" i="4"/>
  <c r="N43" i="4"/>
  <c r="L43" i="4"/>
  <c r="J43" i="4"/>
  <c r="K43" i="4"/>
  <c r="I539" i="33"/>
  <c r="K538" i="33" s="1"/>
  <c r="I61" i="33"/>
  <c r="K60" i="33" s="1"/>
  <c r="I126" i="33"/>
  <c r="K113" i="33" s="1"/>
  <c r="G112" i="33"/>
  <c r="J111" i="33" s="1"/>
  <c r="J210" i="33"/>
  <c r="I229" i="33"/>
  <c r="K212" i="33" s="1"/>
  <c r="I47" i="33"/>
  <c r="K46" i="33" s="1"/>
  <c r="F139" i="51" l="1"/>
  <c r="F142" i="51" s="1"/>
  <c r="F143" i="51" s="1"/>
  <c r="AI163" i="51"/>
  <c r="AI166" i="51" s="1"/>
  <c r="AJ139" i="51"/>
  <c r="AJ142" i="51" s="1"/>
  <c r="AD163" i="51"/>
  <c r="AD166" i="51" s="1"/>
  <c r="BK166" i="51" s="1"/>
  <c r="AV23" i="51"/>
  <c r="AU23" i="51"/>
  <c r="AT23" i="51"/>
  <c r="AU143" i="51"/>
  <c r="AT143" i="51"/>
  <c r="AV143" i="51"/>
  <c r="BK22" i="51"/>
  <c r="P23" i="51"/>
  <c r="R23" i="51"/>
  <c r="Q23" i="51"/>
  <c r="W143" i="51"/>
  <c r="V143" i="51"/>
  <c r="X143" i="51"/>
  <c r="AP95" i="51"/>
  <c r="AN95" i="51"/>
  <c r="AO95" i="51"/>
  <c r="AJ23" i="51"/>
  <c r="AI23" i="51"/>
  <c r="AH23" i="51"/>
  <c r="BK70" i="51"/>
  <c r="V71" i="51"/>
  <c r="X71" i="51"/>
  <c r="W71" i="51"/>
  <c r="F37" i="20"/>
  <c r="G37" i="20"/>
  <c r="O44" i="4"/>
  <c r="M44" i="4"/>
  <c r="N44" i="4"/>
  <c r="L44" i="4"/>
  <c r="J44" i="4"/>
  <c r="K44" i="4"/>
  <c r="I24" i="33"/>
  <c r="K23" i="33" s="1"/>
  <c r="G22" i="33"/>
  <c r="I131" i="33"/>
  <c r="I133" i="33"/>
  <c r="I18" i="33"/>
  <c r="K17" i="33" s="1"/>
  <c r="I12" i="33"/>
  <c r="K11" i="33" s="1"/>
  <c r="I137" i="33"/>
  <c r="D143" i="51" l="1"/>
  <c r="E143" i="51"/>
  <c r="L211" i="51"/>
  <c r="L214" i="51" s="1"/>
  <c r="X211" i="51"/>
  <c r="X214" i="51" s="1"/>
  <c r="BH139" i="51"/>
  <c r="BH142" i="51" s="1"/>
  <c r="AD167" i="51"/>
  <c r="AC167" i="51"/>
  <c r="AB167" i="51"/>
  <c r="AI143" i="51"/>
  <c r="AH143" i="51"/>
  <c r="AJ143" i="51"/>
  <c r="AH167" i="51"/>
  <c r="AI167" i="51"/>
  <c r="AJ167" i="51"/>
  <c r="F32" i="20"/>
  <c r="F39" i="20" s="1"/>
  <c r="G32" i="20"/>
  <c r="G39" i="20" s="1"/>
  <c r="O45" i="4"/>
  <c r="M45" i="4"/>
  <c r="N45" i="4"/>
  <c r="L45" i="4"/>
  <c r="I21" i="33"/>
  <c r="J20" i="33" s="1"/>
  <c r="G34" i="33"/>
  <c r="H51" i="33"/>
  <c r="K130" i="33"/>
  <c r="E1053" i="54" l="1"/>
  <c r="E1056" i="54" s="1"/>
  <c r="BJ1056" i="54" s="1"/>
  <c r="F1053" i="54"/>
  <c r="F1056" i="54" s="1"/>
  <c r="BK1056" i="54" s="1"/>
  <c r="BG143" i="51"/>
  <c r="BF143" i="51"/>
  <c r="BH143" i="51"/>
  <c r="X215" i="51"/>
  <c r="W215" i="51"/>
  <c r="V215" i="51"/>
  <c r="BK214" i="51"/>
  <c r="L215" i="51"/>
  <c r="K215" i="51"/>
  <c r="J215" i="51"/>
  <c r="O46" i="4"/>
  <c r="M46" i="4"/>
  <c r="N46" i="4"/>
  <c r="L46" i="4"/>
  <c r="K46" i="4"/>
  <c r="J46" i="4"/>
  <c r="G45" i="33"/>
  <c r="I50" i="33"/>
  <c r="K49" i="33" s="1"/>
  <c r="H43" i="33"/>
  <c r="I33" i="33"/>
  <c r="J32" i="33" s="1"/>
  <c r="I446" i="33"/>
  <c r="K445" i="33" s="1"/>
  <c r="E1057" i="54" l="1"/>
  <c r="F1057" i="54"/>
  <c r="D1057" i="54"/>
  <c r="K139" i="51"/>
  <c r="K142" i="51" s="1"/>
  <c r="F43" i="51"/>
  <c r="F46" i="51" s="1"/>
  <c r="L139" i="51"/>
  <c r="L142" i="51" s="1"/>
  <c r="BK142" i="51" s="1"/>
  <c r="O47" i="4"/>
  <c r="M47" i="4"/>
  <c r="N47" i="4"/>
  <c r="L47" i="4"/>
  <c r="K47" i="4"/>
  <c r="J47" i="4"/>
  <c r="K42" i="33"/>
  <c r="G88" i="33"/>
  <c r="E1907" i="54" s="1"/>
  <c r="E1910" i="54" s="1"/>
  <c r="H94" i="33"/>
  <c r="F1907" i="54" s="1"/>
  <c r="F1910" i="54" s="1"/>
  <c r="J44" i="33"/>
  <c r="E1911" i="54" l="1"/>
  <c r="F1911" i="54"/>
  <c r="D1911" i="54"/>
  <c r="BK46" i="51"/>
  <c r="F47" i="51"/>
  <c r="E47" i="51"/>
  <c r="D47" i="51"/>
  <c r="BJ142" i="51"/>
  <c r="J143" i="51"/>
  <c r="L143" i="51"/>
  <c r="K143" i="51"/>
  <c r="O48" i="4"/>
  <c r="M48" i="4"/>
  <c r="N48" i="4"/>
  <c r="L48" i="4"/>
  <c r="K48" i="4"/>
  <c r="J48" i="4"/>
  <c r="N16" i="20"/>
  <c r="M16" i="20"/>
  <c r="K93" i="33"/>
  <c r="G92" i="33"/>
  <c r="J87" i="33"/>
  <c r="H98" i="33"/>
  <c r="F187" i="51" l="1"/>
  <c r="F190" i="51" s="1"/>
  <c r="E187" i="51"/>
  <c r="E190" i="51" s="1"/>
  <c r="N17" i="20"/>
  <c r="M17" i="20"/>
  <c r="O49" i="4"/>
  <c r="M49" i="4"/>
  <c r="N49" i="4"/>
  <c r="L49" i="4"/>
  <c r="J49" i="4"/>
  <c r="K49" i="4"/>
  <c r="J91" i="33"/>
  <c r="H183" i="33"/>
  <c r="R1907" i="54" s="1"/>
  <c r="R1910" i="54" s="1"/>
  <c r="G179" i="33"/>
  <c r="Q1907" i="54" s="1"/>
  <c r="Q1910" i="54" s="1"/>
  <c r="K97" i="33"/>
  <c r="Q1911" i="54" l="1"/>
  <c r="P1911" i="54"/>
  <c r="R1911" i="54"/>
  <c r="E191" i="51"/>
  <c r="D191" i="51"/>
  <c r="F191" i="51"/>
  <c r="O50" i="4"/>
  <c r="M50" i="4"/>
  <c r="N50" i="4"/>
  <c r="L50" i="4"/>
  <c r="J50" i="4"/>
  <c r="K50" i="4"/>
  <c r="H185" i="33"/>
  <c r="J178" i="33"/>
  <c r="Q187" i="51" s="1"/>
  <c r="Q190" i="51" s="1"/>
  <c r="K182" i="33"/>
  <c r="R187" i="51" s="1"/>
  <c r="R190" i="51" s="1"/>
  <c r="G181" i="33"/>
  <c r="R191" i="51" l="1"/>
  <c r="Q191" i="51"/>
  <c r="P191" i="51"/>
  <c r="O51" i="4"/>
  <c r="M51" i="4"/>
  <c r="N51" i="4"/>
  <c r="L51" i="4"/>
  <c r="K51" i="4"/>
  <c r="J51" i="4"/>
  <c r="H207" i="33"/>
  <c r="X1907" i="54" s="1"/>
  <c r="X1910" i="54" s="1"/>
  <c r="G203" i="33"/>
  <c r="W1907" i="54" s="1"/>
  <c r="W1910" i="54" s="1"/>
  <c r="K184" i="33"/>
  <c r="J180" i="33"/>
  <c r="X1911" i="54" l="1"/>
  <c r="W1911" i="54"/>
  <c r="V1911" i="54"/>
  <c r="O52" i="4"/>
  <c r="M52" i="4"/>
  <c r="N52" i="4"/>
  <c r="L52" i="4"/>
  <c r="K52" i="4"/>
  <c r="J52" i="4"/>
  <c r="G205" i="33"/>
  <c r="K206" i="33"/>
  <c r="X187" i="51" s="1"/>
  <c r="X190" i="51" s="1"/>
  <c r="J202" i="33"/>
  <c r="W187" i="51" s="1"/>
  <c r="W190" i="51" s="1"/>
  <c r="H209" i="33"/>
  <c r="W191" i="51" l="1"/>
  <c r="V191" i="51"/>
  <c r="X191" i="51"/>
  <c r="O53" i="4"/>
  <c r="M53" i="4"/>
  <c r="N53" i="4"/>
  <c r="L53" i="4"/>
  <c r="K53" i="4"/>
  <c r="J53" i="4"/>
  <c r="H280" i="33"/>
  <c r="AD1907" i="54" s="1"/>
  <c r="AD1910" i="54" s="1"/>
  <c r="G276" i="33"/>
  <c r="AC1907" i="54" s="1"/>
  <c r="AC1910" i="54" s="1"/>
  <c r="K208" i="33"/>
  <c r="J204" i="33"/>
  <c r="AC1911" i="54" l="1"/>
  <c r="AB1911" i="54"/>
  <c r="AD1911" i="54"/>
  <c r="O54" i="4"/>
  <c r="M54" i="4"/>
  <c r="N54" i="4"/>
  <c r="L54" i="4"/>
  <c r="J54" i="4"/>
  <c r="K54" i="4"/>
  <c r="K279" i="33"/>
  <c r="AD187" i="51" s="1"/>
  <c r="AD190" i="51" s="1"/>
  <c r="G278" i="33"/>
  <c r="H282" i="33"/>
  <c r="J275" i="33"/>
  <c r="AC187" i="51" s="1"/>
  <c r="AC190" i="51" s="1"/>
  <c r="AD191" i="51" l="1"/>
  <c r="AC191" i="51"/>
  <c r="AB191" i="51"/>
  <c r="M28" i="20"/>
  <c r="M30" i="20" s="1"/>
  <c r="N28" i="20"/>
  <c r="N30" i="20" s="1"/>
  <c r="O55" i="4"/>
  <c r="M55" i="4"/>
  <c r="N55" i="4"/>
  <c r="L55" i="4"/>
  <c r="K55" i="4"/>
  <c r="J55" i="4"/>
  <c r="J277" i="33"/>
  <c r="K281" i="33"/>
  <c r="O56" i="4" l="1"/>
  <c r="M56" i="4"/>
  <c r="N56" i="4"/>
  <c r="L56" i="4"/>
  <c r="J56" i="4"/>
  <c r="K56" i="4"/>
  <c r="N39" i="20"/>
  <c r="M39" i="20"/>
  <c r="M41" i="20" l="1"/>
  <c r="N41" i="20"/>
  <c r="O57" i="4"/>
  <c r="O88" i="4" s="1"/>
  <c r="M57" i="4"/>
  <c r="M88" i="4" s="1"/>
  <c r="N57" i="4"/>
  <c r="N88" i="4" s="1"/>
  <c r="L57" i="4"/>
  <c r="L88" i="4" s="1"/>
  <c r="J57" i="4"/>
  <c r="K57" i="4"/>
  <c r="B13" i="4"/>
  <c r="O89" i="4" l="1"/>
  <c r="O90" i="4" s="1"/>
  <c r="M89" i="4"/>
  <c r="M90" i="4" s="1"/>
  <c r="M40" i="20"/>
  <c r="N40" i="20"/>
  <c r="L89" i="4"/>
  <c r="N89" i="4"/>
  <c r="L90" i="4" l="1"/>
  <c r="N90" i="4"/>
  <c r="D89" i="4"/>
  <c r="C15" i="19" l="1"/>
  <c r="C20" i="19" s="1"/>
  <c r="C24" i="19" s="1"/>
  <c r="C47" i="19" s="1"/>
  <c r="D15" i="19"/>
  <c r="D20" i="19" s="1"/>
  <c r="D24" i="19" s="1"/>
  <c r="D47" i="19" s="1"/>
  <c r="D52" i="19" l="1"/>
  <c r="D59" i="19" s="1"/>
  <c r="C52" i="19"/>
  <c r="C59" i="19" s="1"/>
  <c r="F1868" i="28"/>
  <c r="E294" i="32" s="1"/>
  <c r="E1868" i="28"/>
  <c r="D1869" i="28" l="1"/>
  <c r="BG1868" i="28"/>
  <c r="BG1939" i="28" s="1"/>
  <c r="F1869" i="28"/>
  <c r="E1869" i="28"/>
  <c r="BH1868" i="28"/>
  <c r="D294" i="32"/>
  <c r="D310" i="32" s="1"/>
  <c r="F294" i="32" l="1"/>
  <c r="G294" i="32"/>
  <c r="M294" i="32" l="1"/>
  <c r="M308" i="32" s="1"/>
  <c r="L309" i="32" s="1"/>
  <c r="O294" i="32"/>
  <c r="O308" i="32" s="1"/>
  <c r="O309" i="32" l="1"/>
  <c r="O310" i="32" s="1"/>
  <c r="N309" i="32"/>
  <c r="D61" i="19"/>
  <c r="D65" i="19" s="1"/>
  <c r="C61" i="19"/>
  <c r="C65" i="19" s="1"/>
  <c r="C71" i="19" s="1"/>
  <c r="C76" i="19" s="1"/>
  <c r="C80" i="19" s="1"/>
  <c r="G333" i="33"/>
  <c r="M309" i="32"/>
  <c r="M310" i="32" s="1"/>
  <c r="L310" i="32" l="1"/>
  <c r="N310" i="32"/>
  <c r="D309" i="32"/>
  <c r="E1879" i="54"/>
  <c r="E1882" i="54" s="1"/>
  <c r="H335" i="33"/>
  <c r="I332" i="33"/>
  <c r="J315" i="33" s="1"/>
  <c r="AU163" i="51" l="1"/>
  <c r="AU166" i="51" s="1"/>
  <c r="BJ166" i="51" s="1"/>
  <c r="K334" i="33"/>
  <c r="H341" i="33"/>
  <c r="AJ1907" i="54" s="1"/>
  <c r="AJ1910" i="54" s="1"/>
  <c r="G337" i="33"/>
  <c r="BJ1882" i="54"/>
  <c r="E1883" i="54"/>
  <c r="F1883" i="54"/>
  <c r="D1883" i="54"/>
  <c r="AU167" i="51" l="1"/>
  <c r="AT167" i="51"/>
  <c r="AV167" i="51"/>
  <c r="AI1907" i="54"/>
  <c r="AI1910" i="54" s="1"/>
  <c r="J336" i="33"/>
  <c r="H343" i="33"/>
  <c r="K340" i="33"/>
  <c r="AJ187" i="51" s="1"/>
  <c r="AJ190" i="51" s="1"/>
  <c r="G339" i="33"/>
  <c r="AI187" i="51" l="1"/>
  <c r="AI190" i="51" s="1"/>
  <c r="AJ1911" i="54"/>
  <c r="AH1911" i="54"/>
  <c r="AI1911" i="54"/>
  <c r="K342" i="33"/>
  <c r="BB1907" i="54"/>
  <c r="BB1910" i="54" s="1"/>
  <c r="H371" i="33"/>
  <c r="BG1907" i="54"/>
  <c r="BG1910" i="54" s="1"/>
  <c r="J338" i="33"/>
  <c r="AI191" i="51" l="1"/>
  <c r="AJ191" i="51"/>
  <c r="AH191" i="51"/>
  <c r="BH1907" i="54"/>
  <c r="BH1910" i="54" s="1"/>
  <c r="BF1911" i="54" s="1"/>
  <c r="K370" i="33"/>
  <c r="BB187" i="51" s="1"/>
  <c r="BB190" i="51" s="1"/>
  <c r="G364" i="33"/>
  <c r="BG1911" i="54" l="1"/>
  <c r="E969" i="54"/>
  <c r="E972" i="54" s="1"/>
  <c r="I363" i="33"/>
  <c r="J362" i="33" s="1"/>
  <c r="BH1911" i="54"/>
  <c r="D973" i="54" l="1"/>
  <c r="E973" i="54"/>
  <c r="BJ972" i="54"/>
  <c r="F973" i="54"/>
  <c r="F912" i="54"/>
  <c r="F916" i="54" s="1"/>
  <c r="BK916" i="54" s="1"/>
  <c r="F912" i="28"/>
  <c r="F916" i="28" s="1"/>
  <c r="H168" i="6" l="1"/>
  <c r="J72" i="6"/>
  <c r="BH916" i="28"/>
  <c r="BH1939" i="28" s="1"/>
  <c r="BH1941" i="28" s="1"/>
  <c r="E136" i="32"/>
  <c r="E917" i="28"/>
  <c r="F917" i="28"/>
  <c r="D917" i="28"/>
  <c r="J168" i="6" l="1"/>
  <c r="F90" i="51"/>
  <c r="F90" i="5"/>
  <c r="F94" i="5" s="1"/>
  <c r="F136" i="32"/>
  <c r="G136" i="32"/>
  <c r="E310" i="32"/>
  <c r="H169" i="6"/>
  <c r="G169" i="6"/>
  <c r="E311" i="32" l="1"/>
  <c r="D311" i="32"/>
  <c r="K136" i="32"/>
  <c r="G310" i="32"/>
  <c r="I169" i="6"/>
  <c r="J169" i="6"/>
  <c r="F310" i="32"/>
  <c r="J136" i="32"/>
  <c r="J308" i="32" s="1"/>
  <c r="E95" i="5"/>
  <c r="BK94" i="5"/>
  <c r="BK191" i="5" s="1"/>
  <c r="BK193" i="5" s="1"/>
  <c r="F95" i="5"/>
  <c r="D95" i="5"/>
  <c r="E45" i="4"/>
  <c r="E90" i="4" l="1"/>
  <c r="F45" i="4"/>
  <c r="G45" i="4"/>
  <c r="K308" i="32"/>
  <c r="G409" i="33"/>
  <c r="J309" i="32" l="1"/>
  <c r="J310" i="32" s="1"/>
  <c r="F90" i="4"/>
  <c r="J45" i="4"/>
  <c r="K309" i="32"/>
  <c r="I408" i="33"/>
  <c r="J405" i="33" s="1"/>
  <c r="Q91" i="51" s="1"/>
  <c r="Q94" i="51" s="1"/>
  <c r="E913" i="54"/>
  <c r="E916" i="54" s="1"/>
  <c r="G90" i="4"/>
  <c r="K45" i="4"/>
  <c r="E91" i="4"/>
  <c r="D91" i="4"/>
  <c r="J88" i="4" l="1"/>
  <c r="F19" i="20"/>
  <c r="F23" i="20" s="1"/>
  <c r="F50" i="20" s="1"/>
  <c r="G19" i="20"/>
  <c r="G23" i="20" s="1"/>
  <c r="G50" i="20" s="1"/>
  <c r="Q95" i="51"/>
  <c r="R95" i="51"/>
  <c r="P95" i="51"/>
  <c r="F917" i="54"/>
  <c r="BJ916" i="54"/>
  <c r="D917" i="54"/>
  <c r="E917" i="54"/>
  <c r="K88" i="4"/>
  <c r="M18" i="20"/>
  <c r="M21" i="20" s="1"/>
  <c r="K310" i="32"/>
  <c r="J89" i="4" l="1"/>
  <c r="J90" i="4" s="1"/>
  <c r="M32" i="20"/>
  <c r="K89" i="4"/>
  <c r="M45" i="20" l="1"/>
  <c r="M47" i="20" s="1"/>
  <c r="M50" i="20" s="1"/>
  <c r="D2" i="56"/>
  <c r="D3" i="56" s="1"/>
  <c r="D5" i="56" s="1"/>
  <c r="K90" i="4"/>
  <c r="D6" i="56" l="1"/>
  <c r="E98" i="4"/>
  <c r="E318" i="32"/>
  <c r="D7" i="56"/>
  <c r="E61" i="56" l="1"/>
  <c r="E60" i="56"/>
  <c r="E45" i="56"/>
  <c r="E59" i="56"/>
  <c r="E57" i="56"/>
  <c r="E63" i="56"/>
  <c r="E52" i="56"/>
  <c r="E50" i="56"/>
  <c r="E41" i="56"/>
  <c r="E44" i="56"/>
  <c r="E56" i="56"/>
  <c r="E48" i="56"/>
  <c r="E58" i="56"/>
  <c r="E39" i="56"/>
  <c r="E64" i="56" s="1"/>
  <c r="E55" i="56"/>
  <c r="E47" i="56"/>
  <c r="E42" i="56"/>
  <c r="E62" i="56"/>
  <c r="E40" i="56"/>
  <c r="E54" i="56"/>
  <c r="E46" i="56"/>
  <c r="E43" i="56"/>
  <c r="E53" i="56"/>
  <c r="E51" i="56"/>
  <c r="E49" i="56"/>
  <c r="G402" i="33"/>
  <c r="E321" i="32"/>
  <c r="E329" i="32" s="1"/>
  <c r="D40" i="18"/>
  <c r="E101" i="4"/>
  <c r="N45" i="20" s="1"/>
  <c r="N47" i="20" s="1"/>
  <c r="D68" i="19"/>
  <c r="H348" i="33"/>
  <c r="E30" i="56"/>
  <c r="E21" i="56"/>
  <c r="E24" i="56"/>
  <c r="E33" i="56"/>
  <c r="E17" i="56"/>
  <c r="E23" i="56"/>
  <c r="E13" i="56"/>
  <c r="E27" i="56"/>
  <c r="E31" i="56"/>
  <c r="E16" i="56"/>
  <c r="E15" i="56"/>
  <c r="E12" i="56"/>
  <c r="E10" i="56"/>
  <c r="E35" i="56" s="1"/>
  <c r="E34" i="56"/>
  <c r="E29" i="56"/>
  <c r="E20" i="56"/>
  <c r="E25" i="56"/>
  <c r="E22" i="56"/>
  <c r="E18" i="56"/>
  <c r="E32" i="56"/>
  <c r="E11" i="56"/>
  <c r="E28" i="56"/>
  <c r="E26" i="56"/>
  <c r="E19" i="56"/>
  <c r="E14" i="56"/>
  <c r="E109" i="4" l="1"/>
  <c r="N18" i="20"/>
  <c r="N21" i="20" s="1"/>
  <c r="N32" i="20" s="1"/>
  <c r="E327" i="32"/>
  <c r="H315" i="32"/>
  <c r="G384" i="33"/>
  <c r="H357" i="33"/>
  <c r="G419" i="33"/>
  <c r="D41" i="18"/>
  <c r="D43" i="18" s="1"/>
  <c r="D48" i="18" s="1"/>
  <c r="D52" i="18" s="1"/>
  <c r="J22" i="53" s="1"/>
  <c r="D69" i="19"/>
  <c r="D71" i="19" s="1"/>
  <c r="D76" i="19" s="1"/>
  <c r="D80" i="19" s="1"/>
  <c r="H95" i="4"/>
  <c r="E107" i="4"/>
  <c r="E885" i="54"/>
  <c r="E888" i="54" s="1"/>
  <c r="I401" i="33"/>
  <c r="J398" i="33" s="1"/>
  <c r="K91" i="51" s="1"/>
  <c r="K94" i="51" s="1"/>
  <c r="F885" i="54"/>
  <c r="F888" i="54" s="1"/>
  <c r="BK888" i="54" s="1"/>
  <c r="K346" i="33"/>
  <c r="G345" i="33"/>
  <c r="N50" i="20" l="1"/>
  <c r="H352" i="33"/>
  <c r="J344" i="33"/>
  <c r="AO1907" i="54"/>
  <c r="AO1910" i="54" s="1"/>
  <c r="F889" i="54"/>
  <c r="BJ888" i="54"/>
  <c r="E889" i="54"/>
  <c r="D889" i="54"/>
  <c r="I418" i="33"/>
  <c r="J417" i="33" s="1"/>
  <c r="AO115" i="51" s="1"/>
  <c r="AO118" i="51" s="1"/>
  <c r="E955" i="54"/>
  <c r="E958" i="54" s="1"/>
  <c r="Q815" i="54"/>
  <c r="Q818" i="54" s="1"/>
  <c r="I381" i="33"/>
  <c r="J380" i="33" s="1"/>
  <c r="E91" i="51" s="1"/>
  <c r="E94" i="51" s="1"/>
  <c r="K22" i="53"/>
  <c r="J24" i="53"/>
  <c r="K24" i="53" s="1"/>
  <c r="L91" i="51"/>
  <c r="L94" i="51" s="1"/>
  <c r="J95" i="51" s="1"/>
  <c r="G354" i="33"/>
  <c r="R815" i="54"/>
  <c r="R818" i="54" s="1"/>
  <c r="BK818" i="54" s="1"/>
  <c r="I356" i="33"/>
  <c r="K355" i="33" s="1"/>
  <c r="F91" i="51" s="1"/>
  <c r="F94" i="51" s="1"/>
  <c r="P819" i="54" l="1"/>
  <c r="BJ818" i="54"/>
  <c r="R819" i="54"/>
  <c r="Q819" i="54"/>
  <c r="BJ958" i="54"/>
  <c r="AO187" i="51"/>
  <c r="AO190" i="51" s="1"/>
  <c r="H361" i="33"/>
  <c r="J353" i="33"/>
  <c r="AU187" i="51" s="1"/>
  <c r="AU190" i="51" s="1"/>
  <c r="AU1907" i="54"/>
  <c r="AU1910" i="54" s="1"/>
  <c r="K95" i="51"/>
  <c r="E95" i="51"/>
  <c r="BJ94" i="51"/>
  <c r="D95" i="51"/>
  <c r="F95" i="51"/>
  <c r="L95" i="51"/>
  <c r="BK94" i="51"/>
  <c r="BJ118" i="51"/>
  <c r="K351" i="33"/>
  <c r="G350" i="33"/>
  <c r="AP1907" i="54"/>
  <c r="AP1910" i="54" s="1"/>
  <c r="AN1911" i="54" s="1"/>
  <c r="AO1911" i="54" l="1"/>
  <c r="J349" i="33"/>
  <c r="G359" i="33"/>
  <c r="K360" i="33"/>
  <c r="AV187" i="51" s="1"/>
  <c r="AV190" i="51" s="1"/>
  <c r="AT191" i="51" s="1"/>
  <c r="AV1907" i="54"/>
  <c r="AV1910" i="54" s="1"/>
  <c r="AU1911" i="54" s="1"/>
  <c r="AP1911" i="54"/>
  <c r="AP187" i="51"/>
  <c r="AP190" i="51" s="1"/>
  <c r="AO191" i="51" s="1"/>
  <c r="AP191" i="51" l="1"/>
  <c r="AU191" i="51"/>
  <c r="AV1911" i="54"/>
  <c r="BK190" i="51"/>
  <c r="J358" i="33"/>
  <c r="G366" i="33"/>
  <c r="AT1911" i="54"/>
  <c r="BK1910" i="54"/>
  <c r="AN191" i="51"/>
  <c r="G550" i="33"/>
  <c r="AV191" i="51"/>
  <c r="H369" i="33" l="1"/>
  <c r="J365" i="33"/>
  <c r="BA187" i="51" s="1"/>
  <c r="BA190" i="51" s="1"/>
  <c r="BA1907" i="54"/>
  <c r="BA1910" i="54" s="1"/>
  <c r="J550" i="33" l="1"/>
  <c r="J553" i="33" s="1"/>
  <c r="AZ191" i="51"/>
  <c r="BA191" i="51"/>
  <c r="BB191" i="51"/>
  <c r="BJ190" i="51"/>
  <c r="BJ215" i="51" s="1"/>
  <c r="F955" i="54"/>
  <c r="F958" i="54" s="1"/>
  <c r="I368" i="33"/>
  <c r="K367" i="33" s="1"/>
  <c r="H550" i="33"/>
  <c r="BB1911" i="54"/>
  <c r="AZ1911" i="54"/>
  <c r="BA1911" i="54"/>
  <c r="BJ1910" i="54"/>
  <c r="BJ1967" i="54" s="1"/>
  <c r="H551" i="33" l="1"/>
  <c r="G551" i="33"/>
  <c r="AP115" i="51"/>
  <c r="AP118" i="51" s="1"/>
  <c r="K550" i="33"/>
  <c r="BK958" i="54"/>
  <c r="BK1967" i="54" s="1"/>
  <c r="E959" i="54"/>
  <c r="F959" i="54"/>
  <c r="D959" i="54"/>
  <c r="BK118" i="51" l="1"/>
  <c r="BK215" i="51" s="1"/>
  <c r="AN119" i="51"/>
  <c r="AO119" i="51"/>
  <c r="AP119" i="51"/>
  <c r="K553" i="33"/>
  <c r="J551" i="33"/>
  <c r="K551" i="33"/>
</calcChain>
</file>

<file path=xl/sharedStrings.xml><?xml version="1.0" encoding="utf-8"?>
<sst xmlns="http://schemas.openxmlformats.org/spreadsheetml/2006/main" count="11326" uniqueCount="1620">
  <si>
    <t>(-) Cargas Diversas de Gestión</t>
  </si>
  <si>
    <t>(-) Provisiones del Ejercicio</t>
  </si>
  <si>
    <t>RESULTADO DE EXPLOTACIÓN</t>
  </si>
  <si>
    <t>(+) Ingresos Financieros</t>
  </si>
  <si>
    <t>(+) Descuentos, Rebajas y Bonificaciones Obtenidas</t>
  </si>
  <si>
    <t>(+-) Resultado de Exposición a la Inflación</t>
  </si>
  <si>
    <t>(-) Distribución Legal de la Renta</t>
  </si>
  <si>
    <t>(-) Impuesto a la Renta</t>
  </si>
  <si>
    <t>(-) Costo de Ventas</t>
  </si>
  <si>
    <t>UTILIDAD BRUTA</t>
  </si>
  <si>
    <t>(-) Gastos de Ventas</t>
  </si>
  <si>
    <t>(-) Gastos de Administración</t>
  </si>
  <si>
    <t>(-) Gastos Financieros</t>
  </si>
  <si>
    <t>PRODUCCIÓN DEL EJERCICIO</t>
  </si>
  <si>
    <t>BASE DE DATOS GENERALES</t>
  </si>
  <si>
    <t>ASIENTOS DE REVERSIÓN EXTRACONTABLES</t>
  </si>
  <si>
    <t>Producción Almacenada (Desalmacenada)</t>
  </si>
  <si>
    <t>Ventas Brutas de Mercaderías o Productos Terminados</t>
  </si>
  <si>
    <t>Ventas Netas de Mercaderías o Productos Terminados</t>
  </si>
  <si>
    <t>BASE DE DATOS DE TÍTULOS</t>
  </si>
  <si>
    <t>TÍTULOS</t>
  </si>
  <si>
    <t>REGISTRO DE COMPRAS</t>
  </si>
  <si>
    <t>REGISTRO DE VENTAS</t>
  </si>
  <si>
    <t>LIBRO CAJA</t>
  </si>
  <si>
    <t>LIBRO DIARIO</t>
  </si>
  <si>
    <t>LIBRO MAYOR</t>
  </si>
  <si>
    <t>HOJA DE TRABAJO</t>
  </si>
  <si>
    <t>KÁRDEX DE ACTIVO FIJO</t>
  </si>
  <si>
    <t>LIBRO DIARIO ASIENTOS DE CIERRE</t>
  </si>
  <si>
    <t>LIBRO MAYOR CIERRE DE LIBROS</t>
  </si>
  <si>
    <t>Seguro Complementario de Trabajo de Riesgo</t>
  </si>
  <si>
    <t>CONCEPTO</t>
  </si>
  <si>
    <t>REPRESENTANTE</t>
  </si>
  <si>
    <t>ACTIVIDAD</t>
  </si>
  <si>
    <t>DIRECCIÓN</t>
  </si>
  <si>
    <t>R.U.C.</t>
  </si>
  <si>
    <t>TELÉFONO</t>
  </si>
  <si>
    <t>AJUSTADO</t>
  </si>
  <si>
    <t>CUADRO ANÁLISIS DE LAS MERCADERÍAS</t>
  </si>
  <si>
    <t>ANÁLISIS DE MERCADERÍAS</t>
  </si>
  <si>
    <t>PRESUPUESTO DE INGRESOS, COSTOS Y GASTOS</t>
  </si>
  <si>
    <t>PRESUPUESTO DEL MOVIMIENTO DE CAJA</t>
  </si>
  <si>
    <t>Otros Ingresos de Gestión</t>
  </si>
  <si>
    <t>Cuentas por Cobrar Comerciales</t>
  </si>
  <si>
    <t>Otras Cuentas por Cobrar</t>
  </si>
  <si>
    <t>Acciones de Inversión</t>
  </si>
  <si>
    <t>Otras Cuentas por Pagar</t>
  </si>
  <si>
    <t>(-) Compra de Materias Primas</t>
  </si>
  <si>
    <t>(-) Compra de Materiales Auxiliares</t>
  </si>
  <si>
    <t>(-) Compra de Suministros</t>
  </si>
  <si>
    <t>(-) Compra de Envases</t>
  </si>
  <si>
    <t>(-) Compra de Embalajes</t>
  </si>
  <si>
    <t>(-) Variación de Materias Primas</t>
  </si>
  <si>
    <t>(-) Variación de Materiales Auxiliares</t>
  </si>
  <si>
    <t>(-) Variación de Suministros</t>
  </si>
  <si>
    <t>(-) Variación de Envases</t>
  </si>
  <si>
    <t>(-) Variación de Embalajes</t>
  </si>
  <si>
    <t>(+) Variación de Materias Primas</t>
  </si>
  <si>
    <t>(+) Variación de Materiales Auxiliares</t>
  </si>
  <si>
    <t>(+) Variación de Suministros</t>
  </si>
  <si>
    <t>(+) Variación de Envases</t>
  </si>
  <si>
    <t>(+) Variación de Embalajes</t>
  </si>
  <si>
    <t>OI101</t>
  </si>
  <si>
    <t>OI102</t>
  </si>
  <si>
    <t>OI103</t>
  </si>
  <si>
    <t>OI104</t>
  </si>
  <si>
    <t>OE101</t>
  </si>
  <si>
    <t>OE102</t>
  </si>
  <si>
    <t>OE103</t>
  </si>
  <si>
    <t>OE104</t>
  </si>
  <si>
    <t>OE105</t>
  </si>
  <si>
    <t>ESTADO DE FLUJOS DE EFECTIVO - MÉTODO DIRECTO</t>
  </si>
  <si>
    <t>Cobranza de Venta de Bienes o Servicios e Ingresos Operacionales</t>
  </si>
  <si>
    <t>Cobranza de Regalías, Honorarios, Comisiones y Otros</t>
  </si>
  <si>
    <t>Cobranza de Intereses y Dividendos Recibidos</t>
  </si>
  <si>
    <t>Otros Cobros de Efectivo relativos a la Actividad</t>
  </si>
  <si>
    <t>Pago a Proveedores de Bienes y Servicios</t>
  </si>
  <si>
    <t>Pago de Remuneraciones y Beneficios Sociales</t>
  </si>
  <si>
    <t>Pago de Tributos</t>
  </si>
  <si>
    <t>Pago de Intereses y Rendimientos</t>
  </si>
  <si>
    <t>Otros Pagos de Efectivo relativos a la Actividad</t>
  </si>
  <si>
    <t>Cobranza de Venta de Valores e Inversiones Permanentes</t>
  </si>
  <si>
    <t>Cobranza de Venta de Inmuebles, Maquinaria y Equipo</t>
  </si>
  <si>
    <t>Cobranza de Venta de Activos Intangibles</t>
  </si>
  <si>
    <t>Pagos por Compra de Valores e Inversiones Permanentes</t>
  </si>
  <si>
    <t>Pagos por Compra de Inmuebles, Maquinaria y Equipo</t>
  </si>
  <si>
    <t>Pagos por Compra de Activos Intangibles</t>
  </si>
  <si>
    <t>Cobranza de Emisión de Acciones o Nuevos Aportes</t>
  </si>
  <si>
    <t>Pago de Dividendos y Otras Distribuciones</t>
  </si>
  <si>
    <t>II101</t>
  </si>
  <si>
    <t>II102</t>
  </si>
  <si>
    <t>II103</t>
  </si>
  <si>
    <t>II104</t>
  </si>
  <si>
    <t>IE101</t>
  </si>
  <si>
    <t>IE102</t>
  </si>
  <si>
    <t>IE103</t>
  </si>
  <si>
    <t>IE104</t>
  </si>
  <si>
    <t>FI101</t>
  </si>
  <si>
    <t>FI102</t>
  </si>
  <si>
    <t>FI103</t>
  </si>
  <si>
    <t>FE101</t>
  </si>
  <si>
    <t>FE102</t>
  </si>
  <si>
    <t>FE103</t>
  </si>
  <si>
    <t>BASE DE DATOS DEL ESTADO DE FLUJOS DE EFECTIVO</t>
  </si>
  <si>
    <t>Saldo Inicial</t>
  </si>
  <si>
    <t>NOMBRE O
RAZÓN SOCIAL</t>
  </si>
  <si>
    <t>OTROS (ESPECIFICAR)</t>
  </si>
  <si>
    <t>DESTRUCCIÓN</t>
  </si>
  <si>
    <t>DESMEDROS</t>
  </si>
  <si>
    <t>MERMAS</t>
  </si>
  <si>
    <t>RETIRO</t>
  </si>
  <si>
    <t>TRANSFERENCIA ENTRE ALMACENES</t>
  </si>
  <si>
    <t>SALIDA A PRODUCCIÓN</t>
  </si>
  <si>
    <t>DONACIÓN</t>
  </si>
  <si>
    <t>PREMIO</t>
  </si>
  <si>
    <t>PROMOCIÓN</t>
  </si>
  <si>
    <t>DEVOLUCIÓN ENTREGADA</t>
  </si>
  <si>
    <t>DEVOLUCIÓN RECIBIDA</t>
  </si>
  <si>
    <t>CONSIGNACIÓN ENTREGADA</t>
  </si>
  <si>
    <t>CONSIGNACIÓN RECIBIDA</t>
  </si>
  <si>
    <t xml:space="preserve">                      DESCRIPCIÓN</t>
  </si>
  <si>
    <t xml:space="preserve">    N°</t>
  </si>
  <si>
    <t>TABLA 12: TIPO DE OPERACIÓN</t>
  </si>
  <si>
    <t>DEPENDENCIA POSTAL DE SALAVERRY</t>
  </si>
  <si>
    <t>CETICOS TACNA</t>
  </si>
  <si>
    <t>AEROPUERTO TACNA</t>
  </si>
  <si>
    <t>TERMINAL TERRESTRE TACNA</t>
  </si>
  <si>
    <t>COMPLEJO FRONTERIZO STA ROSA TACNA</t>
  </si>
  <si>
    <t>DEPENDENCIA POSTAL AREQUIPA</t>
  </si>
  <si>
    <t>DEPENDENCIA POSTAL TACNA</t>
  </si>
  <si>
    <t>DEPENDENCIA FERROVIARIA TACNA</t>
  </si>
  <si>
    <t>LA TINA</t>
  </si>
  <si>
    <t>PUERTO MALDONADO</t>
  </si>
  <si>
    <t>TARAPOTO</t>
  </si>
  <si>
    <t>DESAGUADERO</t>
  </si>
  <si>
    <t>POSTAL DE LIMA</t>
  </si>
  <si>
    <t>AÉREA DEL CALLAO</t>
  </si>
  <si>
    <t>IQUITOS</t>
  </si>
  <si>
    <t>PUCALLPA</t>
  </si>
  <si>
    <t>CUZCO</t>
  </si>
  <si>
    <t>PUNO</t>
  </si>
  <si>
    <t>TACNA</t>
  </si>
  <si>
    <t>ILO</t>
  </si>
  <si>
    <t>AREQUIPA</t>
  </si>
  <si>
    <t>MOLLENDO MATARANI</t>
  </si>
  <si>
    <t>PISCO</t>
  </si>
  <si>
    <t>MARÍTIMA DEL CALLAO</t>
  </si>
  <si>
    <t>CHIMBOTE</t>
  </si>
  <si>
    <t>SALAVERRY</t>
  </si>
  <si>
    <t>CHICLAYO</t>
  </si>
  <si>
    <t>PAITA</t>
  </si>
  <si>
    <t>TALARA</t>
  </si>
  <si>
    <t>TUMBES</t>
  </si>
  <si>
    <t>TABLA 11: CÓDIGO DE LA ADUANA</t>
  </si>
  <si>
    <t>Otros - Consolidado de Boletas de Venta</t>
  </si>
  <si>
    <t>Nota de Débito - No Domiciliado</t>
  </si>
  <si>
    <t>Nota de Crédito - No Domiciliado</t>
  </si>
  <si>
    <t xml:space="preserve">Exceso de crédito fiscal por retiro de bienes                           </t>
  </si>
  <si>
    <t xml:space="preserve">Comprobante de No Domiciliado                                                 </t>
  </si>
  <si>
    <t>Nota de Débito Especial</t>
  </si>
  <si>
    <t>Nota de Crédito Especial</t>
  </si>
  <si>
    <t xml:space="preserve">Liquidación de Cobranza                                                     </t>
  </si>
  <si>
    <t xml:space="preserve">Declaración de Mensajería o Courier                                         </t>
  </si>
  <si>
    <t xml:space="preserve">Despacho Simplificado - Importación Simplificada                        </t>
  </si>
  <si>
    <t xml:space="preserve">Declaración Única de Aduanas - Importación definitiva                 </t>
  </si>
  <si>
    <t>Documentos que emitan los concesionarios del servicio de revisiones técnicas vehiculares, por la prestación de dicho servicio</t>
  </si>
  <si>
    <t>Recibo de Distribución de Gas Natural</t>
  </si>
  <si>
    <t>Documento del Partícipe</t>
  </si>
  <si>
    <t>Documento del Operador</t>
  </si>
  <si>
    <t>Documentos emitidos por las empresas recaudadoras de la denominada Garantía de Red Principal a la que hace referencia el numeral 7.6 del artículo 7° de la Ley N° 27133 – Ley de Promoción del Desarrollo de la Industria del Gas Natural</t>
  </si>
  <si>
    <t>Guía de Remisión - Transportista</t>
  </si>
  <si>
    <t>Documentos emitidos por las empresas que desempeñan el rol adquirente en los sistemas de pago mediante tarjetas de crédito y débito</t>
  </si>
  <si>
    <t>Documentos emitidos por la COFOPRI en calidad de oferta de venta de terrenos, los correspondientes a las subastas públicas y a la retribución de los servicios que presta</t>
  </si>
  <si>
    <t>Tarifa Unificada de Uso de Aeropuerto</t>
  </si>
  <si>
    <t>Recibo por el Pago de la Tarifa por Uso de Agua Superficial con fines agrarios y por el pago de la Cuota para la ejecución de una determinada obra o actividad acordada por la Asamblea General de la Comisión de Regantes o Resolución expedida por el Jefe de la Unidad de Aguas y de Riego (Decreto Supremo N° 003-90-AG, Arts. 28 y 48)</t>
  </si>
  <si>
    <t>Documento de Atribución (Ley del Impuesto General a las Ventas e Impuesto Selectivo al Consumo, Art. 19º, último párrafo, R.S. N° 022-98-SUNAT).</t>
  </si>
  <si>
    <t>Certificado de pago de regalías emitidas por PERUPETRO S.A</t>
  </si>
  <si>
    <t>Pólizas de Adjudicación emitidas con ocasión del remate o adjudicación de bienes por venta forzada, por los martilleros o las entidades que rematen o subasten bienes por cuenta de terceros</t>
  </si>
  <si>
    <t>Comprobante por Operaciones No Habituales</t>
  </si>
  <si>
    <t>Conocimiento de embarque por el servicio de transporte de carga marítima</t>
  </si>
  <si>
    <t>Comprobante de Retención</t>
  </si>
  <si>
    <t>Boleto o entrada por atracciones y espectáculos públicos</t>
  </si>
  <si>
    <t>Documento emitido por las Administradoras Privadas de Fondo de Pensiones que se encuentran bajo la supervisión de la Superintendencia de Administradoras Privadas de Fondos de Pensiones</t>
  </si>
  <si>
    <t>Documento emitido por la Iglesia Católica por el arrendamiento de bienes inmuebles</t>
  </si>
  <si>
    <t>Boleto de viaje emitido por las empresas de transporte público interprovincial de pasajeros dentro del país</t>
  </si>
  <si>
    <t>Boleto emitido por las empresas de transporte público urbano de pasajeros</t>
  </si>
  <si>
    <t>Recibo por servicios públicos de suministro de energía eléctrica, agua, teléfono, telex y telegráficos y otros servicios complementarios que se incluyan en el recibo de servicio público</t>
  </si>
  <si>
    <t>TABLA 1: TIPO DE MEDIO DE PAGO</t>
  </si>
  <si>
    <t>Documento emitido por bancos, instituciones financieras, crediticias y de seguros que se encuentren bajo el control de la Superintendencia de Banca y Seguros</t>
  </si>
  <si>
    <t>Ticket o cinta emitido por máquina registradora</t>
  </si>
  <si>
    <t>Póliza emitida por las Bolsas de Valores, Bolsas de Productos o Agentes de Intermediación por operaciones realizadas en las Bolsas de Valores o Productos o fuera de las mismas, autorizadas por CONASEV</t>
  </si>
  <si>
    <t>Recibo por Arrendamiento</t>
  </si>
  <si>
    <t>Guía de Remisión - Remitente</t>
  </si>
  <si>
    <t>Carta de porte aéreo por el servicio de transporte de carga aérea</t>
  </si>
  <si>
    <t>Boleto de compañía de aviación comercial por el servicio de transporte aéreo de pasajeros</t>
  </si>
  <si>
    <t>Liquidación de compra</t>
  </si>
  <si>
    <t>Recibo por Honorarios</t>
  </si>
  <si>
    <t>Otros (Especificar)</t>
  </si>
  <si>
    <t>DESCRIPCIÓN</t>
  </si>
  <si>
    <t>TABLA 10: TIPO DE COMPROBANTE DE PAGO O DOCUMENTO</t>
  </si>
  <si>
    <t>LIBRO DE PLANILLAS</t>
  </si>
  <si>
    <t>LIBRO DE MATRÍCULA DE ACCIONES</t>
  </si>
  <si>
    <t>LIBRO DE ACTAS DEL DIRECTORIO</t>
  </si>
  <si>
    <t>LIBRO DE ACTAS DE LA JUNTA GENERAL DE ACCIONISTAS</t>
  </si>
  <si>
    <t>LIBRO DE ACTAS DE LA EMPRESA INDIVIDUAL DE RESPONSABILIDAD LIMITADA</t>
  </si>
  <si>
    <t>REGISTRO DE RETENCIONES ARTÍCULO 77-A DE LA LEY DEL IMPUESTO A LA RENTA</t>
  </si>
  <si>
    <t>REGISTRO(S) AUXILIAR(ES) DE ADQUISICIONES - INCISO A) PRIMER PÁRRAFO ARTÍCULO 5° RESOLUCIÓN DE SUPERINTENDENCIA N° 259-2004/SUNAT</t>
  </si>
  <si>
    <t>REGISTRO(S) AUXILIAR(ES) DE ADQUISICIONES - INCISO C) PRIMER PÁRRAFO ARTÍCULO 5° RESOLUCIÓN DE SUPERINTENDENCIA N° 258-2004/SUNAT</t>
  </si>
  <si>
    <t>REGISTRO(S) AUXILIAR(ES) DE ADQUISICIONES - INCISO A) PRIMER PÁRRAFO ARTÍCULO 5° RESOLUCIÓN DE SUPERINTENDENCIA N° 257-2004/SUNAT</t>
  </si>
  <si>
    <t>REGISTRO(S) AUXILIAR(ES) DE ADQUISICIONES - INCISO C) PRIMER PÁRRAFO ARTÍCULO 5° RESOLUCIÓN DE SUPERINTENDENCIA N° 256-2004/SUNAT</t>
  </si>
  <si>
    <t>REGISTRO(S) AUXILIAR(ES) DE ADQUISICIONES - INCISO A) PRIMER PÁRRAFO ARTÍCULO 5° RESOLUCIÓN DE SUPERINTENDENCIA N° 142-2001/SUNAT</t>
  </si>
  <si>
    <t>REGISTRO(S) AUXILIAR(ES) DE ADQUISICIONES - INCISO A) PRIMER PÁRRAFO ARTÍCULO 5° RESOLUCIÓN DE SUPERINTENDENCIA N° 021-99/SUNAT</t>
  </si>
  <si>
    <t>REGISTRO(S) AUXILIAR(ES) DE ADQUISICIONES - ARTÍCULO 8° RESOLUCIÓN DE SUPERINTENDENCIA N° 022-98/SUNAT</t>
  </si>
  <si>
    <t>REGISTRO IVAP</t>
  </si>
  <si>
    <t>REGISTRO DEL RÉGIMEN DE RETENCIONES</t>
  </si>
  <si>
    <t>REGISTRO DEL RÉGIMEN DE PERCEPCIONES</t>
  </si>
  <si>
    <t>REGISTRO DE VENTAS E INGRESOS - ARTÍCULO 23° RESOLUCIÓN DE SUPERINTENDENCIA N° 266-2004/SUNAT</t>
  </si>
  <si>
    <t>REGISTRO DE VENTAS E INGRESOS</t>
  </si>
  <si>
    <t>REGISTRO DE INVENTARIO PERMANENTE VALORIZADO</t>
  </si>
  <si>
    <t>REGISTRO DE INVENTARIO PERMANENTE EN UNIDADES FÍSICAS</t>
  </si>
  <si>
    <t>REGISTRO DE HUÉSPEDES</t>
  </si>
  <si>
    <t>REGISTRO DE COSTOS</t>
  </si>
  <si>
    <t>REGISTRO DE CONSIGNACIONES</t>
  </si>
  <si>
    <t>REGISTRO DE ACTIVOS FIJOS</t>
  </si>
  <si>
    <t>LIBRO DE RETENCIONES INCISOS E) Y F) DEL ARTICULO 34° DE LA LEY DEL IMPUESTO A LA RENTA</t>
  </si>
  <si>
    <t>LIBRO DE INVENTARIOS Y BALANCES</t>
  </si>
  <si>
    <t>LIBRO DE INGRESOS Y GASTOS</t>
  </si>
  <si>
    <t>LIBRO CAJA Y BANCOS</t>
  </si>
  <si>
    <t>TABLA 8: CÓDIGO DEL LIBRO O REGISTRO</t>
  </si>
  <si>
    <t>INTANGIBLE EN ETAPA DE DESARROLLO</t>
  </si>
  <si>
    <t>INTANGIBLE EN ETAPA DE INVESTIGACIÓN</t>
  </si>
  <si>
    <t>INTANGIBLE ADQUIRIDO</t>
  </si>
  <si>
    <t>TABLA 7: TIPO DE INTANGIBLE</t>
  </si>
  <si>
    <t>METROS</t>
  </si>
  <si>
    <t>METROS CÚBICOS</t>
  </si>
  <si>
    <t>MILLARES</t>
  </si>
  <si>
    <t>CAJAS</t>
  </si>
  <si>
    <t>LATAS</t>
  </si>
  <si>
    <t>BARRILES</t>
  </si>
  <si>
    <t>GALONES</t>
  </si>
  <si>
    <t>LITROS</t>
  </si>
  <si>
    <t>UNIDADES</t>
  </si>
  <si>
    <t>GRAMOS</t>
  </si>
  <si>
    <t>TONELADAS CORTAS</t>
  </si>
  <si>
    <t>TONELADAS MÉTRICAS</t>
  </si>
  <si>
    <t>TONELADAS LARGAS</t>
  </si>
  <si>
    <t>LIBRAS</t>
  </si>
  <si>
    <t>KILOGRAMOS</t>
  </si>
  <si>
    <t>TABLA 6: CÓDIGO DE LA UNIDAD DE MEDIDA</t>
  </si>
  <si>
    <t>SUMINISTROS DIVERSOS</t>
  </si>
  <si>
    <t>MATERIAS PRIMAS Y AUXILIARES - MATERIALES</t>
  </si>
  <si>
    <t>PRODUCTO TERMINADO</t>
  </si>
  <si>
    <t>MERCADERÍA</t>
  </si>
  <si>
    <t>TABLA 5: TIPO DE EXISTENCIA</t>
  </si>
  <si>
    <t>OTRA MONEDA (ESPECIFICAR)</t>
  </si>
  <si>
    <t>DÓLARES AMERICANOS</t>
  </si>
  <si>
    <t>NUEVOS SOLES</t>
  </si>
  <si>
    <t>TABLA 4: TIPO DE MONEDA</t>
  </si>
  <si>
    <t>OTROS</t>
  </si>
  <si>
    <t xml:space="preserve">HSBC BANK PERU S.A.      </t>
  </si>
  <si>
    <t>BNP PARIBAS</t>
  </si>
  <si>
    <t xml:space="preserve">MI BANCO                 </t>
  </si>
  <si>
    <t xml:space="preserve">DEL PAIS                 </t>
  </si>
  <si>
    <t xml:space="preserve">ORION                    </t>
  </si>
  <si>
    <t xml:space="preserve">BANK OF BOSTON           </t>
  </si>
  <si>
    <t xml:space="preserve">SERBANCO SA.             </t>
  </si>
  <si>
    <t>TOTAL</t>
  </si>
  <si>
    <t xml:space="preserve">SOLVENTA                 </t>
  </si>
  <si>
    <t>DEL TRABAJO</t>
  </si>
  <si>
    <t>DEL LIBERTADOR</t>
  </si>
  <si>
    <t xml:space="preserve">SUDAMERICANO             </t>
  </si>
  <si>
    <t xml:space="preserve">NUEVO MUNDO              </t>
  </si>
  <si>
    <t xml:space="preserve">BANEX                    </t>
  </si>
  <si>
    <t xml:space="preserve">INTERAMERICANO FINANZAS  </t>
  </si>
  <si>
    <t xml:space="preserve">DEL PROGRESO             </t>
  </si>
  <si>
    <t xml:space="preserve">FINANCIERO DEL PERU      </t>
  </si>
  <si>
    <t>BANCOSUR</t>
  </si>
  <si>
    <t xml:space="preserve">NBK BANK                 </t>
  </si>
  <si>
    <t xml:space="preserve">REPUBLICA                </t>
  </si>
  <si>
    <t xml:space="preserve">DE COMERCIO              </t>
  </si>
  <si>
    <t>SANTANDER CENTRAL HISPANO</t>
  </si>
  <si>
    <t xml:space="preserve">NACION                   </t>
  </si>
  <si>
    <t xml:space="preserve">MERCANTIL                </t>
  </si>
  <si>
    <t xml:space="preserve">DE LIMA                  </t>
  </si>
  <si>
    <t xml:space="preserve">CONTINENTAL              </t>
  </si>
  <si>
    <t>SCOTIABANK PERU</t>
  </si>
  <si>
    <t>STANDARD CHARTERED</t>
  </si>
  <si>
    <t>CITIBANK DEL PERU S.A.</t>
  </si>
  <si>
    <t xml:space="preserve">LATINO                   </t>
  </si>
  <si>
    <t xml:space="preserve">INTERNACIONAL DEL PERU   </t>
  </si>
  <si>
    <t xml:space="preserve">DE CREDITO DEL PERU      </t>
  </si>
  <si>
    <t xml:space="preserve">CENTRAL RESERVA DEL PERU </t>
  </si>
  <si>
    <t>TABLA 3: ENTIDAD FINANCIERA</t>
  </si>
  <si>
    <t>PASAPORTE</t>
  </si>
  <si>
    <t>REGISTRO ÚNICO DE CONTRIBUYENTES</t>
  </si>
  <si>
    <t>CARNET DE EXTRANJERIA</t>
  </si>
  <si>
    <t>DOCUMENTO NACIONAL DE IDENTIDAD (DNI)</t>
  </si>
  <si>
    <t>OTROS TIPOS DE DOCUMENTOS</t>
  </si>
  <si>
    <t>TABLA 2: TIPO DE DOCUMENTO DE IDENTIDAD</t>
  </si>
  <si>
    <t>OTROS MEDIOS DE PAGO (ESPECIFICAR)</t>
  </si>
  <si>
    <t>CARTA DE CRÉDITO DOCUMENTARIO  - COMERCIO EXTERIOR</t>
  </si>
  <si>
    <t>CARTA DE CRÉDITO SIMPLE  - COMERCIO EXTERIOR</t>
  </si>
  <si>
    <t>REMESA DOCUMENTARIA  - COMERCIO EXTERIOR</t>
  </si>
  <si>
    <t>REMESA SIMPLE  - COMERCIO EXTERIOR</t>
  </si>
  <si>
    <t>ORDEN DE PAGO DOCUMENTARIO  - COMERCIO EXTERIOR</t>
  </si>
  <si>
    <t>ORDEN DE PAGO SIMPLE  - COMERCIO EXTERIOR</t>
  </si>
  <si>
    <t>CHEQUES BANCARIOS  - COMERCIO EXTERIOR</t>
  </si>
  <si>
    <t>TRANSFERENCIAS - COMERCIO EXTERIOR</t>
  </si>
  <si>
    <t>LETRAS DE CAMBIO</t>
  </si>
  <si>
    <t>MEDIOS DE PAGO DE COMERCIO EXTERIOR</t>
  </si>
  <si>
    <t>EFECTIVO, EN LOS DEMÁS CASOS</t>
  </si>
  <si>
    <t>EFECTIVO, POR OPERACIONES EN LAS QUE NO EXISTE OBLIGACIÓN DE UTILIZAR MEDIOS DE PAGO</t>
  </si>
  <si>
    <t>CHEQUES CON LA CLÁUSULA DE "NO NEGOCIABLE", "INTRANSFERIBLES", "NO A LA ORDEN" U OTRA EQUIVALENTE, A QUE SE REFIERE EL INCISO F) DEL ARTICULO 5° DEL DECRETO LEGISLATIVO.</t>
  </si>
  <si>
    <t>TARJETA DE CRÉDITO</t>
  </si>
  <si>
    <t>TARJETA DE DÉBITO</t>
  </si>
  <si>
    <t>ORDEN DE PAGO</t>
  </si>
  <si>
    <t>TRANSFERENCIA DE FONDOS</t>
  </si>
  <si>
    <t>GIRO</t>
  </si>
  <si>
    <t>DEPÓSITO EN CUENTA</t>
  </si>
  <si>
    <t>LIBRO BANCOS</t>
  </si>
  <si>
    <t>Subsidios Gubernamentales</t>
  </si>
  <si>
    <t>NOMBRE DEL LIBRO :</t>
  </si>
  <si>
    <t>MES DE TRABAJO :</t>
  </si>
  <si>
    <t>AÑO DE TRABAJO :</t>
  </si>
  <si>
    <t>R.U.C. :</t>
  </si>
  <si>
    <t>RAZÓN SOCIAL :</t>
  </si>
  <si>
    <t>Valores Negociables</t>
  </si>
  <si>
    <t>Inversiones Permanentes</t>
  </si>
  <si>
    <t>(Neto de Depreciación Acumulada)</t>
  </si>
  <si>
    <t>Sobregiros y Pagarés Bancarios</t>
  </si>
  <si>
    <t>Cuentas por Pagar Comerciales</t>
  </si>
  <si>
    <t>Cuentas por Pagar a Vinculadas</t>
  </si>
  <si>
    <t>Parte Corriente de la Deuda a Largo Plazo</t>
  </si>
  <si>
    <t>Cuentas por Cobrar a Vinculadas</t>
  </si>
  <si>
    <t>Cuentas por Cobrar a Largo Plazo</t>
  </si>
  <si>
    <t>Cuentas por Cobrar a Vinculadas a Largo Plazo</t>
  </si>
  <si>
    <t>Otras Cuentas por Cobrar a Largo Plazo</t>
  </si>
  <si>
    <t>(Neto de Amortización Acumulada)</t>
  </si>
  <si>
    <t>Impuesto a la Renta y Participaciones Diferidos</t>
  </si>
  <si>
    <t>Deudas a Largo Plazo</t>
  </si>
  <si>
    <t>Ingresos Diferidos</t>
  </si>
  <si>
    <t>Total Pasivo</t>
  </si>
  <si>
    <t>Contingencias</t>
  </si>
  <si>
    <t>Interés Minoritario</t>
  </si>
  <si>
    <t>PATRIMONIO NETO</t>
  </si>
  <si>
    <t>Capital</t>
  </si>
  <si>
    <t>Excedentes de Revaluación</t>
  </si>
  <si>
    <t>Reservas Legales</t>
  </si>
  <si>
    <t>Total Patrimonio Neto</t>
  </si>
  <si>
    <t>(Expresado en Nuevos Soles)</t>
  </si>
  <si>
    <t>(+) Otros Ingresos Operacionales</t>
  </si>
  <si>
    <t>TOTAL INGRESOS BRUTOS</t>
  </si>
  <si>
    <t>Gastos Operacionales :</t>
  </si>
  <si>
    <t>UTILIDAD OPERATIVA</t>
  </si>
  <si>
    <t>Otros Ingresos (Gastos) :</t>
  </si>
  <si>
    <t>(+) Otros Ingresos</t>
  </si>
  <si>
    <t>(-) Otros Gastos</t>
  </si>
  <si>
    <t>RESULTADO ANTES DE PARTIDAS EXTRAORDINARIAS</t>
  </si>
  <si>
    <t>(-) Participaciones</t>
  </si>
  <si>
    <t>(+) Ingresos Extraordinarios</t>
  </si>
  <si>
    <t>(-) Gastos Extraordinarios</t>
  </si>
  <si>
    <t>RESULTADO ANTES DE INTERÉS MINORITARIO</t>
  </si>
  <si>
    <t>(-) Interés Minoritario</t>
  </si>
  <si>
    <t>UTILIDAD (PÉRDIDA) NETA DEL EJERCICIO</t>
  </si>
  <si>
    <t>(+-) Resultado por Exposición a la Inflación</t>
  </si>
  <si>
    <t>Existencias</t>
  </si>
  <si>
    <t>VENTA</t>
  </si>
  <si>
    <t>Otros Activos</t>
  </si>
  <si>
    <t>Activos Intangibles</t>
  </si>
  <si>
    <t>Capital Adicional</t>
  </si>
  <si>
    <t>Otras Reservas</t>
  </si>
  <si>
    <t>CÓDIGO</t>
  </si>
  <si>
    <t>DENOMINACIÓN</t>
  </si>
  <si>
    <t>MOVIMIENTOS</t>
  </si>
  <si>
    <t>BASE DE DATOS DE CAJA Y BANCOS</t>
  </si>
  <si>
    <t>Saldo Final</t>
  </si>
  <si>
    <t>Ingreso</t>
  </si>
  <si>
    <t>Egreso</t>
  </si>
  <si>
    <t>CLIENTES</t>
  </si>
  <si>
    <t>RUC</t>
  </si>
  <si>
    <t>CUENTAS CONTABLES DE VENTAS</t>
  </si>
  <si>
    <t>BASE DE DATOS DE VENTAS</t>
  </si>
  <si>
    <t>PROVEEDORES</t>
  </si>
  <si>
    <t>CUENTAS CONTABLES DE COMPRAS</t>
  </si>
  <si>
    <t>Nota de Débito</t>
  </si>
  <si>
    <t>Nota de Crédito</t>
  </si>
  <si>
    <t>Boleta de Venta</t>
  </si>
  <si>
    <t>Factura</t>
  </si>
  <si>
    <t>BASE DE DATOS DE COMPRAS</t>
  </si>
  <si>
    <t>TOTALES</t>
  </si>
  <si>
    <t>VENTAS</t>
  </si>
  <si>
    <t>COMPRAS</t>
  </si>
  <si>
    <t>MOVIMIENTO DEL NEGOCIO</t>
  </si>
  <si>
    <t>SALDO INICIAL</t>
  </si>
  <si>
    <t>HABER</t>
  </si>
  <si>
    <t>DEBE</t>
  </si>
  <si>
    <t>COSTO DE VENTAS</t>
  </si>
  <si>
    <t>CAPITAL</t>
  </si>
  <si>
    <t>ENVASES Y EMBALAJES</t>
  </si>
  <si>
    <t>ACTIVO</t>
  </si>
  <si>
    <t>GANANCIA</t>
  </si>
  <si>
    <t>PÉRDIDA</t>
  </si>
  <si>
    <t>ACREEDOR</t>
  </si>
  <si>
    <t>DEUDOR</t>
  </si>
  <si>
    <t>ELIMINACIONES</t>
  </si>
  <si>
    <t>CTA.</t>
  </si>
  <si>
    <t>COMPRA</t>
  </si>
  <si>
    <t>N°</t>
  </si>
  <si>
    <t>Ventas :</t>
  </si>
  <si>
    <t>Margen de</t>
  </si>
  <si>
    <t>Costo de Ventas :</t>
  </si>
  <si>
    <t>Utilidad :</t>
  </si>
  <si>
    <t>Coeficiente :</t>
  </si>
  <si>
    <t>Impuesto a la</t>
  </si>
  <si>
    <t xml:space="preserve"> Renta :</t>
  </si>
  <si>
    <t>Pagos a</t>
  </si>
  <si>
    <t>Cuenta :</t>
  </si>
  <si>
    <t>Pendiente</t>
  </si>
  <si>
    <t>de Pago :</t>
  </si>
  <si>
    <t>MARGEN COMERCIAL</t>
  </si>
  <si>
    <t>VALOR AGREGADO</t>
  </si>
  <si>
    <t>RESULTADO DEL EJERCICIO</t>
  </si>
  <si>
    <t>ACTIVO CORRIENTE</t>
  </si>
  <si>
    <t>PASIVO CORRIENTE</t>
  </si>
  <si>
    <t>Caja y Bancos</t>
  </si>
  <si>
    <t>Intereses por demora con las AFP's</t>
  </si>
  <si>
    <t>Gastos Pagados por Anticipados</t>
  </si>
  <si>
    <t>Total Pasivo Corriente</t>
  </si>
  <si>
    <t>PASIVO NO CORRIENTE</t>
  </si>
  <si>
    <t>Total Activo Corriente</t>
  </si>
  <si>
    <t>Total Pasivo No Corriente</t>
  </si>
  <si>
    <t>ACTIVO NO CORRIENTE</t>
  </si>
  <si>
    <t>Inmuebles, Maquinaria y Equipo</t>
  </si>
  <si>
    <t>Resultados Acumulados</t>
  </si>
  <si>
    <t>Total Activo No Corriente</t>
  </si>
  <si>
    <t>TOTAL ACTIVO</t>
  </si>
  <si>
    <t>HISTÓRICO</t>
  </si>
  <si>
    <t>(-) Devolución en Ventas</t>
  </si>
  <si>
    <t>(-) Descuentos, Rebajas y Bonificaciones Concedidos</t>
  </si>
  <si>
    <t>(-) Compra de Mercaderías</t>
  </si>
  <si>
    <t>(-) Variación de Mercaderías</t>
  </si>
  <si>
    <t>(+) Variación de Mercaderías</t>
  </si>
  <si>
    <t>(-) Servicios Prestados por Terceros</t>
  </si>
  <si>
    <t>(-) Cargas de Personal</t>
  </si>
  <si>
    <t>(-) Tributos</t>
  </si>
  <si>
    <t>EXCEDENTE (O INSUFICIENTE) BRUTO DE EXPLOTACIÓN</t>
  </si>
  <si>
    <t>AÑO DE TRABAJO</t>
  </si>
  <si>
    <t>MES DE TRABAJO</t>
  </si>
  <si>
    <t>LOS CAXAS</t>
  </si>
  <si>
    <t>Intereses por demora en el pago de tributos</t>
  </si>
  <si>
    <t>CUENTAS CONTABLES DE OBLIGACIÓN</t>
  </si>
  <si>
    <t>CUENTA CONTABLE ASOCIADA A LA OPERACIÓN</t>
  </si>
  <si>
    <t>DEBE DE LA
DIVISIONARIA</t>
  </si>
  <si>
    <t>HABER DE LA
DIVISIONARIA</t>
  </si>
  <si>
    <t>SUBTOTALES</t>
  </si>
  <si>
    <t>DEBE DE LA
CUENTA</t>
  </si>
  <si>
    <t>HABER DE LA
CUENTA</t>
  </si>
  <si>
    <t>SUBCTA.</t>
  </si>
  <si>
    <t>DIVISION.</t>
  </si>
  <si>
    <t>SUBDIVIS.</t>
  </si>
  <si>
    <t>Cobranza de recursos obtenidos por Emisión de Valores u Otras Obligaciones de Largo Plazo</t>
  </si>
  <si>
    <t>Pagos de Amortización o Cancelación de Valores u Otras Obligaciones de Largo Plazo</t>
  </si>
  <si>
    <t>(-) Compra de Respuestos</t>
  </si>
  <si>
    <t>(-) Variación de Repuestos</t>
  </si>
  <si>
    <t>(+) Variación de Repuestos</t>
  </si>
  <si>
    <t>(-) Costos Vinculados con las Compras</t>
  </si>
  <si>
    <t>FECHA DE
LA OPERACIÓN</t>
  </si>
  <si>
    <t>NÚM. CORR. LIBRO DIARIO</t>
  </si>
  <si>
    <t>GLOSA DE LA OPERACIÓN</t>
  </si>
  <si>
    <t>MOVIMIENTOS Y SALDOS</t>
  </si>
  <si>
    <t>Asientos del mes de Enero</t>
  </si>
  <si>
    <t>Totales :</t>
  </si>
  <si>
    <t>CÓDIGO :</t>
  </si>
  <si>
    <t>DENOMINACIÓN :</t>
  </si>
  <si>
    <t>Cierre del ejercicio</t>
  </si>
  <si>
    <t>CUENTAS CONTABLES</t>
  </si>
  <si>
    <t>SALDOS INICIALES Y MOVIMIENTOS</t>
  </si>
  <si>
    <t>SALDOS FINALES</t>
  </si>
  <si>
    <t>SALDOS FINALES DEL
BALANCE GENERAL</t>
  </si>
  <si>
    <t>PASIVO Y NETO
PATRIMONIAL</t>
  </si>
  <si>
    <t>SALDOS FINALES DEL ESTADO DE GANANCIAS Y PÉRDIDAS POR FUNCIÓN</t>
  </si>
  <si>
    <t>SALDOS FINALES DEL ESTADO DE GANANCIAS Y PÉRDIDAS POR NATURALEZA</t>
  </si>
  <si>
    <t>LIBRO DE INVENTARIOS Y BALANCES - «Balance de Comprobación»</t>
  </si>
  <si>
    <t>PASIVO Y PATRIMONIO NETO</t>
  </si>
  <si>
    <t>TOTAL PASIVO Y PATRIMONIO NETO</t>
  </si>
  <si>
    <t>Ventas Netas de Mercaderías o Productos Terminados (Ingresos Operacionales)</t>
  </si>
  <si>
    <t>RESULTADO ANTES DE PARTICIPACIONES, IMPUESTO A LA RENTA</t>
  </si>
  <si>
    <t>Y PARTIDAS EXTRAORDINARIAS</t>
  </si>
  <si>
    <t>Dividendos de Acciones Preferentes</t>
  </si>
  <si>
    <t>Utilidad (Pérdida) Neta atribuida a los Accionistas</t>
  </si>
  <si>
    <t>Utilidad (Pérdida) Básica por Acción Común</t>
  </si>
  <si>
    <t>Utilidad (Pérdida) Básica por Acción de Inversión</t>
  </si>
  <si>
    <t>Utilidad (Pérdida) Diluida por Acción Común</t>
  </si>
  <si>
    <t>Utilidad (Pérdida) Diluida por Acción de Inversión</t>
  </si>
  <si>
    <t>ESTADO DE CAMBIOS EN EL PATRIMONIO NETO</t>
  </si>
  <si>
    <t>CUENTAS PATRIMONIALES</t>
  </si>
  <si>
    <t>RESERVA LEGAL</t>
  </si>
  <si>
    <t>Distribuciones o Asignaciones de Utilidades efectuadas en el período</t>
  </si>
  <si>
    <t>Dividendos y Participaciones acordados durante el período</t>
  </si>
  <si>
    <t>Nuevos Aportes de Accionistas</t>
  </si>
  <si>
    <t>Movimiento de Prima en la colocación de Aportes y Donaciones</t>
  </si>
  <si>
    <t>Incrementos o Disminuciones por Fusiones o Esciciones</t>
  </si>
  <si>
    <t>Revaluación de Activos</t>
  </si>
  <si>
    <t>Capitalización de Partidas Patrimoniales</t>
  </si>
  <si>
    <t>Redención de Acciones de Inversión o Reducción de Capital</t>
  </si>
  <si>
    <t>Utilidad (Pérdida) Neta del Ejercicio</t>
  </si>
  <si>
    <t>Otros Incrementos o Disminuciones de las Partidas Patrimoniales</t>
  </si>
  <si>
    <t>CAPITAL
ADICIONAL</t>
  </si>
  <si>
    <t>ACCIONES DE
INVERSIÓN</t>
  </si>
  <si>
    <t>EXCEDENTE DE
REVALUACIÓN</t>
  </si>
  <si>
    <t>OTRAS
RESERVAS</t>
  </si>
  <si>
    <t>RESULTADOS
ACUMULADOS</t>
  </si>
  <si>
    <t>ACREEDORAS POR CONTRA</t>
  </si>
  <si>
    <t>Diversas</t>
  </si>
  <si>
    <t>OTRAS CUENTAS DE ORDEN ACREEDORAS</t>
  </si>
  <si>
    <t>Contratos de Opción</t>
  </si>
  <si>
    <t>Permutas Financieras (Swap)</t>
  </si>
  <si>
    <t>Contratos a Término (Forward)</t>
  </si>
  <si>
    <t>Contratos a Futuro</t>
  </si>
  <si>
    <t>Activos Realizables Recibidos en Consignación</t>
  </si>
  <si>
    <t>Activos Biológicos</t>
  </si>
  <si>
    <t>Intangibles</t>
  </si>
  <si>
    <t>Inversión Inmobiliaria</t>
  </si>
  <si>
    <t>Inversión Mobiliaria</t>
  </si>
  <si>
    <t>Cuentas por Cobrar</t>
  </si>
  <si>
    <t>Cartas Fianza</t>
  </si>
  <si>
    <t>Valores y Bienes Recibidos en Garantía</t>
  </si>
  <si>
    <t>Bienes Recibidos en Custodia</t>
  </si>
  <si>
    <t>Bienes Recibidos en Préstamo</t>
  </si>
  <si>
    <t>Bienes Recibidos en Préstamo y Custodia</t>
  </si>
  <si>
    <t>BIENES Y VALORES RECIBIDOS</t>
  </si>
  <si>
    <t>DEUDORAS POR CONTRA</t>
  </si>
  <si>
    <t>Suministros</t>
  </si>
  <si>
    <t>Bienes Dados de Baja</t>
  </si>
  <si>
    <t>Contratos en Trámite</t>
  </si>
  <si>
    <t>Contratos en Ejecución</t>
  </si>
  <si>
    <t>Contratos Aprobados</t>
  </si>
  <si>
    <t>OTRAS CUENTAS DE ORDEN DEUDORAS</t>
  </si>
  <si>
    <t>Activos Realizables Entregados en Consignación</t>
  </si>
  <si>
    <t>Valores y Bienes Entregados en Garantía</t>
  </si>
  <si>
    <t>Bienes en Custodia</t>
  </si>
  <si>
    <t>Bienes en Préstamo</t>
  </si>
  <si>
    <t>Bienes en Préstamo, Custodia y No Capitalizables</t>
  </si>
  <si>
    <t>BIENES Y VALORES ENTREGADOS</t>
  </si>
  <si>
    <t>Impuesto a las Transacciones Financieras</t>
  </si>
  <si>
    <t>Otras Cargas Financieras</t>
  </si>
  <si>
    <t>Gastos de Compra de Valores</t>
  </si>
  <si>
    <t>Cargas Financieras A.C.M.</t>
  </si>
  <si>
    <t>Pérdida por Diferencia de Cambio</t>
  </si>
  <si>
    <t>Descuentos Concedidos por Pronto Pago</t>
  </si>
  <si>
    <t>Intereses y Gastos de Documentos Descontados</t>
  </si>
  <si>
    <t>Intereses Relativos a Bonos Emitidos y Otras Obligaciones a Plazos</t>
  </si>
  <si>
    <t>Intereses y Gastos de Sobregiro</t>
  </si>
  <si>
    <t>Intereses y Gastos de Préstamos</t>
  </si>
  <si>
    <t>GASTOS FINANCIEROS</t>
  </si>
  <si>
    <t>Otros Gastos de Ventas</t>
  </si>
  <si>
    <t>Compensación por Tiempo de Servicios</t>
  </si>
  <si>
    <t>Cuentas de Cobranza Dudosa</t>
  </si>
  <si>
    <t>Depreciación del Activo Fijo</t>
  </si>
  <si>
    <t>Provisiones del Ejercicio</t>
  </si>
  <si>
    <t>Cotizaciones</t>
  </si>
  <si>
    <t>Gastos Notariales</t>
  </si>
  <si>
    <t>Comunicaciones</t>
  </si>
  <si>
    <t>Gastos de Representación</t>
  </si>
  <si>
    <t>Alquileres</t>
  </si>
  <si>
    <t>Cargas Diversas de Gestión</t>
  </si>
  <si>
    <t>Tributos Municipales</t>
  </si>
  <si>
    <t>Impuesto al Patrimonio Empresarial</t>
  </si>
  <si>
    <t>Impuestos</t>
  </si>
  <si>
    <t>Tributos</t>
  </si>
  <si>
    <t>Seguros</t>
  </si>
  <si>
    <t>Honorarios Profesionales</t>
  </si>
  <si>
    <t>Electricidad y Agua</t>
  </si>
  <si>
    <t>Trabajos Efectuados por Terceros</t>
  </si>
  <si>
    <t>Fletes y Gastos de Transporte</t>
  </si>
  <si>
    <t>Servicios de Terceros</t>
  </si>
  <si>
    <t>Seguro de Vida</t>
  </si>
  <si>
    <t>Seguridad y Previsión Social</t>
  </si>
  <si>
    <t>Comisiones</t>
  </si>
  <si>
    <t>Vacaciones</t>
  </si>
  <si>
    <t>Jornales</t>
  </si>
  <si>
    <t>Sueldos</t>
  </si>
  <si>
    <t>Gastos de Personal</t>
  </si>
  <si>
    <t>GASTOS DE VENTAS</t>
  </si>
  <si>
    <t>Otros Gastos Administrativos</t>
  </si>
  <si>
    <t>Depreciación de Activo Fijo</t>
  </si>
  <si>
    <t>Remuneraciones al Directorio</t>
  </si>
  <si>
    <t>GASTOS ADMINISTRATIVOS</t>
  </si>
  <si>
    <t>Costos Indirectos de Fabricación</t>
  </si>
  <si>
    <t>Materiales Directos</t>
  </si>
  <si>
    <t>Productos Terminados</t>
  </si>
  <si>
    <t>Embalajes</t>
  </si>
  <si>
    <t>Envases</t>
  </si>
  <si>
    <t>Materiales Auxiliares</t>
  </si>
  <si>
    <t>Materias Primas</t>
  </si>
  <si>
    <t>Productos en Proceso</t>
  </si>
  <si>
    <t>CENTROS DE COSTOS</t>
  </si>
  <si>
    <t>Derechos Aduaneros</t>
  </si>
  <si>
    <t>Salarios</t>
  </si>
  <si>
    <t>Gastos del Personal</t>
  </si>
  <si>
    <t>COSTOS DE PRODUCCIÓN</t>
  </si>
  <si>
    <t>COSTO POR DISTRIBUIR</t>
  </si>
  <si>
    <t>Pérdida</t>
  </si>
  <si>
    <t>Utilidad</t>
  </si>
  <si>
    <t>DETERMINACIÓN DEL RESULTADO DEL EJERCICIO</t>
  </si>
  <si>
    <t>Impuesto a la Renta - Diferido</t>
  </si>
  <si>
    <t>Impuesto a la Renta - Corriente</t>
  </si>
  <si>
    <t>IMPUESTO A LA RENTA</t>
  </si>
  <si>
    <t>Participación de los Trabajadores - Diferida</t>
  </si>
  <si>
    <t>Participación de los Trabajadores - Corriente</t>
  </si>
  <si>
    <t>PARTICIPACIONES DE LOS TRABAJADORES</t>
  </si>
  <si>
    <t>Resultado antes de Participaciones e Impuestos</t>
  </si>
  <si>
    <t>RESULTADO ANTES DE PARTICIPACIONES E IMPUESTOS</t>
  </si>
  <si>
    <t>Resultado de Explotación</t>
  </si>
  <si>
    <t>Excedente Bruto (Insuficiencia Bruta) de Explotación</t>
  </si>
  <si>
    <t>EXCEDENTE BRUTO (INSUFICIENCIA BRUTA) DE EXPLOTACIÓN</t>
  </si>
  <si>
    <t>Valor Agregado</t>
  </si>
  <si>
    <t>Producción de Activo Inmovilizado</t>
  </si>
  <si>
    <t>Producción de Servicios</t>
  </si>
  <si>
    <t>Producción de Bienes</t>
  </si>
  <si>
    <t>Margen Comercial</t>
  </si>
  <si>
    <t>Gastos Financieros Imputables a Cuentas de Existencias</t>
  </si>
  <si>
    <t>Cargas Imputables a Cuentas de Costos y Gastos</t>
  </si>
  <si>
    <t>CARGAS IMPUTABLES A CUENTAS DE COSTOS Y GASTOS</t>
  </si>
  <si>
    <t>Cargas Cubiertas por Provisiones</t>
  </si>
  <si>
    <t>CARGAS CUBIERTAS POR PROVISIONES</t>
  </si>
  <si>
    <t>Ingresos Financieros en Medición al Valor Descontado</t>
  </si>
  <si>
    <t>Otros Ingresos Financieros</t>
  </si>
  <si>
    <t>Ganancia por Medición de Activos y Pasivos al Valor Razonable</t>
  </si>
  <si>
    <t>Diferencia en Cambio</t>
  </si>
  <si>
    <t>Descuentos Obtenidos por Pronto Pago</t>
  </si>
  <si>
    <t>Dividendos</t>
  </si>
  <si>
    <t>Instrumentos Financieros Representativos de Derecho Patrimonial</t>
  </si>
  <si>
    <t>Inversiones a ser Mantenidas hasta el Vencimiento</t>
  </si>
  <si>
    <t>Préstamos Otorgados</t>
  </si>
  <si>
    <t>Depósitos en Instituciones Financieras</t>
  </si>
  <si>
    <t>Rendimientos Ganados</t>
  </si>
  <si>
    <t>Ganancia por Instrumento Financiero Derivado</t>
  </si>
  <si>
    <t>INGRESOS FINANCIEROS</t>
  </si>
  <si>
    <t>Ingresos por Participaciones en Negocios Conjuntos</t>
  </si>
  <si>
    <t>Participación en los Resultados de Subsidiarias y Asociadas bajo el Método del Valor Patrimonial</t>
  </si>
  <si>
    <t>Inversiones Inmobiliarias</t>
  </si>
  <si>
    <t>Activo Inmovilizado</t>
  </si>
  <si>
    <t>Activos No Corrientes Mantenidos para la Venta</t>
  </si>
  <si>
    <t>Mercaderías</t>
  </si>
  <si>
    <t>Activo Realizable</t>
  </si>
  <si>
    <t>GANANCIA POR MEDICIÓN DE ACTIVOS NO FINANCIEROS AL VALOR RAZONABLE</t>
  </si>
  <si>
    <t>Recuperación de Deterioro de Cuentas de Activos Inmovilizados</t>
  </si>
  <si>
    <t>Activos Adquiridos en Arrendamiento Financiero</t>
  </si>
  <si>
    <t>Enajenación de Activos Inmovilizados</t>
  </si>
  <si>
    <t>Recuperación - Desvalorización de Inversiones Inmobiliarias</t>
  </si>
  <si>
    <t>Recuperación - Desvalorización de Existencias</t>
  </si>
  <si>
    <t>Recuperación - Cuentas de Cobranza Dudosa</t>
  </si>
  <si>
    <t>Recuperación de Cuentas de Valuación</t>
  </si>
  <si>
    <t>Equipos Diversos</t>
  </si>
  <si>
    <t>Equipos de Transporte</t>
  </si>
  <si>
    <t>Maquinarias y Equipos de Explotación</t>
  </si>
  <si>
    <t>Edificaciones</t>
  </si>
  <si>
    <t>Terrenos</t>
  </si>
  <si>
    <t>Regalías</t>
  </si>
  <si>
    <t>Corretajes</t>
  </si>
  <si>
    <t>Comisiones y Corretajes</t>
  </si>
  <si>
    <t>Servicios en Beneficio del Personal</t>
  </si>
  <si>
    <t>OTROS INGRESOS DE GESTIÓN</t>
  </si>
  <si>
    <t>Descuentos, Rebajas y Bonificaciones Concedidos - Relacionadas</t>
  </si>
  <si>
    <t>Descuentos, Rebajas y Bonificaciones Concedidos - Terceros</t>
  </si>
  <si>
    <t>Descuentos, Rebajas y Bonificaciones Concedidos</t>
  </si>
  <si>
    <t>DESCUENTOS, REBAJAS Y BONIFICACIONES CONCEDIDOS</t>
  </si>
  <si>
    <t>Descuentos, Rebajas y Bonificaciones Obtenidos - Relacionadas</t>
  </si>
  <si>
    <t>Descuentos, Rebajas y Bonificaciones Obtenidos - Terceros</t>
  </si>
  <si>
    <t>Descuentos, Rebajas y Bonificaciones Obtenidos</t>
  </si>
  <si>
    <t>DESCUENTOS, REBAJAS Y BONIFICACIONES OBTENIDOS</t>
  </si>
  <si>
    <t>Activos Biológicos de Origen Vegetal</t>
  </si>
  <si>
    <t>Activos Biológicos de Origen Animal</t>
  </si>
  <si>
    <t>Costos de Financiación - Activos Biológicos en Desarrollo</t>
  </si>
  <si>
    <t>Costos de Financiación - Intangibles</t>
  </si>
  <si>
    <t>Costos de Financiación - Inmuebles, Maquinaria y Equipo</t>
  </si>
  <si>
    <t>Costos de Financiación - Inversiones Inmobiliarias - Edificaciones</t>
  </si>
  <si>
    <t>Costos de Financiación - Inversiones Inmobiliarias</t>
  </si>
  <si>
    <t>Costos de Financiación Capitalizados</t>
  </si>
  <si>
    <t>Activos Biológicos en Desarrollo de Origen Vegetal</t>
  </si>
  <si>
    <t>Activos Biológicos en Desarrollo de Origen Animal</t>
  </si>
  <si>
    <t>Fórmulas, Diseños y Prototipos</t>
  </si>
  <si>
    <t>Costos de Exploración y Desarrollo</t>
  </si>
  <si>
    <t>Programas de Computadora (Software)</t>
  </si>
  <si>
    <t>Otros Equipos</t>
  </si>
  <si>
    <t>Equipo de Seguridad</t>
  </si>
  <si>
    <t>Equipo de Comunicación</t>
  </si>
  <si>
    <t>Muebles y Enseres</t>
  </si>
  <si>
    <t>PRODUCCIÓN DE ACTIVO INMOVILIZADO</t>
  </si>
  <si>
    <t>Variación de Existencias de Servicios</t>
  </si>
  <si>
    <t>Variación de Envases y Embalajes</t>
  </si>
  <si>
    <t>Otros Productos en Proceso</t>
  </si>
  <si>
    <t>Existencias de Servicios en Proceso</t>
  </si>
  <si>
    <t>Productos Inmuebles en Proceso</t>
  </si>
  <si>
    <t>Productos Agropecuarios y Piscícolas en Proceso</t>
  </si>
  <si>
    <t>Productos Extraídos en Proceso de Transformación</t>
  </si>
  <si>
    <t>Productos en Proceso de Manufactura</t>
  </si>
  <si>
    <t>Variación de Productos en Proceso</t>
  </si>
  <si>
    <t>Desechos y Desperdicios</t>
  </si>
  <si>
    <t>Subproductos</t>
  </si>
  <si>
    <t>Variación de Subproductos, Desechos y Desperdicios</t>
  </si>
  <si>
    <t>Existencias de Servicios Terminados</t>
  </si>
  <si>
    <t>Productos Inmuebles Terminados</t>
  </si>
  <si>
    <t>Productos de Extracción Terminados</t>
  </si>
  <si>
    <t>Productos Manufacturados</t>
  </si>
  <si>
    <t>Variación de Productos Terminados</t>
  </si>
  <si>
    <t>VARIACIÓN DE LA PRODUCCIÓN ALMACENADA</t>
  </si>
  <si>
    <t>Relacionadas</t>
  </si>
  <si>
    <t>Terceros</t>
  </si>
  <si>
    <t>Devoluciones sobre Ventas - Subproductos, Desechos y Desperdicios - Relacionadas</t>
  </si>
  <si>
    <t>Devoluciones sobre Ventas - Subproductos, Desechos y Desperdicios - Terceros</t>
  </si>
  <si>
    <t>Devoluciones sobre Ventas - Productos Terminados - Relacionadas</t>
  </si>
  <si>
    <t>Devoluciones sobre Ventas - Productos Terminados - Terceros</t>
  </si>
  <si>
    <t>Mercaderías - Otras</t>
  </si>
  <si>
    <t>Mercaderías Inmuebles</t>
  </si>
  <si>
    <t>Mercaderías de Extracción</t>
  </si>
  <si>
    <t>Mercaderías Manufacturadas</t>
  </si>
  <si>
    <t>Devoluciones sobre Ventas - Mercaderías - Relacionadas</t>
  </si>
  <si>
    <t>Devoluciones sobre Ventas - Mercaderías - Terceros</t>
  </si>
  <si>
    <t>Devoluciones sobre Ventas</t>
  </si>
  <si>
    <t>Prestación de Servicios - Relacionadas</t>
  </si>
  <si>
    <t>Prestación de Servicios - Terceros</t>
  </si>
  <si>
    <t>Prestación de Servicios</t>
  </si>
  <si>
    <t>Subproductos, Desechos y Desperdicios - Desechos y Desperdicios</t>
  </si>
  <si>
    <t>Subproductos, Desechos y Desperdicios - Subproductos</t>
  </si>
  <si>
    <t>Subproductos, Desechos y Desperdicios</t>
  </si>
  <si>
    <t>Productos Terminados - Existencias de Servicios Terminados</t>
  </si>
  <si>
    <t>Productos Terminados - Productos Inmuebles Terminados</t>
  </si>
  <si>
    <t>Productos Terminados - Productos de Extracción Terminados</t>
  </si>
  <si>
    <t>Productos Terminados - Productos Manufacturados</t>
  </si>
  <si>
    <t>Mercaderías - Mercaderías Inmuebles</t>
  </si>
  <si>
    <t>Mercaderías - Mercaderías de Extracción</t>
  </si>
  <si>
    <t>Mercaderías - Mercaderías Manufacturadas</t>
  </si>
  <si>
    <t>Servicios</t>
  </si>
  <si>
    <t>Costo de Financiación - Productos Terminados</t>
  </si>
  <si>
    <t>Otras Mercaderías</t>
  </si>
  <si>
    <t>Otras Provisiones</t>
  </si>
  <si>
    <t>Provisión para Gastos de Responsabilidad Social</t>
  </si>
  <si>
    <t>Provisión para Protección y Remediación del Medio Ambiente</t>
  </si>
  <si>
    <t>Provisión para Reestructuraciones</t>
  </si>
  <si>
    <t>Provisión para Desmantelamiento, Retiro o Rehabilitación del Inmobilizado - Actualización Financiera</t>
  </si>
  <si>
    <t>Provisión para Desmantelamiento, Retiro o Rehabilitación del Inmobilizado - Costo</t>
  </si>
  <si>
    <t>Provisión para Desmantelamiento, Retiro o Rehabilitación del Inmobilizado</t>
  </si>
  <si>
    <t>Provisión para Litigios - Actualización Financiera</t>
  </si>
  <si>
    <t>Provisión para Litigios - Costo</t>
  </si>
  <si>
    <t>Provisión para Litigios</t>
  </si>
  <si>
    <t>Provisiones</t>
  </si>
  <si>
    <t>Desvalorización de Activos Biológicos en Producción</t>
  </si>
  <si>
    <t>Otros Activos Intangibles</t>
  </si>
  <si>
    <t>Patentes y Propiedad Industrial</t>
  </si>
  <si>
    <t>Concesiones, Licencias y Otros Derechos</t>
  </si>
  <si>
    <t>Desvalorización de Intangibles</t>
  </si>
  <si>
    <t>Herramientas y Unidades de Reemplazo</t>
  </si>
  <si>
    <t>Desvalorización de Inmuebles, Maquinaria y Equipo</t>
  </si>
  <si>
    <t>Desvalorización de Inversiones Inmobiliarias</t>
  </si>
  <si>
    <t>Deterioro del Valor de los Activos</t>
  </si>
  <si>
    <t>Estimación de Cuentas de Cobranza Dudosa</t>
  </si>
  <si>
    <t>Valuación de Activos</t>
  </si>
  <si>
    <t>Agotamiento de Recursos Naturales Adquiridos</t>
  </si>
  <si>
    <t>Agotamiento</t>
  </si>
  <si>
    <t>Amortización de Intangibles Adquiridos - Revaluación</t>
  </si>
  <si>
    <t>Amortización de Intangibles Adquiridos - Costo</t>
  </si>
  <si>
    <t>Amortización de Intangibles</t>
  </si>
  <si>
    <t>Depreciación de Activos Biológicos en Producción - Costo de Financiación</t>
  </si>
  <si>
    <t>Depreciación de Activos Biológicos en Producción - Costo</t>
  </si>
  <si>
    <t>Depreciación de Inmuebles, Maquinaria y Equipo - Costo de Financiación</t>
  </si>
  <si>
    <t>Depreciación de Inmuebles, Maquinaria y Equipo - Revaluación</t>
  </si>
  <si>
    <t>Depreciación de Inmuebles, Maquinaria y Equipo - Costo</t>
  </si>
  <si>
    <t>Depreciación de Activos Adquiridos en Arrendamiento Financiero - Inversiones Inmobiliarias</t>
  </si>
  <si>
    <t>Edificaciones - Costo de Financiación</t>
  </si>
  <si>
    <t>Edificaciones - Revaluación</t>
  </si>
  <si>
    <t>Edificaciones - Costo</t>
  </si>
  <si>
    <t>Depreciación de Inversiones Inmobiliarias</t>
  </si>
  <si>
    <t>Depreciación</t>
  </si>
  <si>
    <t>VALUACIÓN Y DETERIORO DE ACTIVOS Y PROVISIONES</t>
  </si>
  <si>
    <t>Reclasificación de IGV al Gasto</t>
  </si>
  <si>
    <t>Gastos Financieros en Medición a Valor Descontado</t>
  </si>
  <si>
    <t>Primas por Opciones</t>
  </si>
  <si>
    <t>Otros Gastos Financieros</t>
  </si>
  <si>
    <t>Pérdida por Medición de Activos y Pasivos Financieros al Valor Razonable</t>
  </si>
  <si>
    <t>Diferencia de Cambio</t>
  </si>
  <si>
    <t>Obligaciones Tributarias</t>
  </si>
  <si>
    <t>Obligaciones Comerciales</t>
  </si>
  <si>
    <t>Obligaciones Emitidas</t>
  </si>
  <si>
    <t>Documentos Vendidos o Descontados</t>
  </si>
  <si>
    <t>Otros Instrumentos Financieros por Pagar</t>
  </si>
  <si>
    <t>Contratos de Arrendamiento Financiero</t>
  </si>
  <si>
    <t>Otras Entidades</t>
  </si>
  <si>
    <t>Instituciones Financieras</t>
  </si>
  <si>
    <t>Préstamos de Instituciones Financieras y Otras Entidades</t>
  </si>
  <si>
    <t>Intereses por Préstamos y Otras Obligaciones</t>
  </si>
  <si>
    <t>Pérdida por Instrumentos Financieros Derivados</t>
  </si>
  <si>
    <t>Emisión y Colocación de Instrumentos Representativos de Deuda y Patrimonio</t>
  </si>
  <si>
    <t>Gastos en Operaciones de Endeudamiento y Otros</t>
  </si>
  <si>
    <t>PÉRDIDA POR MEDICIÓN DE ACTIVOS NO FINANCIEROS AL VALOR RAZONABLE</t>
  </si>
  <si>
    <t>Varios Gastos de Gestión</t>
  </si>
  <si>
    <t>Sanciones Administrativas</t>
  </si>
  <si>
    <t>Donaciones</t>
  </si>
  <si>
    <t>Otros Gastos de Gestión</t>
  </si>
  <si>
    <t>Costo Neto de Enajenación de Activos Inmovilizados</t>
  </si>
  <si>
    <t>Costo Neto de Enajenación de Activos Inmovilizados y Operaciones Discontinuadas</t>
  </si>
  <si>
    <t>Derechos de Vigencia</t>
  </si>
  <si>
    <t>Licencias</t>
  </si>
  <si>
    <t>Licencias y Derechos de Vigencia</t>
  </si>
  <si>
    <t>Suscripciones</t>
  </si>
  <si>
    <t>OTROS GASTOS DE GESTIÓN</t>
  </si>
  <si>
    <t>Derechos Aduaneros por Ventas</t>
  </si>
  <si>
    <t>Derechos Arancelarios</t>
  </si>
  <si>
    <t>Cánones</t>
  </si>
  <si>
    <t>Impuesto General a las Ventas</t>
  </si>
  <si>
    <t>GASTOS POR TRIBUTOS</t>
  </si>
  <si>
    <t>Otros Gastos por Servicios Prestados por Terceros</t>
  </si>
  <si>
    <t>Gastos de Laboratorio</t>
  </si>
  <si>
    <t>Gastos Bancarios</t>
  </si>
  <si>
    <t>Otros Servicios Prestados por Terceros</t>
  </si>
  <si>
    <t>Servicios de Contratistas</t>
  </si>
  <si>
    <t>Relaciones Públicas</t>
  </si>
  <si>
    <t>Publicaciones</t>
  </si>
  <si>
    <t>Publicidad</t>
  </si>
  <si>
    <t>Publicidad, Publicaciones y Relaciones Públicas</t>
  </si>
  <si>
    <t>Servicios Básicos - Cable</t>
  </si>
  <si>
    <t>Servicios Básicos - Radio</t>
  </si>
  <si>
    <t>Servicios Básicos - Internet</t>
  </si>
  <si>
    <t>Servicios Básicos - Teléfono</t>
  </si>
  <si>
    <t>Servicios Básicos - Agua</t>
  </si>
  <si>
    <t>Servicios Básicos - Gas</t>
  </si>
  <si>
    <t>Servicios Básicos - Energía Eléctrica</t>
  </si>
  <si>
    <t>Servicios Básicos</t>
  </si>
  <si>
    <t>Alquileres - Equipos Diversos</t>
  </si>
  <si>
    <t>Alquileres - Equipos de Transporte</t>
  </si>
  <si>
    <t>Alquileres - Maquinarias y Equipos de Explotación</t>
  </si>
  <si>
    <t>Alquileres - Edificaciones</t>
  </si>
  <si>
    <t>Alquileres - Terrenos</t>
  </si>
  <si>
    <t>Mantenimiento y Reparación</t>
  </si>
  <si>
    <t>Producción Encargada a Terceros</t>
  </si>
  <si>
    <t>Transporte, Correos y Gastos de Viaje - Alimentación</t>
  </si>
  <si>
    <t>Transporte, Correos y Gastos de Viaje - Alojamiento</t>
  </si>
  <si>
    <t>Transporte, Correos y Gastos de Viaje - Correos</t>
  </si>
  <si>
    <t>De Pasajeros</t>
  </si>
  <si>
    <t>De Carga</t>
  </si>
  <si>
    <t>Transporte, Correos y Gastos de Viaje - Transporte</t>
  </si>
  <si>
    <t>Transporte, Correos y Gastos de Viaje</t>
  </si>
  <si>
    <t>GASTOS DE SERVICIOS PRESTADOS POR TERCEROS</t>
  </si>
  <si>
    <t>Otros Beneficios Post - Empleo</t>
  </si>
  <si>
    <t>Pensiones y Jubilaciones</t>
  </si>
  <si>
    <t>Compensación por Tiempo de Servicio</t>
  </si>
  <si>
    <t>Beneficios Sociales de los Trabajadores</t>
  </si>
  <si>
    <t>Caja de Beneficios de Seguridad Social del Pescador</t>
  </si>
  <si>
    <t>Seguros Particulares de Prestaciones de Salud - EPS y Otros Particulares</t>
  </si>
  <si>
    <t>Régimen de Pensiones</t>
  </si>
  <si>
    <t>Régimen de Prestaciones de Salud</t>
  </si>
  <si>
    <t>Gerentes</t>
  </si>
  <si>
    <t>Atención al Personal</t>
  </si>
  <si>
    <t>Capacitación</t>
  </si>
  <si>
    <t>Indemnizaciones al Personal</t>
  </si>
  <si>
    <t>Otras Remuneraciones</t>
  </si>
  <si>
    <t>Gratificaciones</t>
  </si>
  <si>
    <t>Remuneraciones en Especie</t>
  </si>
  <si>
    <t>Sueldos y Salarios</t>
  </si>
  <si>
    <t>Remuneraciones</t>
  </si>
  <si>
    <t>GASTOS DE PERSONAL, DIRECTORES Y GERENTES</t>
  </si>
  <si>
    <t>Envases y Embalajes</t>
  </si>
  <si>
    <t>Repuestos</t>
  </si>
  <si>
    <t>Materiales Auxiliares, Suministros y Repuestos</t>
  </si>
  <si>
    <t>Materias Primas para Productos Inmuebles</t>
  </si>
  <si>
    <t>Materias Primas para Productos Agropecuarios y Piscícolas</t>
  </si>
  <si>
    <t>Materias Primas para Productos de Extracción</t>
  </si>
  <si>
    <t>Materias Primas para Productos Manufacturados</t>
  </si>
  <si>
    <t>VARIACIÓN DE EXISTENCIAS</t>
  </si>
  <si>
    <t>Costos Vinculados con las Compras - Reclasificación de IGV al Costo</t>
  </si>
  <si>
    <t>Transporte</t>
  </si>
  <si>
    <t>Otros Costos Vinculados con las Compras de Mercaderías</t>
  </si>
  <si>
    <t>Costos Vinculados con las Compras de Mercaderías</t>
  </si>
  <si>
    <t>Costos Vinculados con las Compras</t>
  </si>
  <si>
    <t>Envases y Embalajes - Embalajes</t>
  </si>
  <si>
    <t>Envases y Embalajes - Envases</t>
  </si>
  <si>
    <t>Materiales Auxiliares, Suministros y Repuestos - Repuestos</t>
  </si>
  <si>
    <t>Materiales Auxiliares, Suministros y Repuestos - Suministros</t>
  </si>
  <si>
    <t>Materiales Auxiliares, Suministros y Repuestos - Materiales Auxiliares</t>
  </si>
  <si>
    <t>Materias Primas - Materias Primas para Productos Inmuebles</t>
  </si>
  <si>
    <t>Materias Primas - Materias Primas para Productos Agropecuarios y Piscícolas</t>
  </si>
  <si>
    <t>Materias Primas - Materias Primas para Productos de Extracción</t>
  </si>
  <si>
    <t>Materias Primas - Materias Primas para Productos Manufacturados</t>
  </si>
  <si>
    <t>Mercaderías - Otras Mercaderías</t>
  </si>
  <si>
    <t>Gastos de Años Anteriores</t>
  </si>
  <si>
    <t>Pérdidas Acumuladas</t>
  </si>
  <si>
    <t>Ingresos de Años Anteriores</t>
  </si>
  <si>
    <t>Utilidades Acumuladas</t>
  </si>
  <si>
    <t>Utilidades No Distribuidas</t>
  </si>
  <si>
    <t>RESULTADOS  ACUMULADOS</t>
  </si>
  <si>
    <t>Facultativas</t>
  </si>
  <si>
    <t>Estatutarias</t>
  </si>
  <si>
    <t>Contractuales</t>
  </si>
  <si>
    <t>Legal</t>
  </si>
  <si>
    <t>Reinversión</t>
  </si>
  <si>
    <t>RESERVAS</t>
  </si>
  <si>
    <t>Participación en Excedente de Revaluación - Inversiones en Entidades Relacionadas</t>
  </si>
  <si>
    <t>Excedente de Revaluación - Acciones Liberadas Recibidas</t>
  </si>
  <si>
    <t>Inmuebles, Maquinaria y Equipos</t>
  </si>
  <si>
    <t>Excedente de Revaluación</t>
  </si>
  <si>
    <t>EXCEDENTE DE REVALUACIÓN</t>
  </si>
  <si>
    <t>Ganancia</t>
  </si>
  <si>
    <t>Ganancia o Pérdida en Activos o Pasivos Financieros Disponibles para la Venta</t>
  </si>
  <si>
    <t>Instrumentos Financieros - Cobertura de Flujo de Efectivo</t>
  </si>
  <si>
    <t>Diferencia en Cambio de Inversiones Permanentes en Entidades Extranjeras</t>
  </si>
  <si>
    <t>RESULTADOS NO REALIZADOS</t>
  </si>
  <si>
    <t>Reducciones de Capital Pendientes de Formalización</t>
  </si>
  <si>
    <t>Utilidades</t>
  </si>
  <si>
    <t>Acreencias</t>
  </si>
  <si>
    <t>Reservas</t>
  </si>
  <si>
    <t>Aportes</t>
  </si>
  <si>
    <t>Capitalizaciones en Trámite</t>
  </si>
  <si>
    <t>Primas (Descuento) de Acciones</t>
  </si>
  <si>
    <t>CAPITAL ADICIONAL</t>
  </si>
  <si>
    <t>Acciones de Inversión en Tesorería</t>
  </si>
  <si>
    <t>ACCIONES DE INVERSIÓN</t>
  </si>
  <si>
    <t>Acciones en Tesorería</t>
  </si>
  <si>
    <t>Participaciones</t>
  </si>
  <si>
    <t>Acciones</t>
  </si>
  <si>
    <t>Capital Social</t>
  </si>
  <si>
    <t>Intereses No Devengados en Medición a Valor Descontado</t>
  </si>
  <si>
    <t>Intereses No Devengados en Transacciones con Terceros</t>
  </si>
  <si>
    <t>Intereses Diferidos</t>
  </si>
  <si>
    <t>Participaciones de los Trabajadores Diferidas - Resultados</t>
  </si>
  <si>
    <t>Participaciones de los Trabajadores Diferidas - Patrimonio</t>
  </si>
  <si>
    <t>Participaciones de los Trabajadores Diferidas</t>
  </si>
  <si>
    <t>Impuesto a la Renta Diferido - Resultados</t>
  </si>
  <si>
    <t>Impuesto a la Renta Diferido - Patrimonio</t>
  </si>
  <si>
    <t>Impuesto a la Renta Diferido</t>
  </si>
  <si>
    <t>PASIVO DIFERIDO</t>
  </si>
  <si>
    <t>Provisión por Desmantelamiento, Retiro o Rehabilitación del Inmovilizado</t>
  </si>
  <si>
    <t>PROVISIONES</t>
  </si>
  <si>
    <t>Otras Cuentas por Pagar Diversas - Sucursales</t>
  </si>
  <si>
    <t>Otras Cuentas por Pagar Diversas - Asociadas</t>
  </si>
  <si>
    <t>Otras Cuentas por Pagar Diversas - Subsidiarias</t>
  </si>
  <si>
    <t>Otras Cuentas por Pagar Diversas - Matriz</t>
  </si>
  <si>
    <t>Otras Cuentas por Pagar Diversas</t>
  </si>
  <si>
    <t>Pasivo por Compra de Activo Inmovilizado</t>
  </si>
  <si>
    <t>Dividendos - Sucursales</t>
  </si>
  <si>
    <t>Dividendos - Asociadas</t>
  </si>
  <si>
    <t>Dividendos - Subsidiarias</t>
  </si>
  <si>
    <t>Dividendos - Matriz</t>
  </si>
  <si>
    <t>Regalías - Sucursales</t>
  </si>
  <si>
    <t>Regalías - Asociadas</t>
  </si>
  <si>
    <t>Regalías - Subsidiarias</t>
  </si>
  <si>
    <t>Regalías - Matriz</t>
  </si>
  <si>
    <t>Anticipos Recibidos - Sucursales</t>
  </si>
  <si>
    <t>Anticipos Recibidos - Asociadas</t>
  </si>
  <si>
    <t>Anticipos Recibidos - Subsidiarias</t>
  </si>
  <si>
    <t>Anticipos Recibidos - Matriz</t>
  </si>
  <si>
    <t>Anticipos Recibidos</t>
  </si>
  <si>
    <t>Costos de Financiación - Sucursales</t>
  </si>
  <si>
    <t>Costos de Financiación - Asociadas</t>
  </si>
  <si>
    <t>Costos de Financiación - Subsidiarias</t>
  </si>
  <si>
    <t>Costos de Financiación - Matriz</t>
  </si>
  <si>
    <t>Costos de Financiación</t>
  </si>
  <si>
    <t>Préstamos - Sucursales</t>
  </si>
  <si>
    <t>Préstamos - Asociadas</t>
  </si>
  <si>
    <t>Préstamos - Subsidiarias</t>
  </si>
  <si>
    <t>Préstamos - Matriz</t>
  </si>
  <si>
    <t>Préstamos</t>
  </si>
  <si>
    <t>CUENTAS POR PAGAR DIVERSAS - RELACIONADAS</t>
  </si>
  <si>
    <t>Depósitos Recibidos en Garantía</t>
  </si>
  <si>
    <t>Pasivos por Compra de Activo Inmovilizado</t>
  </si>
  <si>
    <t>Instrumentos de Cobertura</t>
  </si>
  <si>
    <t>Cartera de Negociación</t>
  </si>
  <si>
    <t>Reclamaciones de Terceros</t>
  </si>
  <si>
    <t>CUENTAS POR PAGAR DIVERSAS - TERCEROS</t>
  </si>
  <si>
    <t>Préstamos con Compromisos de Recompra</t>
  </si>
  <si>
    <t>Otras Obligaciones Financieras</t>
  </si>
  <si>
    <t>Facturas Conformadas</t>
  </si>
  <si>
    <t>Pagarés</t>
  </si>
  <si>
    <t>Bonos</t>
  </si>
  <si>
    <t>Papeles Comerciales</t>
  </si>
  <si>
    <t>Letras</t>
  </si>
  <si>
    <t>Costos de Financiación por Pagar</t>
  </si>
  <si>
    <t>OBLIGACIONES FINANCIERAS</t>
  </si>
  <si>
    <t>Dietas</t>
  </si>
  <si>
    <t>Directores</t>
  </si>
  <si>
    <t>Accionistas (O Socios)</t>
  </si>
  <si>
    <t>Otras Cuentas por Pagar Comerciales</t>
  </si>
  <si>
    <t>Letras por Pagar</t>
  </si>
  <si>
    <t>Anticipos Otorgados</t>
  </si>
  <si>
    <t>Facturas, Boletas y Otros Comprobantes por Pagar - Emitidas</t>
  </si>
  <si>
    <t>Facturas, Boletas y Otros Comprobantes por Pagar - No Emitidas</t>
  </si>
  <si>
    <t>Facturas, Boletas y Otros Comprobantes por Pagar</t>
  </si>
  <si>
    <t>CUENTAS POR PAGAR COMERCIALES - RELACIONADAS</t>
  </si>
  <si>
    <t>Honorarios por Pagar</t>
  </si>
  <si>
    <t>Anticipos a Proveedores</t>
  </si>
  <si>
    <t>CUENTAS POR PAGAR COMERCIALES - TERCEROS</t>
  </si>
  <si>
    <t>Otras Remuneraciones y Participaciones por Pagar</t>
  </si>
  <si>
    <t>Adelanto de Compensación por Tiempo de Servicios</t>
  </si>
  <si>
    <t>Beneficios Sociales de los Trabajadores por Pagar</t>
  </si>
  <si>
    <t>Vacaciones por Pagar</t>
  </si>
  <si>
    <t>Gratificaciones por Pagar</t>
  </si>
  <si>
    <t>Remuneraciones en Especie por Pagar</t>
  </si>
  <si>
    <t>Comisiones por Pagar</t>
  </si>
  <si>
    <t>Sueldos y Salarios por Pagar</t>
  </si>
  <si>
    <t>Remuneraciones por Pagar</t>
  </si>
  <si>
    <t>REMUNERACIONES Y PARTICIPACIONES POR PAGAR</t>
  </si>
  <si>
    <t>Otros Costos Administrativos e Intereses</t>
  </si>
  <si>
    <t>Cuenta de Terceros</t>
  </si>
  <si>
    <t>Cuenta Propia</t>
  </si>
  <si>
    <t>Empresas Prestadoras de Servicios de Salud</t>
  </si>
  <si>
    <t>Profuturo</t>
  </si>
  <si>
    <t>Prima</t>
  </si>
  <si>
    <t>Integra</t>
  </si>
  <si>
    <t>Administradoras de Fondos de Pensiones</t>
  </si>
  <si>
    <t>Servicios Administrativos o Derechos</t>
  </si>
  <si>
    <t>Servicios Públicos o Arbitrarios</t>
  </si>
  <si>
    <t>Estacionamiento de Vehículos</t>
  </si>
  <si>
    <t>Transporte Público</t>
  </si>
  <si>
    <t>Licencias de Apertura de Establecimientos</t>
  </si>
  <si>
    <t>Tasas</t>
  </si>
  <si>
    <t>Contribuciones</t>
  </si>
  <si>
    <t>Impuesto a los Espectáculos Públicos No Deportivos</t>
  </si>
  <si>
    <t>Impuesto Predial</t>
  </si>
  <si>
    <t>Impuesto de Alcabala</t>
  </si>
  <si>
    <t>Impuesto a los Juegos</t>
  </si>
  <si>
    <t>Impuesto a las Apuestas</t>
  </si>
  <si>
    <t>Impuesto al Patrimonio Vehicular</t>
  </si>
  <si>
    <t>Gobiernos Locales</t>
  </si>
  <si>
    <t>Gobiernos Regionales</t>
  </si>
  <si>
    <t>Otras Instituciones</t>
  </si>
  <si>
    <t>Contribución al SENCICO</t>
  </si>
  <si>
    <t>Contribución al SENATI</t>
  </si>
  <si>
    <t>ONP</t>
  </si>
  <si>
    <t>ESSALUD</t>
  </si>
  <si>
    <t>Instituciones Públicas</t>
  </si>
  <si>
    <t>Certificados Tributarios</t>
  </si>
  <si>
    <t>Impuesto a los Dividendos</t>
  </si>
  <si>
    <t>Tasas por la Prestación de Servicios Públicos</t>
  </si>
  <si>
    <t>Impuesto a los Juegos de Casino y Tragamonedas</t>
  </si>
  <si>
    <t>Otros Impuestos</t>
  </si>
  <si>
    <t>Renta de No Domiciliados</t>
  </si>
  <si>
    <t>Renta de Quinta Categoría</t>
  </si>
  <si>
    <t>Renta de Cuarta Categoría</t>
  </si>
  <si>
    <t>Renta de Tercera Categoría</t>
  </si>
  <si>
    <t>Impuesto a la Renta</t>
  </si>
  <si>
    <t>Impuesto Selectivo al Consumo</t>
  </si>
  <si>
    <t>IGV - Régimen de Retenciones</t>
  </si>
  <si>
    <t>IGV - Régimen de Percepciones</t>
  </si>
  <si>
    <t>IGV - Servicios Prestados por No Domiciliados</t>
  </si>
  <si>
    <t>IGV - Cuenta Propia</t>
  </si>
  <si>
    <t>Gobierno Central</t>
  </si>
  <si>
    <t>Agotamiento de Reservas de Recursos Extraídos</t>
  </si>
  <si>
    <t>Agotamiento Acumulado</t>
  </si>
  <si>
    <t>Intangibles - Revaluación</t>
  </si>
  <si>
    <t>Intangibles - Costo</t>
  </si>
  <si>
    <t>Amortización Acumulada</t>
  </si>
  <si>
    <t>Activos Biológicos en Producción - Costo de Financiación</t>
  </si>
  <si>
    <t>Activos Biológicos en Producción - Costo</t>
  </si>
  <si>
    <t>Inmuebles, Maquinaria y Equipo - Costo de Financiación</t>
  </si>
  <si>
    <t>Inmuebles, Maquinaria y Equipo - Revaluación</t>
  </si>
  <si>
    <t>Equipo de Transporte</t>
  </si>
  <si>
    <t>Inmuebles, Maquinaria y Equipo - Costo</t>
  </si>
  <si>
    <t>Inmuebles, Maquinaria y Equipo - Equipos Diversos</t>
  </si>
  <si>
    <t>Inmuebles, Maquinaria y Equipo - Equipos de Transporte</t>
  </si>
  <si>
    <t>Inmuebles, Maquinaria y Equipo - Maquinarias y Equipos de Explotación</t>
  </si>
  <si>
    <t>Inmuebles, Maquinaria y Equipo - Edificaciones</t>
  </si>
  <si>
    <t>Inversiones Inmobiliarias - Edificaciones</t>
  </si>
  <si>
    <t>Edificaciones - Costo de Adquisición o Construcción</t>
  </si>
  <si>
    <t>Depreciación Acumulada</t>
  </si>
  <si>
    <t>DEPRECIACIÓN, AMORTIZACIÓN Y AGOTAMIENTO ACUMULADOS</t>
  </si>
  <si>
    <t>Reclasificación de IGV al Costo</t>
  </si>
  <si>
    <t>Bienes Recibidos en Pago (Adjudicados y Realizables)</t>
  </si>
  <si>
    <t>Bienes Entregados en Comodato</t>
  </si>
  <si>
    <t>Monedas y Joyas</t>
  </si>
  <si>
    <t>Diversos</t>
  </si>
  <si>
    <t>Bienes de Arte y Cultura - Otros</t>
  </si>
  <si>
    <t>Bienes de Arte y Cultura - Biblioteca</t>
  </si>
  <si>
    <t>Bienes de Arte y Cultura - Obras de Arte</t>
  </si>
  <si>
    <t>Bienes de Arte y Cultura</t>
  </si>
  <si>
    <t>OTROS ACTIVOS</t>
  </si>
  <si>
    <t>ACTIVO DIFERIDO</t>
  </si>
  <si>
    <t>Activos Biológicos en Desarrollo - Costo de Financiación</t>
  </si>
  <si>
    <t>Activos Biológicos en Desarrollo - Costo</t>
  </si>
  <si>
    <t>Activos Biológicos en Desarrollo</t>
  </si>
  <si>
    <t>Activos Biológicos en Producción</t>
  </si>
  <si>
    <t>Maquinarias y Equipos de Explotación - Costo de Financiación</t>
  </si>
  <si>
    <t>DESVALORIZACIÓN DE ACTIVO INMOVILIZADO</t>
  </si>
  <si>
    <t>Otros Activos Biológicos</t>
  </si>
  <si>
    <t>Costo</t>
  </si>
  <si>
    <t>Valor Razonable</t>
  </si>
  <si>
    <t>Activos Biológicos en Desarrollo - De Origen Vegetal</t>
  </si>
  <si>
    <t>Activos Biológicos en Desarrollo - De Origen Animal</t>
  </si>
  <si>
    <t>Activos Biológicos en Producción - De Origen Vegetal</t>
  </si>
  <si>
    <t>Activos Biológicos en Producción - De Origen Animal</t>
  </si>
  <si>
    <t>ACTIVOS BIOLÓGICOS</t>
  </si>
  <si>
    <t>Plusvalía Mercantil</t>
  </si>
  <si>
    <t>Otros Recursos Extraíbles</t>
  </si>
  <si>
    <t>Madera</t>
  </si>
  <si>
    <t>Petróleo y Gas</t>
  </si>
  <si>
    <t>Minerales</t>
  </si>
  <si>
    <t>Reservas de Recursos Extraíbles</t>
  </si>
  <si>
    <t>Revaluación</t>
  </si>
  <si>
    <t>Diseños y Prototipos</t>
  </si>
  <si>
    <t>Fórmulas</t>
  </si>
  <si>
    <t>Costos de Desarrollo</t>
  </si>
  <si>
    <t>Costos de Exploración</t>
  </si>
  <si>
    <t>Aplicaciones Informáticas</t>
  </si>
  <si>
    <t>Marcas</t>
  </si>
  <si>
    <t>Patentes</t>
  </si>
  <si>
    <t>Otros Derechos</t>
  </si>
  <si>
    <t>Concesiones</t>
  </si>
  <si>
    <t>INTANGIBLES</t>
  </si>
  <si>
    <t>Otros Activos en Curso - Reclasificación de IGV al Costo</t>
  </si>
  <si>
    <t>Costo de Financiación - Maquinarias y Equipos de Explotación</t>
  </si>
  <si>
    <t>Costo de Financiación - Edificaciones</t>
  </si>
  <si>
    <t>Costo de Financiación - Inmuebles, Maquinaria y Equipo</t>
  </si>
  <si>
    <t>Costo de Financiación - Inversiones Inmobiliarias</t>
  </si>
  <si>
    <t>Inversión Inmobiliaria en Curso</t>
  </si>
  <si>
    <t>Maquinaria en Montaje</t>
  </si>
  <si>
    <t>Construcciones en Curso</t>
  </si>
  <si>
    <t>Adaptación de Terrenos</t>
  </si>
  <si>
    <t>Construcciones y Obras en Curso</t>
  </si>
  <si>
    <t>Unidades por Recibir - Herramientas y Unidades de Reemplazo</t>
  </si>
  <si>
    <t>Unidades por Recibir - Equipos Diversos</t>
  </si>
  <si>
    <t>Unidades por Recibir - Muebles y Enseres</t>
  </si>
  <si>
    <t>Unidades por Recibir - Equipo de Transporte</t>
  </si>
  <si>
    <t>Unidades por Recibir - Maquinaria y Equipos de Explotación</t>
  </si>
  <si>
    <t>Unidades por Recibir</t>
  </si>
  <si>
    <t>Herramientas y Unidades de Reemplazo - Unidades de Reemplazo</t>
  </si>
  <si>
    <t>Herramientas y Unidades de Reemplazo - Herramientas</t>
  </si>
  <si>
    <t>Muebles y Enseres - Enseres</t>
  </si>
  <si>
    <t>Muebles y Enseres - Muebles</t>
  </si>
  <si>
    <t>Equipo de Transporte - Vehículos No Motorizados</t>
  </si>
  <si>
    <t>Equipo de Transporte - Vehículos Motorizados</t>
  </si>
  <si>
    <t>Costo de Financiación - Instalaciones</t>
  </si>
  <si>
    <t>Edificaciones - Instalaciones</t>
  </si>
  <si>
    <t>Costo de Financiación - Edificaciones para Producción</t>
  </si>
  <si>
    <t>Edificaciones - Edificaciones para Producción</t>
  </si>
  <si>
    <t>Costo de Financiación - Almacenes</t>
  </si>
  <si>
    <t>Edificaciones - Almacenes</t>
  </si>
  <si>
    <t>Edificaciones - Edificaciones Administrativas</t>
  </si>
  <si>
    <t>INMUEBLES, MAQUINARIA Y EQUIPO</t>
  </si>
  <si>
    <t>Inmuebles, Maquinaria y Equipo - Herramientas y Unidades de Reemplazo</t>
  </si>
  <si>
    <t>Inmuebles, Maquinaria y Equipo - Muebles y Enseres</t>
  </si>
  <si>
    <t>Inmuebles, Maquinaria y Equipo - Terrenos</t>
  </si>
  <si>
    <t>Inversiones Inmobiliarias - Terrenos</t>
  </si>
  <si>
    <t>ACTIVOS ADQUIRIDOS EN ARRENDAMIENTO FINANCIERO</t>
  </si>
  <si>
    <t>Rurales</t>
  </si>
  <si>
    <t>Urbanos</t>
  </si>
  <si>
    <t>INVERSIONES INMOBILIARIAS</t>
  </si>
  <si>
    <t>Desvalorización de Inversiones Mobiliarias</t>
  </si>
  <si>
    <t>Otros Títulos Representativos de Patrimonio</t>
  </si>
  <si>
    <t>Otras</t>
  </si>
  <si>
    <t>Certificados de Suscripción Preferente</t>
  </si>
  <si>
    <t>Otros Títulos Representativos de Deuda</t>
  </si>
  <si>
    <t>Valores Emitidos por las Empresas</t>
  </si>
  <si>
    <t>Valores Emitidos por el Sistema Financiero</t>
  </si>
  <si>
    <t>Valores Emitidos o Garantizados por el Estado</t>
  </si>
  <si>
    <t>Instrumentos Financieros Representativos de Deuda</t>
  </si>
  <si>
    <t>INVERSIONES MOBILIARIAS</t>
  </si>
  <si>
    <t>Existencias por Recibir</t>
  </si>
  <si>
    <t>Costos de Financiación - Productos en Proceso</t>
  </si>
  <si>
    <t>Sub-Productos</t>
  </si>
  <si>
    <t>Sub-Productos, Desechos y Desperdicios</t>
  </si>
  <si>
    <t>Costos de Financiación - Productos Terminados</t>
  </si>
  <si>
    <t>Otros Productos Terminados</t>
  </si>
  <si>
    <t>Productos Inmuebles</t>
  </si>
  <si>
    <t>Productos Agropecuarios y Piscícolas Terminados</t>
  </si>
  <si>
    <t>EXISTENCIAS POR RECIBIR</t>
  </si>
  <si>
    <t>Concesiones, Licencias y Derechos</t>
  </si>
  <si>
    <t>ACTIVOS NO CORRIENTES MANTENIDOS PARA LA VENTA</t>
  </si>
  <si>
    <t>Otros Suministros</t>
  </si>
  <si>
    <t>Energía</t>
  </si>
  <si>
    <t>Lubricantes</t>
  </si>
  <si>
    <t>Combustibles</t>
  </si>
  <si>
    <t>MATERIALES AUXILIARES, SUMINISTROS Y REPUESTOS</t>
  </si>
  <si>
    <t>MATERIAS PRIMAS</t>
  </si>
  <si>
    <t>De Origen Vegetal</t>
  </si>
  <si>
    <t>De Origen Animal</t>
  </si>
  <si>
    <t>PRODUCTOS EN PROCESO</t>
  </si>
  <si>
    <t>Sub Productos</t>
  </si>
  <si>
    <t>SUB-PRODUCTOS, DESECHOS Y DESPERDICIOS</t>
  </si>
  <si>
    <t>PRODUCTOS TERMINADOS</t>
  </si>
  <si>
    <t>MERCADERÍAS</t>
  </si>
  <si>
    <t>Cuentas por Cobrar Diversas - Terceros - Otras Cuentas por Cobrar Diversas</t>
  </si>
  <si>
    <t>Cuentas por Cobrar Diversas - Terceros - Venta de Activos Inmovilizados</t>
  </si>
  <si>
    <t>Cuentas por Cobrar Diversas - Terceros - Depósitos Otorgados en Garantía</t>
  </si>
  <si>
    <t>Cuentas por Cobrar Diversas - Terceros - Intereses, Regalías y Dividendos</t>
  </si>
  <si>
    <t>Cuentas por Cobrar Diversas - Terceros - Reclamaciones a Terceros</t>
  </si>
  <si>
    <t>Cuentas por Cobrar Diversas - Terceros - Préstamos</t>
  </si>
  <si>
    <t>Cuentas por Cobrar Diversas - Terceros</t>
  </si>
  <si>
    <t>Otras Cuentas por Cobrar Diversas</t>
  </si>
  <si>
    <t>Venta de Activos Inmovilizados</t>
  </si>
  <si>
    <t>Depósitos Otorgados en Garantía</t>
  </si>
  <si>
    <t>Intereses, Regalías y Dividendos</t>
  </si>
  <si>
    <t>Letras por Cobrar</t>
  </si>
  <si>
    <t>Facturas, Boletas y Otros Comprobantes por Cobrar</t>
  </si>
  <si>
    <t>Cuentas por Cobrar al Personal, a los Accionistas (Socios), Directores y Gerentes - Diversas</t>
  </si>
  <si>
    <t>Cuentas por Cobrar al Personal, a los Accionistas (Socios), Directores y Gerentes - Gerentes</t>
  </si>
  <si>
    <t>Cuentas por Cobrar al Personal, a los Accionistas (Socios), Directores y Gerentes - Directores</t>
  </si>
  <si>
    <t>Cuentas por Cobrar al Personal, a los Accionistas (Socios), Directores y Gerentes - Accionistas</t>
  </si>
  <si>
    <t>Cuentas por Cobrar al Personal, a los Accionistas (Socios), Directores y Gerentes - Personal</t>
  </si>
  <si>
    <t>Cuentas por Cobrar al Personal, a los Accionistas (Socios), Directores y Gerentes</t>
  </si>
  <si>
    <t>Cuentas por Cobrar Comerciales - Terceros - Letras por Cobrar</t>
  </si>
  <si>
    <t>Cuentas por Cobrar Comerciales - Terceros - Facturas, Boletas y Otros Comprobantes por Cobrar</t>
  </si>
  <si>
    <t>Cuentas por Cobrar Comerciales - Terceros</t>
  </si>
  <si>
    <t>ESTIMACIÓN DE CUENTAS DE COBRANZA DUDOSA</t>
  </si>
  <si>
    <t>Servicios y Otros Contratados por Anticipado - Reclasificación de IGV al Gasto Anticipado</t>
  </si>
  <si>
    <t>Servicios y Otros Contratados por Anticipado - Otros Gastos Contratados por Anticipado</t>
  </si>
  <si>
    <t>Otros Gastos Contratados por Anticipado</t>
  </si>
  <si>
    <t>Servicios y Otros Contratados por Anticipado - Mantenimiento de Activos Inmovilizados</t>
  </si>
  <si>
    <t>Mantenimiento de Activos Inmovilizados</t>
  </si>
  <si>
    <t>Servicios y Otros Contratados por Anticipado - Primas Pagadas por Opciones</t>
  </si>
  <si>
    <t>Primas Pagadas por Opciones</t>
  </si>
  <si>
    <t>Servicios y Otros Contratados por Anticipado - Alquileres</t>
  </si>
  <si>
    <t>Servicios y Otros Contratados por Anticipado - Seguros</t>
  </si>
  <si>
    <t>SERVICIOS Y OTROS CONTRATADOS POR ANTICIPADO</t>
  </si>
  <si>
    <t>Venta de Activos Inmovilizados - Activos Biológicos</t>
  </si>
  <si>
    <t>Venta de Activos Inmovilizados - Intangibles</t>
  </si>
  <si>
    <t>Venta de Activos Inmovilizados - Inmuebles, Maquinaria y Equipo</t>
  </si>
  <si>
    <t>Venta de Activos Inmovilizados - Inversión Inmobiliaria</t>
  </si>
  <si>
    <t>Venta de Activos Inmovilizados - Inversión Mobiliaria</t>
  </si>
  <si>
    <t>Asociadas</t>
  </si>
  <si>
    <t>Subsidiarias</t>
  </si>
  <si>
    <t>Matriz</t>
  </si>
  <si>
    <t>Intereses, Regalías y Dividendos - Dividendos</t>
  </si>
  <si>
    <t>Intereses, Regalías y Dividendos - Regalías</t>
  </si>
  <si>
    <t>Intereses, Regalías y Dividendos - Intereses</t>
  </si>
  <si>
    <t>Préstamos - Sin Garantía</t>
  </si>
  <si>
    <t>Préstamos - Con Garantía</t>
  </si>
  <si>
    <t>CUENTAS POR COBRAR DIVERSAS - RELACIONADAS</t>
  </si>
  <si>
    <t>Venta de Activo Inmovilizado - Activos Biológicos</t>
  </si>
  <si>
    <t>Venta de Activo Inmovilizado - Intangibles</t>
  </si>
  <si>
    <t>Venta de Activo Inmovilizado - Inmuebles, Maquinaria y Equipo</t>
  </si>
  <si>
    <t>Venta de Activo Inmovilizado - Inversión Inmobiliaria</t>
  </si>
  <si>
    <t>Venta de Activo Inmovilizado - Inversión Mobiliaria</t>
  </si>
  <si>
    <t>Venta de Activo Inmovilizado</t>
  </si>
  <si>
    <t>Depósitos Otorgados en Garantía - Préstamos de Instituciones Financieras</t>
  </si>
  <si>
    <t>Depósitos Otorgados en Garantía - Préstamos de Instituciones No Financieras</t>
  </si>
  <si>
    <t>Reclamaciones a Terceros - Servicios Públicos</t>
  </si>
  <si>
    <t>Reclamaciones a Terceros - Transportadoras</t>
  </si>
  <si>
    <t>Reclamaciones a Terceros - Compañías Aseguradoras</t>
  </si>
  <si>
    <t>Reclamaciones a Terceros</t>
  </si>
  <si>
    <t>CUENTAS POR COBRAR DIVERSAS - TERCEROS</t>
  </si>
  <si>
    <t>Accionistas (O Socios) - Préstamos</t>
  </si>
  <si>
    <t>Accionistas (O Socios) - Suscripciones por Cobrar a Socios o Accionistas</t>
  </si>
  <si>
    <t>Personal - Entregas a Rendir Cuenta</t>
  </si>
  <si>
    <t>Personal - Adelanto de Remuneraciones</t>
  </si>
  <si>
    <t>Personal - Préstamos</t>
  </si>
  <si>
    <t>Personal</t>
  </si>
  <si>
    <t>CUENTAS POR COBRAR AL PERSONAL, A LOS ACCIONISTAS (SOCIOS), DIRECTORES Y GERENTES</t>
  </si>
  <si>
    <t>Letras por Cobrar - En Descuento</t>
  </si>
  <si>
    <t>Letras por Cobrar - En Cobranza</t>
  </si>
  <si>
    <t>Letras por Cobrar - En Cartera</t>
  </si>
  <si>
    <t>Facturas, Boletas y Otros Comprobantes por Cobrar - En Descuento</t>
  </si>
  <si>
    <t>Facturas, Boletas y Otros Comprobantes por Cobrar - En Cobranza</t>
  </si>
  <si>
    <t>Facturas, Boletas y Otros Comprobantes por Cobrar - Emitidas en Cartera</t>
  </si>
  <si>
    <t>Facturas, Boletas y Otros Comprobantes por Cobrar - No Emitidas</t>
  </si>
  <si>
    <t>CUENTAS POR COBRAR COMERCIALES - RELACIONADAS</t>
  </si>
  <si>
    <t>Anticipos de Clientes</t>
  </si>
  <si>
    <t>CUENTAS POR COBRAR COMERCIALES - TERCEROS</t>
  </si>
  <si>
    <t>Valores Emitidos por Empresas</t>
  </si>
  <si>
    <t>Inversiones Disponibles para la Venta</t>
  </si>
  <si>
    <t>Participaciones en Entidades</t>
  </si>
  <si>
    <t>Fondos Sujetos a Restricción</t>
  </si>
  <si>
    <t>Depósitos a Plazo</t>
  </si>
  <si>
    <t>Depósitos de Ahorro</t>
  </si>
  <si>
    <t>Otros</t>
  </si>
  <si>
    <t>Cuentas Corrientes para Fines Específicos</t>
  </si>
  <si>
    <t>Cuentas Corrientes Operativas</t>
  </si>
  <si>
    <t>Cuentas Corrientes en Instituciones Financieras</t>
  </si>
  <si>
    <t>Efectivo en Tránsito</t>
  </si>
  <si>
    <t>Dinero en Efectivo</t>
  </si>
  <si>
    <t>Fondos Fijos</t>
  </si>
  <si>
    <t>Caja</t>
  </si>
  <si>
    <t>PLAN CONTABLE GENERAL EMPRESARIAL</t>
  </si>
  <si>
    <t>ESTADO DE SITUACIÓN FINANCIERA</t>
  </si>
  <si>
    <t>ESTADO DE RESULTADOS POR NATURALEZA</t>
  </si>
  <si>
    <t>ESTADO DE RESULTADOS POR FUNCIÓN</t>
  </si>
  <si>
    <t>EFECTIVO Y EQUIVALENTES DE EFECTIVO</t>
  </si>
  <si>
    <t>Otros Equivalentes de Efectivo</t>
  </si>
  <si>
    <t>INVERSIONES FINANCIERAS</t>
  </si>
  <si>
    <t>Inversiones mantenidas para negociación</t>
  </si>
  <si>
    <t>Valores Emitidos por Empresa</t>
  </si>
  <si>
    <t>Activos Financieros - Acuerdo de Compra</t>
  </si>
  <si>
    <t>Inversiones mantenidas para negociación - Acuerdo de Compra</t>
  </si>
  <si>
    <t>Inversiones Disponibles para la Venta - Acuerdo de Compra</t>
  </si>
  <si>
    <t>Sucursales</t>
  </si>
  <si>
    <t>Otras Cuentas por Cobrar al Personal</t>
  </si>
  <si>
    <t>Directores - Préstamos</t>
  </si>
  <si>
    <t>Directores - Adelanto de Dietas</t>
  </si>
  <si>
    <t>Directores - Entregas a Rendir Cuenta</t>
  </si>
  <si>
    <t>Gerentes - Préstamos</t>
  </si>
  <si>
    <t>Gerentes - Adelanto de Dietas</t>
  </si>
  <si>
    <t>Gerentes - Entregas a Rendir Cuenta</t>
  </si>
  <si>
    <t>Reclamaciones a Terceros - Tributos</t>
  </si>
  <si>
    <t>Reclamaciones a Terceros - Otras</t>
  </si>
  <si>
    <t>Depósitos Otorgados en Garantía - Depósitos en Garantía por Alquileres</t>
  </si>
  <si>
    <t>Depósitos Otorgados en Garantía - Otros Depósitos en Garantía</t>
  </si>
  <si>
    <t>Activos por Instrumentos Financieros</t>
  </si>
  <si>
    <t>Activos por Instrumentos Financieros - Instrumentos Financieros Primarios</t>
  </si>
  <si>
    <t>Activos por Instrumentos Financieros - Instrumentos Financieros Derivados</t>
  </si>
  <si>
    <t>Instrumentos Financieros Derivados - Cartera de Negociación</t>
  </si>
  <si>
    <t>Instrumentos Financieros Derivados - Instrumentos de Cobertura</t>
  </si>
  <si>
    <t>Otras Cuentas por Cobrar Diversas - Entregas a Rendir Cuenta</t>
  </si>
  <si>
    <t>Otras Cuentas por Cobrar Diversas - Otras</t>
  </si>
  <si>
    <t>Préstamos Con Garantía - Matriz</t>
  </si>
  <si>
    <t>Préstamos Con Garantía - Subsidiarias</t>
  </si>
  <si>
    <t>Préstamos Con Garantía - Asociadas</t>
  </si>
  <si>
    <t>Préstamos Con Garantía - Sucursales</t>
  </si>
  <si>
    <t>Préstamos Con Garantía - Otros</t>
  </si>
  <si>
    <t>Préstamos Sin Garantía - Matriz</t>
  </si>
  <si>
    <t>Préstamos Sin Garantía - Subsidiarias</t>
  </si>
  <si>
    <t>Préstamos Sin Garantía - Asociadas</t>
  </si>
  <si>
    <t>Préstamos Sin Garantía - Sucursales</t>
  </si>
  <si>
    <t>Préstamos Sin Garantía - Otros</t>
  </si>
  <si>
    <t>Intereses - Matriz</t>
  </si>
  <si>
    <t>Intereses - Subsidiarias</t>
  </si>
  <si>
    <t>Intereses - Asociadas</t>
  </si>
  <si>
    <t>Intereses - Sucursales</t>
  </si>
  <si>
    <t>Intereses - Otras</t>
  </si>
  <si>
    <t>Regalías - Otras</t>
  </si>
  <si>
    <t>Dividendos - Otras</t>
  </si>
  <si>
    <t>Costos Financieros</t>
  </si>
  <si>
    <t>Servicios y Otros Contratados por Anticipado - Costos Financieros</t>
  </si>
  <si>
    <t>Cuentas por Cobrar Comerciales - Relacionadas</t>
  </si>
  <si>
    <t>Cuentas por Cobrar Relacionadas - Facturas, Boletas y Otros Comprobantes por Cobrar</t>
  </si>
  <si>
    <t>Cuentas por Cobrar Relacionadas - Letras por Cobrar</t>
  </si>
  <si>
    <t>Cuentas por Cobrar Diversas - Terceros - Activos por Instrumentos Financieros</t>
  </si>
  <si>
    <t>Cuentas por Cobrar Diversas - Relacionadas</t>
  </si>
  <si>
    <t>Cuentas por Cobrar Diversas - Relacionadas - Préstamos</t>
  </si>
  <si>
    <t>Cuentas por Cobrar Diversas - Relacionadas - Intereses, Regalías y Dividendos</t>
  </si>
  <si>
    <t>Cuentas por Cobrar Diversas - Relacionadas - Depósitos Otorgados en Garantía</t>
  </si>
  <si>
    <t>Cuentas por Cobrar Diversas - Relacionadas - Venta de Activo Inmovilizado</t>
  </si>
  <si>
    <t>Cuentas por Cobrar Diversas - Relacionadas - Activos por Instrumentos Financieros</t>
  </si>
  <si>
    <t>Cuentas por Cobrar Diversas - Relacionadas - Otras Cuentas por Cobrar Diversas</t>
  </si>
  <si>
    <t>Mercaderías Agropecuarias y Piscícolas</t>
  </si>
  <si>
    <t>Terrenos - Costo</t>
  </si>
  <si>
    <t>Terrenos - Valor Razonable</t>
  </si>
  <si>
    <t>Terrenos - Revaluación</t>
  </si>
  <si>
    <t>Edificaciones - Valor Razonable</t>
  </si>
  <si>
    <t>Maquinarias y Equipos de Explotación - Costo de Adquisición o Construcción</t>
  </si>
  <si>
    <t>Maquinarias y Equipos de Explotación - Revaluación</t>
  </si>
  <si>
    <t>Equipo de Transporte - Costo</t>
  </si>
  <si>
    <t>Equipo de Transporte - Revaluación</t>
  </si>
  <si>
    <t>Muebles y Enseres - Costo</t>
  </si>
  <si>
    <t>Muebles y Enseres - Revaluación</t>
  </si>
  <si>
    <t>Equipos Diversos - Costo</t>
  </si>
  <si>
    <t>Equipos Diversos - Revaluación</t>
  </si>
  <si>
    <t>Herramientas y Unidades de Reemplazo - Costo</t>
  </si>
  <si>
    <t>Herramientas y Unidades de Reemplazo - Revaluación</t>
  </si>
  <si>
    <t>Concesiones, Licencias y Derechos - Costo</t>
  </si>
  <si>
    <t>Concesiones, Licencias y Derechos - Revaluación</t>
  </si>
  <si>
    <t>Patentes y Propiedad Industrial - Costo</t>
  </si>
  <si>
    <t>Patentes y Propiedad Industrial - Revaluación</t>
  </si>
  <si>
    <t>Programas de Computadora (Software) - Costo</t>
  </si>
  <si>
    <t>Programas de Computadora (Software) - Revaluación</t>
  </si>
  <si>
    <t>Costo de Exploración y Desarrollo</t>
  </si>
  <si>
    <t>Costo de Exploración y Desarrollo - Costo</t>
  </si>
  <si>
    <t>Costo de Exploración y Desarrollo - Revaluación</t>
  </si>
  <si>
    <t>Fórmulas, Diseños y Prototipos - Costo</t>
  </si>
  <si>
    <t>Fórmulas, Diseños y Prototipos - Revaluación</t>
  </si>
  <si>
    <t>Reservas de Recursos Extraíbles - Costo</t>
  </si>
  <si>
    <t>Reservas de Recursos Extraíbles - Revaluación</t>
  </si>
  <si>
    <t>Otros Activos Intangibles - Costo</t>
  </si>
  <si>
    <t>Otros Activos Intangibles - Revaluación</t>
  </si>
  <si>
    <t>Activos Biológicos en Producción - Valor Razonable</t>
  </si>
  <si>
    <t>Activos Biológicos en Producción - Costos de Financiación</t>
  </si>
  <si>
    <t>Activos Biológicos en Desarrollo - Valor Razonable</t>
  </si>
  <si>
    <t>Activos Biológicos en Desarrollo - Costos de Financiación</t>
  </si>
  <si>
    <t>Depreciación Acumulada - Inversión Inmobiliaria</t>
  </si>
  <si>
    <t>Inversión Inmobiliaria - Edificaciones</t>
  </si>
  <si>
    <t>Depreciación Acumulada - Inmuebles, Maquinaria y Equipo</t>
  </si>
  <si>
    <t>Edificaciones - Costos de Financiación</t>
  </si>
  <si>
    <t>Depreciación Acumulada - Maquinarias y Equipos de Explotación</t>
  </si>
  <si>
    <t>Maquinarias y Equipos de Explotación - Costos de Financiación</t>
  </si>
  <si>
    <t>Depreciación Acumulada - Equipo de Transporte</t>
  </si>
  <si>
    <t>Depreciación Acumulada - Muebles y Enseres</t>
  </si>
  <si>
    <t>Depreciación Acumulada - Equipos Diversos</t>
  </si>
  <si>
    <t>Depreciación Acumulada - Herramientas y Unidades de Reemplazo</t>
  </si>
  <si>
    <t>Amortización Acumulada - Intangibles</t>
  </si>
  <si>
    <t>Intangibles - Concesiones, Licencias y Derechos</t>
  </si>
  <si>
    <t>Intangibles - Patentes y Propiedad Industrial</t>
  </si>
  <si>
    <t>Intangibles - Programas de Computadora (Software)</t>
  </si>
  <si>
    <t>Intangibles - Costos de Exploración y Desarrollo</t>
  </si>
  <si>
    <t>Costos de Exploración y Desarrollo - Costo</t>
  </si>
  <si>
    <t>Costos de Exploración y Desarrollo - Revaluación</t>
  </si>
  <si>
    <t>Intangibles - Fórmulas, Diseños y Prototipos</t>
  </si>
  <si>
    <t>Intangibles - Reservas de Recursos Extraíbles</t>
  </si>
  <si>
    <t>Intangibles - Otros Activos Intangibles</t>
  </si>
  <si>
    <t>Depreciación Acumulada – Activos Biológicos</t>
  </si>
  <si>
    <t>Desvalorización Acumulada</t>
  </si>
  <si>
    <t>Desvalorización Acumulada - Inversión Inmobiliaria</t>
  </si>
  <si>
    <t>Inversión Inmobiliaria - Terrenos</t>
  </si>
  <si>
    <t>Desvalorización Acumulada - Inmuebles, Maquinaria y Equipo</t>
  </si>
  <si>
    <t>Inmuebles, Maquinaria y Equipo - Equipo de Transporte</t>
  </si>
  <si>
    <t>Desvalorización Acumulada - Intangibles</t>
  </si>
  <si>
    <t>Intangibles - Otros</t>
  </si>
  <si>
    <t>Desvalorización Acumulada - Activos Biológicos</t>
  </si>
  <si>
    <t>Activos Biológicos - Activos Biológicos en Producción</t>
  </si>
  <si>
    <t>Activos Biológicos - Activos Biológicos en Desarrollo</t>
  </si>
  <si>
    <t>DESVALORIZACIÓN DE EXISTENCIAS</t>
  </si>
  <si>
    <t>Valores Emitidos por Otras Entidades</t>
  </si>
  <si>
    <t>Acciones Representativas de Capital Social - Comunes</t>
  </si>
  <si>
    <t>Comunes - Costo</t>
  </si>
  <si>
    <t>Comunes - Valor Razonable</t>
  </si>
  <si>
    <t>Comunes - Participación Patrimonial</t>
  </si>
  <si>
    <t>Acciones Representativas de Capital Social - Preferentes</t>
  </si>
  <si>
    <t>Preferentes - Costo</t>
  </si>
  <si>
    <t>Preferentes - Valor Razonable</t>
  </si>
  <si>
    <t>Preferentes - Participación Patrimonial</t>
  </si>
  <si>
    <t>Acciones Representativas de Capital Social - Acciones de Inversión</t>
  </si>
  <si>
    <t>Acciones de Inversión - Costo</t>
  </si>
  <si>
    <t>Acciones de Inversión - Valor Razonable</t>
  </si>
  <si>
    <t>Acciones de Inversión - Participación Patrimonial</t>
  </si>
  <si>
    <t>Certificados de Participación de Fondos de Inversión</t>
  </si>
  <si>
    <t>Certificados de Participación de Fondos de Inversión - Costo</t>
  </si>
  <si>
    <t>Certificados de Participación de Fondos de Inversión - Valor Razonable</t>
  </si>
  <si>
    <t>Certificados de Participación de Fondos Mutuos</t>
  </si>
  <si>
    <t>Certificados de Participación de Fondos Mutuos - Costo</t>
  </si>
  <si>
    <t>Certificados de Participación de Fondos Mutuos - Valor Razonable</t>
  </si>
  <si>
    <t>Participaciones en Asociaciones en Participación y Consorcios</t>
  </si>
  <si>
    <t>Participaciones en Asociaciones en Participación y Consorcios - Costo</t>
  </si>
  <si>
    <t>Participaciones en Asociaciones en Participación y Consorcios - Valor Razonable</t>
  </si>
  <si>
    <t>Participaciones en Asociaciones en Participación y Consorcios - Participación Patrimonial</t>
  </si>
  <si>
    <t>Otros Títulos Representativos de Patrimonio - Costo</t>
  </si>
  <si>
    <t>Otros Títulos Representativos de Patrimonio - Valor Razonable</t>
  </si>
  <si>
    <t>Inversiones Mobiliarias – Acuerdos de Compra</t>
  </si>
  <si>
    <t>Inversiones a ser Mantenidas hasta el Vencimiento – Acuerdo de Compra</t>
  </si>
  <si>
    <t>Instrumentos Financieros Representativos de Derecho Patrimonial – Acuerdo de Compra</t>
  </si>
  <si>
    <t>Costo de Adquisición o Construcción</t>
  </si>
  <si>
    <t>Equipo para Procesamiento de Información (de Cómputo)</t>
  </si>
  <si>
    <t>Costo de Financiación</t>
  </si>
  <si>
    <t>Edificaciones – Costo de Adquisición o Construcción</t>
  </si>
  <si>
    <t>Edificaciones - Costo de adquisición o Construcción</t>
  </si>
  <si>
    <t>Costos de Exploración y Desarrollo - Costo de Financiación</t>
  </si>
  <si>
    <t>Desvalorización de Activos Biológicos</t>
  </si>
  <si>
    <t>Desvalorización de Inversiones Mobiliarias - Inversiones a ser mantenidas hasta el Vencimiento</t>
  </si>
  <si>
    <t>Desvalorización de Inversiones Mobiliarias - Inversiones Financieras Representativas de Derecho Patrimonial</t>
  </si>
  <si>
    <t>Impuesto a la Renta Diferido – Patrimonio</t>
  </si>
  <si>
    <t>Impuesto a la Renta Diferido – Resultados</t>
  </si>
  <si>
    <t>Intangibles - Costos de Financiación</t>
  </si>
  <si>
    <t>TRIBUTOS, CONTRAPRESTACIONES Y APORTES AL SISTEMA DE PENSIONES Y DE SALUD POR PAGAR</t>
  </si>
  <si>
    <t>Otras Retenciones</t>
  </si>
  <si>
    <t>Otros Impuestos y Contraprestaciones</t>
  </si>
  <si>
    <t>Impuesto Temporal a los Activos Netos</t>
  </si>
  <si>
    <t>Habitat</t>
  </si>
  <si>
    <t>Participaciones de los Trabajadores por Pagar</t>
  </si>
  <si>
    <t>No Emitidas - Matriz</t>
  </si>
  <si>
    <t>No Emitidas - Subsidiarias</t>
  </si>
  <si>
    <t>No Emitidas - Asociadas</t>
  </si>
  <si>
    <t>No Emitidas - Sucursales</t>
  </si>
  <si>
    <t>No Emitidas - Otros</t>
  </si>
  <si>
    <t>Emitidas - Matriz</t>
  </si>
  <si>
    <t>Emitidas - Subsidiarias</t>
  </si>
  <si>
    <t>Emitidas - Asociadas</t>
  </si>
  <si>
    <t>Emitidas - Sucursales</t>
  </si>
  <si>
    <t>Emitidas - Otros</t>
  </si>
  <si>
    <t>Anticipos Otorgados - Matriz</t>
  </si>
  <si>
    <t>Anticipos Otorgados - Subsidiarias</t>
  </si>
  <si>
    <t>Anticipos Otorgados - Asociadas</t>
  </si>
  <si>
    <t>Anticipos Otorgados - Sucursales</t>
  </si>
  <si>
    <t>Anticipos Otorgados - Otros</t>
  </si>
  <si>
    <t>Letras por Pagar - Matriz</t>
  </si>
  <si>
    <t>Letras por Pagar - Subsidiarias</t>
  </si>
  <si>
    <t>Letras por Pagar - Asociadas</t>
  </si>
  <si>
    <t>Letras por Pagar - Sucursales</t>
  </si>
  <si>
    <t>Letras por Pagar - Otros</t>
  </si>
  <si>
    <t>Honorarios por Pagar - Matriz</t>
  </si>
  <si>
    <t>Honorarios por Pagar - Subsidiarias</t>
  </si>
  <si>
    <t>Honorarios por Pagar - Asociadas</t>
  </si>
  <si>
    <t>Honorarios por Pagar - Sucursales</t>
  </si>
  <si>
    <t>Honorarios por Pagar - Otros</t>
  </si>
  <si>
    <t>CUENTAS POR PAGAR A LOS ACCIONISTAS (SOCIOS), DIRECTORES Y GERENTES</t>
  </si>
  <si>
    <t>Bonos Emitidos</t>
  </si>
  <si>
    <t>Bonos Titulizados</t>
  </si>
  <si>
    <t>Otras Obligaciones</t>
  </si>
  <si>
    <t>Pasivos por Instrumentos Financieros</t>
  </si>
  <si>
    <t>Instrumentos Financieros Primarios</t>
  </si>
  <si>
    <t>Instrumentos Financieros Derivados</t>
  </si>
  <si>
    <t>Inversiones Mobiliarias</t>
  </si>
  <si>
    <t>Donaciones Condicionadas</t>
  </si>
  <si>
    <t>Préstamos - Otras</t>
  </si>
  <si>
    <t>Costos de Financiación - Otras</t>
  </si>
  <si>
    <t>Anticipos Recibidos - Otras</t>
  </si>
  <si>
    <t>Inversiones Mobiliarias - Matriz</t>
  </si>
  <si>
    <t>Inversiones Mobiliarias - Subsidiarias</t>
  </si>
  <si>
    <t>Inversiones Mobiliarias - Asociadas</t>
  </si>
  <si>
    <t>Inversiones Mobiliarias - Sucursales</t>
  </si>
  <si>
    <t>Inversiones Mobiliarias - Otras</t>
  </si>
  <si>
    <t>Inversiones Inmobiliarias - Matriz</t>
  </si>
  <si>
    <t>Inversiones Inmobiliarias - Subsidiarias</t>
  </si>
  <si>
    <t>Inversiones Inmobiliarias - Asociadas</t>
  </si>
  <si>
    <t>Inversiones Inmobiliarias - Sucursales</t>
  </si>
  <si>
    <t>Inversiones Inmobiliarias - Otras</t>
  </si>
  <si>
    <t>Activos Adquiridos en Arrendamiento Financiero - Matriz</t>
  </si>
  <si>
    <t>Activos Adquiridos en Arrendamiento Financiero - Subsidiarias</t>
  </si>
  <si>
    <t>Activos Adquiridos en Arrendamiento Financiero - Asociadas</t>
  </si>
  <si>
    <t>Activos Adquiridos en Arrendamiento Financiero - Sucursales</t>
  </si>
  <si>
    <t>Activos Adquiridos en Arrendamiento Financiero - Otras</t>
  </si>
  <si>
    <t>Inmuebles, Maquinaria y Equipo - Matriz</t>
  </si>
  <si>
    <t>Inmuebles, Maquinaria y Equipo - Subsidiarias</t>
  </si>
  <si>
    <t>Inmuebles, Maquinaria y Equipo - Asociadas</t>
  </si>
  <si>
    <t>Inmuebles, Maquinaria y Equipo - Sucursales</t>
  </si>
  <si>
    <t>Inmuebles, Maquinaria y Equipo - Otras</t>
  </si>
  <si>
    <t>Intangibles - Matriz</t>
  </si>
  <si>
    <t>Intangibles - Subsidiarias</t>
  </si>
  <si>
    <t>Intangibles - Asociadas</t>
  </si>
  <si>
    <t>Intangibles - Sucursales</t>
  </si>
  <si>
    <t>Intangibles - Otras</t>
  </si>
  <si>
    <t>Activos Biológicos - Matriz</t>
  </si>
  <si>
    <t>Activos Biológicos - Subsidiarias</t>
  </si>
  <si>
    <t>Activos Biológicos - Asociadas</t>
  </si>
  <si>
    <t>Activos Biológicos - Sucursales</t>
  </si>
  <si>
    <t>Activos Biológicos - Otras</t>
  </si>
  <si>
    <t>Otras Cuentas por Pagar Diversas - Otras</t>
  </si>
  <si>
    <t>Provisión para Garantías</t>
  </si>
  <si>
    <t>Ganancia en Venta con Arrendamiento Financiero Paralelo</t>
  </si>
  <si>
    <t>Subsidios Recibidos Diferidos</t>
  </si>
  <si>
    <t>Costos Diferidos</t>
  </si>
  <si>
    <t>Ganancia o Pérdida en Activos o Pasivos Financieros Disponibles para la Venta – Compra o Venta Convencional Fecha de Liquidación</t>
  </si>
  <si>
    <t>Mercaderías - Mercaderías Agropecuarias y Piscícolas</t>
  </si>
  <si>
    <t>Costos Vinculados con las Compras de Materias Primas</t>
  </si>
  <si>
    <t>Otros Costos Vinculados con las Compras de Materias Primas</t>
  </si>
  <si>
    <t>Costos Vinculados con las Compras de Materiales, Suministros y Repuestos</t>
  </si>
  <si>
    <t>Otros Costos Vinculados con las Compras de Materales, Suministros y Repuestos</t>
  </si>
  <si>
    <t>Costos Vinculados con las Compras de Envases y Embalajes</t>
  </si>
  <si>
    <t>Otros Costos Vinculados con las Compras de Envases y Embalajes</t>
  </si>
  <si>
    <t>Seguridad, Previsión Social y Otras Contribuciones</t>
  </si>
  <si>
    <t>Seguro Complementario de Trabajo de Riesgo, Accidentes de Trabajo y Enfermedades Profesionales</t>
  </si>
  <si>
    <t>Contribuciones al SENCICO y el SENATI</t>
  </si>
  <si>
    <t>Retribuciones al Directorio</t>
  </si>
  <si>
    <t>Transporte, Correos y Gastos de Viaje - Otros Gastos de Viaje</t>
  </si>
  <si>
    <t>Asesoría y Consultoría</t>
  </si>
  <si>
    <t>Asesoría y Consultoría - Administrativa</t>
  </si>
  <si>
    <t>Asesoría y Consultoría - Legal y Tributario</t>
  </si>
  <si>
    <t>Asesoría y Consultoría - Auditoría y Contable</t>
  </si>
  <si>
    <t>Asesoría y Consultoría - Mercadotecnia</t>
  </si>
  <si>
    <t>Asesoría y Consultoría - Medioambiental</t>
  </si>
  <si>
    <t>Asesoría y Consultoría - Investigación y Desarrollo</t>
  </si>
  <si>
    <t>Asesoría y Consultoría - Producción</t>
  </si>
  <si>
    <t>Asesoría y Consultoría - Otros</t>
  </si>
  <si>
    <t>Mantenimiento y Reparación - Inversión Inmobiliaria</t>
  </si>
  <si>
    <t>Mantenimiento y Reparación - Activos Adquiridos en Arrendamiento Financiero</t>
  </si>
  <si>
    <t>Mantenimiento y Reparación - Inmuebles, Maquinaria y Equipo</t>
  </si>
  <si>
    <t>Mantenimiento y Reparación - Intangibles</t>
  </si>
  <si>
    <t>Mantenimiento y Reparación - Activos Biológicos</t>
  </si>
  <si>
    <t>Impuesto General a las Ventas y Selectivo al Consumo</t>
  </si>
  <si>
    <t>Impuesto a los Juegos de Casino y Máquinas Tragamonedas</t>
  </si>
  <si>
    <t>Regalías Mineras</t>
  </si>
  <si>
    <t>Gobierno Regional</t>
  </si>
  <si>
    <t>Gobierno Local</t>
  </si>
  <si>
    <t>Arbitrios Municipales y Seguridad Ciudadana</t>
  </si>
  <si>
    <t>Licencia de Funcionamiento</t>
  </si>
  <si>
    <t>Otros Gastos por Tributos</t>
  </si>
  <si>
    <t>Operaciones Discontinuadas – Abandono de Activos</t>
  </si>
  <si>
    <t>Gestión Medioambiental</t>
  </si>
  <si>
    <t>Gastos en Operaciones de Factoraje (Factoring)</t>
  </si>
  <si>
    <t>Gastos por Menor Valor</t>
  </si>
  <si>
    <t>Inversiones para Negociación</t>
  </si>
  <si>
    <t>Participación en Resultados de Entidades Relacionadas</t>
  </si>
  <si>
    <t>Participaciones en Negocios Conjuntos</t>
  </si>
  <si>
    <t>Intereses por Demora con las AFP's</t>
  </si>
  <si>
    <t>Intereses por Demora en el Pago de Tributos</t>
  </si>
  <si>
    <t>Depreciación de Activos Adquiridos en Arrendamiento Financiero - Inmuebles, Maquinaria y Equipo</t>
  </si>
  <si>
    <t>Cuentas por Cobrar Comerciales – Terceros</t>
  </si>
  <si>
    <t>Cuentas por Cobrar Comerciales – Relacionadas</t>
  </si>
  <si>
    <t>Cuentas por Cobrar Diversas – Terceros</t>
  </si>
  <si>
    <t>Cuentas por Cobrar Diversas – Relacionadas</t>
  </si>
  <si>
    <t>Provisión para Protección y Remediación del Medio Ambiente - Costo</t>
  </si>
  <si>
    <t>Provisión para Protección y Remediación del Medio Ambiente - Actualización Financiera</t>
  </si>
  <si>
    <t>Provisión para Garantías - Costo</t>
  </si>
  <si>
    <t>Provisión para Garantías - Actualización Financiera</t>
  </si>
  <si>
    <t>Costos de Producción No Absorbido – Productos Terminados</t>
  </si>
  <si>
    <t>Costo de Ineficiencia – Productos Terminados</t>
  </si>
  <si>
    <t>Gastos por Desvalorización de Existencias</t>
  </si>
  <si>
    <t>Productos Terminados - Productos Agropecuarios y Piscícolas Terminados</t>
  </si>
  <si>
    <t>Recuperación de Deterioro de Inversiones Inmobiliarias</t>
  </si>
  <si>
    <t>Recuperación de Deterioro de Inmuebles, Maquinaria y Equipo</t>
  </si>
  <si>
    <t>Recuperación de Deterioro de Intangibles</t>
  </si>
  <si>
    <t>Recuperación de Deterioro de Activos Biológicos</t>
  </si>
  <si>
    <t>Reclamos al Seguro</t>
  </si>
  <si>
    <t>Ingresos en Operaciones de Factoraje (Factoring)</t>
  </si>
  <si>
    <t>Inversiones Mantenidas para Negociación</t>
  </si>
  <si>
    <t>DERECHOS SOBRE INSTRUMENTOS FINANCIEROS</t>
  </si>
  <si>
    <t>Primarios</t>
  </si>
  <si>
    <t>Derivados</t>
  </si>
  <si>
    <t>COMPROMISOS SOBRE INSTRUMENTOS FINANCIEROS</t>
  </si>
  <si>
    <t>A PAGAR</t>
  </si>
  <si>
    <t>FACTOR</t>
  </si>
  <si>
    <t>REMUNERACIONES</t>
  </si>
  <si>
    <t>TRABAJADORES</t>
  </si>
  <si>
    <t>N° DE DÍAS</t>
  </si>
  <si>
    <t>50% x sueldos</t>
  </si>
  <si>
    <t>50% x los días</t>
  </si>
  <si>
    <t>A distribuir</t>
  </si>
  <si>
    <t>Porcentaje</t>
  </si>
  <si>
    <t>Base Imponible</t>
  </si>
  <si>
    <t>Utilidad Contable</t>
  </si>
  <si>
    <t>Participación de</t>
  </si>
  <si>
    <t>Trabajadores :</t>
  </si>
  <si>
    <t>Efecto acumulado de los cambios en las políticas contables y la corrección
 de errores sustanciales</t>
  </si>
  <si>
    <t>Utilidad Neta :</t>
  </si>
  <si>
    <t>COMERCIALIZACION DE ARTEFACTOS ELECTRODOMESTICOS</t>
  </si>
  <si>
    <t>LOS BAILARINES SRL</t>
  </si>
  <si>
    <t>MARZO</t>
  </si>
  <si>
    <t>AV. INDUSTRIAL N°2178</t>
  </si>
  <si>
    <t>N° 248-0245541-1-05</t>
  </si>
  <si>
    <t>Por el activo y neto patrimonial en el incio del ejercicio</t>
  </si>
  <si>
    <t>por el destino de las mercaderias</t>
  </si>
  <si>
    <t>por los honorarios de la asesoria contable</t>
  </si>
  <si>
    <t>por el destino de los honorarios de la aseroria contable</t>
  </si>
  <si>
    <t>por la compra de la mercaderia</t>
  </si>
  <si>
    <t>por el destino de la compra</t>
  </si>
  <si>
    <t>por la venta de mercaderias</t>
  </si>
  <si>
    <t>por el pago con cheque "LAS BANDIDAS SA"</t>
  </si>
  <si>
    <t>por el servicio de agua</t>
  </si>
  <si>
    <t>Por el consumo de agua en el presente período.</t>
  </si>
  <si>
    <t>Por la compra de suministros de oficina en el presente período.</t>
  </si>
  <si>
    <t>Por el destino de las compras de suministros de oficina en el presente período.</t>
  </si>
  <si>
    <t>Por el pago con cheque de la compra de suministros en el presente período.</t>
  </si>
  <si>
    <t>Por la planilla de sueldos del presente período.</t>
  </si>
  <si>
    <t>Por el destino de la planilla de sueldos del presente periodo</t>
  </si>
  <si>
    <t>Por la depreciación de activo fijo del presente período.</t>
  </si>
  <si>
    <t>EMELINA LEYVA BOLAÑOS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</si>
</sst>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&quot;S/.&quot;* #,##0.00_ ;_ &quot;S/.&quot;* \-#,##0.00_ ;_ &quot;S/.&quot;* &quot;-&quot;??_ ;_ @_ "/>
    <numFmt numFmtId="165" formatCode="_(* #,##0.00_);_(* \(#,##0.00\);_(* &quot;-&quot;??_);_(@_)"/>
    <numFmt numFmtId="166" formatCode="_(&quot;S/.&quot;\ * #,##0.00_);_(&quot;S/.&quot;\ * \(#,##0.00\);_(&quot;S/.&quot;\ * &quot;-&quot;??_);_(@_)"/>
    <numFmt numFmtId="167" formatCode="0.0000"/>
    <numFmt numFmtId="168" formatCode="0.0000%"/>
    <numFmt numFmtId="169" formatCode="000"/>
    <numFmt numFmtId="170" formatCode="00"/>
    <numFmt numFmtId="171" formatCode="0000"/>
    <numFmt numFmtId="172" formatCode="00000"/>
    <numFmt numFmtId="173" formatCode="00000000000"/>
    <numFmt numFmtId="174" formatCode="dd\-mmm\-yyyy"/>
    <numFmt numFmtId="175" formatCode="_ [$€-2]* #,##0.00_ ;_ [$€-2]* \-#,##0.00_ ;_ [$€-2]* &quot;-&quot;??_ "/>
    <numFmt numFmtId="176" formatCode="0."/>
    <numFmt numFmtId="177" formatCode="0.00000%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8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0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8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3"/>
      <color indexed="12"/>
      <name val="Calibri"/>
      <family val="2"/>
    </font>
    <font>
      <b/>
      <sz val="13"/>
      <color indexed="14"/>
      <name val="Calibri"/>
      <family val="2"/>
    </font>
    <font>
      <b/>
      <sz val="12"/>
      <color indexed="14"/>
      <name val="Calibri"/>
      <family val="2"/>
    </font>
    <font>
      <sz val="10.5"/>
      <name val="Calibri"/>
      <family val="2"/>
    </font>
    <font>
      <b/>
      <sz val="10.5"/>
      <color indexed="61"/>
      <name val="Calibri"/>
      <family val="2"/>
    </font>
    <font>
      <b/>
      <sz val="10.5"/>
      <color indexed="14"/>
      <name val="Calibri"/>
      <family val="2"/>
    </font>
    <font>
      <b/>
      <sz val="10.5"/>
      <color indexed="10"/>
      <name val="Calibri"/>
      <family val="2"/>
    </font>
    <font>
      <b/>
      <sz val="10.5"/>
      <color indexed="12"/>
      <name val="Calibri"/>
      <family val="2"/>
    </font>
    <font>
      <b/>
      <sz val="10.5"/>
      <color indexed="9"/>
      <name val="Calibri"/>
      <family val="2"/>
    </font>
    <font>
      <b/>
      <sz val="10"/>
      <name val="Calibri"/>
      <family val="2"/>
    </font>
    <font>
      <b/>
      <i/>
      <sz val="12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10.5"/>
      <color indexed="9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name val="Arial"/>
      <family val="2"/>
    </font>
    <font>
      <i/>
      <sz val="10"/>
      <color rgb="FFFF0000"/>
      <name val="Calibri"/>
      <family val="2"/>
    </font>
    <font>
      <b/>
      <sz val="12"/>
      <color rgb="FF0000FF"/>
      <name val="Calibri"/>
      <family val="2"/>
    </font>
    <font>
      <sz val="10"/>
      <color rgb="FF333399"/>
      <name val="Calibri"/>
      <family val="2"/>
    </font>
    <font>
      <b/>
      <sz val="10"/>
      <color rgb="FF0000FF"/>
      <name val="Calibri"/>
      <family val="2"/>
    </font>
    <font>
      <sz val="10"/>
      <name val="Arial"/>
      <family val="2"/>
    </font>
    <font>
      <b/>
      <i/>
      <sz val="10.5"/>
      <color rgb="FF0000FF"/>
      <name val="Calibri"/>
      <family val="2"/>
    </font>
    <font>
      <sz val="11"/>
      <color indexed="8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6" tint="-0.249977111117893"/>
      <name val="Calibri"/>
      <family val="2"/>
    </font>
    <font>
      <b/>
      <sz val="12"/>
      <color theme="6" tint="-0.24997711111789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 style="hair">
        <color indexed="16"/>
      </right>
      <top/>
      <bottom/>
      <diagonal/>
    </border>
    <border>
      <left/>
      <right style="hair">
        <color indexed="16"/>
      </right>
      <top/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hair">
        <color indexed="60"/>
      </left>
      <right style="hair">
        <color indexed="60"/>
      </right>
      <top style="hair">
        <color indexed="60"/>
      </top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 style="hair">
        <color indexed="60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double">
        <color rgb="FF0000FF"/>
      </right>
      <top/>
      <bottom style="thin">
        <color rgb="FF0000FF"/>
      </bottom>
      <diagonal/>
    </border>
    <border>
      <left style="double">
        <color rgb="FF0000FF"/>
      </left>
      <right style="medium">
        <color rgb="FF0000FF"/>
      </right>
      <top/>
      <bottom style="thin">
        <color rgb="FF0000FF"/>
      </bottom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 style="medium">
        <color rgb="FF0000FF"/>
      </left>
      <right style="double">
        <color rgb="FF0000FF"/>
      </right>
      <top/>
      <bottom style="thin">
        <color rgb="FF0000FF"/>
      </bottom>
      <diagonal/>
    </border>
    <border>
      <left style="double">
        <color rgb="FF0000FF"/>
      </left>
      <right style="medium">
        <color rgb="FF0000FF"/>
      </right>
      <top style="thin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 style="medium">
        <color rgb="FF0000FF"/>
      </bottom>
      <diagonal/>
    </border>
    <border>
      <left style="double">
        <color rgb="FF0000FF"/>
      </left>
      <right style="double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double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/>
      <diagonal/>
    </border>
    <border>
      <left style="double">
        <color rgb="FF0000FF"/>
      </left>
      <right style="double">
        <color rgb="FF0000FF"/>
      </right>
      <top style="medium">
        <color rgb="FF0000FF"/>
      </top>
      <bottom/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 style="medium">
        <color rgb="FF0000FF"/>
      </right>
      <top/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/>
      <bottom/>
      <diagonal/>
    </border>
    <border>
      <left style="double">
        <color rgb="FF0000FF"/>
      </left>
      <right style="double">
        <color rgb="FF0000FF"/>
      </right>
      <top/>
      <bottom style="thin">
        <color indexed="64"/>
      </bottom>
      <diagonal/>
    </border>
    <border>
      <left style="medium">
        <color rgb="FF0000FF"/>
      </left>
      <right style="double">
        <color rgb="FF0000FF"/>
      </right>
      <top/>
      <bottom/>
      <diagonal/>
    </border>
    <border>
      <left style="double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double">
        <color rgb="FF0000FF"/>
      </right>
      <top/>
      <bottom style="medium">
        <color rgb="FF0000FF"/>
      </bottom>
      <diagonal/>
    </border>
    <border>
      <left style="double">
        <color rgb="FF0000FF"/>
      </left>
      <right style="double">
        <color rgb="FF0000FF"/>
      </right>
      <top/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double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medium">
        <color rgb="FF0000FF"/>
      </top>
      <bottom style="double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medium">
        <color rgb="FF0000FF"/>
      </right>
      <top style="double">
        <color rgb="FF0000FF"/>
      </top>
      <bottom style="thin">
        <color rgb="FF0000FF"/>
      </bottom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thin">
        <color indexed="64"/>
      </top>
      <bottom/>
      <diagonal/>
    </border>
    <border>
      <left style="double">
        <color rgb="FF0000FF"/>
      </left>
      <right style="double">
        <color rgb="FF0000FF"/>
      </right>
      <top style="thin">
        <color indexed="64"/>
      </top>
      <bottom/>
      <diagonal/>
    </border>
    <border>
      <left style="double">
        <color rgb="FF0000FF"/>
      </left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 style="double">
        <color rgb="FF0000FF"/>
      </right>
      <top/>
      <bottom style="thin">
        <color indexed="64"/>
      </bottom>
      <diagonal/>
    </border>
    <border>
      <left style="double">
        <color rgb="FF0000FF"/>
      </left>
      <right style="medium">
        <color rgb="FF0000FF"/>
      </right>
      <top/>
      <bottom style="thin">
        <color indexed="64"/>
      </bottom>
      <diagonal/>
    </border>
  </borders>
  <cellStyleXfs count="145">
    <xf numFmtId="0" fontId="0" fillId="0" borderId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0" fontId="18" fillId="4" borderId="2" applyNumberFormat="0" applyAlignment="0" applyProtection="0"/>
    <xf numFmtId="0" fontId="17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14" fillId="17" borderId="1" applyNumberFormat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6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1" fillId="18" borderId="0" applyNumberFormat="0" applyBorder="0" applyAlignment="0" applyProtection="0"/>
    <xf numFmtId="165" fontId="2" fillId="0" borderId="0" applyFont="0" applyFill="0" applyBorder="0" applyAlignment="0" applyProtection="0"/>
    <xf numFmtId="0" fontId="12" fillId="19" borderId="0" applyNumberFormat="0" applyBorder="0" applyAlignment="0" applyProtection="0"/>
    <xf numFmtId="0" fontId="3" fillId="0" borderId="0"/>
    <xf numFmtId="0" fontId="21" fillId="0" borderId="0"/>
    <xf numFmtId="0" fontId="3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2" fillId="0" borderId="0"/>
    <xf numFmtId="0" fontId="3" fillId="0" borderId="0"/>
    <xf numFmtId="0" fontId="5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3" fillId="12" borderId="4" applyNumberFormat="0" applyFont="0" applyAlignment="0" applyProtection="0"/>
    <xf numFmtId="0" fontId="15" fillId="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175" fontId="7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12" borderId="4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</cellStyleXfs>
  <cellXfs count="350">
    <xf numFmtId="0" fontId="0" fillId="0" borderId="0" xfId="0"/>
    <xf numFmtId="0" fontId="23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50" fillId="0" borderId="0" xfId="0" applyFont="1" applyFill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54" fillId="0" borderId="0" xfId="0" applyFont="1" applyFill="1" applyAlignment="1" applyProtection="1">
      <alignment vertical="center"/>
    </xf>
    <xf numFmtId="164" fontId="56" fillId="0" borderId="0" xfId="0" applyNumberFormat="1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28" fillId="0" borderId="0" xfId="0" applyFont="1" applyAlignment="1" applyProtection="1">
      <alignment vertical="center"/>
    </xf>
    <xf numFmtId="164" fontId="23" fillId="0" borderId="0" xfId="0" applyNumberFormat="1" applyFont="1" applyAlignment="1" applyProtection="1">
      <alignment vertical="center"/>
    </xf>
    <xf numFmtId="164" fontId="27" fillId="21" borderId="10" xfId="0" applyNumberFormat="1" applyFont="1" applyFill="1" applyBorder="1" applyAlignment="1" applyProtection="1">
      <alignment vertical="center"/>
    </xf>
    <xf numFmtId="164" fontId="27" fillId="21" borderId="11" xfId="0" applyNumberFormat="1" applyFont="1" applyFill="1" applyBorder="1" applyAlignment="1" applyProtection="1">
      <alignment vertical="center"/>
    </xf>
    <xf numFmtId="164" fontId="42" fillId="0" borderId="0" xfId="0" applyNumberFormat="1" applyFont="1" applyAlignment="1" applyProtection="1">
      <alignment vertical="center"/>
    </xf>
    <xf numFmtId="167" fontId="56" fillId="0" borderId="0" xfId="0" applyNumberFormat="1" applyFont="1" applyAlignment="1" applyProtection="1">
      <alignment vertical="center"/>
    </xf>
    <xf numFmtId="168" fontId="56" fillId="0" borderId="0" xfId="0" applyNumberFormat="1" applyFont="1" applyAlignment="1" applyProtection="1">
      <alignment vertical="center"/>
    </xf>
    <xf numFmtId="164" fontId="56" fillId="0" borderId="0" xfId="0" applyNumberFormat="1" applyFont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8" fillId="20" borderId="0" xfId="0" applyFont="1" applyFill="1" applyAlignment="1" applyProtection="1">
      <alignment horizontal="center" vertical="center"/>
    </xf>
    <xf numFmtId="0" fontId="38" fillId="22" borderId="0" xfId="0" applyFont="1" applyFill="1" applyAlignment="1" applyProtection="1">
      <alignment horizontal="center" vertical="center"/>
    </xf>
    <xf numFmtId="0" fontId="32" fillId="20" borderId="0" xfId="0" applyFont="1" applyFill="1" applyAlignment="1" applyProtection="1">
      <alignment vertical="center"/>
    </xf>
    <xf numFmtId="0" fontId="32" fillId="22" borderId="0" xfId="0" applyFont="1" applyFill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166" fontId="32" fillId="20" borderId="0" xfId="0" applyNumberFormat="1" applyFont="1" applyFill="1" applyAlignment="1" applyProtection="1">
      <alignment vertical="center"/>
    </xf>
    <xf numFmtId="166" fontId="32" fillId="22" borderId="0" xfId="0" applyNumberFormat="1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166" fontId="33" fillId="20" borderId="0" xfId="0" applyNumberFormat="1" applyFont="1" applyFill="1" applyAlignment="1" applyProtection="1">
      <alignment vertical="center"/>
    </xf>
    <xf numFmtId="166" fontId="33" fillId="22" borderId="0" xfId="0" applyNumberFormat="1" applyFont="1" applyFill="1" applyAlignment="1" applyProtection="1">
      <alignment vertical="center"/>
    </xf>
    <xf numFmtId="166" fontId="57" fillId="20" borderId="0" xfId="0" applyNumberFormat="1" applyFont="1" applyFill="1" applyAlignment="1" applyProtection="1">
      <alignment vertical="center"/>
    </xf>
    <xf numFmtId="166" fontId="57" fillId="22" borderId="0" xfId="0" applyNumberFormat="1" applyFont="1" applyFill="1" applyAlignment="1" applyProtection="1">
      <alignment vertical="center"/>
    </xf>
    <xf numFmtId="166" fontId="31" fillId="20" borderId="13" xfId="0" applyNumberFormat="1" applyFont="1" applyFill="1" applyBorder="1" applyAlignment="1" applyProtection="1">
      <alignment vertical="center"/>
    </xf>
    <xf numFmtId="166" fontId="41" fillId="22" borderId="14" xfId="0" applyNumberFormat="1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166" fontId="39" fillId="20" borderId="13" xfId="0" applyNumberFormat="1" applyFont="1" applyFill="1" applyBorder="1" applyAlignment="1" applyProtection="1">
      <alignment vertical="center"/>
    </xf>
    <xf numFmtId="166" fontId="40" fillId="22" borderId="14" xfId="0" applyNumberFormat="1" applyFont="1" applyFill="1" applyBorder="1" applyAlignment="1" applyProtection="1">
      <alignment vertical="center"/>
    </xf>
    <xf numFmtId="0" fontId="57" fillId="0" borderId="0" xfId="0" applyFont="1" applyAlignment="1" applyProtection="1">
      <alignment vertical="center"/>
    </xf>
    <xf numFmtId="0" fontId="61" fillId="0" borderId="0" xfId="0" applyFont="1" applyAlignment="1" applyProtection="1">
      <alignment vertical="center"/>
    </xf>
    <xf numFmtId="0" fontId="62" fillId="0" borderId="0" xfId="0" applyFont="1" applyAlignment="1" applyProtection="1">
      <alignment vertical="center"/>
    </xf>
    <xf numFmtId="0" fontId="63" fillId="0" borderId="0" xfId="0" applyFont="1" applyBorder="1" applyAlignment="1" applyProtection="1">
      <alignment horizontal="center" vertical="center"/>
    </xf>
    <xf numFmtId="0" fontId="63" fillId="0" borderId="0" xfId="0" applyFont="1" applyBorder="1" applyAlignment="1" applyProtection="1">
      <alignment vertical="center"/>
    </xf>
    <xf numFmtId="0" fontId="61" fillId="0" borderId="15" xfId="0" applyFont="1" applyFill="1" applyBorder="1" applyAlignment="1" applyProtection="1">
      <alignment horizontal="center" vertical="center"/>
    </xf>
    <xf numFmtId="0" fontId="61" fillId="0" borderId="16" xfId="0" applyFont="1" applyFill="1" applyBorder="1" applyAlignment="1" applyProtection="1">
      <alignment horizontal="left" vertical="center"/>
    </xf>
    <xf numFmtId="0" fontId="61" fillId="0" borderId="17" xfId="0" applyFont="1" applyFill="1" applyBorder="1" applyAlignment="1" applyProtection="1">
      <alignment horizontal="center" vertical="center"/>
    </xf>
    <xf numFmtId="0" fontId="61" fillId="0" borderId="18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 applyProtection="1">
      <alignment vertical="center"/>
    </xf>
    <xf numFmtId="0" fontId="61" fillId="0" borderId="0" xfId="0" applyFont="1" applyFill="1" applyAlignment="1" applyProtection="1">
      <alignment vertical="center"/>
    </xf>
    <xf numFmtId="1" fontId="61" fillId="0" borderId="15" xfId="0" applyNumberFormat="1" applyFont="1" applyFill="1" applyBorder="1" applyAlignment="1" applyProtection="1">
      <alignment horizontal="center" vertical="center"/>
    </xf>
    <xf numFmtId="0" fontId="61" fillId="0" borderId="16" xfId="0" applyFont="1" applyFill="1" applyBorder="1" applyAlignment="1" applyProtection="1">
      <alignment vertical="center"/>
    </xf>
    <xf numFmtId="1" fontId="61" fillId="0" borderId="17" xfId="0" applyNumberFormat="1" applyFont="1" applyFill="1" applyBorder="1" applyAlignment="1" applyProtection="1">
      <alignment horizontal="center" vertical="center"/>
    </xf>
    <xf numFmtId="0" fontId="61" fillId="0" borderId="18" xfId="0" applyFont="1" applyFill="1" applyBorder="1" applyAlignment="1" applyProtection="1">
      <alignment vertical="center"/>
    </xf>
    <xf numFmtId="1" fontId="61" fillId="0" borderId="19" xfId="0" applyNumberFormat="1" applyFont="1" applyFill="1" applyBorder="1" applyAlignment="1" applyProtection="1">
      <alignment horizontal="center" vertical="center"/>
    </xf>
    <xf numFmtId="0" fontId="61" fillId="0" borderId="20" xfId="0" applyFont="1" applyFill="1" applyBorder="1" applyAlignment="1" applyProtection="1">
      <alignment vertical="center"/>
    </xf>
    <xf numFmtId="1" fontId="61" fillId="0" borderId="0" xfId="0" applyNumberFormat="1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vertical="center"/>
    </xf>
    <xf numFmtId="1" fontId="61" fillId="0" borderId="15" xfId="0" applyNumberFormat="1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Alignment="1" applyProtection="1">
      <alignment horizontal="center" vertical="center"/>
    </xf>
    <xf numFmtId="0" fontId="63" fillId="0" borderId="0" xfId="0" applyFont="1" applyFill="1" applyAlignment="1" applyProtection="1">
      <alignment vertical="center"/>
    </xf>
    <xf numFmtId="0" fontId="61" fillId="23" borderId="15" xfId="0" applyFont="1" applyFill="1" applyBorder="1" applyAlignment="1" applyProtection="1">
      <alignment horizontal="center" vertical="center"/>
    </xf>
    <xf numFmtId="0" fontId="61" fillId="23" borderId="17" xfId="0" applyFont="1" applyFill="1" applyBorder="1" applyAlignment="1" applyProtection="1">
      <alignment horizontal="center" vertical="center"/>
    </xf>
    <xf numFmtId="0" fontId="61" fillId="23" borderId="18" xfId="0" applyFont="1" applyFill="1" applyBorder="1" applyAlignment="1" applyProtection="1">
      <alignment vertical="center"/>
    </xf>
    <xf numFmtId="0" fontId="61" fillId="23" borderId="19" xfId="0" applyFont="1" applyFill="1" applyBorder="1" applyAlignment="1" applyProtection="1">
      <alignment horizontal="center" vertical="center"/>
    </xf>
    <xf numFmtId="0" fontId="61" fillId="23" borderId="20" xfId="0" applyFont="1" applyFill="1" applyBorder="1" applyAlignment="1" applyProtection="1">
      <alignment vertical="center"/>
    </xf>
    <xf numFmtId="0" fontId="61" fillId="0" borderId="19" xfId="0" applyFont="1" applyFill="1" applyBorder="1" applyAlignment="1" applyProtection="1">
      <alignment horizontal="center" vertical="center"/>
    </xf>
    <xf numFmtId="0" fontId="61" fillId="0" borderId="20" xfId="0" applyFont="1" applyFill="1" applyBorder="1" applyAlignment="1" applyProtection="1">
      <alignment horizontal="left" vertical="center"/>
    </xf>
    <xf numFmtId="0" fontId="61" fillId="0" borderId="0" xfId="0" applyFont="1" applyBorder="1" applyAlignment="1" applyProtection="1">
      <alignment horizontal="center" vertical="center"/>
    </xf>
    <xf numFmtId="0" fontId="61" fillId="0" borderId="0" xfId="0" applyFont="1" applyBorder="1" applyAlignment="1" applyProtection="1">
      <alignment horizontal="left" vertical="center"/>
    </xf>
    <xf numFmtId="0" fontId="61" fillId="0" borderId="0" xfId="0" applyFont="1" applyBorder="1" applyAlignment="1" applyProtection="1">
      <alignment vertical="center"/>
    </xf>
    <xf numFmtId="0" fontId="61" fillId="0" borderId="0" xfId="0" applyFont="1" applyFill="1" applyBorder="1" applyAlignment="1" applyProtection="1">
      <alignment horizontal="left" vertical="center"/>
    </xf>
    <xf numFmtId="0" fontId="61" fillId="0" borderId="18" xfId="0" applyFont="1" applyBorder="1" applyAlignment="1" applyProtection="1">
      <alignment vertical="center"/>
    </xf>
    <xf numFmtId="0" fontId="61" fillId="0" borderId="20" xfId="0" applyFont="1" applyBorder="1" applyAlignment="1" applyProtection="1">
      <alignment vertical="center"/>
    </xf>
    <xf numFmtId="0" fontId="61" fillId="0" borderId="21" xfId="0" applyFont="1" applyBorder="1" applyAlignment="1" applyProtection="1">
      <alignment vertical="center"/>
    </xf>
    <xf numFmtId="0" fontId="61" fillId="0" borderId="22" xfId="0" applyFont="1" applyBorder="1" applyAlignment="1" applyProtection="1">
      <alignment vertical="center"/>
    </xf>
    <xf numFmtId="0" fontId="61" fillId="0" borderId="23" xfId="0" applyFont="1" applyBorder="1" applyAlignment="1" applyProtection="1">
      <alignment vertical="center"/>
    </xf>
    <xf numFmtId="0" fontId="23" fillId="0" borderId="20" xfId="69" applyFont="1" applyFill="1" applyBorder="1" applyAlignment="1" applyProtection="1">
      <alignment vertical="center"/>
    </xf>
    <xf numFmtId="1" fontId="23" fillId="0" borderId="19" xfId="69" applyNumberFormat="1" applyFont="1" applyFill="1" applyBorder="1" applyAlignment="1" applyProtection="1">
      <alignment horizontal="center" vertical="center"/>
    </xf>
    <xf numFmtId="0" fontId="23" fillId="0" borderId="18" xfId="69" applyFont="1" applyFill="1" applyBorder="1" applyAlignment="1" applyProtection="1">
      <alignment vertical="center"/>
    </xf>
    <xf numFmtId="1" fontId="23" fillId="0" borderId="17" xfId="69" applyNumberFormat="1" applyFont="1" applyFill="1" applyBorder="1" applyAlignment="1" applyProtection="1">
      <alignment horizontal="center" vertical="center"/>
    </xf>
    <xf numFmtId="0" fontId="23" fillId="0" borderId="16" xfId="69" applyFont="1" applyFill="1" applyBorder="1" applyAlignment="1" applyProtection="1">
      <alignment vertical="center"/>
    </xf>
    <xf numFmtId="1" fontId="23" fillId="0" borderId="15" xfId="69" applyNumberFormat="1" applyFont="1" applyFill="1" applyBorder="1" applyAlignment="1" applyProtection="1">
      <alignment horizontal="center" vertical="center"/>
    </xf>
    <xf numFmtId="0" fontId="23" fillId="0" borderId="20" xfId="69" applyFont="1" applyFill="1" applyBorder="1" applyAlignment="1" applyProtection="1">
      <alignment horizontal="left" vertical="center"/>
    </xf>
    <xf numFmtId="0" fontId="23" fillId="0" borderId="19" xfId="69" applyFont="1" applyFill="1" applyBorder="1" applyAlignment="1" applyProtection="1">
      <alignment horizontal="center" vertical="center"/>
    </xf>
    <xf numFmtId="0" fontId="23" fillId="0" borderId="18" xfId="69" applyFont="1" applyFill="1" applyBorder="1" applyAlignment="1" applyProtection="1">
      <alignment horizontal="left" vertical="center"/>
    </xf>
    <xf numFmtId="0" fontId="23" fillId="0" borderId="17" xfId="69" applyFont="1" applyFill="1" applyBorder="1" applyAlignment="1" applyProtection="1">
      <alignment horizontal="center" vertical="center"/>
    </xf>
    <xf numFmtId="0" fontId="23" fillId="0" borderId="16" xfId="69" applyFont="1" applyFill="1" applyBorder="1" applyAlignment="1" applyProtection="1">
      <alignment horizontal="left" vertical="center"/>
    </xf>
    <xf numFmtId="0" fontId="23" fillId="0" borderId="15" xfId="69" applyFont="1" applyFill="1" applyBorder="1" applyAlignment="1" applyProtection="1">
      <alignment horizontal="center" vertical="center"/>
    </xf>
    <xf numFmtId="0" fontId="48" fillId="0" borderId="0" xfId="69" applyFont="1" applyFill="1" applyBorder="1" applyAlignment="1" applyProtection="1">
      <alignment vertical="center"/>
    </xf>
    <xf numFmtId="0" fontId="23" fillId="0" borderId="20" xfId="0" applyNumberFormat="1" applyFont="1" applyFill="1" applyBorder="1" applyAlignment="1" applyProtection="1">
      <alignment vertical="center"/>
    </xf>
    <xf numFmtId="170" fontId="23" fillId="0" borderId="19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vertical="center"/>
    </xf>
    <xf numFmtId="170" fontId="23" fillId="0" borderId="17" xfId="0" applyNumberFormat="1" applyFont="1" applyFill="1" applyBorder="1" applyAlignment="1" applyProtection="1">
      <alignment horizontal="center" vertical="center"/>
    </xf>
    <xf numFmtId="0" fontId="23" fillId="0" borderId="16" xfId="0" applyNumberFormat="1" applyFont="1" applyFill="1" applyBorder="1" applyAlignment="1" applyProtection="1">
      <alignment vertical="center"/>
    </xf>
    <xf numFmtId="170" fontId="23" fillId="0" borderId="15" xfId="0" applyNumberFormat="1" applyFont="1" applyFill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>
      <alignment horizontal="center" vertical="center"/>
    </xf>
    <xf numFmtId="0" fontId="64" fillId="0" borderId="0" xfId="0" applyFont="1" applyAlignment="1" applyProtection="1">
      <alignment vertical="center"/>
    </xf>
    <xf numFmtId="169" fontId="23" fillId="0" borderId="19" xfId="0" applyNumberFormat="1" applyFont="1" applyFill="1" applyBorder="1" applyAlignment="1" applyProtection="1">
      <alignment horizontal="center" vertical="center"/>
    </xf>
    <xf numFmtId="169" fontId="23" fillId="0" borderId="17" xfId="0" applyNumberFormat="1" applyFont="1" applyFill="1" applyBorder="1" applyAlignment="1" applyProtection="1">
      <alignment horizontal="center" vertical="center"/>
    </xf>
    <xf numFmtId="169" fontId="23" fillId="0" borderId="15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vertical="center" wrapText="1"/>
    </xf>
    <xf numFmtId="1" fontId="23" fillId="0" borderId="18" xfId="0" applyNumberFormat="1" applyFont="1" applyFill="1" applyBorder="1" applyAlignment="1" applyProtection="1">
      <alignment vertical="center"/>
    </xf>
    <xf numFmtId="1" fontId="23" fillId="0" borderId="18" xfId="0" applyNumberFormat="1" applyFont="1" applyFill="1" applyBorder="1" applyAlignment="1" applyProtection="1">
      <alignment vertical="center" wrapText="1"/>
    </xf>
    <xf numFmtId="1" fontId="23" fillId="0" borderId="16" xfId="0" applyNumberFormat="1" applyFont="1" applyFill="1" applyBorder="1" applyAlignment="1" applyProtection="1">
      <alignment vertical="center"/>
    </xf>
    <xf numFmtId="1" fontId="23" fillId="0" borderId="19" xfId="0" applyNumberFormat="1" applyFont="1" applyFill="1" applyBorder="1" applyAlignment="1" applyProtection="1">
      <alignment horizontal="center" vertical="center"/>
    </xf>
    <xf numFmtId="1" fontId="23" fillId="0" borderId="17" xfId="0" applyNumberFormat="1" applyFont="1" applyFill="1" applyBorder="1" applyAlignment="1" applyProtection="1">
      <alignment horizontal="center" vertical="center"/>
    </xf>
    <xf numFmtId="1" fontId="23" fillId="0" borderId="15" xfId="0" applyNumberFormat="1" applyFont="1" applyFill="1" applyBorder="1" applyAlignment="1" applyProtection="1">
      <alignment horizontal="center" vertical="center"/>
    </xf>
    <xf numFmtId="1" fontId="61" fillId="0" borderId="15" xfId="0" applyNumberFormat="1" applyFont="1" applyFill="1" applyBorder="1" applyAlignment="1" applyProtection="1">
      <alignment vertical="center"/>
    </xf>
    <xf numFmtId="1" fontId="61" fillId="0" borderId="17" xfId="0" applyNumberFormat="1" applyFont="1" applyFill="1" applyBorder="1" applyAlignment="1" applyProtection="1">
      <alignment vertical="center"/>
    </xf>
    <xf numFmtId="1" fontId="61" fillId="0" borderId="19" xfId="0" applyNumberFormat="1" applyFont="1" applyFill="1" applyBorder="1" applyAlignment="1" applyProtection="1">
      <alignment vertical="center"/>
    </xf>
    <xf numFmtId="0" fontId="66" fillId="24" borderId="17" xfId="0" applyFont="1" applyFill="1" applyBorder="1" applyAlignment="1" applyProtection="1">
      <alignment horizontal="center" vertical="center"/>
    </xf>
    <xf numFmtId="0" fontId="66" fillId="24" borderId="19" xfId="0" applyFont="1" applyFill="1" applyBorder="1" applyAlignment="1" applyProtection="1">
      <alignment horizontal="center" vertical="center"/>
    </xf>
    <xf numFmtId="0" fontId="66" fillId="24" borderId="24" xfId="0" applyFont="1" applyFill="1" applyBorder="1" applyAlignment="1" applyProtection="1">
      <alignment horizontal="center" vertical="center" wrapText="1"/>
    </xf>
    <xf numFmtId="0" fontId="66" fillId="24" borderId="24" xfId="0" applyFont="1" applyFill="1" applyBorder="1" applyAlignment="1" applyProtection="1">
      <alignment horizontal="center" vertical="center"/>
    </xf>
    <xf numFmtId="0" fontId="23" fillId="23" borderId="16" xfId="0" applyFont="1" applyFill="1" applyBorder="1" applyAlignment="1" applyProtection="1">
      <alignment vertical="center"/>
    </xf>
    <xf numFmtId="0" fontId="68" fillId="24" borderId="24" xfId="0" applyFont="1" applyFill="1" applyBorder="1" applyAlignment="1" applyProtection="1">
      <alignment vertical="center"/>
    </xf>
    <xf numFmtId="0" fontId="68" fillId="24" borderId="24" xfId="0" applyFont="1" applyFill="1" applyBorder="1" applyAlignment="1" applyProtection="1">
      <alignment horizontal="left" vertical="center"/>
    </xf>
    <xf numFmtId="0" fontId="68" fillId="24" borderId="17" xfId="0" applyFont="1" applyFill="1" applyBorder="1" applyAlignment="1" applyProtection="1">
      <alignment horizontal="left" vertical="center"/>
    </xf>
    <xf numFmtId="173" fontId="68" fillId="24" borderId="17" xfId="0" applyNumberFormat="1" applyFont="1" applyFill="1" applyBorder="1" applyAlignment="1" applyProtection="1">
      <alignment horizontal="left" vertical="center"/>
    </xf>
    <xf numFmtId="173" fontId="68" fillId="24" borderId="24" xfId="0" applyNumberFormat="1" applyFont="1" applyFill="1" applyBorder="1" applyAlignment="1" applyProtection="1">
      <alignment horizontal="left" vertical="center"/>
    </xf>
    <xf numFmtId="0" fontId="68" fillId="24" borderId="19" xfId="0" applyFont="1" applyFill="1" applyBorder="1" applyAlignment="1" applyProtection="1">
      <alignment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left" vertic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vertical="center"/>
    </xf>
    <xf numFmtId="0" fontId="69" fillId="25" borderId="44" xfId="0" applyFont="1" applyFill="1" applyBorder="1" applyAlignment="1" applyProtection="1">
      <alignment horizontal="center" vertical="center"/>
    </xf>
    <xf numFmtId="0" fontId="50" fillId="0" borderId="46" xfId="70" applyFont="1" applyFill="1" applyBorder="1" applyAlignment="1" applyProtection="1">
      <alignment vertical="center"/>
    </xf>
    <xf numFmtId="166" fontId="54" fillId="0" borderId="46" xfId="0" applyNumberFormat="1" applyFont="1" applyFill="1" applyBorder="1" applyAlignment="1" applyProtection="1">
      <alignment horizontal="center" vertical="center"/>
    </xf>
    <xf numFmtId="166" fontId="28" fillId="0" borderId="46" xfId="0" applyNumberFormat="1" applyFont="1" applyFill="1" applyBorder="1" applyAlignment="1" applyProtection="1">
      <alignment vertical="center"/>
    </xf>
    <xf numFmtId="166" fontId="28" fillId="0" borderId="46" xfId="0" applyNumberFormat="1" applyFont="1" applyFill="1" applyBorder="1" applyAlignment="1" applyProtection="1">
      <alignment horizontal="center" vertical="center"/>
    </xf>
    <xf numFmtId="166" fontId="54" fillId="0" borderId="47" xfId="0" applyNumberFormat="1" applyFont="1" applyFill="1" applyBorder="1" applyAlignment="1" applyProtection="1">
      <alignment horizontal="center" vertical="center"/>
    </xf>
    <xf numFmtId="166" fontId="54" fillId="0" borderId="46" xfId="0" applyNumberFormat="1" applyFont="1" applyFill="1" applyBorder="1" applyAlignment="1" applyProtection="1">
      <alignment vertical="center"/>
    </xf>
    <xf numFmtId="166" fontId="28" fillId="0" borderId="47" xfId="0" applyNumberFormat="1" applyFont="1" applyFill="1" applyBorder="1" applyAlignment="1" applyProtection="1">
      <alignment horizontal="center" vertical="center"/>
    </xf>
    <xf numFmtId="171" fontId="28" fillId="0" borderId="46" xfId="71" applyNumberFormat="1" applyFont="1" applyFill="1" applyBorder="1" applyAlignment="1" applyProtection="1">
      <alignment horizontal="center" vertical="center"/>
    </xf>
    <xf numFmtId="169" fontId="28" fillId="0" borderId="46" xfId="71" applyNumberFormat="1" applyFont="1" applyFill="1" applyBorder="1" applyAlignment="1" applyProtection="1">
      <alignment horizontal="center" vertical="center"/>
    </xf>
    <xf numFmtId="172" fontId="28" fillId="0" borderId="46" xfId="71" applyNumberFormat="1" applyFont="1" applyFill="1" applyBorder="1" applyAlignment="1" applyProtection="1">
      <alignment horizontal="center" vertical="center"/>
    </xf>
    <xf numFmtId="166" fontId="28" fillId="0" borderId="49" xfId="0" applyNumberFormat="1" applyFont="1" applyFill="1" applyBorder="1" applyAlignment="1" applyProtection="1">
      <alignment vertical="center"/>
    </xf>
    <xf numFmtId="166" fontId="28" fillId="0" borderId="51" xfId="0" applyNumberFormat="1" applyFont="1" applyFill="1" applyBorder="1" applyAlignment="1" applyProtection="1">
      <alignment vertical="center"/>
    </xf>
    <xf numFmtId="166" fontId="54" fillId="0" borderId="51" xfId="0" applyNumberFormat="1" applyFont="1" applyFill="1" applyBorder="1" applyAlignment="1" applyProtection="1">
      <alignment vertical="center"/>
    </xf>
    <xf numFmtId="166" fontId="28" fillId="0" borderId="52" xfId="0" applyNumberFormat="1" applyFont="1" applyFill="1" applyBorder="1" applyAlignment="1" applyProtection="1">
      <alignment vertical="center"/>
    </xf>
    <xf numFmtId="166" fontId="31" fillId="0" borderId="51" xfId="0" applyNumberFormat="1" applyFont="1" applyFill="1" applyBorder="1" applyAlignment="1" applyProtection="1">
      <alignment vertical="center"/>
    </xf>
    <xf numFmtId="166" fontId="31" fillId="0" borderId="52" xfId="0" applyNumberFormat="1" applyFont="1" applyFill="1" applyBorder="1" applyAlignment="1" applyProtection="1">
      <alignment vertical="center"/>
    </xf>
    <xf numFmtId="170" fontId="29" fillId="0" borderId="28" xfId="71" applyNumberFormat="1" applyFont="1" applyFill="1" applyBorder="1" applyAlignment="1" applyProtection="1">
      <alignment horizontal="center" vertical="center"/>
    </xf>
    <xf numFmtId="169" fontId="28" fillId="0" borderId="28" xfId="71" applyNumberFormat="1" applyFont="1" applyFill="1" applyBorder="1" applyAlignment="1" applyProtection="1">
      <alignment horizontal="center" vertical="center"/>
    </xf>
    <xf numFmtId="171" fontId="28" fillId="0" borderId="28" xfId="71" applyNumberFormat="1" applyFont="1" applyFill="1" applyBorder="1" applyAlignment="1" applyProtection="1">
      <alignment horizontal="center" vertical="center"/>
    </xf>
    <xf numFmtId="172" fontId="28" fillId="0" borderId="28" xfId="71" applyNumberFormat="1" applyFont="1" applyFill="1" applyBorder="1" applyAlignment="1" applyProtection="1">
      <alignment horizontal="center" vertical="center"/>
    </xf>
    <xf numFmtId="0" fontId="28" fillId="0" borderId="28" xfId="71" applyFont="1" applyFill="1" applyBorder="1" applyAlignment="1" applyProtection="1">
      <alignment vertical="center"/>
    </xf>
    <xf numFmtId="166" fontId="28" fillId="0" borderId="28" xfId="0" applyNumberFormat="1" applyFont="1" applyFill="1" applyBorder="1" applyAlignment="1" applyProtection="1">
      <alignment horizontal="center" vertical="center"/>
    </xf>
    <xf numFmtId="166" fontId="28" fillId="0" borderId="28" xfId="0" applyNumberFormat="1" applyFont="1" applyFill="1" applyBorder="1" applyAlignment="1" applyProtection="1">
      <alignment vertical="center"/>
    </xf>
    <xf numFmtId="166" fontId="28" fillId="0" borderId="29" xfId="0" applyNumberFormat="1" applyFont="1" applyFill="1" applyBorder="1" applyAlignment="1" applyProtection="1">
      <alignment vertical="center"/>
    </xf>
    <xf numFmtId="166" fontId="54" fillId="0" borderId="51" xfId="0" applyNumberFormat="1" applyFont="1" applyFill="1" applyBorder="1" applyAlignment="1" applyProtection="1">
      <alignment horizontal="center" vertical="center"/>
    </xf>
    <xf numFmtId="170" fontId="29" fillId="0" borderId="46" xfId="70" applyNumberFormat="1" applyFont="1" applyFill="1" applyBorder="1" applyAlignment="1" applyProtection="1">
      <alignment horizontal="center" vertical="center"/>
    </xf>
    <xf numFmtId="169" fontId="28" fillId="0" borderId="46" xfId="70" applyNumberFormat="1" applyFont="1" applyFill="1" applyBorder="1" applyAlignment="1" applyProtection="1">
      <alignment horizontal="center" vertical="center"/>
    </xf>
    <xf numFmtId="171" fontId="28" fillId="0" borderId="46" xfId="70" applyNumberFormat="1" applyFont="1" applyFill="1" applyBorder="1" applyAlignment="1" applyProtection="1">
      <alignment horizontal="center" vertical="center"/>
    </xf>
    <xf numFmtId="172" fontId="28" fillId="0" borderId="46" xfId="70" applyNumberFormat="1" applyFont="1" applyFill="1" applyBorder="1" applyAlignment="1" applyProtection="1">
      <alignment horizontal="center" vertical="center"/>
    </xf>
    <xf numFmtId="0" fontId="28" fillId="0" borderId="46" xfId="70" applyFont="1" applyFill="1" applyBorder="1" applyAlignment="1" applyProtection="1">
      <alignment vertical="center"/>
    </xf>
    <xf numFmtId="164" fontId="26" fillId="20" borderId="11" xfId="0" applyNumberFormat="1" applyFont="1" applyFill="1" applyBorder="1" applyAlignment="1" applyProtection="1">
      <alignment vertical="center"/>
    </xf>
    <xf numFmtId="164" fontId="26" fillId="20" borderId="12" xfId="0" applyNumberFormat="1" applyFont="1" applyFill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23" fillId="0" borderId="0" xfId="58" applyFont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164" fontId="23" fillId="0" borderId="25" xfId="0" applyNumberFormat="1" applyFont="1" applyBorder="1" applyAlignment="1" applyProtection="1">
      <alignment vertical="center"/>
    </xf>
    <xf numFmtId="164" fontId="23" fillId="0" borderId="26" xfId="0" applyNumberFormat="1" applyFont="1" applyBorder="1" applyAlignment="1" applyProtection="1">
      <alignment vertical="center"/>
    </xf>
    <xf numFmtId="0" fontId="23" fillId="0" borderId="33" xfId="0" applyFont="1" applyBorder="1" applyAlignment="1" applyProtection="1">
      <alignment vertical="center"/>
    </xf>
    <xf numFmtId="164" fontId="25" fillId="0" borderId="33" xfId="0" applyNumberFormat="1" applyFont="1" applyBorder="1" applyAlignment="1" applyProtection="1">
      <alignment vertical="center"/>
    </xf>
    <xf numFmtId="0" fontId="23" fillId="0" borderId="28" xfId="0" applyFont="1" applyBorder="1" applyAlignment="1" applyProtection="1">
      <alignment vertical="center"/>
    </xf>
    <xf numFmtId="164" fontId="23" fillId="0" borderId="28" xfId="0" applyNumberFormat="1" applyFont="1" applyBorder="1" applyAlignment="1" applyProtection="1">
      <alignment vertical="center"/>
    </xf>
    <xf numFmtId="164" fontId="23" fillId="0" borderId="29" xfId="0" applyNumberFormat="1" applyFont="1" applyBorder="1" applyAlignment="1" applyProtection="1">
      <alignment vertical="center"/>
    </xf>
    <xf numFmtId="174" fontId="23" fillId="0" borderId="27" xfId="0" applyNumberFormat="1" applyFont="1" applyBorder="1" applyAlignment="1" applyProtection="1">
      <alignment horizontal="center" vertical="center"/>
    </xf>
    <xf numFmtId="174" fontId="23" fillId="0" borderId="39" xfId="0" applyNumberFormat="1" applyFont="1" applyBorder="1" applyAlignment="1" applyProtection="1">
      <alignment horizontal="center" vertical="center"/>
    </xf>
    <xf numFmtId="169" fontId="23" fillId="0" borderId="28" xfId="0" applyNumberFormat="1" applyFont="1" applyBorder="1" applyAlignment="1" applyProtection="1">
      <alignment horizontal="center" vertical="center"/>
    </xf>
    <xf numFmtId="169" fontId="23" fillId="0" borderId="25" xfId="0" applyNumberFormat="1" applyFont="1" applyBorder="1" applyAlignment="1" applyProtection="1">
      <alignment horizontal="center" vertical="center"/>
    </xf>
    <xf numFmtId="169" fontId="23" fillId="0" borderId="33" xfId="0" applyNumberFormat="1" applyFont="1" applyBorder="1" applyAlignment="1" applyProtection="1">
      <alignment horizontal="center" vertical="center"/>
    </xf>
    <xf numFmtId="0" fontId="69" fillId="25" borderId="32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center" vertical="center"/>
    </xf>
    <xf numFmtId="164" fontId="23" fillId="0" borderId="38" xfId="0" applyNumberFormat="1" applyFont="1" applyBorder="1" applyAlignment="1" applyProtection="1">
      <alignment vertical="center"/>
    </xf>
    <xf numFmtId="174" fontId="23" fillId="0" borderId="0" xfId="0" applyNumberFormat="1" applyFont="1" applyBorder="1" applyAlignment="1" applyProtection="1">
      <alignment horizontal="center" vertical="center"/>
    </xf>
    <xf numFmtId="169" fontId="2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164" fontId="25" fillId="0" borderId="0" xfId="0" applyNumberFormat="1" applyFont="1" applyBorder="1" applyAlignment="1" applyProtection="1">
      <alignment vertical="center"/>
    </xf>
    <xf numFmtId="164" fontId="23" fillId="0" borderId="0" xfId="0" applyNumberFormat="1" applyFont="1" applyBorder="1" applyAlignment="1" applyProtection="1">
      <alignment vertical="center"/>
    </xf>
    <xf numFmtId="166" fontId="28" fillId="0" borderId="47" xfId="0" applyNumberFormat="1" applyFont="1" applyFill="1" applyBorder="1" applyAlignment="1" applyProtection="1">
      <alignment horizontal="left" vertical="center"/>
    </xf>
    <xf numFmtId="170" fontId="29" fillId="0" borderId="51" xfId="70" applyNumberFormat="1" applyFont="1" applyFill="1" applyBorder="1" applyAlignment="1" applyProtection="1">
      <alignment horizontal="center" vertical="center"/>
    </xf>
    <xf numFmtId="169" fontId="28" fillId="0" borderId="51" xfId="70" applyNumberFormat="1" applyFont="1" applyFill="1" applyBorder="1" applyAlignment="1" applyProtection="1">
      <alignment horizontal="center" vertical="center"/>
    </xf>
    <xf numFmtId="171" fontId="28" fillId="0" borderId="51" xfId="70" applyNumberFormat="1" applyFont="1" applyFill="1" applyBorder="1" applyAlignment="1" applyProtection="1">
      <alignment horizontal="center" vertical="center"/>
    </xf>
    <xf numFmtId="172" fontId="28" fillId="0" borderId="51" xfId="70" applyNumberFormat="1" applyFont="1" applyFill="1" applyBorder="1" applyAlignment="1" applyProtection="1">
      <alignment horizontal="center" vertical="center"/>
    </xf>
    <xf numFmtId="0" fontId="28" fillId="0" borderId="51" xfId="70" applyFont="1" applyFill="1" applyBorder="1" applyAlignment="1" applyProtection="1">
      <alignment vertical="center"/>
    </xf>
    <xf numFmtId="166" fontId="28" fillId="0" borderId="51" xfId="0" applyNumberFormat="1" applyFont="1" applyFill="1" applyBorder="1" applyAlignment="1" applyProtection="1">
      <alignment horizontal="center" vertical="center"/>
    </xf>
    <xf numFmtId="0" fontId="30" fillId="0" borderId="51" xfId="70" applyFont="1" applyFill="1" applyBorder="1" applyAlignment="1" applyProtection="1">
      <alignment horizontal="center" vertical="center"/>
    </xf>
    <xf numFmtId="0" fontId="42" fillId="0" borderId="46" xfId="0" applyFont="1" applyFill="1" applyBorder="1" applyAlignment="1" applyProtection="1">
      <alignment vertical="center"/>
    </xf>
    <xf numFmtId="164" fontId="42" fillId="0" borderId="46" xfId="52" applyNumberFormat="1" applyFont="1" applyFill="1" applyBorder="1" applyAlignment="1" applyProtection="1">
      <alignment vertical="center"/>
    </xf>
    <xf numFmtId="0" fontId="42" fillId="0" borderId="46" xfId="0" applyFont="1" applyBorder="1" applyAlignment="1" applyProtection="1">
      <alignment vertical="center"/>
    </xf>
    <xf numFmtId="164" fontId="43" fillId="0" borderId="46" xfId="52" applyNumberFormat="1" applyFont="1" applyFill="1" applyBorder="1" applyAlignment="1" applyProtection="1">
      <alignment vertical="center"/>
    </xf>
    <xf numFmtId="164" fontId="44" fillId="0" borderId="46" xfId="52" applyNumberFormat="1" applyFont="1" applyFill="1" applyBorder="1" applyAlignment="1" applyProtection="1">
      <alignment vertical="center"/>
    </xf>
    <xf numFmtId="164" fontId="42" fillId="0" borderId="46" xfId="0" applyNumberFormat="1" applyFont="1" applyFill="1" applyBorder="1" applyAlignment="1" applyProtection="1">
      <alignment vertical="center"/>
    </xf>
    <xf numFmtId="164" fontId="42" fillId="0" borderId="49" xfId="52" applyNumberFormat="1" applyFont="1" applyFill="1" applyBorder="1" applyAlignment="1" applyProtection="1">
      <alignment vertical="center"/>
    </xf>
    <xf numFmtId="0" fontId="42" fillId="0" borderId="50" xfId="0" applyFont="1" applyFill="1" applyBorder="1" applyAlignment="1" applyProtection="1">
      <alignment vertical="center"/>
    </xf>
    <xf numFmtId="0" fontId="42" fillId="0" borderId="51" xfId="0" applyFont="1" applyFill="1" applyBorder="1" applyAlignment="1" applyProtection="1">
      <alignment vertical="center"/>
    </xf>
    <xf numFmtId="164" fontId="47" fillId="0" borderId="51" xfId="52" applyNumberFormat="1" applyFont="1" applyFill="1" applyBorder="1" applyAlignment="1" applyProtection="1">
      <alignment vertical="center"/>
    </xf>
    <xf numFmtId="164" fontId="47" fillId="0" borderId="52" xfId="52" applyNumberFormat="1" applyFont="1" applyFill="1" applyBorder="1" applyAlignment="1" applyProtection="1">
      <alignment vertical="center"/>
    </xf>
    <xf numFmtId="165" fontId="45" fillId="0" borderId="51" xfId="52" applyFont="1" applyFill="1" applyBorder="1" applyAlignment="1" applyProtection="1">
      <alignment horizontal="center" vertical="center"/>
    </xf>
    <xf numFmtId="164" fontId="45" fillId="0" borderId="51" xfId="52" applyNumberFormat="1" applyFont="1" applyFill="1" applyBorder="1" applyAlignment="1" applyProtection="1">
      <alignment vertical="center"/>
    </xf>
    <xf numFmtId="164" fontId="46" fillId="0" borderId="51" xfId="52" applyNumberFormat="1" applyFont="1" applyFill="1" applyBorder="1" applyAlignment="1" applyProtection="1">
      <alignment vertical="center"/>
    </xf>
    <xf numFmtId="164" fontId="45" fillId="0" borderId="52" xfId="52" applyNumberFormat="1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horizontal="center" vertical="center"/>
    </xf>
    <xf numFmtId="0" fontId="49" fillId="0" borderId="0" xfId="0" applyFont="1" applyAlignment="1" applyProtection="1">
      <alignment horizontal="right" vertical="center"/>
    </xf>
    <xf numFmtId="0" fontId="71" fillId="25" borderId="43" xfId="0" applyFont="1" applyFill="1" applyBorder="1" applyAlignment="1" applyProtection="1">
      <alignment horizontal="center" vertical="center"/>
    </xf>
    <xf numFmtId="0" fontId="71" fillId="25" borderId="44" xfId="0" applyFont="1" applyFill="1" applyBorder="1" applyAlignment="1" applyProtection="1">
      <alignment horizontal="center" vertical="center"/>
    </xf>
    <xf numFmtId="0" fontId="71" fillId="25" borderId="44" xfId="0" applyFont="1" applyFill="1" applyBorder="1" applyAlignment="1" applyProtection="1">
      <alignment horizontal="center" vertical="center" wrapText="1"/>
    </xf>
    <xf numFmtId="0" fontId="71" fillId="25" borderId="45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42" fillId="0" borderId="48" xfId="0" applyFont="1" applyFill="1" applyBorder="1" applyAlignment="1" applyProtection="1">
      <alignment horizontal="center" vertical="center"/>
    </xf>
    <xf numFmtId="0" fontId="42" fillId="0" borderId="50" xfId="0" applyFont="1" applyFill="1" applyBorder="1" applyAlignment="1" applyProtection="1">
      <alignment horizontal="center" vertical="center"/>
    </xf>
    <xf numFmtId="164" fontId="42" fillId="0" borderId="57" xfId="52" applyNumberFormat="1" applyFont="1" applyFill="1" applyBorder="1" applyAlignment="1" applyProtection="1">
      <alignment vertical="center"/>
    </xf>
    <xf numFmtId="164" fontId="42" fillId="0" borderId="56" xfId="52" applyNumberFormat="1" applyFont="1" applyFill="1" applyBorder="1" applyAlignment="1" applyProtection="1">
      <alignment vertical="center"/>
    </xf>
    <xf numFmtId="0" fontId="32" fillId="0" borderId="25" xfId="0" applyFont="1" applyBorder="1" applyAlignment="1" applyProtection="1">
      <alignment vertical="center"/>
    </xf>
    <xf numFmtId="176" fontId="32" fillId="0" borderId="27" xfId="0" applyNumberFormat="1" applyFont="1" applyBorder="1" applyAlignment="1" applyProtection="1">
      <alignment vertical="center"/>
    </xf>
    <xf numFmtId="0" fontId="33" fillId="0" borderId="33" xfId="0" applyFont="1" applyBorder="1" applyAlignment="1" applyProtection="1">
      <alignment vertical="center"/>
    </xf>
    <xf numFmtId="0" fontId="32" fillId="0" borderId="31" xfId="0" applyFont="1" applyBorder="1" applyAlignment="1" applyProtection="1">
      <alignment vertical="center"/>
    </xf>
    <xf numFmtId="0" fontId="33" fillId="0" borderId="28" xfId="0" applyFont="1" applyBorder="1" applyAlignment="1" applyProtection="1">
      <alignment vertical="center"/>
    </xf>
    <xf numFmtId="0" fontId="69" fillId="25" borderId="60" xfId="0" applyFont="1" applyFill="1" applyBorder="1" applyAlignment="1" applyProtection="1">
      <alignment horizontal="center" vertical="center"/>
    </xf>
    <xf numFmtId="164" fontId="32" fillId="0" borderId="25" xfId="0" applyNumberFormat="1" applyFont="1" applyBorder="1" applyAlignment="1" applyProtection="1">
      <alignment vertical="center"/>
    </xf>
    <xf numFmtId="164" fontId="32" fillId="0" borderId="26" xfId="0" applyNumberFormat="1" applyFont="1" applyBorder="1" applyAlignment="1" applyProtection="1">
      <alignment vertical="center"/>
    </xf>
    <xf numFmtId="0" fontId="69" fillId="25" borderId="59" xfId="0" applyFont="1" applyFill="1" applyBorder="1" applyAlignment="1" applyProtection="1">
      <alignment horizontal="center" vertical="center" wrapText="1"/>
    </xf>
    <xf numFmtId="164" fontId="33" fillId="0" borderId="61" xfId="0" applyNumberFormat="1" applyFont="1" applyBorder="1" applyAlignment="1" applyProtection="1">
      <alignment vertical="center"/>
    </xf>
    <xf numFmtId="164" fontId="33" fillId="0" borderId="62" xfId="0" applyNumberFormat="1" applyFont="1" applyBorder="1" applyAlignment="1" applyProtection="1">
      <alignment vertical="center"/>
    </xf>
    <xf numFmtId="0" fontId="33" fillId="0" borderId="39" xfId="0" applyFont="1" applyBorder="1" applyAlignment="1" applyProtection="1">
      <alignment vertical="center"/>
    </xf>
    <xf numFmtId="164" fontId="33" fillId="0" borderId="33" xfId="0" applyNumberFormat="1" applyFont="1" applyBorder="1" applyAlignment="1" applyProtection="1">
      <alignment vertical="center"/>
    </xf>
    <xf numFmtId="164" fontId="33" fillId="0" borderId="38" xfId="0" applyNumberFormat="1" applyFont="1" applyBorder="1" applyAlignment="1" applyProtection="1">
      <alignment vertical="center"/>
    </xf>
    <xf numFmtId="0" fontId="49" fillId="0" borderId="0" xfId="0" applyFont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69" fillId="25" borderId="30" xfId="0" applyFont="1" applyFill="1" applyBorder="1" applyAlignment="1" applyProtection="1">
      <alignment horizontal="center" vertical="center" wrapText="1"/>
    </xf>
    <xf numFmtId="1" fontId="31" fillId="0" borderId="0" xfId="0" applyNumberFormat="1" applyFont="1" applyFill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69" fillId="25" borderId="59" xfId="0" applyFont="1" applyFill="1" applyBorder="1" applyAlignment="1" applyProtection="1">
      <alignment horizontal="center" vertical="center"/>
    </xf>
    <xf numFmtId="174" fontId="23" fillId="0" borderId="31" xfId="58" applyNumberFormat="1" applyFont="1" applyFill="1" applyBorder="1" applyAlignment="1" applyProtection="1">
      <alignment horizontal="center" vertical="center"/>
    </xf>
    <xf numFmtId="0" fontId="72" fillId="0" borderId="0" xfId="55" applyFont="1" applyAlignment="1" applyProtection="1">
      <alignment vertical="center"/>
    </xf>
    <xf numFmtId="0" fontId="74" fillId="26" borderId="65" xfId="55" applyFont="1" applyFill="1" applyBorder="1" applyAlignment="1" applyProtection="1">
      <alignment horizontal="center" vertical="center"/>
    </xf>
    <xf numFmtId="0" fontId="73" fillId="26" borderId="65" xfId="55" applyFont="1" applyFill="1" applyBorder="1" applyAlignment="1" applyProtection="1">
      <alignment horizontal="center" vertical="center"/>
    </xf>
    <xf numFmtId="0" fontId="73" fillId="26" borderId="65" xfId="55" applyFont="1" applyFill="1" applyBorder="1" applyAlignment="1" applyProtection="1">
      <alignment vertical="center"/>
    </xf>
    <xf numFmtId="171" fontId="72" fillId="0" borderId="0" xfId="55" applyNumberFormat="1" applyFont="1" applyAlignment="1" applyProtection="1">
      <alignment horizontal="center" vertical="center"/>
    </xf>
    <xf numFmtId="0" fontId="74" fillId="26" borderId="64" xfId="55" applyFont="1" applyFill="1" applyBorder="1" applyAlignment="1" applyProtection="1">
      <alignment horizontal="center" vertical="center"/>
    </xf>
    <xf numFmtId="0" fontId="73" fillId="26" borderId="64" xfId="55" applyFont="1" applyFill="1" applyBorder="1" applyAlignment="1" applyProtection="1">
      <alignment horizontal="center" vertical="center"/>
    </xf>
    <xf numFmtId="0" fontId="73" fillId="26" borderId="64" xfId="55" applyFont="1" applyFill="1" applyBorder="1" applyAlignment="1" applyProtection="1">
      <alignment vertical="center"/>
    </xf>
    <xf numFmtId="0" fontId="74" fillId="26" borderId="63" xfId="55" applyFont="1" applyFill="1" applyBorder="1" applyAlignment="1" applyProtection="1">
      <alignment horizontal="center" vertical="center"/>
    </xf>
    <xf numFmtId="0" fontId="73" fillId="26" borderId="63" xfId="55" applyFont="1" applyFill="1" applyBorder="1" applyAlignment="1" applyProtection="1">
      <alignment horizontal="center" vertical="center"/>
    </xf>
    <xf numFmtId="0" fontId="73" fillId="26" borderId="63" xfId="55" applyFont="1" applyFill="1" applyBorder="1" applyAlignment="1" applyProtection="1">
      <alignment vertical="center"/>
    </xf>
    <xf numFmtId="0" fontId="61" fillId="0" borderId="21" xfId="0" applyFont="1" applyBorder="1" applyAlignment="1" applyProtection="1">
      <alignment horizontal="center" vertical="center"/>
    </xf>
    <xf numFmtId="0" fontId="61" fillId="0" borderId="22" xfId="0" applyFont="1" applyBorder="1" applyAlignment="1" applyProtection="1">
      <alignment horizontal="center" vertical="center"/>
    </xf>
    <xf numFmtId="0" fontId="61" fillId="0" borderId="23" xfId="0" applyFont="1" applyBorder="1" applyAlignment="1" applyProtection="1">
      <alignment horizontal="center" vertical="center"/>
    </xf>
    <xf numFmtId="0" fontId="23" fillId="23" borderId="18" xfId="0" applyFont="1" applyFill="1" applyBorder="1" applyAlignment="1" applyProtection="1">
      <alignment vertical="center"/>
    </xf>
    <xf numFmtId="0" fontId="23" fillId="0" borderId="18" xfId="0" applyFont="1" applyBorder="1" applyAlignment="1" applyProtection="1">
      <alignment vertical="center"/>
    </xf>
    <xf numFmtId="0" fontId="49" fillId="0" borderId="0" xfId="0" applyFont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vertical="center"/>
    </xf>
    <xf numFmtId="1" fontId="31" fillId="0" borderId="0" xfId="0" applyNumberFormat="1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69" fillId="25" borderId="43" xfId="0" applyFont="1" applyFill="1" applyBorder="1" applyAlignment="1" applyProtection="1">
      <alignment horizontal="center" vertical="center"/>
    </xf>
    <xf numFmtId="170" fontId="29" fillId="0" borderId="48" xfId="71" applyNumberFormat="1" applyFont="1" applyFill="1" applyBorder="1" applyAlignment="1" applyProtection="1">
      <alignment horizontal="center" vertical="center"/>
    </xf>
    <xf numFmtId="0" fontId="1" fillId="0" borderId="0" xfId="144" applyFont="1" applyAlignment="1">
      <alignment vertical="center"/>
    </xf>
    <xf numFmtId="164" fontId="75" fillId="0" borderId="66" xfId="144" applyNumberFormat="1" applyFont="1" applyBorder="1" applyAlignment="1">
      <alignment horizontal="center" vertical="center"/>
    </xf>
    <xf numFmtId="177" fontId="75" fillId="0" borderId="67" xfId="144" applyNumberFormat="1" applyFont="1" applyBorder="1" applyAlignment="1">
      <alignment horizontal="center" vertical="center"/>
    </xf>
    <xf numFmtId="164" fontId="75" fillId="0" borderId="67" xfId="144" applyNumberFormat="1" applyFont="1" applyBorder="1" applyAlignment="1">
      <alignment horizontal="center" vertical="center"/>
    </xf>
    <xf numFmtId="0" fontId="1" fillId="0" borderId="68" xfId="144" applyFont="1" applyBorder="1" applyAlignment="1">
      <alignment vertical="center"/>
    </xf>
    <xf numFmtId="164" fontId="76" fillId="0" borderId="69" xfId="144" applyNumberFormat="1" applyFont="1" applyBorder="1" applyAlignment="1">
      <alignment horizontal="center" vertical="center"/>
    </xf>
    <xf numFmtId="177" fontId="76" fillId="0" borderId="0" xfId="144" applyNumberFormat="1" applyFont="1" applyBorder="1" applyAlignment="1">
      <alignment horizontal="center" vertical="center"/>
    </xf>
    <xf numFmtId="164" fontId="76" fillId="0" borderId="70" xfId="144" applyNumberFormat="1" applyFont="1" applyBorder="1" applyAlignment="1">
      <alignment horizontal="center" vertical="center"/>
    </xf>
    <xf numFmtId="0" fontId="76" fillId="0" borderId="71" xfId="144" applyFont="1" applyBorder="1" applyAlignment="1">
      <alignment horizontal="center" vertical="center"/>
    </xf>
    <xf numFmtId="164" fontId="76" fillId="0" borderId="0" xfId="144" applyNumberFormat="1" applyFont="1" applyBorder="1" applyAlignment="1">
      <alignment horizontal="center" vertical="center"/>
    </xf>
    <xf numFmtId="0" fontId="76" fillId="0" borderId="72" xfId="144" applyFont="1" applyBorder="1" applyAlignment="1">
      <alignment horizontal="center" vertical="center"/>
    </xf>
    <xf numFmtId="0" fontId="77" fillId="0" borderId="66" xfId="144" applyFont="1" applyBorder="1" applyAlignment="1">
      <alignment horizontal="center" vertical="center"/>
    </xf>
    <xf numFmtId="0" fontId="77" fillId="0" borderId="67" xfId="144" applyFont="1" applyBorder="1" applyAlignment="1">
      <alignment horizontal="center" vertical="center"/>
    </xf>
    <xf numFmtId="0" fontId="77" fillId="0" borderId="67" xfId="144" applyFont="1" applyBorder="1" applyAlignment="1">
      <alignment horizontal="center" vertical="center" wrapText="1"/>
    </xf>
    <xf numFmtId="0" fontId="77" fillId="0" borderId="68" xfId="144" applyFont="1" applyBorder="1" applyAlignment="1">
      <alignment horizontal="center" vertical="center"/>
    </xf>
    <xf numFmtId="0" fontId="75" fillId="0" borderId="67" xfId="144" applyFont="1" applyBorder="1" applyAlignment="1">
      <alignment horizontal="center" vertical="center"/>
    </xf>
    <xf numFmtId="0" fontId="76" fillId="0" borderId="70" xfId="144" applyFont="1" applyBorder="1" applyAlignment="1">
      <alignment horizontal="center" vertical="center"/>
    </xf>
    <xf numFmtId="0" fontId="76" fillId="0" borderId="0" xfId="144" applyFont="1" applyBorder="1" applyAlignment="1">
      <alignment horizontal="center" vertical="center"/>
    </xf>
    <xf numFmtId="164" fontId="1" fillId="0" borderId="0" xfId="144" applyNumberFormat="1" applyFont="1" applyAlignment="1">
      <alignment vertical="center"/>
    </xf>
    <xf numFmtId="9" fontId="1" fillId="0" borderId="0" xfId="144" applyNumberFormat="1" applyFont="1" applyAlignment="1">
      <alignment vertical="center"/>
    </xf>
    <xf numFmtId="164" fontId="75" fillId="0" borderId="0" xfId="144" applyNumberFormat="1" applyFont="1" applyAlignment="1">
      <alignment vertical="center"/>
    </xf>
    <xf numFmtId="0" fontId="75" fillId="0" borderId="0" xfId="144" applyFont="1" applyAlignment="1">
      <alignment vertical="center"/>
    </xf>
    <xf numFmtId="10" fontId="1" fillId="0" borderId="0" xfId="144" applyNumberFormat="1" applyFont="1" applyAlignment="1">
      <alignment horizontal="center" vertical="center"/>
    </xf>
    <xf numFmtId="0" fontId="32" fillId="0" borderId="25" xfId="0" applyFont="1" applyBorder="1" applyAlignment="1" applyProtection="1">
      <alignment vertical="center" wrapText="1"/>
    </xf>
    <xf numFmtId="170" fontId="29" fillId="0" borderId="46" xfId="71" applyNumberFormat="1" applyFont="1" applyFill="1" applyBorder="1" applyAlignment="1" applyProtection="1">
      <alignment horizontal="center" vertical="center"/>
    </xf>
    <xf numFmtId="170" fontId="29" fillId="0" borderId="28" xfId="70" applyNumberFormat="1" applyFont="1" applyFill="1" applyBorder="1" applyAlignment="1" applyProtection="1">
      <alignment horizontal="center" vertical="center"/>
    </xf>
    <xf numFmtId="169" fontId="28" fillId="0" borderId="28" xfId="70" applyNumberFormat="1" applyFont="1" applyFill="1" applyBorder="1" applyAlignment="1" applyProtection="1">
      <alignment horizontal="center" vertical="center"/>
    </xf>
    <xf numFmtId="171" fontId="28" fillId="0" borderId="28" xfId="70" applyNumberFormat="1" applyFont="1" applyFill="1" applyBorder="1" applyAlignment="1" applyProtection="1">
      <alignment horizontal="center" vertical="center"/>
    </xf>
    <xf numFmtId="172" fontId="28" fillId="0" borderId="28" xfId="70" applyNumberFormat="1" applyFont="1" applyFill="1" applyBorder="1" applyAlignment="1" applyProtection="1">
      <alignment horizontal="center" vertical="center"/>
    </xf>
    <xf numFmtId="0" fontId="28" fillId="0" borderId="28" xfId="70" applyFont="1" applyFill="1" applyBorder="1" applyAlignment="1" applyProtection="1">
      <alignment vertical="center"/>
    </xf>
    <xf numFmtId="166" fontId="54" fillId="0" borderId="28" xfId="0" applyNumberFormat="1" applyFont="1" applyFill="1" applyBorder="1" applyAlignment="1" applyProtection="1">
      <alignment horizontal="center" vertical="center"/>
    </xf>
    <xf numFmtId="170" fontId="51" fillId="0" borderId="73" xfId="70" applyNumberFormat="1" applyFont="1" applyFill="1" applyBorder="1" applyAlignment="1" applyProtection="1">
      <alignment horizontal="center" vertical="center"/>
    </xf>
    <xf numFmtId="169" fontId="50" fillId="0" borderId="74" xfId="70" applyNumberFormat="1" applyFont="1" applyFill="1" applyBorder="1" applyAlignment="1" applyProtection="1">
      <alignment horizontal="center" vertical="center"/>
    </xf>
    <xf numFmtId="171" fontId="50" fillId="0" borderId="74" xfId="70" applyNumberFormat="1" applyFont="1" applyFill="1" applyBorder="1" applyAlignment="1" applyProtection="1">
      <alignment horizontal="center" vertical="center"/>
    </xf>
    <xf numFmtId="172" fontId="50" fillId="0" borderId="74" xfId="70" applyNumberFormat="1" applyFont="1" applyFill="1" applyBorder="1" applyAlignment="1" applyProtection="1">
      <alignment horizontal="center" vertical="center"/>
    </xf>
    <xf numFmtId="0" fontId="52" fillId="0" borderId="74" xfId="70" applyFont="1" applyFill="1" applyBorder="1" applyAlignment="1" applyProtection="1">
      <alignment horizontal="center" vertical="center"/>
    </xf>
    <xf numFmtId="166" fontId="31" fillId="0" borderId="74" xfId="0" applyNumberFormat="1" applyFont="1" applyFill="1" applyBorder="1" applyAlignment="1" applyProtection="1">
      <alignment vertical="center"/>
    </xf>
    <xf numFmtId="166" fontId="53" fillId="0" borderId="74" xfId="0" applyNumberFormat="1" applyFont="1" applyFill="1" applyBorder="1" applyAlignment="1" applyProtection="1">
      <alignment vertical="center"/>
    </xf>
    <xf numFmtId="166" fontId="53" fillId="0" borderId="75" xfId="0" applyNumberFormat="1" applyFont="1" applyFill="1" applyBorder="1" applyAlignment="1" applyProtection="1">
      <alignment vertical="center"/>
    </xf>
    <xf numFmtId="170" fontId="29" fillId="0" borderId="76" xfId="71" applyNumberFormat="1" applyFont="1" applyFill="1" applyBorder="1" applyAlignment="1" applyProtection="1">
      <alignment horizontal="center" vertical="center"/>
    </xf>
    <xf numFmtId="169" fontId="28" fillId="0" borderId="77" xfId="71" applyNumberFormat="1" applyFont="1" applyFill="1" applyBorder="1" applyAlignment="1" applyProtection="1">
      <alignment horizontal="center" vertical="center"/>
    </xf>
    <xf numFmtId="171" fontId="28" fillId="0" borderId="77" xfId="71" applyNumberFormat="1" applyFont="1" applyFill="1" applyBorder="1" applyAlignment="1" applyProtection="1">
      <alignment horizontal="center" vertical="center"/>
    </xf>
    <xf numFmtId="172" fontId="28" fillId="0" borderId="77" xfId="71" applyNumberFormat="1" applyFont="1" applyFill="1" applyBorder="1" applyAlignment="1" applyProtection="1">
      <alignment horizontal="center" vertical="center"/>
    </xf>
    <xf numFmtId="0" fontId="50" fillId="0" borderId="77" xfId="70" applyFont="1" applyFill="1" applyBorder="1" applyAlignment="1" applyProtection="1">
      <alignment vertical="center"/>
    </xf>
    <xf numFmtId="166" fontId="28" fillId="0" borderId="77" xfId="0" applyNumberFormat="1" applyFont="1" applyFill="1" applyBorder="1" applyAlignment="1" applyProtection="1">
      <alignment horizontal="center" vertical="center"/>
    </xf>
    <xf numFmtId="166" fontId="28" fillId="0" borderId="77" xfId="0" applyNumberFormat="1" applyFont="1" applyFill="1" applyBorder="1" applyAlignment="1" applyProtection="1">
      <alignment vertical="center"/>
    </xf>
    <xf numFmtId="166" fontId="28" fillId="0" borderId="78" xfId="0" applyNumberFormat="1" applyFont="1" applyFill="1" applyBorder="1" applyAlignment="1" applyProtection="1">
      <alignment vertical="center"/>
    </xf>
    <xf numFmtId="170" fontId="29" fillId="0" borderId="79" xfId="71" applyNumberFormat="1" applyFont="1" applyFill="1" applyBorder="1" applyAlignment="1" applyProtection="1">
      <alignment horizontal="center" vertical="center"/>
    </xf>
    <xf numFmtId="169" fontId="28" fillId="0" borderId="47" xfId="71" applyNumberFormat="1" applyFont="1" applyFill="1" applyBorder="1" applyAlignment="1" applyProtection="1">
      <alignment horizontal="center" vertical="center"/>
    </xf>
    <xf numFmtId="171" fontId="28" fillId="0" borderId="47" xfId="71" applyNumberFormat="1" applyFont="1" applyFill="1" applyBorder="1" applyAlignment="1" applyProtection="1">
      <alignment horizontal="center" vertical="center"/>
    </xf>
    <xf numFmtId="172" fontId="28" fillId="0" borderId="47" xfId="71" applyNumberFormat="1" applyFont="1" applyFill="1" applyBorder="1" applyAlignment="1" applyProtection="1">
      <alignment horizontal="center" vertical="center"/>
    </xf>
    <xf numFmtId="166" fontId="28" fillId="0" borderId="47" xfId="0" applyNumberFormat="1" applyFont="1" applyFill="1" applyBorder="1" applyAlignment="1" applyProtection="1">
      <alignment vertical="center"/>
    </xf>
    <xf numFmtId="166" fontId="28" fillId="0" borderId="80" xfId="0" applyNumberFormat="1" applyFont="1" applyFill="1" applyBorder="1" applyAlignment="1" applyProtection="1">
      <alignment vertical="center"/>
    </xf>
    <xf numFmtId="0" fontId="78" fillId="0" borderId="46" xfId="70" applyFont="1" applyFill="1" applyBorder="1" applyAlignment="1" applyProtection="1">
      <alignment vertical="center"/>
    </xf>
    <xf numFmtId="0" fontId="78" fillId="0" borderId="47" xfId="70" applyFont="1" applyFill="1" applyBorder="1" applyAlignment="1" applyProtection="1">
      <alignment vertical="center"/>
    </xf>
    <xf numFmtId="0" fontId="79" fillId="0" borderId="47" xfId="7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1" fontId="31" fillId="0" borderId="0" xfId="0" applyNumberFormat="1" applyFont="1" applyFill="1" applyAlignment="1" applyProtection="1">
      <alignment horizontal="left" vertical="center"/>
    </xf>
    <xf numFmtId="0" fontId="69" fillId="25" borderId="35" xfId="0" applyFont="1" applyFill="1" applyBorder="1" applyAlignment="1" applyProtection="1">
      <alignment horizontal="center" vertical="center"/>
    </xf>
    <xf numFmtId="0" fontId="69" fillId="25" borderId="34" xfId="0" applyFont="1" applyFill="1" applyBorder="1" applyAlignment="1" applyProtection="1">
      <alignment horizontal="center" vertical="center"/>
    </xf>
    <xf numFmtId="166" fontId="67" fillId="25" borderId="41" xfId="0" applyNumberFormat="1" applyFont="1" applyFill="1" applyBorder="1" applyAlignment="1" applyProtection="1">
      <alignment horizontal="center" vertical="center" wrapText="1"/>
    </xf>
    <xf numFmtId="166" fontId="67" fillId="25" borderId="44" xfId="0" applyNumberFormat="1" applyFont="1" applyFill="1" applyBorder="1" applyAlignment="1" applyProtection="1">
      <alignment horizontal="center" vertical="center"/>
    </xf>
    <xf numFmtId="166" fontId="67" fillId="25" borderId="42" xfId="0" applyNumberFormat="1" applyFont="1" applyFill="1" applyBorder="1" applyAlignment="1" applyProtection="1">
      <alignment horizontal="center" vertical="center" wrapText="1"/>
    </xf>
    <xf numFmtId="166" fontId="67" fillId="25" borderId="45" xfId="0" applyNumberFormat="1" applyFont="1" applyFill="1" applyBorder="1" applyAlignment="1" applyProtection="1">
      <alignment horizontal="center" vertical="center"/>
    </xf>
    <xf numFmtId="0" fontId="49" fillId="0" borderId="0" xfId="0" applyFont="1" applyAlignment="1" applyProtection="1">
      <alignment vertical="center"/>
    </xf>
    <xf numFmtId="0" fontId="69" fillId="25" borderId="40" xfId="0" applyFont="1" applyFill="1" applyBorder="1" applyAlignment="1" applyProtection="1">
      <alignment horizontal="center" vertical="center" wrapText="1"/>
    </xf>
    <xf numFmtId="0" fontId="69" fillId="25" borderId="43" xfId="0" applyFont="1" applyFill="1" applyBorder="1" applyAlignment="1" applyProtection="1">
      <alignment horizontal="center" vertical="center" wrapText="1"/>
    </xf>
    <xf numFmtId="0" fontId="69" fillId="25" borderId="41" xfId="0" applyFont="1" applyFill="1" applyBorder="1" applyAlignment="1" applyProtection="1">
      <alignment horizontal="center" vertical="center" wrapText="1"/>
    </xf>
    <xf numFmtId="0" fontId="69" fillId="25" borderId="44" xfId="0" applyFont="1" applyFill="1" applyBorder="1" applyAlignment="1" applyProtection="1">
      <alignment horizontal="center" vertical="center" wrapText="1"/>
    </xf>
    <xf numFmtId="0" fontId="69" fillId="25" borderId="53" xfId="0" applyFont="1" applyFill="1" applyBorder="1" applyAlignment="1" applyProtection="1">
      <alignment horizontal="center" vertical="center" wrapText="1"/>
    </xf>
    <xf numFmtId="0" fontId="69" fillId="25" borderId="54" xfId="0" applyFont="1" applyFill="1" applyBorder="1" applyAlignment="1" applyProtection="1">
      <alignment horizontal="center" vertical="center" wrapText="1"/>
    </xf>
    <xf numFmtId="0" fontId="69" fillId="25" borderId="35" xfId="0" applyFont="1" applyFill="1" applyBorder="1" applyAlignment="1" applyProtection="1">
      <alignment horizontal="center" vertical="center" wrapText="1"/>
    </xf>
    <xf numFmtId="0" fontId="69" fillId="25" borderId="36" xfId="0" applyFont="1" applyFill="1" applyBorder="1" applyAlignment="1" applyProtection="1">
      <alignment horizontal="center" vertical="center" wrapText="1"/>
    </xf>
    <xf numFmtId="0" fontId="69" fillId="25" borderId="34" xfId="0" applyFont="1" applyFill="1" applyBorder="1" applyAlignment="1" applyProtection="1">
      <alignment horizontal="center" vertical="center" wrapText="1"/>
    </xf>
    <xf numFmtId="0" fontId="69" fillId="25" borderId="30" xfId="0" applyFont="1" applyFill="1" applyBorder="1" applyAlignment="1" applyProtection="1">
      <alignment horizontal="center" vertical="center" wrapText="1"/>
    </xf>
    <xf numFmtId="0" fontId="69" fillId="25" borderId="37" xfId="0" applyFont="1" applyFill="1" applyBorder="1" applyAlignment="1" applyProtection="1">
      <alignment horizontal="center" vertical="center" wrapText="1"/>
    </xf>
    <xf numFmtId="0" fontId="71" fillId="25" borderId="34" xfId="0" applyFont="1" applyFill="1" applyBorder="1" applyAlignment="1" applyProtection="1">
      <alignment horizontal="center" vertical="center" wrapText="1"/>
    </xf>
    <xf numFmtId="0" fontId="71" fillId="25" borderId="37" xfId="0" applyFont="1" applyFill="1" applyBorder="1" applyAlignment="1" applyProtection="1">
      <alignment horizontal="center" vertical="center" wrapText="1"/>
    </xf>
    <xf numFmtId="0" fontId="71" fillId="25" borderId="35" xfId="0" applyFont="1" applyFill="1" applyBorder="1" applyAlignment="1" applyProtection="1">
      <alignment horizontal="center" vertical="center"/>
    </xf>
    <xf numFmtId="0" fontId="71" fillId="25" borderId="34" xfId="0" applyFont="1" applyFill="1" applyBorder="1" applyAlignment="1" applyProtection="1">
      <alignment horizontal="center" vertical="center"/>
    </xf>
    <xf numFmtId="0" fontId="42" fillId="0" borderId="55" xfId="0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0" fontId="69" fillId="25" borderId="58" xfId="0" applyFont="1" applyFill="1" applyBorder="1" applyAlignment="1" applyProtection="1">
      <alignment horizontal="center" vertical="center"/>
    </xf>
    <xf numFmtId="0" fontId="69" fillId="25" borderId="59" xfId="0" applyFont="1" applyFill="1" applyBorder="1" applyAlignment="1" applyProtection="1">
      <alignment horizontal="center" vertical="center"/>
    </xf>
    <xf numFmtId="0" fontId="35" fillId="0" borderId="0" xfId="0" applyFont="1" applyFill="1" applyAlignment="1" applyProtection="1">
      <alignment horizontal="center" vertical="center"/>
    </xf>
    <xf numFmtId="0" fontId="22" fillId="0" borderId="0" xfId="0" applyNumberFormat="1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</cellXfs>
  <cellStyles count="145">
    <cellStyle name="Buena" xfId="1" builtinId="26" customBuiltin="1"/>
    <cellStyle name="Cálculo" xfId="2" builtinId="22" customBuiltin="1"/>
    <cellStyle name="Celda de comprobación" xfId="3" builtinId="23" customBuiltin="1"/>
    <cellStyle name="Celda vinculada" xfId="4" builtinId="24" customBuiltin="1"/>
    <cellStyle name="Encabezado 1" xfId="95" builtinId="16" customBuiltin="1"/>
    <cellStyle name="Encabezado 4" xfId="5" builtinId="19" customBuiltin="1"/>
    <cellStyle name="Énfasis 1" xfId="6"/>
    <cellStyle name="Énfasis 2" xfId="7"/>
    <cellStyle name="Énfasis 3" xfId="8"/>
    <cellStyle name="Énfasis1" xfId="9" builtinId="29" customBuiltin="1"/>
    <cellStyle name="Énfasis1 - 20%" xfId="10"/>
    <cellStyle name="Énfasis1 - 40%" xfId="11"/>
    <cellStyle name="Énfasis1 - 60%" xfId="12"/>
    <cellStyle name="Énfasis2" xfId="13" builtinId="33" customBuiltin="1"/>
    <cellStyle name="Énfasis2 - 20%" xfId="14"/>
    <cellStyle name="Énfasis2 - 40%" xfId="15"/>
    <cellStyle name="Énfasis2 - 60%" xfId="16"/>
    <cellStyle name="Énfasis3" xfId="17" builtinId="37" customBuiltin="1"/>
    <cellStyle name="Énfasis3 - 20%" xfId="18"/>
    <cellStyle name="Énfasis3 - 40%" xfId="19"/>
    <cellStyle name="Énfasis3 - 60%" xfId="20"/>
    <cellStyle name="Énfasis4" xfId="21" builtinId="41" customBuiltin="1"/>
    <cellStyle name="Énfasis4 - 20%" xfId="22"/>
    <cellStyle name="Énfasis4 - 40%" xfId="23"/>
    <cellStyle name="Énfasis4 - 60%" xfId="24"/>
    <cellStyle name="Énfasis5" xfId="25" builtinId="45" customBuiltin="1"/>
    <cellStyle name="Énfasis5 - 20%" xfId="26"/>
    <cellStyle name="Énfasis5 - 40%" xfId="27"/>
    <cellStyle name="Énfasis5 - 60%" xfId="28"/>
    <cellStyle name="Énfasis6" xfId="29" builtinId="49" customBuiltin="1"/>
    <cellStyle name="Énfasis6 - 20%" xfId="30"/>
    <cellStyle name="Énfasis6 - 40%" xfId="31"/>
    <cellStyle name="Énfasis6 - 60%" xfId="32"/>
    <cellStyle name="Entrada" xfId="33" builtinId="20" customBuiltin="1"/>
    <cellStyle name="Euro" xfId="34"/>
    <cellStyle name="Euro 10" xfId="35"/>
    <cellStyle name="Euro 10 2" xfId="101"/>
    <cellStyle name="Euro 11" xfId="36"/>
    <cellStyle name="Euro 11 2" xfId="102"/>
    <cellStyle name="Euro 12" xfId="100"/>
    <cellStyle name="Euro 2" xfId="37"/>
    <cellStyle name="Euro 2 2" xfId="38"/>
    <cellStyle name="Euro 2 2 2" xfId="104"/>
    <cellStyle name="Euro 2 3" xfId="39"/>
    <cellStyle name="Euro 2 3 2" xfId="105"/>
    <cellStyle name="Euro 2 4" xfId="40"/>
    <cellStyle name="Euro 2 4 2" xfId="106"/>
    <cellStyle name="Euro 2 5" xfId="41"/>
    <cellStyle name="Euro 2 5 2" xfId="107"/>
    <cellStyle name="Euro 2 6" xfId="42"/>
    <cellStyle name="Euro 2 6 2" xfId="108"/>
    <cellStyle name="Euro 2 7" xfId="43"/>
    <cellStyle name="Euro 2 7 2" xfId="109"/>
    <cellStyle name="Euro 2 8" xfId="103"/>
    <cellStyle name="Euro 3" xfId="44"/>
    <cellStyle name="Euro 3 2" xfId="110"/>
    <cellStyle name="Euro 4" xfId="45"/>
    <cellStyle name="Euro 4 2" xfId="111"/>
    <cellStyle name="Euro 5" xfId="46"/>
    <cellStyle name="Euro 5 2" xfId="112"/>
    <cellStyle name="Euro 6" xfId="47"/>
    <cellStyle name="Euro 6 2" xfId="113"/>
    <cellStyle name="Euro 7" xfId="48"/>
    <cellStyle name="Euro 7 2" xfId="114"/>
    <cellStyle name="Euro 8" xfId="49"/>
    <cellStyle name="Euro 8 2" xfId="115"/>
    <cellStyle name="Euro 9" xfId="50"/>
    <cellStyle name="Euro 9 2" xfId="116"/>
    <cellStyle name="Incorrecto" xfId="51" builtinId="27" customBuiltin="1"/>
    <cellStyle name="Millares" xfId="52" builtinId="3"/>
    <cellStyle name="Millares 2" xfId="142"/>
    <cellStyle name="Neutral" xfId="53" builtinId="28" customBuiltin="1"/>
    <cellStyle name="Normal" xfId="0" builtinId="0"/>
    <cellStyle name="Normal 10" xfId="54"/>
    <cellStyle name="Normal 10 2" xfId="117"/>
    <cellStyle name="Normal 2" xfId="55"/>
    <cellStyle name="Normal 3" xfId="56"/>
    <cellStyle name="Normal 3 2" xfId="118"/>
    <cellStyle name="Normal 4" xfId="57"/>
    <cellStyle name="Normal 4 10" xfId="58"/>
    <cellStyle name="Normal 4 11" xfId="59"/>
    <cellStyle name="Normal 4 12" xfId="60"/>
    <cellStyle name="Normal 4 13" xfId="119"/>
    <cellStyle name="Normal 4 2" xfId="61"/>
    <cellStyle name="Normal 4 3" xfId="62"/>
    <cellStyle name="Normal 4 4" xfId="63"/>
    <cellStyle name="Normal 4 5" xfId="64"/>
    <cellStyle name="Normal 4 6" xfId="65"/>
    <cellStyle name="Normal 4 7" xfId="66"/>
    <cellStyle name="Normal 4 8" xfId="67"/>
    <cellStyle name="Normal 4 9" xfId="68"/>
    <cellStyle name="Normal 5" xfId="141"/>
    <cellStyle name="Normal 6" xfId="143"/>
    <cellStyle name="Normal 7" xfId="144"/>
    <cellStyle name="Normal_Copia (28) de Persona Natural 2008" xfId="69"/>
    <cellStyle name="Normal_Persona Natural 2008" xfId="70"/>
    <cellStyle name="Normal_Persona Natural 2008 10" xfId="71"/>
    <cellStyle name="Notas" xfId="72" builtinId="10" customBuiltin="1"/>
    <cellStyle name="Notas 10" xfId="73"/>
    <cellStyle name="Notas 10 2" xfId="121"/>
    <cellStyle name="Notas 11" xfId="74"/>
    <cellStyle name="Notas 11 2" xfId="122"/>
    <cellStyle name="Notas 12" xfId="120"/>
    <cellStyle name="Notas 2" xfId="75"/>
    <cellStyle name="Notas 2 10" xfId="76"/>
    <cellStyle name="Notas 2 10 2" xfId="124"/>
    <cellStyle name="Notas 2 11" xfId="77"/>
    <cellStyle name="Notas 2 11 2" xfId="125"/>
    <cellStyle name="Notas 2 12" xfId="123"/>
    <cellStyle name="Notas 2 2" xfId="78"/>
    <cellStyle name="Notas 2 2 2" xfId="126"/>
    <cellStyle name="Notas 2 3" xfId="79"/>
    <cellStyle name="Notas 2 3 2" xfId="127"/>
    <cellStyle name="Notas 2 4" xfId="80"/>
    <cellStyle name="Notas 2 4 2" xfId="128"/>
    <cellStyle name="Notas 2 5" xfId="81"/>
    <cellStyle name="Notas 2 5 2" xfId="129"/>
    <cellStyle name="Notas 2 6" xfId="82"/>
    <cellStyle name="Notas 2 6 2" xfId="130"/>
    <cellStyle name="Notas 2 7" xfId="83"/>
    <cellStyle name="Notas 2 7 2" xfId="131"/>
    <cellStyle name="Notas 2 8" xfId="84"/>
    <cellStyle name="Notas 2 8 2" xfId="132"/>
    <cellStyle name="Notas 2 9" xfId="85"/>
    <cellStyle name="Notas 2 9 2" xfId="133"/>
    <cellStyle name="Notas 3" xfId="86"/>
    <cellStyle name="Notas 3 2" xfId="134"/>
    <cellStyle name="Notas 4" xfId="87"/>
    <cellStyle name="Notas 4 2" xfId="135"/>
    <cellStyle name="Notas 5" xfId="88"/>
    <cellStyle name="Notas 5 2" xfId="136"/>
    <cellStyle name="Notas 6" xfId="89"/>
    <cellStyle name="Notas 6 2" xfId="137"/>
    <cellStyle name="Notas 7" xfId="90"/>
    <cellStyle name="Notas 7 2" xfId="138"/>
    <cellStyle name="Notas 8" xfId="91"/>
    <cellStyle name="Notas 8 2" xfId="139"/>
    <cellStyle name="Notas 9" xfId="92"/>
    <cellStyle name="Notas 9 2" xfId="140"/>
    <cellStyle name="Salida" xfId="93" builtinId="21" customBuiltin="1"/>
    <cellStyle name="Texto de advertencia" xfId="94" builtinId="11" customBuiltin="1"/>
    <cellStyle name="Título 2" xfId="96" builtinId="17" customBuiltin="1"/>
    <cellStyle name="Título 3" xfId="97" builtinId="18" customBuiltin="1"/>
    <cellStyle name="Título de hoja" xfId="98"/>
    <cellStyle name="Total" xfId="99" builtinId="25" customBuiltin="1"/>
  </cellStyles>
  <dxfs count="187"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1"/>
      </font>
    </dxf>
    <dxf>
      <font>
        <condense val="0"/>
        <extend val="0"/>
        <color indexed="43"/>
      </font>
    </dxf>
    <dxf>
      <font>
        <condense val="0"/>
        <extend val="0"/>
        <color indexed="41"/>
      </font>
    </dxf>
    <dxf>
      <font>
        <condense val="0"/>
        <extend val="0"/>
        <color indexed="43"/>
      </font>
    </dxf>
    <dxf>
      <font>
        <condense val="0"/>
        <extend val="0"/>
        <color indexed="41"/>
      </font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1"/>
      </font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condense val="0"/>
        <extend val="0"/>
        <color indexed="41"/>
      </font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condense val="0"/>
        <extend val="0"/>
        <color auto="1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4"/>
          <bgColor indexed="1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4"/>
          <bgColor indexed="26"/>
        </patternFill>
      </fill>
    </dxf>
    <dxf>
      <font>
        <b/>
        <color indexed="10"/>
      </font>
    </dxf>
    <dxf>
      <font>
        <color indexed="12"/>
      </font>
    </dxf>
    <dxf>
      <font>
        <b/>
        <color indexed="10"/>
      </font>
    </dxf>
    <dxf>
      <font>
        <color indexed="1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indexed="10"/>
      </font>
    </dxf>
    <dxf>
      <font>
        <b/>
        <color indexed="10"/>
      </font>
    </dxf>
    <dxf>
      <font>
        <color indexed="12"/>
      </font>
    </dxf>
    <dxf>
      <font>
        <b/>
        <color indexed="10"/>
      </font>
    </dxf>
    <dxf>
      <font>
        <color indexed="12"/>
      </font>
    </dxf>
    <dxf>
      <font>
        <b/>
        <color indexed="10"/>
      </font>
    </dxf>
  </dxfs>
  <tableStyles count="0" defaultTableStyle="TableStyleMedium9" defaultPivotStyle="PivotStyleLight16"/>
  <colors>
    <mruColors>
      <color rgb="FFFF3399"/>
      <color rgb="FFFFFF00"/>
      <color rgb="FFCCFFFF"/>
      <color rgb="FF0000FF"/>
      <color rgb="FF008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0"/>
    <pageSetUpPr fitToPage="1"/>
  </sheetPr>
  <dimension ref="B2:C797"/>
  <sheetViews>
    <sheetView showGridLines="0" workbookViewId="0">
      <selection activeCell="C13" sqref="C13"/>
    </sheetView>
  </sheetViews>
  <sheetFormatPr baseColWidth="10" defaultColWidth="11.44140625" defaultRowHeight="13.8" x14ac:dyDescent="0.25"/>
  <cols>
    <col min="1" max="1" width="3.6640625" style="37" customWidth="1"/>
    <col min="2" max="2" width="19.33203125" style="37" customWidth="1"/>
    <col min="3" max="3" width="103.33203125" style="37" customWidth="1"/>
    <col min="4" max="4" width="3.6640625" style="37" customWidth="1"/>
    <col min="5" max="16384" width="11.44140625" style="37"/>
  </cols>
  <sheetData>
    <row r="2" spans="2:3" ht="15.6" x14ac:dyDescent="0.25">
      <c r="B2" s="38" t="s">
        <v>14</v>
      </c>
    </row>
    <row r="4" spans="2:3" x14ac:dyDescent="0.25">
      <c r="B4" s="39" t="s">
        <v>31</v>
      </c>
      <c r="C4" s="40" t="s">
        <v>20</v>
      </c>
    </row>
    <row r="5" spans="2:3" ht="27.6" x14ac:dyDescent="0.25">
      <c r="B5" s="112" t="s">
        <v>105</v>
      </c>
      <c r="C5" s="115" t="s">
        <v>1599</v>
      </c>
    </row>
    <row r="6" spans="2:3" x14ac:dyDescent="0.25">
      <c r="B6" s="113" t="s">
        <v>35</v>
      </c>
      <c r="C6" s="116">
        <v>20411074561</v>
      </c>
    </row>
    <row r="7" spans="2:3" x14ac:dyDescent="0.25">
      <c r="B7" s="110" t="s">
        <v>34</v>
      </c>
      <c r="C7" s="117" t="s">
        <v>1601</v>
      </c>
    </row>
    <row r="8" spans="2:3" x14ac:dyDescent="0.25">
      <c r="B8" s="113" t="s">
        <v>447</v>
      </c>
      <c r="C8" s="116" t="s">
        <v>1600</v>
      </c>
    </row>
    <row r="9" spans="2:3" x14ac:dyDescent="0.25">
      <c r="B9" s="113" t="s">
        <v>446</v>
      </c>
      <c r="C9" s="116">
        <v>2015</v>
      </c>
    </row>
    <row r="10" spans="2:3" x14ac:dyDescent="0.25">
      <c r="B10" s="110" t="s">
        <v>32</v>
      </c>
      <c r="C10" s="118" t="s">
        <v>1619</v>
      </c>
    </row>
    <row r="11" spans="2:3" x14ac:dyDescent="0.25">
      <c r="B11" s="113" t="s">
        <v>36</v>
      </c>
      <c r="C11" s="119">
        <v>76362453</v>
      </c>
    </row>
    <row r="12" spans="2:3" x14ac:dyDescent="0.25">
      <c r="B12" s="111" t="s">
        <v>33</v>
      </c>
      <c r="C12" s="120" t="s">
        <v>1598</v>
      </c>
    </row>
    <row r="17" spans="2:3" ht="15.6" x14ac:dyDescent="0.25">
      <c r="B17" s="38" t="s">
        <v>388</v>
      </c>
    </row>
    <row r="19" spans="2:3" x14ac:dyDescent="0.25">
      <c r="B19" s="96" t="s">
        <v>187</v>
      </c>
      <c r="C19" s="1"/>
    </row>
    <row r="20" spans="2:3" x14ac:dyDescent="0.25">
      <c r="B20" s="1"/>
      <c r="C20" s="1"/>
    </row>
    <row r="21" spans="2:3" x14ac:dyDescent="0.25">
      <c r="B21" s="95" t="s">
        <v>407</v>
      </c>
      <c r="C21" s="94" t="s">
        <v>198</v>
      </c>
    </row>
    <row r="22" spans="2:3" x14ac:dyDescent="0.25">
      <c r="B22" s="99">
        <v>1</v>
      </c>
      <c r="C22" s="92" t="s">
        <v>318</v>
      </c>
    </row>
    <row r="23" spans="2:3" x14ac:dyDescent="0.25">
      <c r="B23" s="98">
        <v>2</v>
      </c>
      <c r="C23" s="90" t="s">
        <v>317</v>
      </c>
    </row>
    <row r="24" spans="2:3" x14ac:dyDescent="0.25">
      <c r="B24" s="98">
        <v>3</v>
      </c>
      <c r="C24" s="90" t="s">
        <v>316</v>
      </c>
    </row>
    <row r="25" spans="2:3" x14ac:dyDescent="0.25">
      <c r="B25" s="98">
        <v>4</v>
      </c>
      <c r="C25" s="90" t="s">
        <v>315</v>
      </c>
    </row>
    <row r="26" spans="2:3" x14ac:dyDescent="0.25">
      <c r="B26" s="98">
        <v>5</v>
      </c>
      <c r="C26" s="90" t="s">
        <v>314</v>
      </c>
    </row>
    <row r="27" spans="2:3" x14ac:dyDescent="0.25">
      <c r="B27" s="98">
        <v>6</v>
      </c>
      <c r="C27" s="90" t="s">
        <v>313</v>
      </c>
    </row>
    <row r="28" spans="2:3" ht="27.6" x14ac:dyDescent="0.25">
      <c r="B28" s="98">
        <v>7</v>
      </c>
      <c r="C28" s="100" t="s">
        <v>312</v>
      </c>
    </row>
    <row r="29" spans="2:3" x14ac:dyDescent="0.25">
      <c r="B29" s="98">
        <v>8</v>
      </c>
      <c r="C29" s="90" t="s">
        <v>311</v>
      </c>
    </row>
    <row r="30" spans="2:3" x14ac:dyDescent="0.25">
      <c r="B30" s="98">
        <v>9</v>
      </c>
      <c r="C30" s="90" t="s">
        <v>310</v>
      </c>
    </row>
    <row r="31" spans="2:3" x14ac:dyDescent="0.25">
      <c r="B31" s="98">
        <v>10</v>
      </c>
      <c r="C31" s="90" t="s">
        <v>309</v>
      </c>
    </row>
    <row r="32" spans="2:3" x14ac:dyDescent="0.25">
      <c r="B32" s="98">
        <v>11</v>
      </c>
      <c r="C32" s="90" t="s">
        <v>308</v>
      </c>
    </row>
    <row r="33" spans="2:3" x14ac:dyDescent="0.25">
      <c r="B33" s="98">
        <v>101</v>
      </c>
      <c r="C33" s="90" t="s">
        <v>307</v>
      </c>
    </row>
    <row r="34" spans="2:3" x14ac:dyDescent="0.25">
      <c r="B34" s="98">
        <v>102</v>
      </c>
      <c r="C34" s="90" t="s">
        <v>306</v>
      </c>
    </row>
    <row r="35" spans="2:3" x14ac:dyDescent="0.25">
      <c r="B35" s="98">
        <v>103</v>
      </c>
      <c r="C35" s="90" t="s">
        <v>305</v>
      </c>
    </row>
    <row r="36" spans="2:3" x14ac:dyDescent="0.25">
      <c r="B36" s="98">
        <v>104</v>
      </c>
      <c r="C36" s="90" t="s">
        <v>304</v>
      </c>
    </row>
    <row r="37" spans="2:3" x14ac:dyDescent="0.25">
      <c r="B37" s="98">
        <v>105</v>
      </c>
      <c r="C37" s="90" t="s">
        <v>303</v>
      </c>
    </row>
    <row r="38" spans="2:3" x14ac:dyDescent="0.25">
      <c r="B38" s="98">
        <v>106</v>
      </c>
      <c r="C38" s="90" t="s">
        <v>302</v>
      </c>
    </row>
    <row r="39" spans="2:3" x14ac:dyDescent="0.25">
      <c r="B39" s="98">
        <v>107</v>
      </c>
      <c r="C39" s="90" t="s">
        <v>301</v>
      </c>
    </row>
    <row r="40" spans="2:3" x14ac:dyDescent="0.25">
      <c r="B40" s="98">
        <v>108</v>
      </c>
      <c r="C40" s="90" t="s">
        <v>300</v>
      </c>
    </row>
    <row r="41" spans="2:3" x14ac:dyDescent="0.25">
      <c r="B41" s="89">
        <v>999</v>
      </c>
      <c r="C41" s="88" t="s">
        <v>299</v>
      </c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96" t="s">
        <v>298</v>
      </c>
      <c r="C44" s="1"/>
    </row>
    <row r="45" spans="2:3" x14ac:dyDescent="0.25">
      <c r="B45" s="1"/>
      <c r="C45" s="1"/>
    </row>
    <row r="46" spans="2:3" x14ac:dyDescent="0.25">
      <c r="B46" s="95" t="s">
        <v>407</v>
      </c>
      <c r="C46" s="94" t="s">
        <v>198</v>
      </c>
    </row>
    <row r="47" spans="2:3" x14ac:dyDescent="0.25">
      <c r="B47" s="106">
        <v>0</v>
      </c>
      <c r="C47" s="103" t="s">
        <v>297</v>
      </c>
    </row>
    <row r="48" spans="2:3" x14ac:dyDescent="0.25">
      <c r="B48" s="105">
        <v>1</v>
      </c>
      <c r="C48" s="101" t="s">
        <v>296</v>
      </c>
    </row>
    <row r="49" spans="2:3" x14ac:dyDescent="0.25">
      <c r="B49" s="105">
        <v>4</v>
      </c>
      <c r="C49" s="101" t="s">
        <v>295</v>
      </c>
    </row>
    <row r="50" spans="2:3" x14ac:dyDescent="0.25">
      <c r="B50" s="105">
        <v>6</v>
      </c>
      <c r="C50" s="101" t="s">
        <v>294</v>
      </c>
    </row>
    <row r="51" spans="2:3" x14ac:dyDescent="0.25">
      <c r="B51" s="104">
        <v>7</v>
      </c>
      <c r="C51" s="88" t="s">
        <v>293</v>
      </c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96" t="s">
        <v>292</v>
      </c>
      <c r="C54" s="1"/>
    </row>
    <row r="55" spans="2:3" x14ac:dyDescent="0.25">
      <c r="B55" s="1"/>
      <c r="C55" s="1"/>
    </row>
    <row r="56" spans="2:3" x14ac:dyDescent="0.25">
      <c r="B56" s="95" t="s">
        <v>407</v>
      </c>
      <c r="C56" s="94" t="s">
        <v>198</v>
      </c>
    </row>
    <row r="57" spans="2:3" x14ac:dyDescent="0.25">
      <c r="B57" s="93">
        <v>1</v>
      </c>
      <c r="C57" s="103" t="s">
        <v>291</v>
      </c>
    </row>
    <row r="58" spans="2:3" x14ac:dyDescent="0.25">
      <c r="B58" s="91">
        <v>2</v>
      </c>
      <c r="C58" s="101" t="s">
        <v>290</v>
      </c>
    </row>
    <row r="59" spans="2:3" x14ac:dyDescent="0.25">
      <c r="B59" s="91">
        <v>3</v>
      </c>
      <c r="C59" s="101" t="s">
        <v>289</v>
      </c>
    </row>
    <row r="60" spans="2:3" x14ac:dyDescent="0.25">
      <c r="B60" s="91">
        <v>4</v>
      </c>
      <c r="C60" s="101" t="s">
        <v>448</v>
      </c>
    </row>
    <row r="61" spans="2:3" x14ac:dyDescent="0.25">
      <c r="B61" s="91">
        <v>5</v>
      </c>
      <c r="C61" s="101" t="s">
        <v>288</v>
      </c>
    </row>
    <row r="62" spans="2:3" x14ac:dyDescent="0.25">
      <c r="B62" s="91">
        <v>7</v>
      </c>
      <c r="C62" s="101" t="s">
        <v>287</v>
      </c>
    </row>
    <row r="63" spans="2:3" x14ac:dyDescent="0.25">
      <c r="B63" s="91">
        <v>8</v>
      </c>
      <c r="C63" s="101" t="s">
        <v>286</v>
      </c>
    </row>
    <row r="64" spans="2:3" x14ac:dyDescent="0.25">
      <c r="B64" s="91">
        <v>9</v>
      </c>
      <c r="C64" s="101" t="s">
        <v>285</v>
      </c>
    </row>
    <row r="65" spans="2:3" x14ac:dyDescent="0.25">
      <c r="B65" s="91">
        <v>11</v>
      </c>
      <c r="C65" s="101" t="s">
        <v>284</v>
      </c>
    </row>
    <row r="66" spans="2:3" x14ac:dyDescent="0.25">
      <c r="B66" s="91">
        <v>12</v>
      </c>
      <c r="C66" s="101" t="s">
        <v>283</v>
      </c>
    </row>
    <row r="67" spans="2:3" x14ac:dyDescent="0.25">
      <c r="B67" s="91">
        <v>16</v>
      </c>
      <c r="C67" s="101" t="s">
        <v>282</v>
      </c>
    </row>
    <row r="68" spans="2:3" x14ac:dyDescent="0.25">
      <c r="B68" s="91">
        <v>18</v>
      </c>
      <c r="C68" s="101" t="s">
        <v>281</v>
      </c>
    </row>
    <row r="69" spans="2:3" x14ac:dyDescent="0.25">
      <c r="B69" s="91">
        <v>22</v>
      </c>
      <c r="C69" s="101" t="s">
        <v>280</v>
      </c>
    </row>
    <row r="70" spans="2:3" x14ac:dyDescent="0.25">
      <c r="B70" s="91">
        <v>23</v>
      </c>
      <c r="C70" s="101" t="s">
        <v>279</v>
      </c>
    </row>
    <row r="71" spans="2:3" x14ac:dyDescent="0.25">
      <c r="B71" s="91">
        <v>25</v>
      </c>
      <c r="C71" s="101" t="s">
        <v>278</v>
      </c>
    </row>
    <row r="72" spans="2:3" x14ac:dyDescent="0.25">
      <c r="B72" s="91">
        <v>26</v>
      </c>
      <c r="C72" s="101" t="s">
        <v>277</v>
      </c>
    </row>
    <row r="73" spans="2:3" x14ac:dyDescent="0.25">
      <c r="B73" s="91">
        <v>29</v>
      </c>
      <c r="C73" s="101" t="s">
        <v>276</v>
      </c>
    </row>
    <row r="74" spans="2:3" x14ac:dyDescent="0.25">
      <c r="B74" s="91">
        <v>35</v>
      </c>
      <c r="C74" s="101" t="s">
        <v>275</v>
      </c>
    </row>
    <row r="75" spans="2:3" x14ac:dyDescent="0.25">
      <c r="B75" s="91">
        <v>37</v>
      </c>
      <c r="C75" s="101" t="s">
        <v>274</v>
      </c>
    </row>
    <row r="76" spans="2:3" x14ac:dyDescent="0.25">
      <c r="B76" s="91">
        <v>38</v>
      </c>
      <c r="C76" s="101" t="s">
        <v>273</v>
      </c>
    </row>
    <row r="77" spans="2:3" x14ac:dyDescent="0.25">
      <c r="B77" s="91">
        <v>39</v>
      </c>
      <c r="C77" s="101" t="s">
        <v>272</v>
      </c>
    </row>
    <row r="78" spans="2:3" x14ac:dyDescent="0.25">
      <c r="B78" s="91">
        <v>40</v>
      </c>
      <c r="C78" s="101" t="s">
        <v>271</v>
      </c>
    </row>
    <row r="79" spans="2:3" x14ac:dyDescent="0.25">
      <c r="B79" s="91">
        <v>41</v>
      </c>
      <c r="C79" s="101" t="s">
        <v>270</v>
      </c>
    </row>
    <row r="80" spans="2:3" x14ac:dyDescent="0.25">
      <c r="B80" s="91">
        <v>42</v>
      </c>
      <c r="C80" s="101" t="s">
        <v>269</v>
      </c>
    </row>
    <row r="81" spans="2:3" x14ac:dyDescent="0.25">
      <c r="B81" s="91">
        <v>43</v>
      </c>
      <c r="C81" s="101" t="s">
        <v>268</v>
      </c>
    </row>
    <row r="82" spans="2:3" x14ac:dyDescent="0.25">
      <c r="B82" s="91">
        <v>44</v>
      </c>
      <c r="C82" s="101" t="s">
        <v>267</v>
      </c>
    </row>
    <row r="83" spans="2:3" x14ac:dyDescent="0.25">
      <c r="B83" s="91">
        <v>45</v>
      </c>
      <c r="C83" s="101" t="s">
        <v>265</v>
      </c>
    </row>
    <row r="84" spans="2:3" x14ac:dyDescent="0.25">
      <c r="B84" s="91">
        <v>46</v>
      </c>
      <c r="C84" s="101" t="s">
        <v>264</v>
      </c>
    </row>
    <row r="85" spans="2:3" x14ac:dyDescent="0.25">
      <c r="B85" s="91">
        <v>47</v>
      </c>
      <c r="C85" s="101" t="s">
        <v>263</v>
      </c>
    </row>
    <row r="86" spans="2:3" x14ac:dyDescent="0.25">
      <c r="B86" s="91">
        <v>48</v>
      </c>
      <c r="C86" s="101" t="s">
        <v>262</v>
      </c>
    </row>
    <row r="87" spans="2:3" x14ac:dyDescent="0.25">
      <c r="B87" s="91">
        <v>49</v>
      </c>
      <c r="C87" s="101" t="s">
        <v>261</v>
      </c>
    </row>
    <row r="88" spans="2:3" x14ac:dyDescent="0.25">
      <c r="B88" s="91">
        <v>50</v>
      </c>
      <c r="C88" s="101" t="s">
        <v>260</v>
      </c>
    </row>
    <row r="89" spans="2:3" x14ac:dyDescent="0.25">
      <c r="B89" s="91">
        <v>53</v>
      </c>
      <c r="C89" s="101" t="s">
        <v>259</v>
      </c>
    </row>
    <row r="90" spans="2:3" x14ac:dyDescent="0.25">
      <c r="B90" s="89">
        <v>99</v>
      </c>
      <c r="C90" s="88" t="s">
        <v>258</v>
      </c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96" t="s">
        <v>257</v>
      </c>
      <c r="C93" s="1"/>
    </row>
    <row r="94" spans="2:3" x14ac:dyDescent="0.25">
      <c r="B94" s="1"/>
      <c r="C94" s="1"/>
    </row>
    <row r="95" spans="2:3" x14ac:dyDescent="0.25">
      <c r="B95" s="95" t="s">
        <v>407</v>
      </c>
      <c r="C95" s="94" t="s">
        <v>198</v>
      </c>
    </row>
    <row r="96" spans="2:3" x14ac:dyDescent="0.25">
      <c r="B96" s="106">
        <v>1</v>
      </c>
      <c r="C96" s="103" t="s">
        <v>256</v>
      </c>
    </row>
    <row r="97" spans="2:3" x14ac:dyDescent="0.25">
      <c r="B97" s="105">
        <v>2</v>
      </c>
      <c r="C97" s="101" t="s">
        <v>255</v>
      </c>
    </row>
    <row r="98" spans="2:3" x14ac:dyDescent="0.25">
      <c r="B98" s="104">
        <v>9</v>
      </c>
      <c r="C98" s="88" t="s">
        <v>254</v>
      </c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96" t="s">
        <v>253</v>
      </c>
      <c r="C101" s="1"/>
    </row>
    <row r="102" spans="2:3" x14ac:dyDescent="0.25">
      <c r="B102" s="1"/>
      <c r="C102" s="1"/>
    </row>
    <row r="103" spans="2:3" x14ac:dyDescent="0.25">
      <c r="B103" s="95" t="s">
        <v>407</v>
      </c>
      <c r="C103" s="94" t="s">
        <v>198</v>
      </c>
    </row>
    <row r="104" spans="2:3" x14ac:dyDescent="0.25">
      <c r="B104" s="93">
        <v>1</v>
      </c>
      <c r="C104" s="103" t="s">
        <v>252</v>
      </c>
    </row>
    <row r="105" spans="2:3" x14ac:dyDescent="0.25">
      <c r="B105" s="91">
        <v>2</v>
      </c>
      <c r="C105" s="101" t="s">
        <v>251</v>
      </c>
    </row>
    <row r="106" spans="2:3" x14ac:dyDescent="0.25">
      <c r="B106" s="91">
        <v>3</v>
      </c>
      <c r="C106" s="101" t="s">
        <v>250</v>
      </c>
    </row>
    <row r="107" spans="2:3" x14ac:dyDescent="0.25">
      <c r="B107" s="91">
        <v>4</v>
      </c>
      <c r="C107" s="101" t="s">
        <v>398</v>
      </c>
    </row>
    <row r="108" spans="2:3" x14ac:dyDescent="0.25">
      <c r="B108" s="91">
        <v>5</v>
      </c>
      <c r="C108" s="101" t="s">
        <v>249</v>
      </c>
    </row>
    <row r="109" spans="2:3" x14ac:dyDescent="0.25">
      <c r="B109" s="89">
        <v>99</v>
      </c>
      <c r="C109" s="88" t="s">
        <v>106</v>
      </c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96" t="s">
        <v>248</v>
      </c>
      <c r="C112" s="1"/>
    </row>
    <row r="113" spans="2:3" x14ac:dyDescent="0.25">
      <c r="B113" s="1"/>
      <c r="C113" s="1"/>
    </row>
    <row r="114" spans="2:3" x14ac:dyDescent="0.25">
      <c r="B114" s="95" t="s">
        <v>407</v>
      </c>
      <c r="C114" s="94" t="s">
        <v>198</v>
      </c>
    </row>
    <row r="115" spans="2:3" x14ac:dyDescent="0.25">
      <c r="B115" s="93">
        <v>1</v>
      </c>
      <c r="C115" s="103" t="s">
        <v>247</v>
      </c>
    </row>
    <row r="116" spans="2:3" x14ac:dyDescent="0.25">
      <c r="B116" s="91">
        <v>2</v>
      </c>
      <c r="C116" s="101" t="s">
        <v>246</v>
      </c>
    </row>
    <row r="117" spans="2:3" x14ac:dyDescent="0.25">
      <c r="B117" s="91">
        <v>3</v>
      </c>
      <c r="C117" s="101" t="s">
        <v>245</v>
      </c>
    </row>
    <row r="118" spans="2:3" x14ac:dyDescent="0.25">
      <c r="B118" s="91">
        <v>4</v>
      </c>
      <c r="C118" s="101" t="s">
        <v>244</v>
      </c>
    </row>
    <row r="119" spans="2:3" x14ac:dyDescent="0.25">
      <c r="B119" s="91">
        <v>5</v>
      </c>
      <c r="C119" s="101" t="s">
        <v>243</v>
      </c>
    </row>
    <row r="120" spans="2:3" x14ac:dyDescent="0.25">
      <c r="B120" s="91">
        <v>6</v>
      </c>
      <c r="C120" s="101" t="s">
        <v>242</v>
      </c>
    </row>
    <row r="121" spans="2:3" x14ac:dyDescent="0.25">
      <c r="B121" s="91">
        <v>7</v>
      </c>
      <c r="C121" s="101" t="s">
        <v>241</v>
      </c>
    </row>
    <row r="122" spans="2:3" x14ac:dyDescent="0.25">
      <c r="B122" s="91">
        <v>8</v>
      </c>
      <c r="C122" s="101" t="s">
        <v>240</v>
      </c>
    </row>
    <row r="123" spans="2:3" x14ac:dyDescent="0.25">
      <c r="B123" s="91">
        <v>9</v>
      </c>
      <c r="C123" s="101" t="s">
        <v>239</v>
      </c>
    </row>
    <row r="124" spans="2:3" x14ac:dyDescent="0.25">
      <c r="B124" s="91">
        <v>10</v>
      </c>
      <c r="C124" s="101" t="s">
        <v>238</v>
      </c>
    </row>
    <row r="125" spans="2:3" x14ac:dyDescent="0.25">
      <c r="B125" s="91">
        <v>11</v>
      </c>
      <c r="C125" s="101" t="s">
        <v>237</v>
      </c>
    </row>
    <row r="126" spans="2:3" x14ac:dyDescent="0.25">
      <c r="B126" s="91">
        <v>12</v>
      </c>
      <c r="C126" s="101" t="s">
        <v>236</v>
      </c>
    </row>
    <row r="127" spans="2:3" x14ac:dyDescent="0.25">
      <c r="B127" s="91">
        <v>13</v>
      </c>
      <c r="C127" s="101" t="s">
        <v>235</v>
      </c>
    </row>
    <row r="128" spans="2:3" x14ac:dyDescent="0.25">
      <c r="B128" s="91">
        <v>14</v>
      </c>
      <c r="C128" s="101" t="s">
        <v>234</v>
      </c>
    </row>
    <row r="129" spans="2:3" x14ac:dyDescent="0.25">
      <c r="B129" s="91">
        <v>15</v>
      </c>
      <c r="C129" s="101" t="s">
        <v>233</v>
      </c>
    </row>
    <row r="130" spans="2:3" x14ac:dyDescent="0.25">
      <c r="B130" s="89">
        <v>99</v>
      </c>
      <c r="C130" s="88" t="s">
        <v>106</v>
      </c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96" t="s">
        <v>232</v>
      </c>
      <c r="C133" s="1"/>
    </row>
    <row r="134" spans="2:3" x14ac:dyDescent="0.25">
      <c r="B134" s="1"/>
      <c r="C134" s="1"/>
    </row>
    <row r="135" spans="2:3" x14ac:dyDescent="0.25">
      <c r="B135" s="95" t="s">
        <v>407</v>
      </c>
      <c r="C135" s="94" t="s">
        <v>198</v>
      </c>
    </row>
    <row r="136" spans="2:3" x14ac:dyDescent="0.25">
      <c r="B136" s="93">
        <v>1</v>
      </c>
      <c r="C136" s="103" t="s">
        <v>231</v>
      </c>
    </row>
    <row r="137" spans="2:3" x14ac:dyDescent="0.25">
      <c r="B137" s="91">
        <v>2</v>
      </c>
      <c r="C137" s="101" t="s">
        <v>230</v>
      </c>
    </row>
    <row r="138" spans="2:3" x14ac:dyDescent="0.25">
      <c r="B138" s="89">
        <v>3</v>
      </c>
      <c r="C138" s="88" t="s">
        <v>229</v>
      </c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96" t="s">
        <v>228</v>
      </c>
      <c r="C141" s="1"/>
    </row>
    <row r="142" spans="2:3" x14ac:dyDescent="0.25">
      <c r="B142" s="1"/>
      <c r="C142" s="1"/>
    </row>
    <row r="143" spans="2:3" x14ac:dyDescent="0.25">
      <c r="B143" s="95" t="s">
        <v>407</v>
      </c>
      <c r="C143" s="94" t="s">
        <v>198</v>
      </c>
    </row>
    <row r="144" spans="2:3" x14ac:dyDescent="0.25">
      <c r="B144" s="106">
        <v>1</v>
      </c>
      <c r="C144" s="103" t="s">
        <v>227</v>
      </c>
    </row>
    <row r="145" spans="2:3" x14ac:dyDescent="0.25">
      <c r="B145" s="105">
        <v>2</v>
      </c>
      <c r="C145" s="101" t="s">
        <v>226</v>
      </c>
    </row>
    <row r="146" spans="2:3" x14ac:dyDescent="0.25">
      <c r="B146" s="105">
        <v>3</v>
      </c>
      <c r="C146" s="101" t="s">
        <v>225</v>
      </c>
    </row>
    <row r="147" spans="2:3" x14ac:dyDescent="0.25">
      <c r="B147" s="105">
        <v>4</v>
      </c>
      <c r="C147" s="101" t="s">
        <v>224</v>
      </c>
    </row>
    <row r="148" spans="2:3" x14ac:dyDescent="0.25">
      <c r="B148" s="105">
        <v>5</v>
      </c>
      <c r="C148" s="101" t="s">
        <v>24</v>
      </c>
    </row>
    <row r="149" spans="2:3" x14ac:dyDescent="0.25">
      <c r="B149" s="105">
        <v>6</v>
      </c>
      <c r="C149" s="101" t="s">
        <v>25</v>
      </c>
    </row>
    <row r="150" spans="2:3" x14ac:dyDescent="0.25">
      <c r="B150" s="105">
        <v>7</v>
      </c>
      <c r="C150" s="101" t="s">
        <v>223</v>
      </c>
    </row>
    <row r="151" spans="2:3" x14ac:dyDescent="0.25">
      <c r="B151" s="105">
        <v>8</v>
      </c>
      <c r="C151" s="101" t="s">
        <v>21</v>
      </c>
    </row>
    <row r="152" spans="2:3" x14ac:dyDescent="0.25">
      <c r="B152" s="105">
        <v>9</v>
      </c>
      <c r="C152" s="101" t="s">
        <v>222</v>
      </c>
    </row>
    <row r="153" spans="2:3" x14ac:dyDescent="0.25">
      <c r="B153" s="105">
        <v>10</v>
      </c>
      <c r="C153" s="101" t="s">
        <v>221</v>
      </c>
    </row>
    <row r="154" spans="2:3" x14ac:dyDescent="0.25">
      <c r="B154" s="105">
        <v>11</v>
      </c>
      <c r="C154" s="101" t="s">
        <v>220</v>
      </c>
    </row>
    <row r="155" spans="2:3" x14ac:dyDescent="0.25">
      <c r="B155" s="105">
        <v>12</v>
      </c>
      <c r="C155" s="101" t="s">
        <v>219</v>
      </c>
    </row>
    <row r="156" spans="2:3" x14ac:dyDescent="0.25">
      <c r="B156" s="105">
        <v>13</v>
      </c>
      <c r="C156" s="101" t="s">
        <v>218</v>
      </c>
    </row>
    <row r="157" spans="2:3" x14ac:dyDescent="0.25">
      <c r="B157" s="105">
        <v>14</v>
      </c>
      <c r="C157" s="101" t="s">
        <v>217</v>
      </c>
    </row>
    <row r="158" spans="2:3" x14ac:dyDescent="0.25">
      <c r="B158" s="105">
        <v>15</v>
      </c>
      <c r="C158" s="101" t="s">
        <v>216</v>
      </c>
    </row>
    <row r="159" spans="2:3" x14ac:dyDescent="0.25">
      <c r="B159" s="105">
        <v>16</v>
      </c>
      <c r="C159" s="101" t="s">
        <v>215</v>
      </c>
    </row>
    <row r="160" spans="2:3" x14ac:dyDescent="0.25">
      <c r="B160" s="105">
        <v>17</v>
      </c>
      <c r="C160" s="101" t="s">
        <v>214</v>
      </c>
    </row>
    <row r="161" spans="2:3" x14ac:dyDescent="0.25">
      <c r="B161" s="105">
        <v>18</v>
      </c>
      <c r="C161" s="101" t="s">
        <v>213</v>
      </c>
    </row>
    <row r="162" spans="2:3" x14ac:dyDescent="0.25">
      <c r="B162" s="105">
        <v>19</v>
      </c>
      <c r="C162" s="101" t="s">
        <v>212</v>
      </c>
    </row>
    <row r="163" spans="2:3" ht="27.6" x14ac:dyDescent="0.25">
      <c r="B163" s="105">
        <v>20</v>
      </c>
      <c r="C163" s="102" t="s">
        <v>211</v>
      </c>
    </row>
    <row r="164" spans="2:3" ht="27.6" x14ac:dyDescent="0.25">
      <c r="B164" s="105">
        <v>21</v>
      </c>
      <c r="C164" s="102" t="s">
        <v>210</v>
      </c>
    </row>
    <row r="165" spans="2:3" ht="27.6" x14ac:dyDescent="0.25">
      <c r="B165" s="105">
        <v>22</v>
      </c>
      <c r="C165" s="102" t="s">
        <v>209</v>
      </c>
    </row>
    <row r="166" spans="2:3" ht="27.6" x14ac:dyDescent="0.25">
      <c r="B166" s="105">
        <v>23</v>
      </c>
      <c r="C166" s="102" t="s">
        <v>208</v>
      </c>
    </row>
    <row r="167" spans="2:3" ht="27.6" x14ac:dyDescent="0.25">
      <c r="B167" s="105">
        <v>24</v>
      </c>
      <c r="C167" s="102" t="s">
        <v>207</v>
      </c>
    </row>
    <row r="168" spans="2:3" ht="27.6" x14ac:dyDescent="0.25">
      <c r="B168" s="105">
        <v>25</v>
      </c>
      <c r="C168" s="102" t="s">
        <v>206</v>
      </c>
    </row>
    <row r="169" spans="2:3" x14ac:dyDescent="0.25">
      <c r="B169" s="105">
        <v>26</v>
      </c>
      <c r="C169" s="101" t="s">
        <v>205</v>
      </c>
    </row>
    <row r="170" spans="2:3" x14ac:dyDescent="0.25">
      <c r="B170" s="105">
        <v>27</v>
      </c>
      <c r="C170" s="101" t="s">
        <v>204</v>
      </c>
    </row>
    <row r="171" spans="2:3" x14ac:dyDescent="0.25">
      <c r="B171" s="105">
        <v>28</v>
      </c>
      <c r="C171" s="101" t="s">
        <v>203</v>
      </c>
    </row>
    <row r="172" spans="2:3" x14ac:dyDescent="0.25">
      <c r="B172" s="105">
        <v>29</v>
      </c>
      <c r="C172" s="101" t="s">
        <v>202</v>
      </c>
    </row>
    <row r="173" spans="2:3" x14ac:dyDescent="0.25">
      <c r="B173" s="105">
        <v>30</v>
      </c>
      <c r="C173" s="101" t="s">
        <v>201</v>
      </c>
    </row>
    <row r="174" spans="2:3" x14ac:dyDescent="0.25">
      <c r="B174" s="104">
        <v>31</v>
      </c>
      <c r="C174" s="88" t="s">
        <v>200</v>
      </c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96" t="s">
        <v>199</v>
      </c>
      <c r="C177" s="1"/>
    </row>
    <row r="178" spans="2:3" x14ac:dyDescent="0.25">
      <c r="B178" s="1"/>
      <c r="C178" s="1"/>
    </row>
    <row r="179" spans="2:3" x14ac:dyDescent="0.25">
      <c r="B179" s="95" t="s">
        <v>407</v>
      </c>
      <c r="C179" s="94" t="s">
        <v>198</v>
      </c>
    </row>
    <row r="180" spans="2:3" x14ac:dyDescent="0.25">
      <c r="B180" s="93">
        <v>0</v>
      </c>
      <c r="C180" s="92" t="s">
        <v>197</v>
      </c>
    </row>
    <row r="181" spans="2:3" x14ac:dyDescent="0.25">
      <c r="B181" s="91">
        <v>1</v>
      </c>
      <c r="C181" s="90" t="s">
        <v>387</v>
      </c>
    </row>
    <row r="182" spans="2:3" x14ac:dyDescent="0.25">
      <c r="B182" s="91">
        <v>2</v>
      </c>
      <c r="C182" s="90" t="s">
        <v>196</v>
      </c>
    </row>
    <row r="183" spans="2:3" x14ac:dyDescent="0.25">
      <c r="B183" s="91">
        <v>3</v>
      </c>
      <c r="C183" s="90" t="s">
        <v>386</v>
      </c>
    </row>
    <row r="184" spans="2:3" x14ac:dyDescent="0.25">
      <c r="B184" s="91">
        <v>4</v>
      </c>
      <c r="C184" s="90" t="s">
        <v>195</v>
      </c>
    </row>
    <row r="185" spans="2:3" x14ac:dyDescent="0.25">
      <c r="B185" s="91">
        <v>5</v>
      </c>
      <c r="C185" s="90" t="s">
        <v>194</v>
      </c>
    </row>
    <row r="186" spans="2:3" x14ac:dyDescent="0.25">
      <c r="B186" s="91">
        <v>6</v>
      </c>
      <c r="C186" s="90" t="s">
        <v>193</v>
      </c>
    </row>
    <row r="187" spans="2:3" x14ac:dyDescent="0.25">
      <c r="B187" s="91">
        <v>7</v>
      </c>
      <c r="C187" s="90" t="s">
        <v>385</v>
      </c>
    </row>
    <row r="188" spans="2:3" x14ac:dyDescent="0.25">
      <c r="B188" s="91">
        <v>8</v>
      </c>
      <c r="C188" s="90" t="s">
        <v>384</v>
      </c>
    </row>
    <row r="189" spans="2:3" x14ac:dyDescent="0.25">
      <c r="B189" s="91">
        <v>9</v>
      </c>
      <c r="C189" s="90" t="s">
        <v>192</v>
      </c>
    </row>
    <row r="190" spans="2:3" x14ac:dyDescent="0.25">
      <c r="B190" s="91">
        <v>10</v>
      </c>
      <c r="C190" s="90" t="s">
        <v>191</v>
      </c>
    </row>
    <row r="191" spans="2:3" ht="27.6" x14ac:dyDescent="0.25">
      <c r="B191" s="91">
        <v>11</v>
      </c>
      <c r="C191" s="100" t="s">
        <v>190</v>
      </c>
    </row>
    <row r="192" spans="2:3" x14ac:dyDescent="0.25">
      <c r="B192" s="91">
        <v>12</v>
      </c>
      <c r="C192" s="90" t="s">
        <v>189</v>
      </c>
    </row>
    <row r="193" spans="2:3" ht="27.6" x14ac:dyDescent="0.25">
      <c r="B193" s="91">
        <v>13</v>
      </c>
      <c r="C193" s="100" t="s">
        <v>188</v>
      </c>
    </row>
    <row r="194" spans="2:3" ht="27.6" x14ac:dyDescent="0.25">
      <c r="B194" s="91">
        <v>14</v>
      </c>
      <c r="C194" s="100" t="s">
        <v>186</v>
      </c>
    </row>
    <row r="195" spans="2:3" x14ac:dyDescent="0.25">
      <c r="B195" s="91">
        <v>15</v>
      </c>
      <c r="C195" s="90" t="s">
        <v>185</v>
      </c>
    </row>
    <row r="196" spans="2:3" x14ac:dyDescent="0.25">
      <c r="B196" s="91">
        <v>16</v>
      </c>
      <c r="C196" s="90" t="s">
        <v>184</v>
      </c>
    </row>
    <row r="197" spans="2:3" x14ac:dyDescent="0.25">
      <c r="B197" s="91">
        <v>17</v>
      </c>
      <c r="C197" s="90" t="s">
        <v>183</v>
      </c>
    </row>
    <row r="198" spans="2:3" ht="27.6" x14ac:dyDescent="0.25">
      <c r="B198" s="91">
        <v>18</v>
      </c>
      <c r="C198" s="100" t="s">
        <v>182</v>
      </c>
    </row>
    <row r="199" spans="2:3" x14ac:dyDescent="0.25">
      <c r="B199" s="91">
        <v>19</v>
      </c>
      <c r="C199" s="90" t="s">
        <v>181</v>
      </c>
    </row>
    <row r="200" spans="2:3" x14ac:dyDescent="0.25">
      <c r="B200" s="91">
        <v>20</v>
      </c>
      <c r="C200" s="90" t="s">
        <v>180</v>
      </c>
    </row>
    <row r="201" spans="2:3" x14ac:dyDescent="0.25">
      <c r="B201" s="91">
        <v>21</v>
      </c>
      <c r="C201" s="90" t="s">
        <v>179</v>
      </c>
    </row>
    <row r="202" spans="2:3" x14ac:dyDescent="0.25">
      <c r="B202" s="91">
        <v>22</v>
      </c>
      <c r="C202" s="90" t="s">
        <v>178</v>
      </c>
    </row>
    <row r="203" spans="2:3" ht="27.6" x14ac:dyDescent="0.25">
      <c r="B203" s="91">
        <v>23</v>
      </c>
      <c r="C203" s="100" t="s">
        <v>177</v>
      </c>
    </row>
    <row r="204" spans="2:3" x14ac:dyDescent="0.25">
      <c r="B204" s="91">
        <v>24</v>
      </c>
      <c r="C204" s="90" t="s">
        <v>176</v>
      </c>
    </row>
    <row r="205" spans="2:3" ht="27.6" x14ac:dyDescent="0.25">
      <c r="B205" s="91">
        <v>25</v>
      </c>
      <c r="C205" s="100" t="s">
        <v>175</v>
      </c>
    </row>
    <row r="206" spans="2:3" ht="41.4" x14ac:dyDescent="0.25">
      <c r="B206" s="91">
        <v>26</v>
      </c>
      <c r="C206" s="100" t="s">
        <v>174</v>
      </c>
    </row>
    <row r="207" spans="2:3" x14ac:dyDescent="0.25">
      <c r="B207" s="91">
        <v>27</v>
      </c>
      <c r="C207" s="90" t="s">
        <v>30</v>
      </c>
    </row>
    <row r="208" spans="2:3" x14ac:dyDescent="0.25">
      <c r="B208" s="91">
        <v>28</v>
      </c>
      <c r="C208" s="90" t="s">
        <v>173</v>
      </c>
    </row>
    <row r="209" spans="2:3" ht="27.6" x14ac:dyDescent="0.25">
      <c r="B209" s="91">
        <v>29</v>
      </c>
      <c r="C209" s="100" t="s">
        <v>172</v>
      </c>
    </row>
    <row r="210" spans="2:3" ht="27.6" x14ac:dyDescent="0.25">
      <c r="B210" s="91">
        <v>30</v>
      </c>
      <c r="C210" s="100" t="s">
        <v>171</v>
      </c>
    </row>
    <row r="211" spans="2:3" x14ac:dyDescent="0.25">
      <c r="B211" s="91">
        <v>31</v>
      </c>
      <c r="C211" s="90" t="s">
        <v>170</v>
      </c>
    </row>
    <row r="212" spans="2:3" ht="27.6" x14ac:dyDescent="0.25">
      <c r="B212" s="91">
        <v>32</v>
      </c>
      <c r="C212" s="100" t="s">
        <v>169</v>
      </c>
    </row>
    <row r="213" spans="2:3" x14ac:dyDescent="0.25">
      <c r="B213" s="91">
        <v>34</v>
      </c>
      <c r="C213" s="90" t="s">
        <v>168</v>
      </c>
    </row>
    <row r="214" spans="2:3" x14ac:dyDescent="0.25">
      <c r="B214" s="91">
        <v>35</v>
      </c>
      <c r="C214" s="90" t="s">
        <v>167</v>
      </c>
    </row>
    <row r="215" spans="2:3" x14ac:dyDescent="0.25">
      <c r="B215" s="91">
        <v>36</v>
      </c>
      <c r="C215" s="90" t="s">
        <v>166</v>
      </c>
    </row>
    <row r="216" spans="2:3" x14ac:dyDescent="0.25">
      <c r="B216" s="91">
        <v>37</v>
      </c>
      <c r="C216" s="90" t="s">
        <v>165</v>
      </c>
    </row>
    <row r="217" spans="2:3" x14ac:dyDescent="0.25">
      <c r="B217" s="91">
        <v>50</v>
      </c>
      <c r="C217" s="90" t="s">
        <v>164</v>
      </c>
    </row>
    <row r="218" spans="2:3" x14ac:dyDescent="0.25">
      <c r="B218" s="91">
        <v>52</v>
      </c>
      <c r="C218" s="90" t="s">
        <v>163</v>
      </c>
    </row>
    <row r="219" spans="2:3" x14ac:dyDescent="0.25">
      <c r="B219" s="91">
        <v>53</v>
      </c>
      <c r="C219" s="90" t="s">
        <v>162</v>
      </c>
    </row>
    <row r="220" spans="2:3" x14ac:dyDescent="0.25">
      <c r="B220" s="91">
        <v>54</v>
      </c>
      <c r="C220" s="90" t="s">
        <v>161</v>
      </c>
    </row>
    <row r="221" spans="2:3" x14ac:dyDescent="0.25">
      <c r="B221" s="91">
        <v>87</v>
      </c>
      <c r="C221" s="90" t="s">
        <v>160</v>
      </c>
    </row>
    <row r="222" spans="2:3" x14ac:dyDescent="0.25">
      <c r="B222" s="91">
        <v>88</v>
      </c>
      <c r="C222" s="90" t="s">
        <v>159</v>
      </c>
    </row>
    <row r="223" spans="2:3" x14ac:dyDescent="0.25">
      <c r="B223" s="91">
        <v>91</v>
      </c>
      <c r="C223" s="90" t="s">
        <v>158</v>
      </c>
    </row>
    <row r="224" spans="2:3" x14ac:dyDescent="0.25">
      <c r="B224" s="91">
        <v>96</v>
      </c>
      <c r="C224" s="90" t="s">
        <v>157</v>
      </c>
    </row>
    <row r="225" spans="2:3" x14ac:dyDescent="0.25">
      <c r="B225" s="91">
        <v>97</v>
      </c>
      <c r="C225" s="90" t="s">
        <v>156</v>
      </c>
    </row>
    <row r="226" spans="2:3" x14ac:dyDescent="0.25">
      <c r="B226" s="91">
        <v>98</v>
      </c>
      <c r="C226" s="90" t="s">
        <v>155</v>
      </c>
    </row>
    <row r="227" spans="2:3" x14ac:dyDescent="0.25">
      <c r="B227" s="89">
        <v>99</v>
      </c>
      <c r="C227" s="88" t="s">
        <v>154</v>
      </c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96" t="s">
        <v>153</v>
      </c>
      <c r="C230" s="1"/>
    </row>
    <row r="231" spans="2:3" x14ac:dyDescent="0.25">
      <c r="B231" s="1"/>
      <c r="C231" s="1"/>
    </row>
    <row r="232" spans="2:3" x14ac:dyDescent="0.25">
      <c r="B232" s="95" t="s">
        <v>121</v>
      </c>
      <c r="C232" s="94" t="s">
        <v>120</v>
      </c>
    </row>
    <row r="233" spans="2:3" x14ac:dyDescent="0.25">
      <c r="B233" s="99">
        <v>19</v>
      </c>
      <c r="C233" s="92" t="s">
        <v>152</v>
      </c>
    </row>
    <row r="234" spans="2:3" x14ac:dyDescent="0.25">
      <c r="B234" s="98">
        <v>28</v>
      </c>
      <c r="C234" s="90" t="s">
        <v>151</v>
      </c>
    </row>
    <row r="235" spans="2:3" x14ac:dyDescent="0.25">
      <c r="B235" s="98">
        <v>46</v>
      </c>
      <c r="C235" s="90" t="s">
        <v>150</v>
      </c>
    </row>
    <row r="236" spans="2:3" x14ac:dyDescent="0.25">
      <c r="B236" s="98">
        <v>55</v>
      </c>
      <c r="C236" s="90" t="s">
        <v>149</v>
      </c>
    </row>
    <row r="237" spans="2:3" x14ac:dyDescent="0.25">
      <c r="B237" s="98">
        <v>82</v>
      </c>
      <c r="C237" s="90" t="s">
        <v>148</v>
      </c>
    </row>
    <row r="238" spans="2:3" x14ac:dyDescent="0.25">
      <c r="B238" s="98">
        <v>91</v>
      </c>
      <c r="C238" s="90" t="s">
        <v>147</v>
      </c>
    </row>
    <row r="239" spans="2:3" x14ac:dyDescent="0.25">
      <c r="B239" s="98">
        <v>118</v>
      </c>
      <c r="C239" s="90" t="s">
        <v>146</v>
      </c>
    </row>
    <row r="240" spans="2:3" x14ac:dyDescent="0.25">
      <c r="B240" s="98">
        <v>127</v>
      </c>
      <c r="C240" s="90" t="s">
        <v>145</v>
      </c>
    </row>
    <row r="241" spans="2:3" x14ac:dyDescent="0.25">
      <c r="B241" s="98">
        <v>145</v>
      </c>
      <c r="C241" s="90" t="s">
        <v>144</v>
      </c>
    </row>
    <row r="242" spans="2:3" x14ac:dyDescent="0.25">
      <c r="B242" s="98">
        <v>154</v>
      </c>
      <c r="C242" s="90" t="s">
        <v>143</v>
      </c>
    </row>
    <row r="243" spans="2:3" x14ac:dyDescent="0.25">
      <c r="B243" s="98">
        <v>163</v>
      </c>
      <c r="C243" s="90" t="s">
        <v>142</v>
      </c>
    </row>
    <row r="244" spans="2:3" x14ac:dyDescent="0.25">
      <c r="B244" s="98">
        <v>172</v>
      </c>
      <c r="C244" s="90" t="s">
        <v>141</v>
      </c>
    </row>
    <row r="245" spans="2:3" x14ac:dyDescent="0.25">
      <c r="B245" s="98">
        <v>181</v>
      </c>
      <c r="C245" s="90" t="s">
        <v>140</v>
      </c>
    </row>
    <row r="246" spans="2:3" x14ac:dyDescent="0.25">
      <c r="B246" s="98">
        <v>190</v>
      </c>
      <c r="C246" s="90" t="s">
        <v>139</v>
      </c>
    </row>
    <row r="247" spans="2:3" x14ac:dyDescent="0.25">
      <c r="B247" s="98">
        <v>217</v>
      </c>
      <c r="C247" s="90" t="s">
        <v>138</v>
      </c>
    </row>
    <row r="248" spans="2:3" x14ac:dyDescent="0.25">
      <c r="B248" s="98">
        <v>226</v>
      </c>
      <c r="C248" s="90" t="s">
        <v>137</v>
      </c>
    </row>
    <row r="249" spans="2:3" x14ac:dyDescent="0.25">
      <c r="B249" s="98">
        <v>235</v>
      </c>
      <c r="C249" s="90" t="s">
        <v>136</v>
      </c>
    </row>
    <row r="250" spans="2:3" x14ac:dyDescent="0.25">
      <c r="B250" s="98">
        <v>244</v>
      </c>
      <c r="C250" s="90" t="s">
        <v>135</v>
      </c>
    </row>
    <row r="251" spans="2:3" x14ac:dyDescent="0.25">
      <c r="B251" s="98">
        <v>262</v>
      </c>
      <c r="C251" s="90" t="s">
        <v>134</v>
      </c>
    </row>
    <row r="252" spans="2:3" x14ac:dyDescent="0.25">
      <c r="B252" s="98">
        <v>271</v>
      </c>
      <c r="C252" s="90" t="s">
        <v>133</v>
      </c>
    </row>
    <row r="253" spans="2:3" x14ac:dyDescent="0.25">
      <c r="B253" s="98">
        <v>280</v>
      </c>
      <c r="C253" s="90" t="s">
        <v>132</v>
      </c>
    </row>
    <row r="254" spans="2:3" x14ac:dyDescent="0.25">
      <c r="B254" s="98">
        <v>299</v>
      </c>
      <c r="C254" s="90" t="s">
        <v>131</v>
      </c>
    </row>
    <row r="255" spans="2:3" x14ac:dyDescent="0.25">
      <c r="B255" s="98">
        <v>884</v>
      </c>
      <c r="C255" s="90" t="s">
        <v>130</v>
      </c>
    </row>
    <row r="256" spans="2:3" x14ac:dyDescent="0.25">
      <c r="B256" s="98">
        <v>893</v>
      </c>
      <c r="C256" s="90" t="s">
        <v>129</v>
      </c>
    </row>
    <row r="257" spans="2:3" x14ac:dyDescent="0.25">
      <c r="B257" s="98">
        <v>910</v>
      </c>
      <c r="C257" s="90" t="s">
        <v>128</v>
      </c>
    </row>
    <row r="258" spans="2:3" x14ac:dyDescent="0.25">
      <c r="B258" s="98">
        <v>929</v>
      </c>
      <c r="C258" s="90" t="s">
        <v>127</v>
      </c>
    </row>
    <row r="259" spans="2:3" x14ac:dyDescent="0.25">
      <c r="B259" s="98">
        <v>938</v>
      </c>
      <c r="C259" s="90" t="s">
        <v>126</v>
      </c>
    </row>
    <row r="260" spans="2:3" x14ac:dyDescent="0.25">
      <c r="B260" s="98">
        <v>947</v>
      </c>
      <c r="C260" s="90" t="s">
        <v>125</v>
      </c>
    </row>
    <row r="261" spans="2:3" x14ac:dyDescent="0.25">
      <c r="B261" s="98">
        <v>956</v>
      </c>
      <c r="C261" s="90" t="s">
        <v>124</v>
      </c>
    </row>
    <row r="262" spans="2:3" x14ac:dyDescent="0.25">
      <c r="B262" s="97">
        <v>965</v>
      </c>
      <c r="C262" s="88" t="s">
        <v>123</v>
      </c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96" t="s">
        <v>122</v>
      </c>
      <c r="C265" s="1"/>
    </row>
    <row r="266" spans="2:3" x14ac:dyDescent="0.25">
      <c r="B266" s="1"/>
      <c r="C266" s="1"/>
    </row>
    <row r="267" spans="2:3" x14ac:dyDescent="0.25">
      <c r="B267" s="95" t="s">
        <v>121</v>
      </c>
      <c r="C267" s="94" t="s">
        <v>120</v>
      </c>
    </row>
    <row r="268" spans="2:3" x14ac:dyDescent="0.25">
      <c r="B268" s="93">
        <v>1</v>
      </c>
      <c r="C268" s="92" t="s">
        <v>366</v>
      </c>
    </row>
    <row r="269" spans="2:3" x14ac:dyDescent="0.25">
      <c r="B269" s="91">
        <v>2</v>
      </c>
      <c r="C269" s="90" t="s">
        <v>406</v>
      </c>
    </row>
    <row r="270" spans="2:3" x14ac:dyDescent="0.25">
      <c r="B270" s="91">
        <v>3</v>
      </c>
      <c r="C270" s="90" t="s">
        <v>119</v>
      </c>
    </row>
    <row r="271" spans="2:3" x14ac:dyDescent="0.25">
      <c r="B271" s="91">
        <v>4</v>
      </c>
      <c r="C271" s="90" t="s">
        <v>118</v>
      </c>
    </row>
    <row r="272" spans="2:3" x14ac:dyDescent="0.25">
      <c r="B272" s="91">
        <v>5</v>
      </c>
      <c r="C272" s="90" t="s">
        <v>117</v>
      </c>
    </row>
    <row r="273" spans="2:3" x14ac:dyDescent="0.25">
      <c r="B273" s="91">
        <v>6</v>
      </c>
      <c r="C273" s="90" t="s">
        <v>116</v>
      </c>
    </row>
    <row r="274" spans="2:3" x14ac:dyDescent="0.25">
      <c r="B274" s="91">
        <v>7</v>
      </c>
      <c r="C274" s="90" t="s">
        <v>115</v>
      </c>
    </row>
    <row r="275" spans="2:3" x14ac:dyDescent="0.25">
      <c r="B275" s="91">
        <v>8</v>
      </c>
      <c r="C275" s="90" t="s">
        <v>114</v>
      </c>
    </row>
    <row r="276" spans="2:3" x14ac:dyDescent="0.25">
      <c r="B276" s="91">
        <v>9</v>
      </c>
      <c r="C276" s="90" t="s">
        <v>113</v>
      </c>
    </row>
    <row r="277" spans="2:3" x14ac:dyDescent="0.25">
      <c r="B277" s="91">
        <v>10</v>
      </c>
      <c r="C277" s="90" t="s">
        <v>112</v>
      </c>
    </row>
    <row r="278" spans="2:3" x14ac:dyDescent="0.25">
      <c r="B278" s="91">
        <v>11</v>
      </c>
      <c r="C278" s="90" t="s">
        <v>111</v>
      </c>
    </row>
    <row r="279" spans="2:3" x14ac:dyDescent="0.25">
      <c r="B279" s="91">
        <v>12</v>
      </c>
      <c r="C279" s="90" t="s">
        <v>110</v>
      </c>
    </row>
    <row r="280" spans="2:3" x14ac:dyDescent="0.25">
      <c r="B280" s="91">
        <v>13</v>
      </c>
      <c r="C280" s="90" t="s">
        <v>109</v>
      </c>
    </row>
    <row r="281" spans="2:3" x14ac:dyDescent="0.25">
      <c r="B281" s="91">
        <v>14</v>
      </c>
      <c r="C281" s="90" t="s">
        <v>108</v>
      </c>
    </row>
    <row r="282" spans="2:3" x14ac:dyDescent="0.25">
      <c r="B282" s="91">
        <v>15</v>
      </c>
      <c r="C282" s="90" t="s">
        <v>107</v>
      </c>
    </row>
    <row r="283" spans="2:3" x14ac:dyDescent="0.25">
      <c r="B283" s="91">
        <v>16</v>
      </c>
      <c r="C283" s="90" t="s">
        <v>393</v>
      </c>
    </row>
    <row r="284" spans="2:3" x14ac:dyDescent="0.25">
      <c r="B284" s="89">
        <v>99</v>
      </c>
      <c r="C284" s="88" t="s">
        <v>106</v>
      </c>
    </row>
    <row r="286" spans="2:3" x14ac:dyDescent="0.25">
      <c r="B286" s="46"/>
      <c r="C286" s="46"/>
    </row>
    <row r="287" spans="2:3" x14ac:dyDescent="0.25">
      <c r="B287" s="45" t="s">
        <v>383</v>
      </c>
      <c r="C287" s="45"/>
    </row>
    <row r="288" spans="2:3" x14ac:dyDescent="0.25">
      <c r="B288" s="47">
        <v>1811</v>
      </c>
      <c r="C288" s="48" t="str">
        <f t="shared" ref="C288:C294" si="0">VLOOKUP(B288,DivisionariasContables,3,FALSE)</f>
        <v>Servicios y Otros Contratados por Anticipado - Costos Financieros</v>
      </c>
    </row>
    <row r="289" spans="2:3" x14ac:dyDescent="0.25">
      <c r="B289" s="49">
        <v>1821</v>
      </c>
      <c r="C289" s="50" t="str">
        <f t="shared" si="0"/>
        <v>Servicios y Otros Contratados por Anticipado - Seguros</v>
      </c>
    </row>
    <row r="290" spans="2:3" x14ac:dyDescent="0.25">
      <c r="B290" s="49">
        <v>1831</v>
      </c>
      <c r="C290" s="50" t="str">
        <f t="shared" si="0"/>
        <v>Servicios y Otros Contratados por Anticipado - Alquileres</v>
      </c>
    </row>
    <row r="291" spans="2:3" x14ac:dyDescent="0.25">
      <c r="B291" s="49">
        <v>1841</v>
      </c>
      <c r="C291" s="50" t="str">
        <f t="shared" si="0"/>
        <v>Servicios y Otros Contratados por Anticipado - Primas Pagadas por Opciones</v>
      </c>
    </row>
    <row r="292" spans="2:3" x14ac:dyDescent="0.25">
      <c r="B292" s="49">
        <v>1851</v>
      </c>
      <c r="C292" s="50" t="str">
        <f t="shared" si="0"/>
        <v>Servicios y Otros Contratados por Anticipado - Mantenimiento de Activos Inmovilizados</v>
      </c>
    </row>
    <row r="293" spans="2:3" x14ac:dyDescent="0.25">
      <c r="B293" s="49">
        <v>1891</v>
      </c>
      <c r="C293" s="50" t="str">
        <f t="shared" si="0"/>
        <v>Servicios y Otros Contratados por Anticipado - Otros Gastos Contratados por Anticipado</v>
      </c>
    </row>
    <row r="294" spans="2:3" x14ac:dyDescent="0.25">
      <c r="B294" s="51">
        <v>1899</v>
      </c>
      <c r="C294" s="52" t="str">
        <f t="shared" si="0"/>
        <v>Servicios y Otros Contratados por Anticipado - Reclasificación de IGV al Gasto Anticipado</v>
      </c>
    </row>
    <row r="295" spans="2:3" x14ac:dyDescent="0.25">
      <c r="B295" s="46"/>
      <c r="C295" s="46"/>
    </row>
    <row r="296" spans="2:3" x14ac:dyDescent="0.25">
      <c r="B296" s="46"/>
      <c r="C296" s="46"/>
    </row>
    <row r="297" spans="2:3" x14ac:dyDescent="0.25">
      <c r="B297" s="47">
        <v>3211</v>
      </c>
      <c r="C297" s="48" t="str">
        <f t="shared" ref="C297:C306" si="1">VLOOKUP(B297,DivisionariasContables,3,FALSE)</f>
        <v>Inversiones Inmobiliarias - Terrenos</v>
      </c>
    </row>
    <row r="298" spans="2:3" x14ac:dyDescent="0.25">
      <c r="B298" s="49">
        <v>3212</v>
      </c>
      <c r="C298" s="50" t="str">
        <f t="shared" si="1"/>
        <v>Inversiones Inmobiliarias - Edificaciones</v>
      </c>
    </row>
    <row r="299" spans="2:3" x14ac:dyDescent="0.25">
      <c r="B299" s="49">
        <v>3221</v>
      </c>
      <c r="C299" s="50" t="str">
        <f t="shared" si="1"/>
        <v>Inmuebles, Maquinaria y Equipo - Terrenos</v>
      </c>
    </row>
    <row r="300" spans="2:3" x14ac:dyDescent="0.25">
      <c r="B300" s="49">
        <v>3222</v>
      </c>
      <c r="C300" s="50" t="str">
        <f t="shared" si="1"/>
        <v>Inmuebles, Maquinaria y Equipo - Edificaciones</v>
      </c>
    </row>
    <row r="301" spans="2:3" x14ac:dyDescent="0.25">
      <c r="B301" s="49">
        <v>3223</v>
      </c>
      <c r="C301" s="50" t="str">
        <f t="shared" si="1"/>
        <v>Inmuebles, Maquinaria y Equipo - Maquinarias y Equipos de Explotación</v>
      </c>
    </row>
    <row r="302" spans="2:3" x14ac:dyDescent="0.25">
      <c r="B302" s="49">
        <v>3224</v>
      </c>
      <c r="C302" s="50" t="str">
        <f t="shared" si="1"/>
        <v>Inmuebles, Maquinaria y Equipo - Equipos de Transporte</v>
      </c>
    </row>
    <row r="303" spans="2:3" x14ac:dyDescent="0.25">
      <c r="B303" s="49">
        <v>3225</v>
      </c>
      <c r="C303" s="50" t="str">
        <f t="shared" si="1"/>
        <v>Inmuebles, Maquinaria y Equipo - Muebles y Enseres</v>
      </c>
    </row>
    <row r="304" spans="2:3" x14ac:dyDescent="0.25">
      <c r="B304" s="49">
        <v>3226</v>
      </c>
      <c r="C304" s="50" t="str">
        <f t="shared" si="1"/>
        <v>Inmuebles, Maquinaria y Equipo - Equipos Diversos</v>
      </c>
    </row>
    <row r="305" spans="2:3" x14ac:dyDescent="0.25">
      <c r="B305" s="49">
        <v>3227</v>
      </c>
      <c r="C305" s="50" t="str">
        <f t="shared" si="1"/>
        <v>Inmuebles, Maquinaria y Equipo - Herramientas y Unidades de Reemplazo</v>
      </c>
    </row>
    <row r="306" spans="2:3" x14ac:dyDescent="0.25">
      <c r="B306" s="51">
        <v>3229</v>
      </c>
      <c r="C306" s="52" t="str">
        <f t="shared" si="1"/>
        <v>Reclasificación de IGV al Costo</v>
      </c>
    </row>
    <row r="307" spans="2:3" x14ac:dyDescent="0.25">
      <c r="B307" s="46"/>
      <c r="C307" s="46"/>
    </row>
    <row r="308" spans="2:3" x14ac:dyDescent="0.25">
      <c r="B308" s="46"/>
      <c r="C308" s="45"/>
    </row>
    <row r="309" spans="2:3" x14ac:dyDescent="0.25">
      <c r="B309" s="47">
        <v>3311</v>
      </c>
      <c r="C309" s="48" t="str">
        <f t="shared" ref="C309:C336" si="2">VLOOKUP(B309,DivisionariasContables,3,FALSE)</f>
        <v>Terrenos</v>
      </c>
    </row>
    <row r="310" spans="2:3" x14ac:dyDescent="0.25">
      <c r="B310" s="49">
        <v>3321</v>
      </c>
      <c r="C310" s="50" t="str">
        <f t="shared" si="2"/>
        <v>Edificaciones - Edificaciones Administrativas</v>
      </c>
    </row>
    <row r="311" spans="2:3" x14ac:dyDescent="0.25">
      <c r="B311" s="49">
        <v>3322</v>
      </c>
      <c r="C311" s="50" t="str">
        <f t="shared" si="2"/>
        <v>Edificaciones - Almacenes</v>
      </c>
    </row>
    <row r="312" spans="2:3" x14ac:dyDescent="0.25">
      <c r="B312" s="49">
        <v>3323</v>
      </c>
      <c r="C312" s="50" t="str">
        <f t="shared" si="2"/>
        <v>Edificaciones - Edificaciones para Producción</v>
      </c>
    </row>
    <row r="313" spans="2:3" x14ac:dyDescent="0.25">
      <c r="B313" s="49">
        <v>3324</v>
      </c>
      <c r="C313" s="50" t="str">
        <f t="shared" si="2"/>
        <v>Edificaciones - Instalaciones</v>
      </c>
    </row>
    <row r="314" spans="2:3" x14ac:dyDescent="0.25">
      <c r="B314" s="49">
        <v>3331</v>
      </c>
      <c r="C314" s="50" t="str">
        <f t="shared" si="2"/>
        <v>Maquinarias y Equipos de Explotación</v>
      </c>
    </row>
    <row r="315" spans="2:3" x14ac:dyDescent="0.25">
      <c r="B315" s="49">
        <v>3341</v>
      </c>
      <c r="C315" s="50" t="str">
        <f t="shared" si="2"/>
        <v>Equipo de Transporte - Vehículos Motorizados</v>
      </c>
    </row>
    <row r="316" spans="2:3" x14ac:dyDescent="0.25">
      <c r="B316" s="49">
        <v>3342</v>
      </c>
      <c r="C316" s="50" t="str">
        <f t="shared" si="2"/>
        <v>Equipo de Transporte - Vehículos No Motorizados</v>
      </c>
    </row>
    <row r="317" spans="2:3" x14ac:dyDescent="0.25">
      <c r="B317" s="49">
        <v>3351</v>
      </c>
      <c r="C317" s="50" t="str">
        <f t="shared" si="2"/>
        <v>Muebles y Enseres - Muebles</v>
      </c>
    </row>
    <row r="318" spans="2:3" x14ac:dyDescent="0.25">
      <c r="B318" s="49">
        <v>3352</v>
      </c>
      <c r="C318" s="50" t="str">
        <f t="shared" si="2"/>
        <v>Muebles y Enseres - Enseres</v>
      </c>
    </row>
    <row r="319" spans="2:3" x14ac:dyDescent="0.25">
      <c r="B319" s="49">
        <v>3361</v>
      </c>
      <c r="C319" s="50" t="str">
        <f t="shared" si="2"/>
        <v>Equipo para Procesamiento de Información (de Cómputo)</v>
      </c>
    </row>
    <row r="320" spans="2:3" x14ac:dyDescent="0.25">
      <c r="B320" s="49">
        <v>3362</v>
      </c>
      <c r="C320" s="50" t="str">
        <f t="shared" si="2"/>
        <v>Equipo de Comunicación</v>
      </c>
    </row>
    <row r="321" spans="2:3" x14ac:dyDescent="0.25">
      <c r="B321" s="49">
        <v>3363</v>
      </c>
      <c r="C321" s="50" t="str">
        <f t="shared" si="2"/>
        <v>Equipo de Seguridad</v>
      </c>
    </row>
    <row r="322" spans="2:3" x14ac:dyDescent="0.25">
      <c r="B322" s="49">
        <v>3369</v>
      </c>
      <c r="C322" s="50" t="str">
        <f t="shared" si="2"/>
        <v>Otros Equipos</v>
      </c>
    </row>
    <row r="323" spans="2:3" x14ac:dyDescent="0.25">
      <c r="B323" s="49">
        <v>3371</v>
      </c>
      <c r="C323" s="50" t="str">
        <f t="shared" si="2"/>
        <v>Herramientas y Unidades de Reemplazo - Herramientas</v>
      </c>
    </row>
    <row r="324" spans="2:3" x14ac:dyDescent="0.25">
      <c r="B324" s="49">
        <v>3372</v>
      </c>
      <c r="C324" s="50" t="str">
        <f t="shared" si="2"/>
        <v>Herramientas y Unidades de Reemplazo - Unidades de Reemplazo</v>
      </c>
    </row>
    <row r="325" spans="2:3" x14ac:dyDescent="0.25">
      <c r="B325" s="49">
        <v>3381</v>
      </c>
      <c r="C325" s="50" t="str">
        <f t="shared" si="2"/>
        <v>Unidades por Recibir - Maquinaria y Equipos de Explotación</v>
      </c>
    </row>
    <row r="326" spans="2:3" x14ac:dyDescent="0.25">
      <c r="B326" s="49">
        <v>3382</v>
      </c>
      <c r="C326" s="50" t="str">
        <f t="shared" si="2"/>
        <v>Unidades por Recibir - Equipo de Transporte</v>
      </c>
    </row>
    <row r="327" spans="2:3" x14ac:dyDescent="0.25">
      <c r="B327" s="49">
        <v>3383</v>
      </c>
      <c r="C327" s="50" t="str">
        <f t="shared" si="2"/>
        <v>Unidades por Recibir - Muebles y Enseres</v>
      </c>
    </row>
    <row r="328" spans="2:3" x14ac:dyDescent="0.25">
      <c r="B328" s="49">
        <v>3386</v>
      </c>
      <c r="C328" s="50" t="str">
        <f t="shared" si="2"/>
        <v>Unidades por Recibir - Equipos Diversos</v>
      </c>
    </row>
    <row r="329" spans="2:3" x14ac:dyDescent="0.25">
      <c r="B329" s="49">
        <v>3387</v>
      </c>
      <c r="C329" s="50" t="str">
        <f t="shared" si="2"/>
        <v>Unidades por Recibir - Herramientas y Unidades de Reemplazo</v>
      </c>
    </row>
    <row r="330" spans="2:3" x14ac:dyDescent="0.25">
      <c r="B330" s="49">
        <v>3391</v>
      </c>
      <c r="C330" s="50" t="str">
        <f t="shared" si="2"/>
        <v>Adaptación de Terrenos</v>
      </c>
    </row>
    <row r="331" spans="2:3" x14ac:dyDescent="0.25">
      <c r="B331" s="49">
        <v>3392</v>
      </c>
      <c r="C331" s="50" t="str">
        <f t="shared" si="2"/>
        <v>Construcciones en Curso</v>
      </c>
    </row>
    <row r="332" spans="2:3" x14ac:dyDescent="0.25">
      <c r="B332" s="49">
        <v>3393</v>
      </c>
      <c r="C332" s="50" t="str">
        <f t="shared" si="2"/>
        <v>Maquinaria en Montaje</v>
      </c>
    </row>
    <row r="333" spans="2:3" x14ac:dyDescent="0.25">
      <c r="B333" s="49">
        <v>3394</v>
      </c>
      <c r="C333" s="50" t="str">
        <f t="shared" si="2"/>
        <v>Inversión Inmobiliaria en Curso</v>
      </c>
    </row>
    <row r="334" spans="2:3" x14ac:dyDescent="0.25">
      <c r="B334" s="49">
        <v>3397</v>
      </c>
      <c r="C334" s="50" t="str">
        <f t="shared" si="2"/>
        <v>Costo de Financiación - Inversiones Inmobiliarias</v>
      </c>
    </row>
    <row r="335" spans="2:3" x14ac:dyDescent="0.25">
      <c r="B335" s="49">
        <v>3398</v>
      </c>
      <c r="C335" s="50" t="str">
        <f t="shared" si="2"/>
        <v>Costo de Financiación - Inmuebles, Maquinaria y Equipo</v>
      </c>
    </row>
    <row r="336" spans="2:3" x14ac:dyDescent="0.25">
      <c r="B336" s="51">
        <v>3399</v>
      </c>
      <c r="C336" s="52" t="str">
        <f t="shared" si="2"/>
        <v>Otros Activos en Curso - Reclasificación de IGV al Costo</v>
      </c>
    </row>
    <row r="337" spans="2:3" x14ac:dyDescent="0.25">
      <c r="B337" s="53"/>
      <c r="C337" s="54"/>
    </row>
    <row r="338" spans="2:3" x14ac:dyDescent="0.25">
      <c r="B338" s="53"/>
      <c r="C338" s="54"/>
    </row>
    <row r="339" spans="2:3" x14ac:dyDescent="0.25">
      <c r="B339" s="47">
        <v>3411</v>
      </c>
      <c r="C339" s="48" t="str">
        <f t="shared" ref="C339:C355" si="3">VLOOKUP(B339,DivisionariasContables,3,FALSE)</f>
        <v>Concesiones</v>
      </c>
    </row>
    <row r="340" spans="2:3" x14ac:dyDescent="0.25">
      <c r="B340" s="49">
        <v>3412</v>
      </c>
      <c r="C340" s="50" t="str">
        <f t="shared" si="3"/>
        <v>Licencias</v>
      </c>
    </row>
    <row r="341" spans="2:3" x14ac:dyDescent="0.25">
      <c r="B341" s="49">
        <v>3419</v>
      </c>
      <c r="C341" s="50" t="str">
        <f t="shared" si="3"/>
        <v>Otros Derechos</v>
      </c>
    </row>
    <row r="342" spans="2:3" x14ac:dyDescent="0.25">
      <c r="B342" s="49">
        <v>3421</v>
      </c>
      <c r="C342" s="50" t="str">
        <f t="shared" si="3"/>
        <v>Patentes</v>
      </c>
    </row>
    <row r="343" spans="2:3" x14ac:dyDescent="0.25">
      <c r="B343" s="49">
        <v>3422</v>
      </c>
      <c r="C343" s="50" t="str">
        <f t="shared" si="3"/>
        <v>Marcas</v>
      </c>
    </row>
    <row r="344" spans="2:3" x14ac:dyDescent="0.25">
      <c r="B344" s="49">
        <v>3431</v>
      </c>
      <c r="C344" s="50" t="str">
        <f t="shared" si="3"/>
        <v>Aplicaciones Informáticas</v>
      </c>
    </row>
    <row r="345" spans="2:3" x14ac:dyDescent="0.25">
      <c r="B345" s="49">
        <v>3441</v>
      </c>
      <c r="C345" s="50" t="str">
        <f t="shared" si="3"/>
        <v>Costos de Exploración</v>
      </c>
    </row>
    <row r="346" spans="2:3" x14ac:dyDescent="0.25">
      <c r="B346" s="49">
        <v>3442</v>
      </c>
      <c r="C346" s="50" t="str">
        <f t="shared" si="3"/>
        <v>Costos de Desarrollo</v>
      </c>
    </row>
    <row r="347" spans="2:3" x14ac:dyDescent="0.25">
      <c r="B347" s="49">
        <v>3451</v>
      </c>
      <c r="C347" s="50" t="str">
        <f t="shared" si="3"/>
        <v>Fórmulas</v>
      </c>
    </row>
    <row r="348" spans="2:3" x14ac:dyDescent="0.25">
      <c r="B348" s="49">
        <v>3452</v>
      </c>
      <c r="C348" s="50" t="str">
        <f t="shared" si="3"/>
        <v>Diseños y Prototipos</v>
      </c>
    </row>
    <row r="349" spans="2:3" x14ac:dyDescent="0.25">
      <c r="B349" s="49">
        <v>3461</v>
      </c>
      <c r="C349" s="50" t="str">
        <f t="shared" si="3"/>
        <v>Minerales</v>
      </c>
    </row>
    <row r="350" spans="2:3" x14ac:dyDescent="0.25">
      <c r="B350" s="49">
        <v>3462</v>
      </c>
      <c r="C350" s="50" t="str">
        <f t="shared" si="3"/>
        <v>Petróleo y Gas</v>
      </c>
    </row>
    <row r="351" spans="2:3" x14ac:dyDescent="0.25">
      <c r="B351" s="49">
        <v>3463</v>
      </c>
      <c r="C351" s="50" t="str">
        <f t="shared" si="3"/>
        <v>Madera</v>
      </c>
    </row>
    <row r="352" spans="2:3" x14ac:dyDescent="0.25">
      <c r="B352" s="49">
        <v>3469</v>
      </c>
      <c r="C352" s="50" t="str">
        <f t="shared" si="3"/>
        <v>Otros Recursos Extraíbles</v>
      </c>
    </row>
    <row r="353" spans="2:3" x14ac:dyDescent="0.25">
      <c r="B353" s="49">
        <v>3471</v>
      </c>
      <c r="C353" s="50" t="str">
        <f t="shared" si="3"/>
        <v>Plusvalía Mercantil</v>
      </c>
    </row>
    <row r="354" spans="2:3" x14ac:dyDescent="0.25">
      <c r="B354" s="49">
        <v>3491</v>
      </c>
      <c r="C354" s="50" t="str">
        <f t="shared" si="3"/>
        <v>Otros Activos Intangibles</v>
      </c>
    </row>
    <row r="355" spans="2:3" x14ac:dyDescent="0.25">
      <c r="B355" s="51">
        <v>3499</v>
      </c>
      <c r="C355" s="52" t="str">
        <f t="shared" si="3"/>
        <v>Reclasificación de IGV al Costo</v>
      </c>
    </row>
    <row r="356" spans="2:3" x14ac:dyDescent="0.25">
      <c r="B356" s="53"/>
      <c r="C356" s="54"/>
    </row>
    <row r="357" spans="2:3" x14ac:dyDescent="0.25">
      <c r="B357" s="53"/>
      <c r="C357" s="54"/>
    </row>
    <row r="358" spans="2:3" x14ac:dyDescent="0.25">
      <c r="B358" s="47">
        <v>3511</v>
      </c>
      <c r="C358" s="48" t="str">
        <f>VLOOKUP(B358,DivisionariasContables,3,FALSE)</f>
        <v>Activos Biológicos en Producción - De Origen Animal</v>
      </c>
    </row>
    <row r="359" spans="2:3" x14ac:dyDescent="0.25">
      <c r="B359" s="49">
        <v>3512</v>
      </c>
      <c r="C359" s="50" t="str">
        <f>VLOOKUP(B359,DivisionariasContables,3,FALSE)</f>
        <v>Activos Biológicos en Producción - De Origen Vegetal</v>
      </c>
    </row>
    <row r="360" spans="2:3" x14ac:dyDescent="0.25">
      <c r="B360" s="49">
        <v>3521</v>
      </c>
      <c r="C360" s="50" t="str">
        <f>VLOOKUP(B360,DivisionariasContables,3,FALSE)</f>
        <v>Activos Biológicos en Desarrollo - De Origen Animal</v>
      </c>
    </row>
    <row r="361" spans="2:3" x14ac:dyDescent="0.25">
      <c r="B361" s="49">
        <v>3522</v>
      </c>
      <c r="C361" s="50" t="str">
        <f>VLOOKUP(B361,DivisionariasContables,3,FALSE)</f>
        <v>Activos Biológicos en Desarrollo - De Origen Vegetal</v>
      </c>
    </row>
    <row r="362" spans="2:3" x14ac:dyDescent="0.25">
      <c r="B362" s="51">
        <v>3599</v>
      </c>
      <c r="C362" s="52" t="str">
        <f>VLOOKUP(B362,DivisionariasContables,3,FALSE)</f>
        <v>Reclasificación de IGV al Costo</v>
      </c>
    </row>
    <row r="363" spans="2:3" x14ac:dyDescent="0.25">
      <c r="B363" s="53"/>
      <c r="C363" s="54"/>
    </row>
    <row r="364" spans="2:3" x14ac:dyDescent="0.25">
      <c r="B364" s="53"/>
      <c r="C364" s="54"/>
    </row>
    <row r="365" spans="2:3" x14ac:dyDescent="0.25">
      <c r="B365" s="47">
        <v>3811</v>
      </c>
      <c r="C365" s="48" t="str">
        <f t="shared" ref="C365:C371" si="4">VLOOKUP(B365,DivisionariasContables,3,FALSE)</f>
        <v>Bienes de Arte y Cultura - Obras de Arte</v>
      </c>
    </row>
    <row r="366" spans="2:3" x14ac:dyDescent="0.25">
      <c r="B366" s="49">
        <v>3812</v>
      </c>
      <c r="C366" s="50" t="str">
        <f t="shared" si="4"/>
        <v>Bienes de Arte y Cultura - Biblioteca</v>
      </c>
    </row>
    <row r="367" spans="2:3" x14ac:dyDescent="0.25">
      <c r="B367" s="49">
        <v>3813</v>
      </c>
      <c r="C367" s="50" t="str">
        <f t="shared" si="4"/>
        <v>Bienes de Arte y Cultura - Otros</v>
      </c>
    </row>
    <row r="368" spans="2:3" x14ac:dyDescent="0.25">
      <c r="B368" s="49">
        <v>3821</v>
      </c>
      <c r="C368" s="50" t="str">
        <f t="shared" si="4"/>
        <v>Monedas y Joyas</v>
      </c>
    </row>
    <row r="369" spans="2:3" x14ac:dyDescent="0.25">
      <c r="B369" s="49">
        <v>3822</v>
      </c>
      <c r="C369" s="50" t="str">
        <f t="shared" si="4"/>
        <v>Bienes Entregados en Comodato</v>
      </c>
    </row>
    <row r="370" spans="2:3" x14ac:dyDescent="0.25">
      <c r="B370" s="49">
        <v>3823</v>
      </c>
      <c r="C370" s="50" t="str">
        <f t="shared" si="4"/>
        <v>Bienes Recibidos en Pago (Adjudicados y Realizables)</v>
      </c>
    </row>
    <row r="371" spans="2:3" x14ac:dyDescent="0.25">
      <c r="B371" s="51">
        <v>3899</v>
      </c>
      <c r="C371" s="52" t="str">
        <f t="shared" si="4"/>
        <v>Reclasificación de IGV al Costo</v>
      </c>
    </row>
    <row r="372" spans="2:3" x14ac:dyDescent="0.25">
      <c r="B372" s="53"/>
      <c r="C372" s="54"/>
    </row>
    <row r="373" spans="2:3" x14ac:dyDescent="0.25">
      <c r="B373" s="53"/>
      <c r="C373" s="54"/>
    </row>
    <row r="374" spans="2:3" x14ac:dyDescent="0.25">
      <c r="B374" s="47">
        <v>6011</v>
      </c>
      <c r="C374" s="42" t="str">
        <f t="shared" ref="C374:C389" si="5">VLOOKUP(B374,DivisionariasContables,3,FALSE)</f>
        <v>Mercaderías - Mercaderías Manufacturadas</v>
      </c>
    </row>
    <row r="375" spans="2:3" x14ac:dyDescent="0.25">
      <c r="B375" s="49">
        <v>6012</v>
      </c>
      <c r="C375" s="44" t="str">
        <f t="shared" si="5"/>
        <v>Mercaderías - Mercaderías de Extracción</v>
      </c>
    </row>
    <row r="376" spans="2:3" x14ac:dyDescent="0.25">
      <c r="B376" s="49">
        <v>6013</v>
      </c>
      <c r="C376" s="44" t="str">
        <f t="shared" si="5"/>
        <v>Mercaderías - Mercaderías Agropecuarias y Piscícolas</v>
      </c>
    </row>
    <row r="377" spans="2:3" x14ac:dyDescent="0.25">
      <c r="B377" s="49">
        <v>6014</v>
      </c>
      <c r="C377" s="44" t="str">
        <f t="shared" si="5"/>
        <v>Mercaderías - Mercaderías Inmuebles</v>
      </c>
    </row>
    <row r="378" spans="2:3" x14ac:dyDescent="0.25">
      <c r="B378" s="49">
        <v>6018</v>
      </c>
      <c r="C378" s="44" t="str">
        <f t="shared" si="5"/>
        <v>Mercaderías - Otras Mercaderías</v>
      </c>
    </row>
    <row r="379" spans="2:3" x14ac:dyDescent="0.25">
      <c r="B379" s="49">
        <v>6021</v>
      </c>
      <c r="C379" s="44" t="str">
        <f t="shared" si="5"/>
        <v>Materias Primas - Materias Primas para Productos Manufacturados</v>
      </c>
    </row>
    <row r="380" spans="2:3" x14ac:dyDescent="0.25">
      <c r="B380" s="49">
        <v>6022</v>
      </c>
      <c r="C380" s="44" t="str">
        <f t="shared" si="5"/>
        <v>Materias Primas - Materias Primas para Productos de Extracción</v>
      </c>
    </row>
    <row r="381" spans="2:3" x14ac:dyDescent="0.25">
      <c r="B381" s="49">
        <v>6023</v>
      </c>
      <c r="C381" s="44" t="str">
        <f t="shared" si="5"/>
        <v>Materias Primas - Materias Primas para Productos Agropecuarios y Piscícolas</v>
      </c>
    </row>
    <row r="382" spans="2:3" x14ac:dyDescent="0.25">
      <c r="B382" s="49">
        <v>6024</v>
      </c>
      <c r="C382" s="44" t="str">
        <f t="shared" si="5"/>
        <v>Materias Primas - Materias Primas para Productos Inmuebles</v>
      </c>
    </row>
    <row r="383" spans="2:3" x14ac:dyDescent="0.25">
      <c r="B383" s="49">
        <v>6031</v>
      </c>
      <c r="C383" s="44" t="str">
        <f t="shared" si="5"/>
        <v>Materiales Auxiliares, Suministros y Repuestos - Materiales Auxiliares</v>
      </c>
    </row>
    <row r="384" spans="2:3" x14ac:dyDescent="0.25">
      <c r="B384" s="49">
        <v>6032</v>
      </c>
      <c r="C384" s="44" t="str">
        <f t="shared" si="5"/>
        <v>Materiales Auxiliares, Suministros y Repuestos - Suministros</v>
      </c>
    </row>
    <row r="385" spans="2:3" x14ac:dyDescent="0.25">
      <c r="B385" s="49">
        <v>6033</v>
      </c>
      <c r="C385" s="44" t="str">
        <f t="shared" si="5"/>
        <v>Materiales Auxiliares, Suministros y Repuestos - Repuestos</v>
      </c>
    </row>
    <row r="386" spans="2:3" x14ac:dyDescent="0.25">
      <c r="B386" s="49">
        <v>6041</v>
      </c>
      <c r="C386" s="44" t="str">
        <f t="shared" si="5"/>
        <v>Envases y Embalajes - Envases</v>
      </c>
    </row>
    <row r="387" spans="2:3" x14ac:dyDescent="0.25">
      <c r="B387" s="49">
        <v>6042</v>
      </c>
      <c r="C387" s="44" t="str">
        <f t="shared" si="5"/>
        <v>Envases y Embalajes - Embalajes</v>
      </c>
    </row>
    <row r="388" spans="2:3" x14ac:dyDescent="0.25">
      <c r="B388" s="49">
        <v>6091</v>
      </c>
      <c r="C388" s="44" t="str">
        <f t="shared" si="5"/>
        <v>Costos Vinculados con las Compras de Mercaderías</v>
      </c>
    </row>
    <row r="389" spans="2:3" x14ac:dyDescent="0.25">
      <c r="B389" s="51">
        <v>6092</v>
      </c>
      <c r="C389" s="52" t="str">
        <f t="shared" si="5"/>
        <v>Costos Vinculados con las Compras de Materias Primas</v>
      </c>
    </row>
    <row r="390" spans="2:3" x14ac:dyDescent="0.25">
      <c r="B390" s="53"/>
      <c r="C390" s="54"/>
    </row>
    <row r="391" spans="2:3" x14ac:dyDescent="0.25">
      <c r="B391" s="53"/>
      <c r="C391" s="54"/>
    </row>
    <row r="392" spans="2:3" x14ac:dyDescent="0.25">
      <c r="B392" s="55">
        <v>6311</v>
      </c>
      <c r="C392" s="48" t="str">
        <f t="shared" ref="C392:C421" si="6">VLOOKUP(B392,DivisionariasContables,3,FALSE)</f>
        <v>Transporte, Correos y Gastos de Viaje - Transporte</v>
      </c>
    </row>
    <row r="393" spans="2:3" x14ac:dyDescent="0.25">
      <c r="B393" s="49">
        <v>6312</v>
      </c>
      <c r="C393" s="50" t="str">
        <f t="shared" si="6"/>
        <v>Transporte, Correos y Gastos de Viaje - Correos</v>
      </c>
    </row>
    <row r="394" spans="2:3" x14ac:dyDescent="0.25">
      <c r="B394" s="49">
        <v>6313</v>
      </c>
      <c r="C394" s="50" t="str">
        <f t="shared" si="6"/>
        <v>Transporte, Correos y Gastos de Viaje - Alojamiento</v>
      </c>
    </row>
    <row r="395" spans="2:3" x14ac:dyDescent="0.25">
      <c r="B395" s="49">
        <v>6314</v>
      </c>
      <c r="C395" s="50" t="str">
        <f t="shared" si="6"/>
        <v>Transporte, Correos y Gastos de Viaje - Alimentación</v>
      </c>
    </row>
    <row r="396" spans="2:3" x14ac:dyDescent="0.25">
      <c r="B396" s="49">
        <v>6321</v>
      </c>
      <c r="C396" s="50" t="str">
        <f t="shared" si="6"/>
        <v>Asesoría y Consultoría - Administrativa</v>
      </c>
    </row>
    <row r="397" spans="2:3" x14ac:dyDescent="0.25">
      <c r="B397" s="49">
        <v>6322</v>
      </c>
      <c r="C397" s="50" t="str">
        <f t="shared" si="6"/>
        <v>Asesoría y Consultoría - Legal y Tributario</v>
      </c>
    </row>
    <row r="398" spans="2:3" x14ac:dyDescent="0.25">
      <c r="B398" s="49">
        <v>6323</v>
      </c>
      <c r="C398" s="50" t="str">
        <f t="shared" si="6"/>
        <v>Asesoría y Consultoría - Auditoría y Contable</v>
      </c>
    </row>
    <row r="399" spans="2:3" x14ac:dyDescent="0.25">
      <c r="B399" s="49">
        <v>6331</v>
      </c>
      <c r="C399" s="50" t="str">
        <f t="shared" si="6"/>
        <v>Producción Encargada a Terceros</v>
      </c>
    </row>
    <row r="400" spans="2:3" x14ac:dyDescent="0.25">
      <c r="B400" s="49">
        <v>6341</v>
      </c>
      <c r="C400" s="50" t="str">
        <f t="shared" si="6"/>
        <v>Mantenimiento y Reparación - Inversión Inmobiliaria</v>
      </c>
    </row>
    <row r="401" spans="2:3" x14ac:dyDescent="0.25">
      <c r="B401" s="49">
        <v>6342</v>
      </c>
      <c r="C401" s="50" t="str">
        <f t="shared" si="6"/>
        <v>Mantenimiento y Reparación - Activos Adquiridos en Arrendamiento Financiero</v>
      </c>
    </row>
    <row r="402" spans="2:3" x14ac:dyDescent="0.25">
      <c r="B402" s="49">
        <v>6351</v>
      </c>
      <c r="C402" s="50" t="str">
        <f t="shared" si="6"/>
        <v>Alquileres - Terrenos</v>
      </c>
    </row>
    <row r="403" spans="2:3" x14ac:dyDescent="0.25">
      <c r="B403" s="49">
        <v>6352</v>
      </c>
      <c r="C403" s="50" t="str">
        <f t="shared" si="6"/>
        <v>Alquileres - Edificaciones</v>
      </c>
    </row>
    <row r="404" spans="2:3" x14ac:dyDescent="0.25">
      <c r="B404" s="49">
        <v>6353</v>
      </c>
      <c r="C404" s="50" t="str">
        <f t="shared" si="6"/>
        <v>Alquileres - Maquinarias y Equipos de Explotación</v>
      </c>
    </row>
    <row r="405" spans="2:3" x14ac:dyDescent="0.25">
      <c r="B405" s="49">
        <v>6354</v>
      </c>
      <c r="C405" s="50" t="str">
        <f t="shared" si="6"/>
        <v>Alquileres - Equipos de Transporte</v>
      </c>
    </row>
    <row r="406" spans="2:3" x14ac:dyDescent="0.25">
      <c r="B406" s="49">
        <v>6356</v>
      </c>
      <c r="C406" s="50" t="str">
        <f t="shared" si="6"/>
        <v>Alquileres - Equipos Diversos</v>
      </c>
    </row>
    <row r="407" spans="2:3" x14ac:dyDescent="0.25">
      <c r="B407" s="49">
        <v>6361</v>
      </c>
      <c r="C407" s="50" t="str">
        <f t="shared" si="6"/>
        <v>Servicios Básicos - Energía Eléctrica</v>
      </c>
    </row>
    <row r="408" spans="2:3" x14ac:dyDescent="0.25">
      <c r="B408" s="49">
        <v>6362</v>
      </c>
      <c r="C408" s="50" t="str">
        <f t="shared" si="6"/>
        <v>Servicios Básicos - Gas</v>
      </c>
    </row>
    <row r="409" spans="2:3" x14ac:dyDescent="0.25">
      <c r="B409" s="49">
        <v>6363</v>
      </c>
      <c r="C409" s="50" t="str">
        <f t="shared" si="6"/>
        <v>Servicios Básicos - Agua</v>
      </c>
    </row>
    <row r="410" spans="2:3" x14ac:dyDescent="0.25">
      <c r="B410" s="49">
        <v>6364</v>
      </c>
      <c r="C410" s="50" t="str">
        <f t="shared" si="6"/>
        <v>Servicios Básicos - Teléfono</v>
      </c>
    </row>
    <row r="411" spans="2:3" x14ac:dyDescent="0.25">
      <c r="B411" s="49">
        <v>6365</v>
      </c>
      <c r="C411" s="50" t="str">
        <f t="shared" si="6"/>
        <v>Servicios Básicos - Internet</v>
      </c>
    </row>
    <row r="412" spans="2:3" x14ac:dyDescent="0.25">
      <c r="B412" s="49">
        <v>6366</v>
      </c>
      <c r="C412" s="50" t="str">
        <f t="shared" si="6"/>
        <v>Servicios Básicos - Radio</v>
      </c>
    </row>
    <row r="413" spans="2:3" x14ac:dyDescent="0.25">
      <c r="B413" s="49">
        <v>6367</v>
      </c>
      <c r="C413" s="50" t="str">
        <f t="shared" si="6"/>
        <v>Servicios Básicos - Cable</v>
      </c>
    </row>
    <row r="414" spans="2:3" x14ac:dyDescent="0.25">
      <c r="B414" s="49">
        <v>6371</v>
      </c>
      <c r="C414" s="50" t="str">
        <f t="shared" si="6"/>
        <v>Publicidad</v>
      </c>
    </row>
    <row r="415" spans="2:3" x14ac:dyDescent="0.25">
      <c r="B415" s="49">
        <v>6372</v>
      </c>
      <c r="C415" s="50" t="str">
        <f t="shared" si="6"/>
        <v>Publicaciones</v>
      </c>
    </row>
    <row r="416" spans="2:3" x14ac:dyDescent="0.25">
      <c r="B416" s="49">
        <v>6373</v>
      </c>
      <c r="C416" s="50" t="str">
        <f t="shared" si="6"/>
        <v>Relaciones Públicas</v>
      </c>
    </row>
    <row r="417" spans="2:3" x14ac:dyDescent="0.25">
      <c r="B417" s="49">
        <v>6381</v>
      </c>
      <c r="C417" s="50" t="str">
        <f t="shared" si="6"/>
        <v>Servicios de Contratistas</v>
      </c>
    </row>
    <row r="418" spans="2:3" x14ac:dyDescent="0.25">
      <c r="B418" s="49">
        <v>6391</v>
      </c>
      <c r="C418" s="50" t="str">
        <f t="shared" si="6"/>
        <v>Gastos Bancarios</v>
      </c>
    </row>
    <row r="419" spans="2:3" x14ac:dyDescent="0.25">
      <c r="B419" s="49">
        <v>6392</v>
      </c>
      <c r="C419" s="50" t="str">
        <f t="shared" si="6"/>
        <v>Gastos de Laboratorio</v>
      </c>
    </row>
    <row r="420" spans="2:3" x14ac:dyDescent="0.25">
      <c r="B420" s="49">
        <v>6398</v>
      </c>
      <c r="C420" s="50" t="str">
        <f t="shared" si="6"/>
        <v>Reclasificación de IGV al Gasto</v>
      </c>
    </row>
    <row r="421" spans="2:3" x14ac:dyDescent="0.25">
      <c r="B421" s="51">
        <v>6399</v>
      </c>
      <c r="C421" s="52" t="str">
        <f t="shared" si="6"/>
        <v>Otros Gastos por Servicios Prestados por Terceros</v>
      </c>
    </row>
    <row r="422" spans="2:3" x14ac:dyDescent="0.25">
      <c r="B422" s="53"/>
      <c r="C422" s="54"/>
    </row>
    <row r="423" spans="2:3" x14ac:dyDescent="0.25">
      <c r="B423" s="53"/>
      <c r="C423" s="54"/>
    </row>
    <row r="424" spans="2:3" x14ac:dyDescent="0.25">
      <c r="B424" s="47">
        <v>6511</v>
      </c>
      <c r="C424" s="48" t="str">
        <f t="shared" ref="C424:C436" si="7">VLOOKUP(B424,DivisionariasContables,3,FALSE)</f>
        <v>Seguros</v>
      </c>
    </row>
    <row r="425" spans="2:3" x14ac:dyDescent="0.25">
      <c r="B425" s="49">
        <v>6521</v>
      </c>
      <c r="C425" s="50" t="str">
        <f t="shared" si="7"/>
        <v>Regalías</v>
      </c>
    </row>
    <row r="426" spans="2:3" x14ac:dyDescent="0.25">
      <c r="B426" s="49">
        <v>6531</v>
      </c>
      <c r="C426" s="50" t="str">
        <f t="shared" si="7"/>
        <v>Suscripciones</v>
      </c>
    </row>
    <row r="427" spans="2:3" x14ac:dyDescent="0.25">
      <c r="B427" s="49">
        <v>6541</v>
      </c>
      <c r="C427" s="50" t="str">
        <f t="shared" si="7"/>
        <v>Licencias</v>
      </c>
    </row>
    <row r="428" spans="2:3" x14ac:dyDescent="0.25">
      <c r="B428" s="49">
        <v>6542</v>
      </c>
      <c r="C428" s="50" t="str">
        <f t="shared" si="7"/>
        <v>Derechos de Vigencia</v>
      </c>
    </row>
    <row r="429" spans="2:3" x14ac:dyDescent="0.25">
      <c r="B429" s="49">
        <v>6551</v>
      </c>
      <c r="C429" s="50" t="str">
        <f t="shared" si="7"/>
        <v>Costo Neto de Enajenación de Activos Inmovilizados</v>
      </c>
    </row>
    <row r="430" spans="2:3" x14ac:dyDescent="0.25">
      <c r="B430" s="49">
        <v>6552</v>
      </c>
      <c r="C430" s="50" t="str">
        <f t="shared" si="7"/>
        <v>Operaciones Discontinuadas – Abandono de Activos</v>
      </c>
    </row>
    <row r="431" spans="2:3" x14ac:dyDescent="0.25">
      <c r="B431" s="49">
        <v>6561</v>
      </c>
      <c r="C431" s="50" t="str">
        <f t="shared" si="7"/>
        <v>Suministros</v>
      </c>
    </row>
    <row r="432" spans="2:3" x14ac:dyDescent="0.25">
      <c r="B432" s="49">
        <v>6581</v>
      </c>
      <c r="C432" s="50" t="str">
        <f t="shared" si="7"/>
        <v>Gestión Medioambiental</v>
      </c>
    </row>
    <row r="433" spans="2:3" x14ac:dyDescent="0.25">
      <c r="B433" s="49">
        <v>6591</v>
      </c>
      <c r="C433" s="50" t="str">
        <f t="shared" si="7"/>
        <v>Donaciones</v>
      </c>
    </row>
    <row r="434" spans="2:3" x14ac:dyDescent="0.25">
      <c r="B434" s="49">
        <v>6592</v>
      </c>
      <c r="C434" s="50" t="str">
        <f t="shared" si="7"/>
        <v>Sanciones Administrativas</v>
      </c>
    </row>
    <row r="435" spans="2:3" x14ac:dyDescent="0.25">
      <c r="B435" s="49">
        <v>6598</v>
      </c>
      <c r="C435" s="50" t="str">
        <f t="shared" si="7"/>
        <v>Reclasificación de IGV al Gasto</v>
      </c>
    </row>
    <row r="436" spans="2:3" x14ac:dyDescent="0.25">
      <c r="B436" s="51">
        <v>6599</v>
      </c>
      <c r="C436" s="52" t="str">
        <f t="shared" si="7"/>
        <v>Varios Gastos de Gestión</v>
      </c>
    </row>
    <row r="437" spans="2:3" x14ac:dyDescent="0.25">
      <c r="B437" s="53"/>
      <c r="C437" s="54"/>
    </row>
    <row r="438" spans="2:3" x14ac:dyDescent="0.25">
      <c r="B438" s="53"/>
      <c r="C438" s="54"/>
    </row>
    <row r="439" spans="2:3" x14ac:dyDescent="0.25">
      <c r="B439" s="47">
        <v>6711</v>
      </c>
      <c r="C439" s="48" t="str">
        <f t="shared" ref="C439:C459" si="8">VLOOKUP(B439,DivisionariasContables,3,FALSE)</f>
        <v>Préstamos de Instituciones Financieras y Otras Entidades</v>
      </c>
    </row>
    <row r="440" spans="2:3" x14ac:dyDescent="0.25">
      <c r="B440" s="49">
        <v>6712</v>
      </c>
      <c r="C440" s="50" t="str">
        <f t="shared" si="8"/>
        <v>Contratos de Arrendamiento Financiero</v>
      </c>
    </row>
    <row r="441" spans="2:3" x14ac:dyDescent="0.25">
      <c r="B441" s="49">
        <v>6713</v>
      </c>
      <c r="C441" s="50" t="str">
        <f t="shared" si="8"/>
        <v>Emisión y Colocación de Instrumentos Representativos de Deuda y Patrimonio</v>
      </c>
    </row>
    <row r="442" spans="2:3" x14ac:dyDescent="0.25">
      <c r="B442" s="49">
        <v>6714</v>
      </c>
      <c r="C442" s="50" t="str">
        <f t="shared" si="8"/>
        <v>Documentos Vendidos o Descontados</v>
      </c>
    </row>
    <row r="443" spans="2:3" x14ac:dyDescent="0.25">
      <c r="B443" s="49">
        <v>6721</v>
      </c>
      <c r="C443" s="50" t="str">
        <f t="shared" si="8"/>
        <v>Pérdida por Instrumentos Financieros Derivados</v>
      </c>
    </row>
    <row r="444" spans="2:3" x14ac:dyDescent="0.25">
      <c r="B444" s="49">
        <v>6731</v>
      </c>
      <c r="C444" s="50" t="str">
        <f t="shared" si="8"/>
        <v>Préstamos de Instituciones Financieras y Otras Entidades</v>
      </c>
    </row>
    <row r="445" spans="2:3" x14ac:dyDescent="0.25">
      <c r="B445" s="49">
        <v>6732</v>
      </c>
      <c r="C445" s="50" t="str">
        <f t="shared" si="8"/>
        <v>Contratos de Arrendamiento Financiero</v>
      </c>
    </row>
    <row r="446" spans="2:3" x14ac:dyDescent="0.25">
      <c r="B446" s="49">
        <v>6733</v>
      </c>
      <c r="C446" s="50" t="str">
        <f t="shared" si="8"/>
        <v>Otros Instrumentos Financieros por Pagar</v>
      </c>
    </row>
    <row r="447" spans="2:3" x14ac:dyDescent="0.25">
      <c r="B447" s="49">
        <v>6734</v>
      </c>
      <c r="C447" s="50" t="str">
        <f t="shared" si="8"/>
        <v>Documentos Vendidos o Descontados</v>
      </c>
    </row>
    <row r="448" spans="2:3" x14ac:dyDescent="0.25">
      <c r="B448" s="49">
        <v>6735</v>
      </c>
      <c r="C448" s="50" t="str">
        <f t="shared" si="8"/>
        <v>Obligaciones Emitidas</v>
      </c>
    </row>
    <row r="449" spans="2:3" x14ac:dyDescent="0.25">
      <c r="B449" s="49">
        <v>6736</v>
      </c>
      <c r="C449" s="50" t="str">
        <f t="shared" si="8"/>
        <v>Obligaciones Comerciales</v>
      </c>
    </row>
    <row r="450" spans="2:3" x14ac:dyDescent="0.25">
      <c r="B450" s="49">
        <v>6737</v>
      </c>
      <c r="C450" s="50" t="str">
        <f t="shared" si="8"/>
        <v>Obligaciones Tributarias</v>
      </c>
    </row>
    <row r="451" spans="2:3" x14ac:dyDescent="0.25">
      <c r="B451" s="49">
        <v>6741</v>
      </c>
      <c r="C451" s="50" t="str">
        <f t="shared" si="8"/>
        <v>Gastos por Menor Valor</v>
      </c>
    </row>
    <row r="452" spans="2:3" x14ac:dyDescent="0.25">
      <c r="B452" s="49">
        <v>6751</v>
      </c>
      <c r="C452" s="50" t="str">
        <f t="shared" si="8"/>
        <v>Descuentos Concedidos por Pronto Pago</v>
      </c>
    </row>
    <row r="453" spans="2:3" x14ac:dyDescent="0.25">
      <c r="B453" s="49">
        <v>6761</v>
      </c>
      <c r="C453" s="50" t="str">
        <f t="shared" si="8"/>
        <v>Diferencia de Cambio</v>
      </c>
    </row>
    <row r="454" spans="2:3" x14ac:dyDescent="0.25">
      <c r="B454" s="49">
        <v>6771</v>
      </c>
      <c r="C454" s="50" t="str">
        <f t="shared" si="8"/>
        <v>Inversiones para Negociación</v>
      </c>
    </row>
    <row r="455" spans="2:3" x14ac:dyDescent="0.25">
      <c r="B455" s="49">
        <v>6791</v>
      </c>
      <c r="C455" s="50" t="str">
        <f t="shared" si="8"/>
        <v>Primas por Opciones</v>
      </c>
    </row>
    <row r="456" spans="2:3" x14ac:dyDescent="0.25">
      <c r="B456" s="49">
        <v>6792</v>
      </c>
      <c r="C456" s="50" t="str">
        <f t="shared" si="8"/>
        <v>Gastos Financieros en Medición a Valor Descontado</v>
      </c>
    </row>
    <row r="457" spans="2:3" x14ac:dyDescent="0.25">
      <c r="B457" s="49">
        <v>6793</v>
      </c>
      <c r="C457" s="50" t="str">
        <f t="shared" si="8"/>
        <v>Intereses por Demora con las AFP's</v>
      </c>
    </row>
    <row r="458" spans="2:3" x14ac:dyDescent="0.25">
      <c r="B458" s="49">
        <v>6794</v>
      </c>
      <c r="C458" s="50" t="str">
        <f t="shared" si="8"/>
        <v>Intereses por Demora en el Pago de Tributos</v>
      </c>
    </row>
    <row r="459" spans="2:3" x14ac:dyDescent="0.25">
      <c r="B459" s="51">
        <v>6799</v>
      </c>
      <c r="C459" s="52" t="str">
        <f t="shared" si="8"/>
        <v>Reclasificación de IGV al Gasto</v>
      </c>
    </row>
    <row r="460" spans="2:3" x14ac:dyDescent="0.25">
      <c r="B460" s="53"/>
      <c r="C460" s="54"/>
    </row>
    <row r="461" spans="2:3" x14ac:dyDescent="0.25">
      <c r="B461" s="53"/>
      <c r="C461" s="54"/>
    </row>
    <row r="462" spans="2:3" x14ac:dyDescent="0.25">
      <c r="B462" s="47">
        <v>7311</v>
      </c>
      <c r="C462" s="48" t="str">
        <f>VLOOKUP(B462,DivisionariasContables,3,FALSE)</f>
        <v>Descuentos, Rebajas y Bonificaciones Obtenidos - Terceros</v>
      </c>
    </row>
    <row r="463" spans="2:3" x14ac:dyDescent="0.25">
      <c r="B463" s="51">
        <v>7312</v>
      </c>
      <c r="C463" s="52" t="str">
        <f>VLOOKUP(B463,DivisionariasContables,3,FALSE)</f>
        <v>Descuentos, Rebajas y Bonificaciones Obtenidos - Relacionadas</v>
      </c>
    </row>
    <row r="464" spans="2:3" x14ac:dyDescent="0.25">
      <c r="B464" s="56"/>
      <c r="C464" s="54"/>
    </row>
    <row r="465" spans="2:3" x14ac:dyDescent="0.25">
      <c r="B465" s="56"/>
      <c r="C465" s="54"/>
    </row>
    <row r="466" spans="2:3" x14ac:dyDescent="0.25">
      <c r="B466" s="57" t="s">
        <v>379</v>
      </c>
      <c r="C466" s="58" t="s">
        <v>382</v>
      </c>
    </row>
    <row r="467" spans="2:3" x14ac:dyDescent="0.25">
      <c r="B467" s="59"/>
      <c r="C467" s="114"/>
    </row>
    <row r="468" spans="2:3" x14ac:dyDescent="0.25">
      <c r="B468" s="60"/>
      <c r="C468" s="251"/>
    </row>
    <row r="469" spans="2:3" x14ac:dyDescent="0.25">
      <c r="B469" s="60"/>
      <c r="C469" s="251"/>
    </row>
    <row r="470" spans="2:3" x14ac:dyDescent="0.25">
      <c r="B470" s="60"/>
      <c r="C470" s="251"/>
    </row>
    <row r="471" spans="2:3" x14ac:dyDescent="0.25">
      <c r="B471" s="60"/>
      <c r="C471" s="61"/>
    </row>
    <row r="472" spans="2:3" x14ac:dyDescent="0.25">
      <c r="B472" s="60"/>
      <c r="C472" s="61"/>
    </row>
    <row r="473" spans="2:3" x14ac:dyDescent="0.25">
      <c r="B473" s="60"/>
      <c r="C473" s="61"/>
    </row>
    <row r="474" spans="2:3" x14ac:dyDescent="0.25">
      <c r="B474" s="60"/>
      <c r="C474" s="61"/>
    </row>
    <row r="475" spans="2:3" x14ac:dyDescent="0.25">
      <c r="B475" s="60"/>
      <c r="C475" s="61"/>
    </row>
    <row r="476" spans="2:3" x14ac:dyDescent="0.25">
      <c r="B476" s="62"/>
      <c r="C476" s="63"/>
    </row>
    <row r="481" spans="2:3" ht="15.6" x14ac:dyDescent="0.25">
      <c r="B481" s="38" t="s">
        <v>381</v>
      </c>
    </row>
    <row r="484" spans="2:3" x14ac:dyDescent="0.25">
      <c r="B484" s="40" t="s">
        <v>380</v>
      </c>
      <c r="C484" s="40"/>
    </row>
    <row r="485" spans="2:3" x14ac:dyDescent="0.25">
      <c r="B485" s="41">
        <v>7011</v>
      </c>
      <c r="C485" s="42" t="str">
        <f t="shared" ref="C485:C504" si="9">VLOOKUP(B485,DivisionariasContables,3,FALSE)</f>
        <v>Mercaderías - Mercaderías Manufacturadas</v>
      </c>
    </row>
    <row r="486" spans="2:3" x14ac:dyDescent="0.25">
      <c r="B486" s="43">
        <v>7012</v>
      </c>
      <c r="C486" s="44" t="str">
        <f t="shared" si="9"/>
        <v>Mercaderías - Mercaderías de Extracción</v>
      </c>
    </row>
    <row r="487" spans="2:3" x14ac:dyDescent="0.25">
      <c r="B487" s="43">
        <v>7013</v>
      </c>
      <c r="C487" s="44" t="str">
        <f t="shared" si="9"/>
        <v>Mercaderías - Mercaderías Agropecuarias y Piscícolas</v>
      </c>
    </row>
    <row r="488" spans="2:3" x14ac:dyDescent="0.25">
      <c r="B488" s="43">
        <v>7014</v>
      </c>
      <c r="C488" s="44" t="str">
        <f t="shared" si="9"/>
        <v>Mercaderías - Mercaderías Inmuebles</v>
      </c>
    </row>
    <row r="489" spans="2:3" x14ac:dyDescent="0.25">
      <c r="B489" s="43">
        <v>7015</v>
      </c>
      <c r="C489" s="44" t="str">
        <f t="shared" si="9"/>
        <v>Mercaderías - Otras</v>
      </c>
    </row>
    <row r="490" spans="2:3" x14ac:dyDescent="0.25">
      <c r="B490" s="43">
        <v>7021</v>
      </c>
      <c r="C490" s="44" t="str">
        <f t="shared" si="9"/>
        <v>Productos Terminados - Productos Manufacturados</v>
      </c>
    </row>
    <row r="491" spans="2:3" x14ac:dyDescent="0.25">
      <c r="B491" s="43">
        <v>7022</v>
      </c>
      <c r="C491" s="44" t="str">
        <f t="shared" si="9"/>
        <v>Productos Terminados - Productos de Extracción Terminados</v>
      </c>
    </row>
    <row r="492" spans="2:3" x14ac:dyDescent="0.25">
      <c r="B492" s="43">
        <v>7023</v>
      </c>
      <c r="C492" s="44" t="str">
        <f t="shared" si="9"/>
        <v>Productos Terminados - Productos Agropecuarios y Piscícolas Terminados</v>
      </c>
    </row>
    <row r="493" spans="2:3" x14ac:dyDescent="0.25">
      <c r="B493" s="43">
        <v>7024</v>
      </c>
      <c r="C493" s="44" t="str">
        <f t="shared" si="9"/>
        <v>Productos Terminados - Productos Inmuebles Terminados</v>
      </c>
    </row>
    <row r="494" spans="2:3" x14ac:dyDescent="0.25">
      <c r="B494" s="43">
        <v>7025</v>
      </c>
      <c r="C494" s="44" t="str">
        <f t="shared" si="9"/>
        <v>Productos Terminados - Existencias de Servicios Terminados</v>
      </c>
    </row>
    <row r="495" spans="2:3" x14ac:dyDescent="0.25">
      <c r="B495" s="43">
        <v>7031</v>
      </c>
      <c r="C495" s="44" t="str">
        <f t="shared" si="9"/>
        <v>Subproductos, Desechos y Desperdicios - Subproductos</v>
      </c>
    </row>
    <row r="496" spans="2:3" x14ac:dyDescent="0.25">
      <c r="B496" s="43">
        <v>7032</v>
      </c>
      <c r="C496" s="44" t="str">
        <f t="shared" si="9"/>
        <v>Subproductos, Desechos y Desperdicios - Desechos y Desperdicios</v>
      </c>
    </row>
    <row r="497" spans="2:3" x14ac:dyDescent="0.25">
      <c r="B497" s="43">
        <v>7041</v>
      </c>
      <c r="C497" s="44" t="str">
        <f t="shared" si="9"/>
        <v>Prestación de Servicios - Terceros</v>
      </c>
    </row>
    <row r="498" spans="2:3" x14ac:dyDescent="0.25">
      <c r="B498" s="43">
        <v>7042</v>
      </c>
      <c r="C498" s="44" t="str">
        <f t="shared" si="9"/>
        <v>Prestación de Servicios - Relacionadas</v>
      </c>
    </row>
    <row r="499" spans="2:3" x14ac:dyDescent="0.25">
      <c r="B499" s="43">
        <v>7091</v>
      </c>
      <c r="C499" s="44" t="str">
        <f t="shared" si="9"/>
        <v>Devoluciones sobre Ventas - Mercaderías - Terceros</v>
      </c>
    </row>
    <row r="500" spans="2:3" x14ac:dyDescent="0.25">
      <c r="B500" s="43">
        <v>7092</v>
      </c>
      <c r="C500" s="44" t="str">
        <f t="shared" si="9"/>
        <v>Devoluciones sobre Ventas - Mercaderías - Relacionadas</v>
      </c>
    </row>
    <row r="501" spans="2:3" x14ac:dyDescent="0.25">
      <c r="B501" s="43">
        <v>7093</v>
      </c>
      <c r="C501" s="44" t="str">
        <f t="shared" si="9"/>
        <v>Devoluciones sobre Ventas - Productos Terminados - Terceros</v>
      </c>
    </row>
    <row r="502" spans="2:3" x14ac:dyDescent="0.25">
      <c r="B502" s="43">
        <v>7094</v>
      </c>
      <c r="C502" s="44" t="str">
        <f t="shared" si="9"/>
        <v>Devoluciones sobre Ventas - Productos Terminados - Relacionadas</v>
      </c>
    </row>
    <row r="503" spans="2:3" x14ac:dyDescent="0.25">
      <c r="B503" s="43">
        <v>7095</v>
      </c>
      <c r="C503" s="44" t="str">
        <f t="shared" si="9"/>
        <v>Devoluciones sobre Ventas - Subproductos, Desechos y Desperdicios - Terceros</v>
      </c>
    </row>
    <row r="504" spans="2:3" x14ac:dyDescent="0.25">
      <c r="B504" s="64">
        <v>7096</v>
      </c>
      <c r="C504" s="65" t="str">
        <f t="shared" si="9"/>
        <v>Devoluciones sobre Ventas - Subproductos, Desechos y Desperdicios - Relacionadas</v>
      </c>
    </row>
    <row r="505" spans="2:3" x14ac:dyDescent="0.25">
      <c r="B505" s="66"/>
      <c r="C505" s="67"/>
    </row>
    <row r="506" spans="2:3" x14ac:dyDescent="0.25">
      <c r="B506" s="66"/>
      <c r="C506" s="67"/>
    </row>
    <row r="507" spans="2:3" x14ac:dyDescent="0.25">
      <c r="B507" s="47">
        <v>7411</v>
      </c>
      <c r="C507" s="48" t="str">
        <f>VLOOKUP(B507,DivisionariasContables,3,FALSE)</f>
        <v>Descuentos, Rebajas y Bonificaciones Concedidos - Terceros</v>
      </c>
    </row>
    <row r="508" spans="2:3" x14ac:dyDescent="0.25">
      <c r="B508" s="51">
        <v>7412</v>
      </c>
      <c r="C508" s="52" t="str">
        <f>VLOOKUP(B508,DivisionariasContables,3,FALSE)</f>
        <v>Descuentos, Rebajas y Bonificaciones Concedidos - Relacionadas</v>
      </c>
    </row>
    <row r="509" spans="2:3" x14ac:dyDescent="0.25">
      <c r="B509" s="66"/>
      <c r="C509" s="68"/>
    </row>
    <row r="510" spans="2:3" x14ac:dyDescent="0.25">
      <c r="B510" s="66"/>
      <c r="C510" s="68"/>
    </row>
    <row r="511" spans="2:3" x14ac:dyDescent="0.25">
      <c r="B511" s="41">
        <v>7511</v>
      </c>
      <c r="C511" s="42" t="str">
        <f t="shared" ref="C511:C528" si="10">VLOOKUP(B511,DivisionariasContables,3,FALSE)</f>
        <v>Servicios en Beneficio del Personal</v>
      </c>
    </row>
    <row r="512" spans="2:3" x14ac:dyDescent="0.25">
      <c r="B512" s="43">
        <v>7521</v>
      </c>
      <c r="C512" s="44" t="str">
        <f t="shared" si="10"/>
        <v>Comisiones</v>
      </c>
    </row>
    <row r="513" spans="2:3" x14ac:dyDescent="0.25">
      <c r="B513" s="43">
        <v>7522</v>
      </c>
      <c r="C513" s="44" t="str">
        <f t="shared" si="10"/>
        <v>Corretajes</v>
      </c>
    </row>
    <row r="514" spans="2:3" x14ac:dyDescent="0.25">
      <c r="B514" s="43">
        <v>7531</v>
      </c>
      <c r="C514" s="44" t="str">
        <f t="shared" si="10"/>
        <v>Regalías</v>
      </c>
    </row>
    <row r="515" spans="2:3" x14ac:dyDescent="0.25">
      <c r="B515" s="43">
        <v>7541</v>
      </c>
      <c r="C515" s="44" t="str">
        <f t="shared" si="10"/>
        <v>Terrenos</v>
      </c>
    </row>
    <row r="516" spans="2:3" x14ac:dyDescent="0.25">
      <c r="B516" s="43">
        <v>7542</v>
      </c>
      <c r="C516" s="44" t="str">
        <f t="shared" si="10"/>
        <v>Edificaciones</v>
      </c>
    </row>
    <row r="517" spans="2:3" x14ac:dyDescent="0.25">
      <c r="B517" s="43">
        <v>7543</v>
      </c>
      <c r="C517" s="44" t="str">
        <f t="shared" si="10"/>
        <v>Maquinarias y Equipos de Explotación</v>
      </c>
    </row>
    <row r="518" spans="2:3" x14ac:dyDescent="0.25">
      <c r="B518" s="43">
        <v>7544</v>
      </c>
      <c r="C518" s="44" t="str">
        <f t="shared" si="10"/>
        <v>Equipos de Transporte</v>
      </c>
    </row>
    <row r="519" spans="2:3" x14ac:dyDescent="0.25">
      <c r="B519" s="43">
        <v>7545</v>
      </c>
      <c r="C519" s="44" t="str">
        <f t="shared" si="10"/>
        <v>Equipos Diversos</v>
      </c>
    </row>
    <row r="520" spans="2:3" x14ac:dyDescent="0.25">
      <c r="B520" s="43">
        <v>7551</v>
      </c>
      <c r="C520" s="44" t="str">
        <f t="shared" si="10"/>
        <v>Recuperación - Cuentas de Cobranza Dudosa</v>
      </c>
    </row>
    <row r="521" spans="2:3" x14ac:dyDescent="0.25">
      <c r="B521" s="43">
        <v>7552</v>
      </c>
      <c r="C521" s="44" t="str">
        <f t="shared" si="10"/>
        <v>Recuperación - Desvalorización de Existencias</v>
      </c>
    </row>
    <row r="522" spans="2:3" x14ac:dyDescent="0.25">
      <c r="B522" s="43">
        <v>7553</v>
      </c>
      <c r="C522" s="44" t="str">
        <f t="shared" si="10"/>
        <v>Recuperación - Desvalorización de Inversiones Inmobiliarias</v>
      </c>
    </row>
    <row r="523" spans="2:3" x14ac:dyDescent="0.25">
      <c r="B523" s="43">
        <v>7561</v>
      </c>
      <c r="C523" s="44" t="str">
        <f t="shared" si="10"/>
        <v>Inversiones Mobiliarias</v>
      </c>
    </row>
    <row r="524" spans="2:3" x14ac:dyDescent="0.25">
      <c r="B524" s="43">
        <v>7562</v>
      </c>
      <c r="C524" s="44" t="str">
        <f t="shared" si="10"/>
        <v>Inversiones Inmobiliarias</v>
      </c>
    </row>
    <row r="525" spans="2:3" x14ac:dyDescent="0.25">
      <c r="B525" s="43">
        <v>7563</v>
      </c>
      <c r="C525" s="44" t="str">
        <f t="shared" si="10"/>
        <v>Activos Adquiridos en Arrendamiento Financiero</v>
      </c>
    </row>
    <row r="526" spans="2:3" x14ac:dyDescent="0.25">
      <c r="B526" s="43">
        <v>7564</v>
      </c>
      <c r="C526" s="44" t="str">
        <f t="shared" si="10"/>
        <v>Inmuebles, Maquinaria y Equipo</v>
      </c>
    </row>
    <row r="527" spans="2:3" x14ac:dyDescent="0.25">
      <c r="B527" s="43">
        <v>7565</v>
      </c>
      <c r="C527" s="44" t="str">
        <f t="shared" si="10"/>
        <v>Intangibles</v>
      </c>
    </row>
    <row r="528" spans="2:3" x14ac:dyDescent="0.25">
      <c r="B528" s="43">
        <v>7571</v>
      </c>
      <c r="C528" s="44" t="str">
        <f t="shared" si="10"/>
        <v>Recuperación de Deterioro de Inversiones Inmobiliarias</v>
      </c>
    </row>
    <row r="529" spans="2:3" x14ac:dyDescent="0.25">
      <c r="B529" s="121">
        <v>7591</v>
      </c>
      <c r="C529" s="122" t="s">
        <v>320</v>
      </c>
    </row>
    <row r="530" spans="2:3" x14ac:dyDescent="0.25">
      <c r="B530" s="123">
        <v>7599</v>
      </c>
      <c r="C530" s="124" t="s">
        <v>42</v>
      </c>
    </row>
    <row r="531" spans="2:3" x14ac:dyDescent="0.25">
      <c r="B531" s="66"/>
      <c r="C531" s="69"/>
    </row>
    <row r="532" spans="2:3" x14ac:dyDescent="0.25">
      <c r="B532" s="66"/>
      <c r="C532" s="69"/>
    </row>
    <row r="533" spans="2:3" x14ac:dyDescent="0.25">
      <c r="B533" s="47">
        <v>7611</v>
      </c>
      <c r="C533" s="48" t="str">
        <f>VLOOKUP(B533,DivisionariasContables,3,FALSE)</f>
        <v>Mercaderías</v>
      </c>
    </row>
    <row r="534" spans="2:3" x14ac:dyDescent="0.25">
      <c r="B534" s="49">
        <v>7612</v>
      </c>
      <c r="C534" s="50" t="str">
        <f>VLOOKUP(B534,DivisionariasContables,3,FALSE)</f>
        <v>Productos Terminados</v>
      </c>
    </row>
    <row r="535" spans="2:3" x14ac:dyDescent="0.25">
      <c r="B535" s="49">
        <v>7613</v>
      </c>
      <c r="C535" s="50" t="str">
        <f>VLOOKUP(B535,DivisionariasContables,3,FALSE)</f>
        <v>Activos No Corrientes Mantenidos para la Venta</v>
      </c>
    </row>
    <row r="536" spans="2:3" x14ac:dyDescent="0.25">
      <c r="B536" s="49">
        <v>7621</v>
      </c>
      <c r="C536" s="50" t="str">
        <f>VLOOKUP(B536,DivisionariasContables,3,FALSE)</f>
        <v>Inversiones Inmobiliarias</v>
      </c>
    </row>
    <row r="537" spans="2:3" x14ac:dyDescent="0.25">
      <c r="B537" s="51">
        <v>7622</v>
      </c>
      <c r="C537" s="52" t="str">
        <f>VLOOKUP(B537,DivisionariasContables,3,FALSE)</f>
        <v>Activos Biológicos</v>
      </c>
    </row>
    <row r="538" spans="2:3" x14ac:dyDescent="0.25">
      <c r="B538" s="66"/>
      <c r="C538" s="69"/>
    </row>
    <row r="539" spans="2:3" x14ac:dyDescent="0.25">
      <c r="B539" s="66"/>
      <c r="C539" s="69"/>
    </row>
    <row r="540" spans="2:3" x14ac:dyDescent="0.25">
      <c r="B540" s="41">
        <v>7711</v>
      </c>
      <c r="C540" s="42" t="str">
        <f t="shared" ref="C540:C550" si="11">VLOOKUP(B540,DivisionariasContables,3,FALSE)</f>
        <v>Ganancia por Instrumento Financiero Derivado</v>
      </c>
    </row>
    <row r="541" spans="2:3" x14ac:dyDescent="0.25">
      <c r="B541" s="43">
        <v>7721</v>
      </c>
      <c r="C541" s="44" t="str">
        <f t="shared" si="11"/>
        <v>Depósitos en Instituciones Financieras</v>
      </c>
    </row>
    <row r="542" spans="2:3" x14ac:dyDescent="0.25">
      <c r="B542" s="43">
        <v>7722</v>
      </c>
      <c r="C542" s="44" t="str">
        <f t="shared" si="11"/>
        <v>Cuentas por Cobrar Comerciales</v>
      </c>
    </row>
    <row r="543" spans="2:3" x14ac:dyDescent="0.25">
      <c r="B543" s="43">
        <v>7723</v>
      </c>
      <c r="C543" s="44" t="str">
        <f t="shared" si="11"/>
        <v>Préstamos Otorgados</v>
      </c>
    </row>
    <row r="544" spans="2:3" x14ac:dyDescent="0.25">
      <c r="B544" s="43">
        <v>7724</v>
      </c>
      <c r="C544" s="44" t="str">
        <f t="shared" si="11"/>
        <v>Inversiones a ser Mantenidas hasta el Vencimiento</v>
      </c>
    </row>
    <row r="545" spans="2:3" x14ac:dyDescent="0.25">
      <c r="B545" s="43">
        <v>7725</v>
      </c>
      <c r="C545" s="44" t="str">
        <f t="shared" si="11"/>
        <v>Instrumentos Financieros Representativos de Derecho Patrimonial</v>
      </c>
    </row>
    <row r="546" spans="2:3" x14ac:dyDescent="0.25">
      <c r="B546" s="43">
        <v>7731</v>
      </c>
      <c r="C546" s="44" t="str">
        <f t="shared" si="11"/>
        <v>Dividendos</v>
      </c>
    </row>
    <row r="547" spans="2:3" x14ac:dyDescent="0.25">
      <c r="B547" s="43">
        <v>7751</v>
      </c>
      <c r="C547" s="44" t="str">
        <f t="shared" si="11"/>
        <v>Descuentos Obtenidos por Pronto Pago</v>
      </c>
    </row>
    <row r="548" spans="2:3" x14ac:dyDescent="0.25">
      <c r="B548" s="43">
        <v>7761</v>
      </c>
      <c r="C548" s="44" t="str">
        <f t="shared" si="11"/>
        <v>Diferencia en Cambio</v>
      </c>
    </row>
    <row r="549" spans="2:3" x14ac:dyDescent="0.25">
      <c r="B549" s="43">
        <v>7771</v>
      </c>
      <c r="C549" s="44" t="str">
        <f t="shared" si="11"/>
        <v>Inversiones Mantenidas para Negociación</v>
      </c>
    </row>
    <row r="550" spans="2:3" x14ac:dyDescent="0.25">
      <c r="B550" s="64">
        <v>7791</v>
      </c>
      <c r="C550" s="65" t="str">
        <f t="shared" si="11"/>
        <v>Ingresos Financieros en Medición al Valor Descontado</v>
      </c>
    </row>
    <row r="551" spans="2:3" x14ac:dyDescent="0.25">
      <c r="B551" s="66"/>
      <c r="C551" s="68"/>
    </row>
    <row r="552" spans="2:3" x14ac:dyDescent="0.25">
      <c r="B552" s="66"/>
      <c r="C552" s="68"/>
    </row>
    <row r="553" spans="2:3" x14ac:dyDescent="0.25">
      <c r="B553" s="39" t="s">
        <v>379</v>
      </c>
      <c r="C553" s="40" t="s">
        <v>378</v>
      </c>
    </row>
    <row r="554" spans="2:3" x14ac:dyDescent="0.25">
      <c r="B554" s="59"/>
      <c r="C554" s="114"/>
    </row>
    <row r="555" spans="2:3" x14ac:dyDescent="0.25">
      <c r="B555" s="60"/>
      <c r="C555" s="251"/>
    </row>
    <row r="556" spans="2:3" x14ac:dyDescent="0.25">
      <c r="B556" s="60"/>
      <c r="C556" s="251"/>
    </row>
    <row r="557" spans="2:3" x14ac:dyDescent="0.25">
      <c r="B557" s="60"/>
      <c r="C557" s="61"/>
    </row>
    <row r="558" spans="2:3" x14ac:dyDescent="0.25">
      <c r="B558" s="60"/>
      <c r="C558" s="61"/>
    </row>
    <row r="559" spans="2:3" x14ac:dyDescent="0.25">
      <c r="B559" s="60"/>
      <c r="C559" s="61"/>
    </row>
    <row r="560" spans="2:3" x14ac:dyDescent="0.25">
      <c r="B560" s="60"/>
      <c r="C560" s="61"/>
    </row>
    <row r="561" spans="2:3" x14ac:dyDescent="0.25">
      <c r="B561" s="60"/>
      <c r="C561" s="61"/>
    </row>
    <row r="562" spans="2:3" x14ac:dyDescent="0.25">
      <c r="B562" s="60"/>
      <c r="C562" s="61"/>
    </row>
    <row r="563" spans="2:3" x14ac:dyDescent="0.25">
      <c r="B563" s="62"/>
      <c r="C563" s="63"/>
    </row>
    <row r="568" spans="2:3" ht="15.6" x14ac:dyDescent="0.25">
      <c r="B568" s="38" t="s">
        <v>374</v>
      </c>
    </row>
    <row r="571" spans="2:3" x14ac:dyDescent="0.25">
      <c r="B571" s="40" t="s">
        <v>373</v>
      </c>
    </row>
    <row r="572" spans="2:3" x14ac:dyDescent="0.25">
      <c r="B572" s="107" t="s">
        <v>104</v>
      </c>
    </row>
    <row r="573" spans="2:3" x14ac:dyDescent="0.25">
      <c r="B573" s="108" t="s">
        <v>375</v>
      </c>
    </row>
    <row r="574" spans="2:3" x14ac:dyDescent="0.25">
      <c r="B574" s="108" t="s">
        <v>376</v>
      </c>
    </row>
    <row r="575" spans="2:3" x14ac:dyDescent="0.25">
      <c r="B575" s="109" t="s">
        <v>377</v>
      </c>
    </row>
    <row r="578" spans="2:3" x14ac:dyDescent="0.25">
      <c r="B578" s="125" t="s">
        <v>450</v>
      </c>
      <c r="C578" s="87"/>
    </row>
    <row r="579" spans="2:3" x14ac:dyDescent="0.25">
      <c r="B579" s="86">
        <v>1011</v>
      </c>
      <c r="C579" s="85" t="str">
        <f t="shared" ref="C579:C606" si="12">VLOOKUP(B579,DivisionariasContables,3,FALSE)</f>
        <v>Dinero en Efectivo</v>
      </c>
    </row>
    <row r="580" spans="2:3" x14ac:dyDescent="0.25">
      <c r="B580" s="84">
        <v>1041</v>
      </c>
      <c r="C580" s="83" t="str">
        <f t="shared" si="12"/>
        <v>Cuentas Corrientes Operativas</v>
      </c>
    </row>
    <row r="581" spans="2:3" x14ac:dyDescent="0.25">
      <c r="B581" s="84">
        <v>1111</v>
      </c>
      <c r="C581" s="83" t="str">
        <f t="shared" si="12"/>
        <v>Valores Emitidos o Garantizados por el Estado</v>
      </c>
    </row>
    <row r="582" spans="2:3" x14ac:dyDescent="0.25">
      <c r="B582" s="84">
        <v>1112</v>
      </c>
      <c r="C582" s="83" t="str">
        <f t="shared" si="12"/>
        <v>Valores Emitidos por el Sistema Financiero</v>
      </c>
    </row>
    <row r="583" spans="2:3" x14ac:dyDescent="0.25">
      <c r="B583" s="84">
        <v>1113</v>
      </c>
      <c r="C583" s="83" t="str">
        <f t="shared" si="12"/>
        <v>Valores Emitidos por Empresa</v>
      </c>
    </row>
    <row r="584" spans="2:3" x14ac:dyDescent="0.25">
      <c r="B584" s="84">
        <v>1114</v>
      </c>
      <c r="C584" s="83" t="str">
        <f t="shared" si="12"/>
        <v>Otros Títulos Representativos de Deuda</v>
      </c>
    </row>
    <row r="585" spans="2:3" x14ac:dyDescent="0.25">
      <c r="B585" s="84">
        <v>1115</v>
      </c>
      <c r="C585" s="83" t="str">
        <f t="shared" si="12"/>
        <v>Participaciones en Entidades</v>
      </c>
    </row>
    <row r="586" spans="2:3" x14ac:dyDescent="0.25">
      <c r="B586" s="84">
        <v>1121</v>
      </c>
      <c r="C586" s="83" t="str">
        <f t="shared" si="12"/>
        <v>Valores Emitidos o Garantizados por el Estado</v>
      </c>
    </row>
    <row r="587" spans="2:3" x14ac:dyDescent="0.25">
      <c r="B587" s="84">
        <v>1122</v>
      </c>
      <c r="C587" s="83" t="str">
        <f t="shared" si="12"/>
        <v>Valores Emitidos por el Sistema Financiero</v>
      </c>
    </row>
    <row r="588" spans="2:3" x14ac:dyDescent="0.25">
      <c r="B588" s="84">
        <v>1123</v>
      </c>
      <c r="C588" s="83" t="str">
        <f t="shared" si="12"/>
        <v>Valores Emitidos por Empresas</v>
      </c>
    </row>
    <row r="589" spans="2:3" x14ac:dyDescent="0.25">
      <c r="B589" s="84">
        <v>1124</v>
      </c>
      <c r="C589" s="83" t="str">
        <f t="shared" si="12"/>
        <v>Otros Títulos Representativos de Deuda</v>
      </c>
    </row>
    <row r="590" spans="2:3" x14ac:dyDescent="0.25">
      <c r="B590" s="84">
        <v>1211</v>
      </c>
      <c r="C590" s="83" t="str">
        <f t="shared" si="12"/>
        <v>Facturas, Boletas y Otros Comprobantes por Cobrar - No Emitidas</v>
      </c>
    </row>
    <row r="591" spans="2:3" x14ac:dyDescent="0.25">
      <c r="B591" s="84">
        <v>1212</v>
      </c>
      <c r="C591" s="83" t="str">
        <f t="shared" si="12"/>
        <v>Facturas, Boletas y Otros Comprobantes por Cobrar - Emitidas en Cartera</v>
      </c>
    </row>
    <row r="592" spans="2:3" x14ac:dyDescent="0.25">
      <c r="B592" s="84">
        <v>1213</v>
      </c>
      <c r="C592" s="83" t="str">
        <f t="shared" si="12"/>
        <v>Facturas, Boletas y Otros Comprobantes por Cobrar - En Cobranza</v>
      </c>
    </row>
    <row r="593" spans="2:3" x14ac:dyDescent="0.25">
      <c r="B593" s="84">
        <v>1214</v>
      </c>
      <c r="C593" s="83" t="str">
        <f t="shared" si="12"/>
        <v>Facturas, Boletas y Otros Comprobantes por Cobrar - En Descuento</v>
      </c>
    </row>
    <row r="594" spans="2:3" x14ac:dyDescent="0.25">
      <c r="B594" s="84">
        <v>1231</v>
      </c>
      <c r="C594" s="83" t="str">
        <f t="shared" si="12"/>
        <v>Letras por Cobrar - En Cartera</v>
      </c>
    </row>
    <row r="595" spans="2:3" x14ac:dyDescent="0.25">
      <c r="B595" s="84">
        <v>1232</v>
      </c>
      <c r="C595" s="83" t="str">
        <f t="shared" si="12"/>
        <v>Letras por Cobrar - En Cobranza</v>
      </c>
    </row>
    <row r="596" spans="2:3" x14ac:dyDescent="0.25">
      <c r="B596" s="84">
        <v>1233</v>
      </c>
      <c r="C596" s="83" t="str">
        <f t="shared" si="12"/>
        <v>Letras por Cobrar - En Descuento</v>
      </c>
    </row>
    <row r="597" spans="2:3" x14ac:dyDescent="0.25">
      <c r="B597" s="84">
        <v>1311</v>
      </c>
      <c r="C597" s="83" t="str">
        <f t="shared" si="12"/>
        <v>Facturas, Boletas y Otros Comprobantes por Cobrar - No Emitidas</v>
      </c>
    </row>
    <row r="598" spans="2:3" x14ac:dyDescent="0.25">
      <c r="B598" s="84">
        <v>1312</v>
      </c>
      <c r="C598" s="83" t="str">
        <f t="shared" si="12"/>
        <v>Facturas, Boletas y Otros Comprobantes por Cobrar - Emitidas en Cartera</v>
      </c>
    </row>
    <row r="599" spans="2:3" x14ac:dyDescent="0.25">
      <c r="B599" s="84">
        <v>1313</v>
      </c>
      <c r="C599" s="83" t="str">
        <f t="shared" si="12"/>
        <v>Facturas, Boletas y Otros Comprobantes por Cobrar - En Cobranza</v>
      </c>
    </row>
    <row r="600" spans="2:3" x14ac:dyDescent="0.25">
      <c r="B600" s="84">
        <v>1314</v>
      </c>
      <c r="C600" s="83" t="str">
        <f t="shared" si="12"/>
        <v>Facturas, Boletas y Otros Comprobantes por Cobrar - En Descuento</v>
      </c>
    </row>
    <row r="601" spans="2:3" x14ac:dyDescent="0.25">
      <c r="B601" s="84">
        <v>1331</v>
      </c>
      <c r="C601" s="83" t="str">
        <f t="shared" si="12"/>
        <v>Letras por Cobrar - En Cartera</v>
      </c>
    </row>
    <row r="602" spans="2:3" x14ac:dyDescent="0.25">
      <c r="B602" s="84">
        <v>1332</v>
      </c>
      <c r="C602" s="83" t="str">
        <f t="shared" si="12"/>
        <v>Letras por Cobrar - En Cobranza</v>
      </c>
    </row>
    <row r="603" spans="2:3" x14ac:dyDescent="0.25">
      <c r="B603" s="84">
        <v>1333</v>
      </c>
      <c r="C603" s="83" t="str">
        <f t="shared" si="12"/>
        <v>Letras por Cobrar - En Descuento</v>
      </c>
    </row>
    <row r="604" spans="2:3" x14ac:dyDescent="0.25">
      <c r="B604" s="84">
        <v>1411</v>
      </c>
      <c r="C604" s="83" t="str">
        <f t="shared" si="12"/>
        <v>Personal - Préstamos</v>
      </c>
    </row>
    <row r="605" spans="2:3" x14ac:dyDescent="0.25">
      <c r="B605" s="84">
        <v>1412</v>
      </c>
      <c r="C605" s="83" t="str">
        <f t="shared" si="12"/>
        <v>Personal - Adelanto de Remuneraciones</v>
      </c>
    </row>
    <row r="606" spans="2:3" x14ac:dyDescent="0.25">
      <c r="B606" s="84">
        <v>1413</v>
      </c>
      <c r="C606" s="83" t="str">
        <f t="shared" si="12"/>
        <v>Personal - Entregas a Rendir Cuenta</v>
      </c>
    </row>
    <row r="607" spans="2:3" x14ac:dyDescent="0.25">
      <c r="B607" s="84">
        <v>1421</v>
      </c>
      <c r="C607" s="83" t="str">
        <f t="shared" ref="C607:C627" si="13">VLOOKUP(B607,DivisionariasContables,3,FALSE)</f>
        <v>Accionistas (O Socios) - Suscripciones por Cobrar a Socios o Accionistas</v>
      </c>
    </row>
    <row r="608" spans="2:3" x14ac:dyDescent="0.25">
      <c r="B608" s="84">
        <v>1422</v>
      </c>
      <c r="C608" s="83" t="str">
        <f t="shared" si="13"/>
        <v>Accionistas (O Socios) - Préstamos</v>
      </c>
    </row>
    <row r="609" spans="2:3" x14ac:dyDescent="0.25">
      <c r="B609" s="84">
        <v>1611</v>
      </c>
      <c r="C609" s="83" t="str">
        <f t="shared" si="13"/>
        <v>Préstamos - Con Garantía</v>
      </c>
    </row>
    <row r="610" spans="2:3" x14ac:dyDescent="0.25">
      <c r="B610" s="84">
        <v>1612</v>
      </c>
      <c r="C610" s="83" t="str">
        <f t="shared" si="13"/>
        <v>Préstamos - Sin Garantía</v>
      </c>
    </row>
    <row r="611" spans="2:3" x14ac:dyDescent="0.25">
      <c r="B611" s="84">
        <v>1621</v>
      </c>
      <c r="C611" s="83" t="str">
        <f t="shared" si="13"/>
        <v>Reclamaciones a Terceros - Compañías Aseguradoras</v>
      </c>
    </row>
    <row r="612" spans="2:3" x14ac:dyDescent="0.25">
      <c r="B612" s="84">
        <v>1622</v>
      </c>
      <c r="C612" s="83" t="str">
        <f t="shared" si="13"/>
        <v>Reclamaciones a Terceros - Transportadoras</v>
      </c>
    </row>
    <row r="613" spans="2:3" x14ac:dyDescent="0.25">
      <c r="B613" s="84">
        <v>1623</v>
      </c>
      <c r="C613" s="83" t="str">
        <f t="shared" si="13"/>
        <v>Reclamaciones a Terceros - Servicios Públicos</v>
      </c>
    </row>
    <row r="614" spans="2:3" x14ac:dyDescent="0.25">
      <c r="B614" s="84">
        <v>1631</v>
      </c>
      <c r="C614" s="83" t="str">
        <f t="shared" si="13"/>
        <v>Intereses, Regalías y Dividendos - Intereses</v>
      </c>
    </row>
    <row r="615" spans="2:3" x14ac:dyDescent="0.25">
      <c r="B615" s="84">
        <v>1632</v>
      </c>
      <c r="C615" s="83" t="str">
        <f t="shared" si="13"/>
        <v>Intereses, Regalías y Dividendos - Regalías</v>
      </c>
    </row>
    <row r="616" spans="2:3" x14ac:dyDescent="0.25">
      <c r="B616" s="84">
        <v>1633</v>
      </c>
      <c r="C616" s="83" t="str">
        <f t="shared" si="13"/>
        <v>Intereses, Regalías y Dividendos - Dividendos</v>
      </c>
    </row>
    <row r="617" spans="2:3" x14ac:dyDescent="0.25">
      <c r="B617" s="84">
        <v>1641</v>
      </c>
      <c r="C617" s="83" t="str">
        <f t="shared" si="13"/>
        <v>Depósitos Otorgados en Garantía - Préstamos de Instituciones Financieras</v>
      </c>
    </row>
    <row r="618" spans="2:3" x14ac:dyDescent="0.25">
      <c r="B618" s="84">
        <v>1642</v>
      </c>
      <c r="C618" s="83" t="str">
        <f t="shared" si="13"/>
        <v>Depósitos Otorgados en Garantía - Préstamos de Instituciones No Financieras</v>
      </c>
    </row>
    <row r="619" spans="2:3" x14ac:dyDescent="0.25">
      <c r="B619" s="84">
        <v>1651</v>
      </c>
      <c r="C619" s="83" t="str">
        <f t="shared" si="13"/>
        <v>Venta de Activo Inmovilizado - Inversión Mobiliaria</v>
      </c>
    </row>
    <row r="620" spans="2:3" x14ac:dyDescent="0.25">
      <c r="B620" s="84">
        <v>1652</v>
      </c>
      <c r="C620" s="83" t="str">
        <f t="shared" si="13"/>
        <v>Venta de Activo Inmovilizado - Inversión Inmobiliaria</v>
      </c>
    </row>
    <row r="621" spans="2:3" x14ac:dyDescent="0.25">
      <c r="B621" s="84">
        <v>1653</v>
      </c>
      <c r="C621" s="83" t="str">
        <f t="shared" si="13"/>
        <v>Venta de Activo Inmovilizado - Inmuebles, Maquinaria y Equipo</v>
      </c>
    </row>
    <row r="622" spans="2:3" x14ac:dyDescent="0.25">
      <c r="B622" s="84">
        <v>1654</v>
      </c>
      <c r="C622" s="83" t="str">
        <f t="shared" si="13"/>
        <v>Venta de Activo Inmovilizado - Intangibles</v>
      </c>
    </row>
    <row r="623" spans="2:3" x14ac:dyDescent="0.25">
      <c r="B623" s="84">
        <v>1655</v>
      </c>
      <c r="C623" s="83" t="str">
        <f t="shared" si="13"/>
        <v>Venta de Activo Inmovilizado - Activos Biológicos</v>
      </c>
    </row>
    <row r="624" spans="2:3" x14ac:dyDescent="0.25">
      <c r="B624" s="84">
        <v>1661</v>
      </c>
      <c r="C624" s="83" t="str">
        <f t="shared" si="13"/>
        <v>Activos por Instrumentos Financieros - Instrumentos Financieros Primarios</v>
      </c>
    </row>
    <row r="625" spans="2:3" x14ac:dyDescent="0.25">
      <c r="B625" s="84">
        <v>1662</v>
      </c>
      <c r="C625" s="83" t="str">
        <f t="shared" si="13"/>
        <v>Activos por Instrumentos Financieros - Instrumentos Financieros Derivados</v>
      </c>
    </row>
    <row r="626" spans="2:3" x14ac:dyDescent="0.25">
      <c r="B626" s="84">
        <v>1689</v>
      </c>
      <c r="C626" s="83" t="str">
        <f t="shared" si="13"/>
        <v>Otras Cuentas por Cobrar Diversas - Otras</v>
      </c>
    </row>
    <row r="627" spans="2:3" x14ac:dyDescent="0.25">
      <c r="B627" s="84">
        <v>1711</v>
      </c>
      <c r="C627" s="83" t="str">
        <f t="shared" si="13"/>
        <v>Préstamos - Con Garantía</v>
      </c>
    </row>
    <row r="628" spans="2:3" x14ac:dyDescent="0.25">
      <c r="B628" s="84">
        <v>1712</v>
      </c>
      <c r="C628" s="83" t="str">
        <f t="shared" ref="C628:C643" si="14">VLOOKUP(B628,DivisionariasContables,3,FALSE)</f>
        <v>Préstamos - Sin Garantía</v>
      </c>
    </row>
    <row r="629" spans="2:3" x14ac:dyDescent="0.25">
      <c r="B629" s="84">
        <v>1741</v>
      </c>
      <c r="C629" s="83" t="str">
        <f t="shared" si="14"/>
        <v>Depósitos Otorgados en Garantía</v>
      </c>
    </row>
    <row r="630" spans="2:3" x14ac:dyDescent="0.25">
      <c r="B630" s="84">
        <v>1751</v>
      </c>
      <c r="C630" s="83" t="str">
        <f t="shared" si="14"/>
        <v>Venta de Activos Inmovilizados - Inversión Mobiliaria</v>
      </c>
    </row>
    <row r="631" spans="2:3" x14ac:dyDescent="0.25">
      <c r="B631" s="84">
        <v>1781</v>
      </c>
      <c r="C631" s="83" t="str">
        <f t="shared" si="14"/>
        <v>Otras Cuentas por Cobrar Diversas</v>
      </c>
    </row>
    <row r="632" spans="2:3" x14ac:dyDescent="0.25">
      <c r="B632" s="84">
        <v>1811</v>
      </c>
      <c r="C632" s="83" t="str">
        <f t="shared" si="14"/>
        <v>Servicios y Otros Contratados por Anticipado - Costos Financieros</v>
      </c>
    </row>
    <row r="633" spans="2:3" x14ac:dyDescent="0.25">
      <c r="B633" s="84">
        <v>1821</v>
      </c>
      <c r="C633" s="83" t="str">
        <f t="shared" si="14"/>
        <v>Servicios y Otros Contratados por Anticipado - Seguros</v>
      </c>
    </row>
    <row r="634" spans="2:3" x14ac:dyDescent="0.25">
      <c r="B634" s="84">
        <v>1831</v>
      </c>
      <c r="C634" s="83" t="str">
        <f t="shared" si="14"/>
        <v>Servicios y Otros Contratados por Anticipado - Alquileres</v>
      </c>
    </row>
    <row r="635" spans="2:3" x14ac:dyDescent="0.25">
      <c r="B635" s="84">
        <v>1841</v>
      </c>
      <c r="C635" s="83" t="str">
        <f t="shared" si="14"/>
        <v>Servicios y Otros Contratados por Anticipado - Primas Pagadas por Opciones</v>
      </c>
    </row>
    <row r="636" spans="2:3" x14ac:dyDescent="0.25">
      <c r="B636" s="84">
        <v>1851</v>
      </c>
      <c r="C636" s="83" t="str">
        <f t="shared" si="14"/>
        <v>Servicios y Otros Contratados por Anticipado - Mantenimiento de Activos Inmovilizados</v>
      </c>
    </row>
    <row r="637" spans="2:3" x14ac:dyDescent="0.25">
      <c r="B637" s="84">
        <v>1891</v>
      </c>
      <c r="C637" s="83" t="str">
        <f t="shared" si="14"/>
        <v>Servicios y Otros Contratados por Anticipado - Otros Gastos Contratados por Anticipado</v>
      </c>
    </row>
    <row r="638" spans="2:3" x14ac:dyDescent="0.25">
      <c r="B638" s="84">
        <v>1911</v>
      </c>
      <c r="C638" s="83" t="str">
        <f t="shared" si="14"/>
        <v>Cuentas por Cobrar Comerciales - Terceros - Facturas, Boletas y Otros Comprobantes por Cobrar</v>
      </c>
    </row>
    <row r="639" spans="2:3" x14ac:dyDescent="0.25">
      <c r="B639" s="84">
        <v>1921</v>
      </c>
      <c r="C639" s="83" t="str">
        <f t="shared" si="14"/>
        <v>Cuentas por Cobrar Relacionadas - Facturas, Boletas y Otros Comprobantes por Cobrar</v>
      </c>
    </row>
    <row r="640" spans="2:3" x14ac:dyDescent="0.25">
      <c r="B640" s="84">
        <v>1922</v>
      </c>
      <c r="C640" s="83" t="str">
        <f t="shared" si="14"/>
        <v>Cuentas por Cobrar Relacionadas - Letras por Cobrar</v>
      </c>
    </row>
    <row r="641" spans="2:3" x14ac:dyDescent="0.25">
      <c r="B641" s="84">
        <v>1931</v>
      </c>
      <c r="C641" s="83" t="str">
        <f t="shared" si="14"/>
        <v>Cuentas por Cobrar al Personal, a los Accionistas (Socios), Directores y Gerentes - Personal</v>
      </c>
    </row>
    <row r="642" spans="2:3" x14ac:dyDescent="0.25">
      <c r="B642" s="84">
        <v>1932</v>
      </c>
      <c r="C642" s="83" t="str">
        <f t="shared" si="14"/>
        <v>Cuentas por Cobrar al Personal, a los Accionistas (Socios), Directores y Gerentes - Accionistas</v>
      </c>
    </row>
    <row r="643" spans="2:3" x14ac:dyDescent="0.25">
      <c r="B643" s="84">
        <v>1941</v>
      </c>
      <c r="C643" s="83" t="str">
        <f t="shared" si="14"/>
        <v>Cuentas por Cobrar Diversas - Terceros - Préstamos</v>
      </c>
    </row>
    <row r="644" spans="2:3" x14ac:dyDescent="0.25">
      <c r="B644" s="84">
        <v>1942</v>
      </c>
      <c r="C644" s="83" t="str">
        <f t="shared" ref="C644:C674" si="15">VLOOKUP(B644,DivisionariasContables,3,FALSE)</f>
        <v>Cuentas por Cobrar Diversas - Terceros - Reclamaciones a Terceros</v>
      </c>
    </row>
    <row r="645" spans="2:3" x14ac:dyDescent="0.25">
      <c r="B645" s="84">
        <v>1943</v>
      </c>
      <c r="C645" s="83" t="str">
        <f t="shared" si="15"/>
        <v>Cuentas por Cobrar Diversas - Terceros - Intereses, Regalías y Dividendos</v>
      </c>
    </row>
    <row r="646" spans="2:3" x14ac:dyDescent="0.25">
      <c r="B646" s="84">
        <v>1944</v>
      </c>
      <c r="C646" s="83" t="str">
        <f t="shared" si="15"/>
        <v>Cuentas por Cobrar Diversas - Terceros - Depósitos Otorgados en Garantía</v>
      </c>
    </row>
    <row r="647" spans="2:3" x14ac:dyDescent="0.25">
      <c r="B647" s="84">
        <v>1945</v>
      </c>
      <c r="C647" s="83" t="str">
        <f t="shared" si="15"/>
        <v>Cuentas por Cobrar Diversas - Terceros - Venta de Activos Inmovilizados</v>
      </c>
    </row>
    <row r="648" spans="2:3" x14ac:dyDescent="0.25">
      <c r="B648" s="82">
        <v>1949</v>
      </c>
      <c r="C648" s="81" t="str">
        <f t="shared" si="15"/>
        <v>Cuentas por Cobrar Diversas - Terceros - Otras Cuentas por Cobrar Diversas</v>
      </c>
    </row>
    <row r="649" spans="2:3" x14ac:dyDescent="0.25">
      <c r="B649" s="80">
        <v>4011</v>
      </c>
      <c r="C649" s="79" t="str">
        <f t="shared" si="15"/>
        <v>Impuesto General a las Ventas</v>
      </c>
    </row>
    <row r="650" spans="2:3" x14ac:dyDescent="0.25">
      <c r="B650" s="78">
        <v>4012</v>
      </c>
      <c r="C650" s="77" t="str">
        <f t="shared" si="15"/>
        <v>Impuesto Selectivo al Consumo</v>
      </c>
    </row>
    <row r="651" spans="2:3" x14ac:dyDescent="0.25">
      <c r="B651" s="78">
        <v>4015</v>
      </c>
      <c r="C651" s="77" t="str">
        <f t="shared" si="15"/>
        <v>Derechos Aduaneros</v>
      </c>
    </row>
    <row r="652" spans="2:3" x14ac:dyDescent="0.25">
      <c r="B652" s="78">
        <v>4017</v>
      </c>
      <c r="C652" s="77" t="str">
        <f t="shared" si="15"/>
        <v>Impuesto a la Renta</v>
      </c>
    </row>
    <row r="653" spans="2:3" x14ac:dyDescent="0.25">
      <c r="B653" s="78">
        <v>4018</v>
      </c>
      <c r="C653" s="77" t="str">
        <f t="shared" si="15"/>
        <v>Otros Impuestos y Contraprestaciones</v>
      </c>
    </row>
    <row r="654" spans="2:3" x14ac:dyDescent="0.25">
      <c r="B654" s="78">
        <v>4031</v>
      </c>
      <c r="C654" s="77" t="str">
        <f t="shared" si="15"/>
        <v>ESSALUD</v>
      </c>
    </row>
    <row r="655" spans="2:3" x14ac:dyDescent="0.25">
      <c r="B655" s="78">
        <v>4032</v>
      </c>
      <c r="C655" s="77" t="str">
        <f t="shared" si="15"/>
        <v>ONP</v>
      </c>
    </row>
    <row r="656" spans="2:3" x14ac:dyDescent="0.25">
      <c r="B656" s="78">
        <v>4033</v>
      </c>
      <c r="C656" s="77" t="str">
        <f t="shared" si="15"/>
        <v>Contribución al SENATI</v>
      </c>
    </row>
    <row r="657" spans="2:3" x14ac:dyDescent="0.25">
      <c r="B657" s="78">
        <v>4034</v>
      </c>
      <c r="C657" s="77" t="str">
        <f t="shared" si="15"/>
        <v>Contribución al SENCICO</v>
      </c>
    </row>
    <row r="658" spans="2:3" x14ac:dyDescent="0.25">
      <c r="B658" s="78">
        <v>4039</v>
      </c>
      <c r="C658" s="77" t="str">
        <f t="shared" si="15"/>
        <v>Otras Instituciones</v>
      </c>
    </row>
    <row r="659" spans="2:3" x14ac:dyDescent="0.25">
      <c r="B659" s="78">
        <v>4041</v>
      </c>
      <c r="C659" s="77" t="str">
        <f t="shared" si="15"/>
        <v>Seguro Complementario de Trabajo de Riesgo</v>
      </c>
    </row>
    <row r="660" spans="2:3" x14ac:dyDescent="0.25">
      <c r="B660" s="78">
        <v>4061</v>
      </c>
      <c r="C660" s="77" t="str">
        <f t="shared" si="15"/>
        <v>Impuestos</v>
      </c>
    </row>
    <row r="661" spans="2:3" x14ac:dyDescent="0.25">
      <c r="B661" s="78">
        <v>4062</v>
      </c>
      <c r="C661" s="77" t="str">
        <f t="shared" si="15"/>
        <v>Contribuciones</v>
      </c>
    </row>
    <row r="662" spans="2:3" x14ac:dyDescent="0.25">
      <c r="B662" s="78">
        <v>4063</v>
      </c>
      <c r="C662" s="77" t="str">
        <f t="shared" si="15"/>
        <v>Tasas</v>
      </c>
    </row>
    <row r="663" spans="2:3" x14ac:dyDescent="0.25">
      <c r="B663" s="78">
        <v>4071</v>
      </c>
      <c r="C663" s="77" t="str">
        <f t="shared" si="15"/>
        <v>Habitat</v>
      </c>
    </row>
    <row r="664" spans="2:3" x14ac:dyDescent="0.25">
      <c r="B664" s="78">
        <v>4072</v>
      </c>
      <c r="C664" s="77" t="str">
        <f t="shared" si="15"/>
        <v>Integra</v>
      </c>
    </row>
    <row r="665" spans="2:3" x14ac:dyDescent="0.25">
      <c r="B665" s="78">
        <v>4073</v>
      </c>
      <c r="C665" s="77" t="str">
        <f t="shared" si="15"/>
        <v>Prima</v>
      </c>
    </row>
    <row r="666" spans="2:3" x14ac:dyDescent="0.25">
      <c r="B666" s="78">
        <v>4074</v>
      </c>
      <c r="C666" s="77" t="str">
        <f t="shared" si="15"/>
        <v>Profuturo</v>
      </c>
    </row>
    <row r="667" spans="2:3" x14ac:dyDescent="0.25">
      <c r="B667" s="78">
        <v>4081</v>
      </c>
      <c r="C667" s="77" t="str">
        <f t="shared" si="15"/>
        <v>Cuenta Propia</v>
      </c>
    </row>
    <row r="668" spans="2:3" x14ac:dyDescent="0.25">
      <c r="B668" s="78">
        <v>4082</v>
      </c>
      <c r="C668" s="77" t="str">
        <f t="shared" si="15"/>
        <v>Cuenta de Terceros</v>
      </c>
    </row>
    <row r="669" spans="2:3" x14ac:dyDescent="0.25">
      <c r="B669" s="78">
        <v>4111</v>
      </c>
      <c r="C669" s="77" t="str">
        <f t="shared" si="15"/>
        <v>Sueldos y Salarios por Pagar</v>
      </c>
    </row>
    <row r="670" spans="2:3" x14ac:dyDescent="0.25">
      <c r="B670" s="78">
        <v>4112</v>
      </c>
      <c r="C670" s="77" t="str">
        <f t="shared" si="15"/>
        <v>Comisiones por Pagar</v>
      </c>
    </row>
    <row r="671" spans="2:3" x14ac:dyDescent="0.25">
      <c r="B671" s="78">
        <v>4113</v>
      </c>
      <c r="C671" s="77" t="str">
        <f t="shared" si="15"/>
        <v>Remuneraciones en Especie por Pagar</v>
      </c>
    </row>
    <row r="672" spans="2:3" x14ac:dyDescent="0.25">
      <c r="B672" s="78">
        <v>4114</v>
      </c>
      <c r="C672" s="77" t="str">
        <f t="shared" si="15"/>
        <v>Gratificaciones por Pagar</v>
      </c>
    </row>
    <row r="673" spans="2:3" x14ac:dyDescent="0.25">
      <c r="B673" s="78">
        <v>4115</v>
      </c>
      <c r="C673" s="77" t="str">
        <f t="shared" si="15"/>
        <v>Vacaciones por Pagar</v>
      </c>
    </row>
    <row r="674" spans="2:3" x14ac:dyDescent="0.25">
      <c r="B674" s="78">
        <v>4151</v>
      </c>
      <c r="C674" s="77" t="str">
        <f t="shared" si="15"/>
        <v>Compensación por Tiempo de Servicios</v>
      </c>
    </row>
    <row r="675" spans="2:3" x14ac:dyDescent="0.25">
      <c r="B675" s="78">
        <v>4152</v>
      </c>
      <c r="C675" s="77" t="str">
        <f t="shared" ref="C675:C707" si="16">VLOOKUP(B675,DivisionariasContables,3,FALSE)</f>
        <v>Adelanto de Compensación por Tiempo de Servicios</v>
      </c>
    </row>
    <row r="676" spans="2:3" x14ac:dyDescent="0.25">
      <c r="B676" s="78">
        <v>4153</v>
      </c>
      <c r="C676" s="77" t="str">
        <f t="shared" si="16"/>
        <v>Pensiones y Jubilaciones</v>
      </c>
    </row>
    <row r="677" spans="2:3" x14ac:dyDescent="0.25">
      <c r="B677" s="78">
        <v>4211</v>
      </c>
      <c r="C677" s="77" t="str">
        <f t="shared" si="16"/>
        <v>Facturas, Boletas y Otros Comprobantes por Pagar - No Emitidas</v>
      </c>
    </row>
    <row r="678" spans="2:3" x14ac:dyDescent="0.25">
      <c r="B678" s="78">
        <v>4212</v>
      </c>
      <c r="C678" s="77" t="str">
        <f t="shared" si="16"/>
        <v>Facturas, Boletas y Otros Comprobantes por Pagar - Emitidas</v>
      </c>
    </row>
    <row r="679" spans="2:3" x14ac:dyDescent="0.25">
      <c r="B679" s="78">
        <v>4241</v>
      </c>
      <c r="C679" s="77" t="s">
        <v>988</v>
      </c>
    </row>
    <row r="680" spans="2:3" x14ac:dyDescent="0.25">
      <c r="B680" s="78">
        <v>4311</v>
      </c>
      <c r="C680" s="77" t="str">
        <f t="shared" si="16"/>
        <v>Facturas, Boletas y Otros Comprobantes por Pagar - No Emitidas</v>
      </c>
    </row>
    <row r="681" spans="2:3" x14ac:dyDescent="0.25">
      <c r="B681" s="78">
        <v>4312</v>
      </c>
      <c r="C681" s="77" t="str">
        <f t="shared" si="16"/>
        <v>Facturas, Boletas y Otros Comprobantes por Pagar - Emitidas</v>
      </c>
    </row>
    <row r="682" spans="2:3" x14ac:dyDescent="0.25">
      <c r="B682" s="78">
        <v>4411</v>
      </c>
      <c r="C682" s="77" t="str">
        <f t="shared" si="16"/>
        <v>Préstamos</v>
      </c>
    </row>
    <row r="683" spans="2:3" x14ac:dyDescent="0.25">
      <c r="B683" s="78">
        <v>4412</v>
      </c>
      <c r="C683" s="77" t="str">
        <f t="shared" si="16"/>
        <v>Dividendos</v>
      </c>
    </row>
    <row r="684" spans="2:3" x14ac:dyDescent="0.25">
      <c r="B684" s="78">
        <v>4419</v>
      </c>
      <c r="C684" s="77" t="str">
        <f t="shared" si="16"/>
        <v>Otras Cuentas por Pagar</v>
      </c>
    </row>
    <row r="685" spans="2:3" x14ac:dyDescent="0.25">
      <c r="B685" s="78">
        <v>4421</v>
      </c>
      <c r="C685" s="77" t="str">
        <f t="shared" si="16"/>
        <v>Dietas</v>
      </c>
    </row>
    <row r="686" spans="2:3" x14ac:dyDescent="0.25">
      <c r="B686" s="78">
        <v>4429</v>
      </c>
      <c r="C686" s="77" t="str">
        <f t="shared" si="16"/>
        <v>Otras Cuentas por Pagar</v>
      </c>
    </row>
    <row r="687" spans="2:3" x14ac:dyDescent="0.25">
      <c r="B687" s="78">
        <v>4511</v>
      </c>
      <c r="C687" s="77" t="str">
        <f t="shared" si="16"/>
        <v>Instituciones Financieras</v>
      </c>
    </row>
    <row r="688" spans="2:3" x14ac:dyDescent="0.25">
      <c r="B688" s="78">
        <v>4512</v>
      </c>
      <c r="C688" s="77" t="str">
        <f t="shared" si="16"/>
        <v>Otras Entidades</v>
      </c>
    </row>
    <row r="689" spans="2:3" x14ac:dyDescent="0.25">
      <c r="B689" s="78">
        <v>4541</v>
      </c>
      <c r="C689" s="77" t="str">
        <f t="shared" si="16"/>
        <v>Letras</v>
      </c>
    </row>
    <row r="690" spans="2:3" x14ac:dyDescent="0.25">
      <c r="B690" s="78">
        <v>4542</v>
      </c>
      <c r="C690" s="77" t="str">
        <f t="shared" si="16"/>
        <v>Papeles Comerciales</v>
      </c>
    </row>
    <row r="691" spans="2:3" x14ac:dyDescent="0.25">
      <c r="B691" s="78">
        <v>4543</v>
      </c>
      <c r="C691" s="77" t="str">
        <f t="shared" si="16"/>
        <v>Bonos</v>
      </c>
    </row>
    <row r="692" spans="2:3" x14ac:dyDescent="0.25">
      <c r="B692" s="78">
        <v>4544</v>
      </c>
      <c r="C692" s="77" t="str">
        <f t="shared" si="16"/>
        <v>Pagarés</v>
      </c>
    </row>
    <row r="693" spans="2:3" x14ac:dyDescent="0.25">
      <c r="B693" s="78">
        <v>4545</v>
      </c>
      <c r="C693" s="77" t="str">
        <f t="shared" si="16"/>
        <v>Facturas Conformadas</v>
      </c>
    </row>
    <row r="694" spans="2:3" x14ac:dyDescent="0.25">
      <c r="B694" s="78">
        <v>4549</v>
      </c>
      <c r="C694" s="77" t="str">
        <f t="shared" si="16"/>
        <v>Otras Obligaciones Financieras</v>
      </c>
    </row>
    <row r="695" spans="2:3" x14ac:dyDescent="0.25">
      <c r="B695" s="78">
        <v>4551</v>
      </c>
      <c r="C695" s="77" t="str">
        <f t="shared" si="16"/>
        <v>Préstamos de Instituciones Financieras y Otras Entidades</v>
      </c>
    </row>
    <row r="696" spans="2:3" x14ac:dyDescent="0.25">
      <c r="B696" s="78">
        <v>4552</v>
      </c>
      <c r="C696" s="77" t="str">
        <f t="shared" si="16"/>
        <v>Contratos de Arrendamiento Financiero</v>
      </c>
    </row>
    <row r="697" spans="2:3" x14ac:dyDescent="0.25">
      <c r="B697" s="78">
        <v>4553</v>
      </c>
      <c r="C697" s="77" t="str">
        <f t="shared" si="16"/>
        <v>Obligaciones Emitidas</v>
      </c>
    </row>
    <row r="698" spans="2:3" x14ac:dyDescent="0.25">
      <c r="B698" s="78">
        <v>4641</v>
      </c>
      <c r="C698" s="77" t="str">
        <f t="shared" si="16"/>
        <v>Instrumentos Financieros Primarios</v>
      </c>
    </row>
    <row r="699" spans="2:3" x14ac:dyDescent="0.25">
      <c r="B699" s="78">
        <v>4642</v>
      </c>
      <c r="C699" s="77" t="str">
        <f t="shared" si="16"/>
        <v>Instrumentos Financieros Derivados</v>
      </c>
    </row>
    <row r="700" spans="2:3" x14ac:dyDescent="0.25">
      <c r="B700" s="78">
        <v>4691</v>
      </c>
      <c r="C700" s="77" t="str">
        <f t="shared" si="16"/>
        <v>Subsidios Gubernamentales</v>
      </c>
    </row>
    <row r="701" spans="2:3" x14ac:dyDescent="0.25">
      <c r="B701" s="78">
        <v>4699</v>
      </c>
      <c r="C701" s="77" t="str">
        <f t="shared" si="16"/>
        <v>Otras Cuentas por Pagar Diversas</v>
      </c>
    </row>
    <row r="702" spans="2:3" x14ac:dyDescent="0.25">
      <c r="B702" s="78">
        <v>4711</v>
      </c>
      <c r="C702" s="77" t="str">
        <f t="shared" si="16"/>
        <v>Préstamos - Matriz</v>
      </c>
    </row>
    <row r="703" spans="2:3" x14ac:dyDescent="0.25">
      <c r="B703" s="78">
        <v>4712</v>
      </c>
      <c r="C703" s="77" t="str">
        <f t="shared" si="16"/>
        <v>Préstamos - Subsidiarias</v>
      </c>
    </row>
    <row r="704" spans="2:3" x14ac:dyDescent="0.25">
      <c r="B704" s="78">
        <v>4713</v>
      </c>
      <c r="C704" s="77" t="str">
        <f t="shared" si="16"/>
        <v>Préstamos - Asociadas</v>
      </c>
    </row>
    <row r="705" spans="2:3" x14ac:dyDescent="0.25">
      <c r="B705" s="78">
        <v>4714</v>
      </c>
      <c r="C705" s="77" t="str">
        <f t="shared" si="16"/>
        <v>Préstamos - Sucursales</v>
      </c>
    </row>
    <row r="706" spans="2:3" x14ac:dyDescent="0.25">
      <c r="B706" s="78">
        <v>4721</v>
      </c>
      <c r="C706" s="77" t="str">
        <f t="shared" si="16"/>
        <v>Costos de Financiación - Matriz</v>
      </c>
    </row>
    <row r="707" spans="2:3" x14ac:dyDescent="0.25">
      <c r="B707" s="78">
        <v>4722</v>
      </c>
      <c r="C707" s="77" t="str">
        <f t="shared" si="16"/>
        <v>Costos de Financiación - Subsidiarias</v>
      </c>
    </row>
    <row r="708" spans="2:3" x14ac:dyDescent="0.25">
      <c r="B708" s="78">
        <v>4723</v>
      </c>
      <c r="C708" s="77" t="str">
        <f t="shared" ref="C708:C733" si="17">VLOOKUP(B708,DivisionariasContables,3,FALSE)</f>
        <v>Costos de Financiación - Asociadas</v>
      </c>
    </row>
    <row r="709" spans="2:3" x14ac:dyDescent="0.25">
      <c r="B709" s="78">
        <v>4724</v>
      </c>
      <c r="C709" s="77" t="str">
        <f t="shared" si="17"/>
        <v>Costos de Financiación - Sucursales</v>
      </c>
    </row>
    <row r="710" spans="2:3" x14ac:dyDescent="0.25">
      <c r="B710" s="78">
        <v>4731</v>
      </c>
      <c r="C710" s="77" t="str">
        <f t="shared" si="17"/>
        <v>Anticipos Recibidos - Matriz</v>
      </c>
    </row>
    <row r="711" spans="2:3" x14ac:dyDescent="0.25">
      <c r="B711" s="78">
        <v>4732</v>
      </c>
      <c r="C711" s="77" t="str">
        <f t="shared" si="17"/>
        <v>Anticipos Recibidos - Subsidiarias</v>
      </c>
    </row>
    <row r="712" spans="2:3" x14ac:dyDescent="0.25">
      <c r="B712" s="78">
        <v>4733</v>
      </c>
      <c r="C712" s="77" t="str">
        <f t="shared" si="17"/>
        <v>Anticipos Recibidos - Asociadas</v>
      </c>
    </row>
    <row r="713" spans="2:3" x14ac:dyDescent="0.25">
      <c r="B713" s="78">
        <v>4734</v>
      </c>
      <c r="C713" s="77" t="str">
        <f t="shared" si="17"/>
        <v>Anticipos Recibidos - Sucursales</v>
      </c>
    </row>
    <row r="714" spans="2:3" x14ac:dyDescent="0.25">
      <c r="B714" s="78">
        <v>4741</v>
      </c>
      <c r="C714" s="77" t="str">
        <f t="shared" si="17"/>
        <v>Regalías - Matriz</v>
      </c>
    </row>
    <row r="715" spans="2:3" x14ac:dyDescent="0.25">
      <c r="B715" s="78">
        <v>4742</v>
      </c>
      <c r="C715" s="77" t="str">
        <f t="shared" si="17"/>
        <v>Regalías - Subsidiarias</v>
      </c>
    </row>
    <row r="716" spans="2:3" x14ac:dyDescent="0.25">
      <c r="B716" s="78">
        <v>4743</v>
      </c>
      <c r="C716" s="77" t="str">
        <f t="shared" si="17"/>
        <v>Regalías - Asociadas</v>
      </c>
    </row>
    <row r="717" spans="2:3" x14ac:dyDescent="0.25">
      <c r="B717" s="78">
        <v>4744</v>
      </c>
      <c r="C717" s="77" t="str">
        <f t="shared" si="17"/>
        <v>Regalías - Sucursales</v>
      </c>
    </row>
    <row r="718" spans="2:3" x14ac:dyDescent="0.25">
      <c r="B718" s="78">
        <v>4751</v>
      </c>
      <c r="C718" s="77" t="str">
        <f t="shared" si="17"/>
        <v>Dividendos - Matriz</v>
      </c>
    </row>
    <row r="719" spans="2:3" x14ac:dyDescent="0.25">
      <c r="B719" s="78">
        <v>4752</v>
      </c>
      <c r="C719" s="77" t="str">
        <f t="shared" si="17"/>
        <v>Dividendos - Subsidiarias</v>
      </c>
    </row>
    <row r="720" spans="2:3" x14ac:dyDescent="0.25">
      <c r="B720" s="78">
        <v>4753</v>
      </c>
      <c r="C720" s="77" t="str">
        <f t="shared" si="17"/>
        <v>Dividendos - Asociadas</v>
      </c>
    </row>
    <row r="721" spans="2:3" x14ac:dyDescent="0.25">
      <c r="B721" s="78">
        <v>4754</v>
      </c>
      <c r="C721" s="77" t="str">
        <f t="shared" si="17"/>
        <v>Dividendos - Sucursales</v>
      </c>
    </row>
    <row r="722" spans="2:3" x14ac:dyDescent="0.25">
      <c r="B722" s="78">
        <v>4771</v>
      </c>
      <c r="C722" s="77" t="str">
        <f t="shared" si="17"/>
        <v>Inversiones Mobiliarias</v>
      </c>
    </row>
    <row r="723" spans="2:3" x14ac:dyDescent="0.25">
      <c r="B723" s="78">
        <v>4772</v>
      </c>
      <c r="C723" s="77" t="str">
        <f t="shared" si="17"/>
        <v>Inversiones Inmobiliarias</v>
      </c>
    </row>
    <row r="724" spans="2:3" x14ac:dyDescent="0.25">
      <c r="B724" s="78">
        <v>4773</v>
      </c>
      <c r="C724" s="77" t="str">
        <f t="shared" si="17"/>
        <v>Activos Adquiridos en Arrendamiento Financiero</v>
      </c>
    </row>
    <row r="725" spans="2:3" x14ac:dyDescent="0.25">
      <c r="B725" s="78">
        <v>4774</v>
      </c>
      <c r="C725" s="77" t="str">
        <f t="shared" si="17"/>
        <v>Inmuebles, Maquinaria y Equipo</v>
      </c>
    </row>
    <row r="726" spans="2:3" x14ac:dyDescent="0.25">
      <c r="B726" s="78">
        <v>4791</v>
      </c>
      <c r="C726" s="77" t="str">
        <f t="shared" si="17"/>
        <v>Otras Cuentas por Pagar Diversas</v>
      </c>
    </row>
    <row r="727" spans="2:3" x14ac:dyDescent="0.25">
      <c r="B727" s="78">
        <v>4911</v>
      </c>
      <c r="C727" s="77" t="str">
        <f t="shared" si="17"/>
        <v>Impuesto a la Renta Diferido - Patrimonio</v>
      </c>
    </row>
    <row r="728" spans="2:3" x14ac:dyDescent="0.25">
      <c r="B728" s="78">
        <v>4912</v>
      </c>
      <c r="C728" s="77" t="str">
        <f t="shared" si="17"/>
        <v>Impuesto a la Renta Diferido - Resultados</v>
      </c>
    </row>
    <row r="729" spans="2:3" x14ac:dyDescent="0.25">
      <c r="B729" s="78">
        <v>4921</v>
      </c>
      <c r="C729" s="77" t="str">
        <f t="shared" si="17"/>
        <v>Participaciones de los Trabajadores Diferidas - Patrimonio</v>
      </c>
    </row>
    <row r="730" spans="2:3" x14ac:dyDescent="0.25">
      <c r="B730" s="78">
        <v>4922</v>
      </c>
      <c r="C730" s="77" t="str">
        <f t="shared" si="17"/>
        <v>Participaciones de los Trabajadores Diferidas - Resultados</v>
      </c>
    </row>
    <row r="731" spans="2:3" x14ac:dyDescent="0.25">
      <c r="B731" s="78">
        <v>4931</v>
      </c>
      <c r="C731" s="77" t="str">
        <f t="shared" si="17"/>
        <v>Intereses No Devengados en Transacciones con Terceros</v>
      </c>
    </row>
    <row r="732" spans="2:3" x14ac:dyDescent="0.25">
      <c r="B732" s="78">
        <v>4932</v>
      </c>
      <c r="C732" s="77" t="str">
        <f t="shared" si="17"/>
        <v>Intereses No Devengados en Medición a Valor Descontado</v>
      </c>
    </row>
    <row r="733" spans="2:3" x14ac:dyDescent="0.25">
      <c r="B733" s="78">
        <v>6421</v>
      </c>
      <c r="C733" s="77" t="str">
        <f t="shared" si="17"/>
        <v>Gobierno Regional</v>
      </c>
    </row>
    <row r="734" spans="2:3" x14ac:dyDescent="0.25">
      <c r="B734" s="78">
        <v>6591</v>
      </c>
      <c r="C734" s="77" t="str">
        <f>VLOOKUP(B734,DivisionariasContables,3,FALSE)</f>
        <v>Donaciones</v>
      </c>
    </row>
    <row r="735" spans="2:3" x14ac:dyDescent="0.25">
      <c r="B735" s="78">
        <v>6592</v>
      </c>
      <c r="C735" s="77" t="str">
        <f>VLOOKUP(B735,DivisionariasContables,3,FALSE)</f>
        <v>Sanciones Administrativas</v>
      </c>
    </row>
    <row r="736" spans="2:3" x14ac:dyDescent="0.25">
      <c r="B736" s="78">
        <v>6791</v>
      </c>
      <c r="C736" s="77" t="str">
        <f>VLOOKUP(B736,DivisionariasContables,3,FALSE)</f>
        <v>Primas por Opciones</v>
      </c>
    </row>
    <row r="737" spans="2:3" x14ac:dyDescent="0.25">
      <c r="B737" s="78">
        <v>6792</v>
      </c>
      <c r="C737" s="77" t="str">
        <f>VLOOKUP(B737,DivisionariasContables,3,FALSE)</f>
        <v>Gastos Financieros en Medición a Valor Descontado</v>
      </c>
    </row>
    <row r="738" spans="2:3" x14ac:dyDescent="0.25">
      <c r="B738" s="78">
        <v>6793</v>
      </c>
      <c r="C738" s="77" t="s">
        <v>425</v>
      </c>
    </row>
    <row r="739" spans="2:3" x14ac:dyDescent="0.25">
      <c r="B739" s="76">
        <v>6794</v>
      </c>
      <c r="C739" s="75" t="s">
        <v>449</v>
      </c>
    </row>
    <row r="744" spans="2:3" ht="15.6" x14ac:dyDescent="0.25">
      <c r="B744" s="38" t="s">
        <v>19</v>
      </c>
    </row>
    <row r="747" spans="2:3" x14ac:dyDescent="0.25">
      <c r="B747" s="39"/>
      <c r="C747" s="40" t="s">
        <v>20</v>
      </c>
    </row>
    <row r="748" spans="2:3" x14ac:dyDescent="0.25">
      <c r="B748" s="41"/>
      <c r="C748" s="42" t="s">
        <v>21</v>
      </c>
    </row>
    <row r="749" spans="2:3" x14ac:dyDescent="0.25">
      <c r="B749" s="43"/>
      <c r="C749" s="44" t="s">
        <v>22</v>
      </c>
    </row>
    <row r="750" spans="2:3" x14ac:dyDescent="0.25">
      <c r="B750" s="43"/>
      <c r="C750" s="44" t="s">
        <v>40</v>
      </c>
    </row>
    <row r="751" spans="2:3" x14ac:dyDescent="0.25">
      <c r="B751" s="43"/>
      <c r="C751" s="44" t="s">
        <v>41</v>
      </c>
    </row>
    <row r="752" spans="2:3" x14ac:dyDescent="0.25">
      <c r="B752" s="43"/>
      <c r="C752" s="44" t="s">
        <v>392</v>
      </c>
    </row>
    <row r="753" spans="2:3" x14ac:dyDescent="0.25">
      <c r="B753" s="43"/>
      <c r="C753" s="44" t="s">
        <v>23</v>
      </c>
    </row>
    <row r="754" spans="2:3" x14ac:dyDescent="0.25">
      <c r="B754" s="43"/>
      <c r="C754" s="44" t="s">
        <v>319</v>
      </c>
    </row>
    <row r="755" spans="2:3" x14ac:dyDescent="0.25">
      <c r="B755" s="43"/>
      <c r="C755" s="70" t="s">
        <v>24</v>
      </c>
    </row>
    <row r="756" spans="2:3" x14ac:dyDescent="0.25">
      <c r="B756" s="43"/>
      <c r="C756" s="70" t="s">
        <v>25</v>
      </c>
    </row>
    <row r="757" spans="2:3" x14ac:dyDescent="0.25">
      <c r="B757" s="43"/>
      <c r="C757" s="70" t="s">
        <v>26</v>
      </c>
    </row>
    <row r="758" spans="2:3" x14ac:dyDescent="0.25">
      <c r="B758" s="43"/>
      <c r="C758" s="252" t="s">
        <v>1271</v>
      </c>
    </row>
    <row r="759" spans="2:3" x14ac:dyDescent="0.25">
      <c r="B759" s="43"/>
      <c r="C759" s="252" t="s">
        <v>1272</v>
      </c>
    </row>
    <row r="760" spans="2:3" x14ac:dyDescent="0.25">
      <c r="B760" s="43"/>
      <c r="C760" s="252" t="s">
        <v>1273</v>
      </c>
    </row>
    <row r="761" spans="2:3" x14ac:dyDescent="0.25">
      <c r="B761" s="43"/>
      <c r="C761" s="70" t="s">
        <v>71</v>
      </c>
    </row>
    <row r="762" spans="2:3" x14ac:dyDescent="0.25">
      <c r="B762" s="43"/>
      <c r="C762" s="70" t="s">
        <v>38</v>
      </c>
    </row>
    <row r="763" spans="2:3" x14ac:dyDescent="0.25">
      <c r="B763" s="43"/>
      <c r="C763" s="70" t="s">
        <v>27</v>
      </c>
    </row>
    <row r="764" spans="2:3" x14ac:dyDescent="0.25">
      <c r="B764" s="43"/>
      <c r="C764" s="70" t="s">
        <v>39</v>
      </c>
    </row>
    <row r="765" spans="2:3" x14ac:dyDescent="0.25">
      <c r="B765" s="43"/>
      <c r="C765" s="70" t="s">
        <v>28</v>
      </c>
    </row>
    <row r="766" spans="2:3" x14ac:dyDescent="0.25">
      <c r="B766" s="43"/>
      <c r="C766" s="70" t="s">
        <v>29</v>
      </c>
    </row>
    <row r="767" spans="2:3" x14ac:dyDescent="0.25">
      <c r="B767" s="64"/>
      <c r="C767" s="71" t="s">
        <v>15</v>
      </c>
    </row>
    <row r="772" spans="2:3" ht="15.6" x14ac:dyDescent="0.25">
      <c r="B772" s="38" t="s">
        <v>103</v>
      </c>
    </row>
    <row r="775" spans="2:3" x14ac:dyDescent="0.25">
      <c r="B775" s="248" t="s">
        <v>62</v>
      </c>
      <c r="C775" s="72" t="s">
        <v>72</v>
      </c>
    </row>
    <row r="776" spans="2:3" x14ac:dyDescent="0.25">
      <c r="B776" s="249" t="s">
        <v>63</v>
      </c>
      <c r="C776" s="73" t="s">
        <v>73</v>
      </c>
    </row>
    <row r="777" spans="2:3" x14ac:dyDescent="0.25">
      <c r="B777" s="249" t="s">
        <v>64</v>
      </c>
      <c r="C777" s="73" t="s">
        <v>74</v>
      </c>
    </row>
    <row r="778" spans="2:3" x14ac:dyDescent="0.25">
      <c r="B778" s="250" t="s">
        <v>65</v>
      </c>
      <c r="C778" s="74" t="s">
        <v>75</v>
      </c>
    </row>
    <row r="779" spans="2:3" x14ac:dyDescent="0.25">
      <c r="B779" s="248" t="s">
        <v>66</v>
      </c>
      <c r="C779" s="72" t="s">
        <v>76</v>
      </c>
    </row>
    <row r="780" spans="2:3" x14ac:dyDescent="0.25">
      <c r="B780" s="249" t="s">
        <v>67</v>
      </c>
      <c r="C780" s="73" t="s">
        <v>77</v>
      </c>
    </row>
    <row r="781" spans="2:3" x14ac:dyDescent="0.25">
      <c r="B781" s="249" t="s">
        <v>68</v>
      </c>
      <c r="C781" s="73" t="s">
        <v>78</v>
      </c>
    </row>
    <row r="782" spans="2:3" x14ac:dyDescent="0.25">
      <c r="B782" s="249" t="s">
        <v>69</v>
      </c>
      <c r="C782" s="73" t="s">
        <v>79</v>
      </c>
    </row>
    <row r="783" spans="2:3" x14ac:dyDescent="0.25">
      <c r="B783" s="250" t="s">
        <v>70</v>
      </c>
      <c r="C783" s="74" t="s">
        <v>80</v>
      </c>
    </row>
    <row r="784" spans="2:3" x14ac:dyDescent="0.25">
      <c r="B784" s="248" t="s">
        <v>89</v>
      </c>
      <c r="C784" s="72" t="s">
        <v>81</v>
      </c>
    </row>
    <row r="785" spans="2:3" x14ac:dyDescent="0.25">
      <c r="B785" s="249" t="s">
        <v>90</v>
      </c>
      <c r="C785" s="73" t="s">
        <v>82</v>
      </c>
    </row>
    <row r="786" spans="2:3" x14ac:dyDescent="0.25">
      <c r="B786" s="249" t="s">
        <v>91</v>
      </c>
      <c r="C786" s="73" t="s">
        <v>83</v>
      </c>
    </row>
    <row r="787" spans="2:3" x14ac:dyDescent="0.25">
      <c r="B787" s="250" t="s">
        <v>92</v>
      </c>
      <c r="C787" s="74" t="s">
        <v>75</v>
      </c>
    </row>
    <row r="788" spans="2:3" x14ac:dyDescent="0.25">
      <c r="B788" s="248" t="s">
        <v>93</v>
      </c>
      <c r="C788" s="72" t="s">
        <v>84</v>
      </c>
    </row>
    <row r="789" spans="2:3" x14ac:dyDescent="0.25">
      <c r="B789" s="249" t="s">
        <v>94</v>
      </c>
      <c r="C789" s="73" t="s">
        <v>85</v>
      </c>
    </row>
    <row r="790" spans="2:3" x14ac:dyDescent="0.25">
      <c r="B790" s="249" t="s">
        <v>95</v>
      </c>
      <c r="C790" s="73" t="s">
        <v>86</v>
      </c>
    </row>
    <row r="791" spans="2:3" x14ac:dyDescent="0.25">
      <c r="B791" s="250" t="s">
        <v>96</v>
      </c>
      <c r="C791" s="74" t="s">
        <v>80</v>
      </c>
    </row>
    <row r="792" spans="2:3" x14ac:dyDescent="0.25">
      <c r="B792" s="248" t="s">
        <v>97</v>
      </c>
      <c r="C792" s="72" t="s">
        <v>87</v>
      </c>
    </row>
    <row r="793" spans="2:3" x14ac:dyDescent="0.25">
      <c r="B793" s="249" t="s">
        <v>98</v>
      </c>
      <c r="C793" s="73" t="s">
        <v>460</v>
      </c>
    </row>
    <row r="794" spans="2:3" x14ac:dyDescent="0.25">
      <c r="B794" s="250" t="s">
        <v>99</v>
      </c>
      <c r="C794" s="74" t="s">
        <v>75</v>
      </c>
    </row>
    <row r="795" spans="2:3" x14ac:dyDescent="0.25">
      <c r="B795" s="248" t="s">
        <v>100</v>
      </c>
      <c r="C795" s="72" t="s">
        <v>461</v>
      </c>
    </row>
    <row r="796" spans="2:3" x14ac:dyDescent="0.25">
      <c r="B796" s="249" t="s">
        <v>101</v>
      </c>
      <c r="C796" s="73" t="s">
        <v>88</v>
      </c>
    </row>
    <row r="797" spans="2:3" x14ac:dyDescent="0.25">
      <c r="B797" s="250" t="s">
        <v>102</v>
      </c>
      <c r="C797" s="74" t="s">
        <v>80</v>
      </c>
    </row>
  </sheetData>
  <phoneticPr fontId="0" type="noConversion"/>
  <printOptions horizontalCentered="1"/>
  <pageMargins left="0.19685039370078741" right="0.19685039370078741" top="0.39370078740157483" bottom="0.59055118110236227" header="0" footer="0"/>
  <pageSetup paperSize="9" scale="82" fitToHeight="48" orientation="portrait" horizontalDpi="120" verticalDpi="72" r:id="rId1"/>
  <headerFooter alignWithMargins="0">
    <oddFooter>&amp;C&amp;A&amp;R&amp;P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10"/>
    <pageSetUpPr fitToPage="1"/>
  </sheetPr>
  <dimension ref="B2:N50"/>
  <sheetViews>
    <sheetView showGridLines="0" topLeftCell="A39" zoomScale="75" zoomScaleNormal="75" workbookViewId="0">
      <selection activeCell="A61" sqref="A61"/>
    </sheetView>
  </sheetViews>
  <sheetFormatPr baseColWidth="10" defaultColWidth="11.44140625" defaultRowHeight="14.4" x14ac:dyDescent="0.25"/>
  <cols>
    <col min="1" max="1" width="3.6640625" style="4" customWidth="1"/>
    <col min="2" max="5" width="11.6640625" style="4" customWidth="1"/>
    <col min="6" max="7" width="18.6640625" style="4" customWidth="1"/>
    <col min="8" max="8" width="3.6640625" style="4" customWidth="1"/>
    <col min="9" max="12" width="11.6640625" style="4" customWidth="1"/>
    <col min="13" max="14" width="18.6640625" style="4" customWidth="1"/>
    <col min="15" max="15" width="3.6640625" style="4" customWidth="1"/>
    <col min="16" max="16384" width="11.44140625" style="4"/>
  </cols>
  <sheetData>
    <row r="2" spans="2:14" ht="23.4" x14ac:dyDescent="0.25">
      <c r="B2" s="341" t="str">
        <f>'Base de Datos'!$C$5</f>
        <v>LOS BAILARINES SRL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4" spans="2:14" ht="23.4" x14ac:dyDescent="0.25">
      <c r="B4" s="341" t="str">
        <f>CONCATENATE('Base de Datos'!$C$758)</f>
        <v>ESTADO DE SITUACIÓN FINANCIERA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6" spans="2:14" ht="21" x14ac:dyDescent="0.25">
      <c r="B6" s="343" t="str">
        <f>'Base de Datos'!C5</f>
        <v>LOS BAILARINES SRL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8" spans="2:14" ht="21" x14ac:dyDescent="0.25">
      <c r="B8" s="342" t="s">
        <v>349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11" spans="2:14" ht="18" x14ac:dyDescent="0.25">
      <c r="B11" s="16" t="s">
        <v>399</v>
      </c>
      <c r="F11" s="17" t="s">
        <v>436</v>
      </c>
      <c r="G11" s="18" t="s">
        <v>37</v>
      </c>
      <c r="I11" s="16" t="s">
        <v>483</v>
      </c>
      <c r="M11" s="17" t="s">
        <v>436</v>
      </c>
      <c r="N11" s="18" t="s">
        <v>37</v>
      </c>
    </row>
    <row r="12" spans="2:14" x14ac:dyDescent="0.25">
      <c r="F12" s="19"/>
      <c r="G12" s="20"/>
      <c r="M12" s="19"/>
      <c r="N12" s="20"/>
    </row>
    <row r="13" spans="2:14" ht="15.6" x14ac:dyDescent="0.25">
      <c r="B13" s="21" t="s">
        <v>422</v>
      </c>
      <c r="C13" s="22"/>
      <c r="F13" s="19"/>
      <c r="G13" s="20"/>
      <c r="I13" s="21" t="s">
        <v>423</v>
      </c>
      <c r="M13" s="19"/>
      <c r="N13" s="20"/>
    </row>
    <row r="14" spans="2:14" x14ac:dyDescent="0.25">
      <c r="F14" s="19"/>
      <c r="G14" s="20"/>
      <c r="M14" s="19"/>
      <c r="N14" s="20"/>
    </row>
    <row r="15" spans="2:14" x14ac:dyDescent="0.25">
      <c r="B15" s="4" t="s">
        <v>424</v>
      </c>
      <c r="F15" s="23">
        <f>'Hoja Trabajo - Cuentas Balance'!J16</f>
        <v>826641</v>
      </c>
      <c r="G15" s="24">
        <f>'Hoja Trabajo - Cuentas Balance'!J16</f>
        <v>826641</v>
      </c>
      <c r="I15" s="4" t="s">
        <v>329</v>
      </c>
      <c r="M15" s="23">
        <f>'Hoja Trabajo - Cuentas Balance'!K16</f>
        <v>0</v>
      </c>
      <c r="N15" s="24">
        <f>'Hoja Trabajo - Cuentas Balance'!K16</f>
        <v>0</v>
      </c>
    </row>
    <row r="16" spans="2:14" x14ac:dyDescent="0.25">
      <c r="B16" s="4" t="s">
        <v>326</v>
      </c>
      <c r="F16" s="23">
        <f>'Hoja Trabajo - Cuentas Balance'!J17</f>
        <v>0</v>
      </c>
      <c r="G16" s="24">
        <f>'Hoja Trabajo - Cuentas Balance'!J17</f>
        <v>0</v>
      </c>
      <c r="I16" s="4" t="s">
        <v>330</v>
      </c>
      <c r="M16" s="23">
        <f>'Hoja Trabajo - Cuentas Balance'!K47</f>
        <v>11040</v>
      </c>
      <c r="N16" s="24">
        <f>'Hoja Trabajo - Cuentas Balance'!K47</f>
        <v>11040</v>
      </c>
    </row>
    <row r="17" spans="2:14" x14ac:dyDescent="0.25">
      <c r="B17" s="4" t="s">
        <v>43</v>
      </c>
      <c r="F17" s="23">
        <f>'Hoja Trabajo - Cuentas Balance'!J18</f>
        <v>726880</v>
      </c>
      <c r="G17" s="24">
        <f>'Hoja Trabajo - Cuentas Balance'!J18</f>
        <v>726880</v>
      </c>
      <c r="I17" s="4" t="s">
        <v>331</v>
      </c>
      <c r="M17" s="23">
        <f>'Hoja Trabajo - Cuentas Balance'!K48</f>
        <v>0</v>
      </c>
      <c r="N17" s="24">
        <f>'Hoja Trabajo - Cuentas Balance'!K48</f>
        <v>0</v>
      </c>
    </row>
    <row r="18" spans="2:14" x14ac:dyDescent="0.25">
      <c r="B18" s="4" t="s">
        <v>333</v>
      </c>
      <c r="F18" s="23">
        <f>'Hoja Trabajo - Cuentas Balance'!J19</f>
        <v>0</v>
      </c>
      <c r="G18" s="24">
        <f>'Hoja Trabajo - Cuentas Balance'!J19</f>
        <v>0</v>
      </c>
      <c r="I18" s="4" t="s">
        <v>46</v>
      </c>
      <c r="M18" s="23">
        <f>SUM('Hoja Trabajo - Cuentas Balance'!K45:K46,'Hoja Trabajo - Cuentas Balance'!$K$49:$K$53)</f>
        <v>418123.37288135593</v>
      </c>
      <c r="N18" s="24">
        <f>SUM('Hoja Trabajo - Cuentas Balance'!K45:K46,'Hoja Trabajo - Cuentas Balance'!$K$49:$K$53,'Hoja Trabajo - Cuentas Balance'!$E$98,'Hoja Trabajo - Cuentas Balance'!E101)</f>
        <v>448022.91101694916</v>
      </c>
    </row>
    <row r="19" spans="2:14" x14ac:dyDescent="0.25">
      <c r="B19" s="4" t="s">
        <v>44</v>
      </c>
      <c r="F19" s="23">
        <f>SUM('Hoja Trabajo - Cuentas Balance'!J20:J22,'Hoja Trabajo - Cuentas Balance'!J24,'Hoja Trabajo - Cuentas Balance'!J45)</f>
        <v>0</v>
      </c>
      <c r="G19" s="24">
        <f>SUM('Hoja Trabajo - Cuentas Balance'!J20:J22,'Hoja Trabajo - Cuentas Balance'!J24,'Hoja Trabajo - Cuentas Balance'!J45)</f>
        <v>0</v>
      </c>
      <c r="I19" s="4" t="s">
        <v>332</v>
      </c>
      <c r="M19" s="23"/>
      <c r="N19" s="24"/>
    </row>
    <row r="20" spans="2:14" x14ac:dyDescent="0.25">
      <c r="B20" s="4" t="s">
        <v>365</v>
      </c>
      <c r="F20" s="23">
        <f>SUM('Hoja Trabajo - Cuentas Balance'!J25:J34)</f>
        <v>25300</v>
      </c>
      <c r="G20" s="24">
        <f>SUM('Hoja Trabajo - Cuentas Balance'!J25:J34)</f>
        <v>25300</v>
      </c>
      <c r="M20" s="23"/>
      <c r="N20" s="24"/>
    </row>
    <row r="21" spans="2:14" x14ac:dyDescent="0.25">
      <c r="B21" s="4" t="s">
        <v>426</v>
      </c>
      <c r="F21" s="23">
        <f>SUM('Hoja Trabajo - Cuentas Balance'!J23)</f>
        <v>0</v>
      </c>
      <c r="G21" s="24">
        <f>SUM('Hoja Trabajo - Cuentas Balance'!J23)</f>
        <v>0</v>
      </c>
      <c r="I21" s="25" t="s">
        <v>427</v>
      </c>
      <c r="M21" s="26">
        <f>SUM(M15:M19)</f>
        <v>429163.37288135593</v>
      </c>
      <c r="N21" s="27">
        <f>SUM(N15:N19)</f>
        <v>459062.91101694916</v>
      </c>
    </row>
    <row r="22" spans="2:14" x14ac:dyDescent="0.25">
      <c r="F22" s="23"/>
      <c r="G22" s="24"/>
      <c r="I22" s="25"/>
      <c r="M22" s="26"/>
      <c r="N22" s="27"/>
    </row>
    <row r="23" spans="2:14" ht="15.6" x14ac:dyDescent="0.25">
      <c r="B23" s="25" t="s">
        <v>429</v>
      </c>
      <c r="F23" s="26">
        <f>SUM(F15:F21)</f>
        <v>1578821</v>
      </c>
      <c r="G23" s="27">
        <f>SUM(G15:G21)</f>
        <v>1578821</v>
      </c>
      <c r="I23" s="21" t="s">
        <v>428</v>
      </c>
      <c r="M23" s="23"/>
      <c r="N23" s="24"/>
    </row>
    <row r="24" spans="2:14" x14ac:dyDescent="0.25">
      <c r="F24" s="23"/>
      <c r="G24" s="24"/>
      <c r="M24" s="23"/>
      <c r="N24" s="24"/>
    </row>
    <row r="25" spans="2:14" x14ac:dyDescent="0.25">
      <c r="F25" s="23"/>
      <c r="G25" s="24"/>
      <c r="I25" s="4" t="s">
        <v>339</v>
      </c>
      <c r="M25" s="23"/>
      <c r="N25" s="24"/>
    </row>
    <row r="26" spans="2:14" ht="15.6" x14ac:dyDescent="0.25">
      <c r="B26" s="21" t="s">
        <v>431</v>
      </c>
      <c r="F26" s="23"/>
      <c r="G26" s="24"/>
      <c r="I26" s="4" t="s">
        <v>331</v>
      </c>
      <c r="M26" s="23"/>
      <c r="N26" s="24"/>
    </row>
    <row r="27" spans="2:14" x14ac:dyDescent="0.25">
      <c r="F27" s="23"/>
      <c r="G27" s="24"/>
      <c r="I27" s="4" t="s">
        <v>340</v>
      </c>
      <c r="M27" s="23"/>
      <c r="N27" s="24"/>
    </row>
    <row r="28" spans="2:14" x14ac:dyDescent="0.25">
      <c r="B28" s="4" t="s">
        <v>334</v>
      </c>
      <c r="F28" s="23"/>
      <c r="G28" s="24"/>
      <c r="I28" s="4" t="s">
        <v>338</v>
      </c>
      <c r="M28" s="23">
        <f>'Hoja Trabajo - Cuentas Balance'!K54</f>
        <v>0</v>
      </c>
      <c r="N28" s="24">
        <f>'Hoja Trabajo - Cuentas Balance'!K54</f>
        <v>0</v>
      </c>
    </row>
    <row r="29" spans="2:14" x14ac:dyDescent="0.25">
      <c r="B29" s="4" t="s">
        <v>335</v>
      </c>
      <c r="F29" s="19"/>
      <c r="G29" s="20"/>
      <c r="M29" s="23"/>
      <c r="N29" s="24"/>
    </row>
    <row r="30" spans="2:14" x14ac:dyDescent="0.25">
      <c r="B30" s="4" t="s">
        <v>336</v>
      </c>
      <c r="F30" s="19"/>
      <c r="G30" s="20"/>
      <c r="I30" s="25" t="s">
        <v>430</v>
      </c>
      <c r="M30" s="26">
        <f>SUM(M25:M28)</f>
        <v>0</v>
      </c>
      <c r="N30" s="27">
        <f>SUM(N25:N28)</f>
        <v>0</v>
      </c>
    </row>
    <row r="31" spans="2:14" x14ac:dyDescent="0.25">
      <c r="B31" s="4" t="s">
        <v>327</v>
      </c>
      <c r="F31" s="23">
        <f>SUM('Hoja Trabajo - Cuentas Balance'!J35:J36)</f>
        <v>0</v>
      </c>
      <c r="G31" s="24">
        <f>SUM('Hoja Trabajo - Cuentas Balance'!J35:J36)</f>
        <v>0</v>
      </c>
      <c r="I31" s="25"/>
      <c r="M31" s="26"/>
      <c r="N31" s="27"/>
    </row>
    <row r="32" spans="2:14" x14ac:dyDescent="0.25">
      <c r="B32" s="4" t="s">
        <v>432</v>
      </c>
      <c r="C32" s="22"/>
      <c r="F32" s="23">
        <f>SUM('Hoja Trabajo - Cuentas Balance'!J37:J38,'Hoja Trabajo - Cuentas Balance'!J40:J41)-'Hoja Trabajo - Cuentas Balance'!K44</f>
        <v>156907.5</v>
      </c>
      <c r="G32" s="24">
        <f>SUM('Hoja Trabajo - Cuentas Balance'!J37:J38,'Hoja Trabajo - Cuentas Balance'!J40:J41)-'Hoja Trabajo - Cuentas Balance'!K44</f>
        <v>156907.5</v>
      </c>
      <c r="I32" s="25" t="s">
        <v>341</v>
      </c>
      <c r="M32" s="28">
        <f>SUM(M21,M30)</f>
        <v>429163.37288135593</v>
      </c>
      <c r="N32" s="29">
        <f>SUM(N21,N30)</f>
        <v>459062.91101694916</v>
      </c>
    </row>
    <row r="33" spans="2:14" x14ac:dyDescent="0.25">
      <c r="B33" s="4" t="s">
        <v>328</v>
      </c>
      <c r="F33" s="23"/>
      <c r="G33" s="24"/>
      <c r="M33" s="23"/>
      <c r="N33" s="24"/>
    </row>
    <row r="34" spans="2:14" x14ac:dyDescent="0.25">
      <c r="B34" s="4" t="s">
        <v>368</v>
      </c>
      <c r="F34" s="23">
        <f>SUM('Hoja Trabajo - Cuentas Balance'!J39)</f>
        <v>0</v>
      </c>
      <c r="G34" s="24">
        <f>SUM('Hoja Trabajo - Cuentas Balance'!J39)</f>
        <v>0</v>
      </c>
      <c r="I34" s="4" t="s">
        <v>342</v>
      </c>
      <c r="M34" s="23"/>
      <c r="N34" s="24"/>
    </row>
    <row r="35" spans="2:14" x14ac:dyDescent="0.25">
      <c r="B35" s="4" t="s">
        <v>337</v>
      </c>
      <c r="F35" s="23"/>
      <c r="G35" s="24"/>
      <c r="I35" s="4" t="s">
        <v>343</v>
      </c>
      <c r="M35" s="23"/>
      <c r="N35" s="24"/>
    </row>
    <row r="36" spans="2:14" x14ac:dyDescent="0.25">
      <c r="B36" s="4" t="s">
        <v>338</v>
      </c>
      <c r="F36" s="23">
        <f>'Hoja Trabajo - Cuentas Balance'!J42</f>
        <v>0</v>
      </c>
      <c r="G36" s="24">
        <f>'Hoja Trabajo - Cuentas Balance'!J42</f>
        <v>0</v>
      </c>
      <c r="M36" s="23"/>
      <c r="N36" s="24"/>
    </row>
    <row r="37" spans="2:14" ht="15.6" x14ac:dyDescent="0.25">
      <c r="B37" s="4" t="s">
        <v>367</v>
      </c>
      <c r="F37" s="23">
        <f>IF('Hoja Trabajo - Cuentas Balance'!K43="","",'Hoja Trabajo - Cuentas Balance'!K43)</f>
        <v>0</v>
      </c>
      <c r="G37" s="24">
        <f>IF('Hoja Trabajo - Cuentas Balance'!K43="","",'Hoja Trabajo - Cuentas Balance'!K43)</f>
        <v>0</v>
      </c>
      <c r="I37" s="21" t="s">
        <v>344</v>
      </c>
      <c r="M37" s="23"/>
      <c r="N37" s="24"/>
    </row>
    <row r="38" spans="2:14" ht="15.6" x14ac:dyDescent="0.25">
      <c r="F38" s="23"/>
      <c r="G38" s="24"/>
      <c r="I38" s="21"/>
      <c r="M38" s="23"/>
      <c r="N38" s="24"/>
    </row>
    <row r="39" spans="2:14" x14ac:dyDescent="0.25">
      <c r="B39" s="25" t="s">
        <v>434</v>
      </c>
      <c r="F39" s="26">
        <f>SUM(F28:F37)</f>
        <v>156907.5</v>
      </c>
      <c r="G39" s="27">
        <f>SUM(G28:G37)</f>
        <v>156907.5</v>
      </c>
      <c r="I39" s="4" t="s">
        <v>345</v>
      </c>
      <c r="M39" s="23">
        <f>'Hoja Trabajo - Cuentas Balance'!K55</f>
        <v>1206900</v>
      </c>
      <c r="N39" s="24">
        <f>'Hoja Trabajo - Cuentas Balance'!K55</f>
        <v>1206900</v>
      </c>
    </row>
    <row r="40" spans="2:14" x14ac:dyDescent="0.25">
      <c r="F40" s="23"/>
      <c r="G40" s="24"/>
      <c r="I40" s="4" t="s">
        <v>369</v>
      </c>
      <c r="M40" s="23">
        <f>'Hoja Trabajo - Cuentas Balance'!K57</f>
        <v>0</v>
      </c>
      <c r="N40" s="24">
        <f>'Hoja Trabajo - Cuentas Balance'!K57</f>
        <v>0</v>
      </c>
    </row>
    <row r="41" spans="2:14" x14ac:dyDescent="0.25">
      <c r="F41" s="23"/>
      <c r="G41" s="24"/>
      <c r="I41" s="4" t="s">
        <v>45</v>
      </c>
      <c r="M41" s="23">
        <f>'Hoja Trabajo - Cuentas Balance'!K56</f>
        <v>0</v>
      </c>
      <c r="N41" s="24">
        <f>'Hoja Trabajo - Cuentas Balance'!K56</f>
        <v>0</v>
      </c>
    </row>
    <row r="42" spans="2:14" x14ac:dyDescent="0.25">
      <c r="F42" s="23"/>
      <c r="G42" s="24"/>
      <c r="I42" s="4" t="s">
        <v>346</v>
      </c>
      <c r="M42" s="23">
        <f>'Hoja Trabajo - Cuentas Balance'!K59</f>
        <v>0</v>
      </c>
      <c r="N42" s="24">
        <f>'Hoja Trabajo - Cuentas Balance'!K59</f>
        <v>0</v>
      </c>
    </row>
    <row r="43" spans="2:14" x14ac:dyDescent="0.25">
      <c r="F43" s="23"/>
      <c r="G43" s="24"/>
      <c r="I43" s="4" t="s">
        <v>347</v>
      </c>
      <c r="M43" s="23">
        <f>'Hoja Trabajo - Cuentas Balance'!K60</f>
        <v>0</v>
      </c>
      <c r="N43" s="24">
        <f>'Hoja Trabajo - Cuentas Balance'!K60</f>
        <v>0</v>
      </c>
    </row>
    <row r="44" spans="2:14" x14ac:dyDescent="0.25">
      <c r="F44" s="23"/>
      <c r="G44" s="24"/>
      <c r="I44" s="4" t="s">
        <v>370</v>
      </c>
      <c r="M44" s="23"/>
      <c r="N44" s="24"/>
    </row>
    <row r="45" spans="2:14" x14ac:dyDescent="0.25">
      <c r="F45" s="23"/>
      <c r="G45" s="24"/>
      <c r="I45" s="4" t="s">
        <v>433</v>
      </c>
      <c r="M45" s="23">
        <f>SUM('Hoja Trabajo - Cuentas Balance'!K61+'Hoja Trabajo - Cuentas Balance'!K89-'Hoja Trabajo - Cuentas Balance'!J61-'Hoja Trabajo - Cuentas Balance'!J89)</f>
        <v>99665.127118644072</v>
      </c>
      <c r="N45" s="24">
        <f>SUM('Hoja Trabajo - Cuentas Balance'!K61+'Hoja Trabajo - Cuentas Balance'!K89-'Hoja Trabajo - Cuentas Balance'!J61-'Hoja Trabajo - Cuentas Balance'!J89-'Hoja Trabajo - Cuentas Balance'!$E$98-'Hoja Trabajo - Cuentas Balance'!E101)</f>
        <v>69765.588983050853</v>
      </c>
    </row>
    <row r="46" spans="2:14" x14ac:dyDescent="0.25">
      <c r="F46" s="23"/>
      <c r="G46" s="24"/>
      <c r="M46" s="23"/>
      <c r="N46" s="24"/>
    </row>
    <row r="47" spans="2:14" x14ac:dyDescent="0.25">
      <c r="F47" s="23"/>
      <c r="G47" s="24"/>
      <c r="I47" s="25" t="s">
        <v>348</v>
      </c>
      <c r="M47" s="26">
        <f>SUM(M39:M46)</f>
        <v>1306565.1271186441</v>
      </c>
      <c r="N47" s="27">
        <f>SUM(N39:N46)</f>
        <v>1276665.5889830508</v>
      </c>
    </row>
    <row r="48" spans="2:14" x14ac:dyDescent="0.25">
      <c r="F48" s="23"/>
      <c r="G48" s="24"/>
      <c r="M48" s="23"/>
      <c r="N48" s="24"/>
    </row>
    <row r="49" spans="2:14" ht="15" thickBot="1" x14ac:dyDescent="0.3">
      <c r="F49" s="19"/>
      <c r="G49" s="20"/>
      <c r="M49" s="23"/>
      <c r="N49" s="24"/>
    </row>
    <row r="50" spans="2:14" ht="18.600000000000001" thickBot="1" x14ac:dyDescent="0.3">
      <c r="B50" s="16" t="s">
        <v>435</v>
      </c>
      <c r="F50" s="30">
        <f>F23+F39</f>
        <v>1735728.5</v>
      </c>
      <c r="G50" s="31">
        <f>G23+G39</f>
        <v>1735728.5</v>
      </c>
      <c r="I50" s="16" t="s">
        <v>484</v>
      </c>
      <c r="M50" s="30">
        <f>M21+M30+M47</f>
        <v>1735728.5</v>
      </c>
      <c r="N50" s="31">
        <f>N21+N30+N47</f>
        <v>1735728.5</v>
      </c>
    </row>
  </sheetData>
  <mergeCells count="4">
    <mergeCell ref="B2:N2"/>
    <mergeCell ref="B8:N8"/>
    <mergeCell ref="B4:N4"/>
    <mergeCell ref="B6:N6"/>
  </mergeCells>
  <phoneticPr fontId="0" type="noConversion"/>
  <conditionalFormatting sqref="F50">
    <cfRule type="cellIs" dxfId="128" priority="3" stopIfTrue="1" operator="notEqual">
      <formula>M50</formula>
    </cfRule>
    <cfRule type="cellIs" dxfId="127" priority="4" stopIfTrue="1" operator="equal">
      <formula>0</formula>
    </cfRule>
  </conditionalFormatting>
  <conditionalFormatting sqref="M50">
    <cfRule type="cellIs" dxfId="126" priority="5" stopIfTrue="1" operator="notEqual">
      <formula>F50</formula>
    </cfRule>
    <cfRule type="cellIs" dxfId="125" priority="6" stopIfTrue="1" operator="equal">
      <formula>0</formula>
    </cfRule>
  </conditionalFormatting>
  <conditionalFormatting sqref="G50">
    <cfRule type="cellIs" dxfId="124" priority="7" stopIfTrue="1" operator="equal">
      <formula>0</formula>
    </cfRule>
    <cfRule type="cellIs" dxfId="123" priority="8" stopIfTrue="1" operator="notEqual">
      <formula>N50</formula>
    </cfRule>
  </conditionalFormatting>
  <conditionalFormatting sqref="N50">
    <cfRule type="cellIs" dxfId="122" priority="9" stopIfTrue="1" operator="equal">
      <formula>0</formula>
    </cfRule>
    <cfRule type="cellIs" dxfId="121" priority="10" stopIfTrue="1" operator="notEqual">
      <formula>G50</formula>
    </cfRule>
  </conditionalFormatting>
  <conditionalFormatting sqref="F12:F49 M12:M49">
    <cfRule type="cellIs" dxfId="120" priority="1" stopIfTrue="1" operator="equal">
      <formula>0</formula>
    </cfRule>
  </conditionalFormatting>
  <conditionalFormatting sqref="G12:G49 N12:N49">
    <cfRule type="cellIs" dxfId="119" priority="2" stopIfTrue="1" operator="equal">
      <formula>0</formula>
    </cfRule>
  </conditionalFormatting>
  <printOptions horizontalCentered="1"/>
  <pageMargins left="0.19685039370078741" right="0.19685039370078741" top="0.39370078740157483" bottom="0.19685039370078741" header="0" footer="0"/>
  <pageSetup paperSize="9" scale="68" orientation="landscape" horizontalDpi="120" verticalDpi="7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62"/>
    <pageSetUpPr fitToPage="1"/>
  </sheetPr>
  <dimension ref="B2:D59"/>
  <sheetViews>
    <sheetView showGridLines="0" topLeftCell="A52" zoomScale="75" workbookViewId="0">
      <selection activeCell="A74" sqref="A74"/>
    </sheetView>
  </sheetViews>
  <sheetFormatPr baseColWidth="10" defaultColWidth="11.44140625" defaultRowHeight="14.4" x14ac:dyDescent="0.25"/>
  <cols>
    <col min="1" max="1" width="3.6640625" style="4" customWidth="1"/>
    <col min="2" max="2" width="74.88671875" style="4" bestFit="1" customWidth="1"/>
    <col min="3" max="4" width="20.6640625" style="4" customWidth="1"/>
    <col min="5" max="5" width="3.6640625" style="4" customWidth="1"/>
    <col min="6" max="16384" width="11.44140625" style="4"/>
  </cols>
  <sheetData>
    <row r="2" spans="2:4" ht="23.4" x14ac:dyDescent="0.25">
      <c r="B2" s="341" t="str">
        <f>'Base de Datos'!$C$5</f>
        <v>LOS BAILARINES SRL</v>
      </c>
      <c r="C2" s="341"/>
      <c r="D2" s="341"/>
    </row>
    <row r="4" spans="2:4" ht="23.4" x14ac:dyDescent="0.25">
      <c r="B4" s="341" t="str">
        <f>CONCATENATE('Base de Datos'!$C$760)</f>
        <v>ESTADO DE RESULTADOS POR FUNCIÓN</v>
      </c>
      <c r="C4" s="341"/>
      <c r="D4" s="341"/>
    </row>
    <row r="6" spans="2:4" ht="21" x14ac:dyDescent="0.25">
      <c r="B6" s="343" t="str">
        <f>'Base de Datos'!C5</f>
        <v>LOS BAILARINES SRL</v>
      </c>
      <c r="C6" s="343"/>
      <c r="D6" s="343"/>
    </row>
    <row r="8" spans="2:4" ht="21" x14ac:dyDescent="0.25">
      <c r="B8" s="342" t="s">
        <v>349</v>
      </c>
      <c r="C8" s="342"/>
      <c r="D8" s="342"/>
    </row>
    <row r="9" spans="2:4" ht="14.25" customHeight="1" x14ac:dyDescent="0.25"/>
    <row r="11" spans="2:4" x14ac:dyDescent="0.25">
      <c r="C11" s="17" t="s">
        <v>436</v>
      </c>
      <c r="D11" s="18" t="s">
        <v>37</v>
      </c>
    </row>
    <row r="12" spans="2:4" x14ac:dyDescent="0.25">
      <c r="B12" s="4" t="s">
        <v>17</v>
      </c>
      <c r="C12" s="23">
        <f>'Hoja Trabajo - Cuentas Balance'!E72</f>
        <v>616000</v>
      </c>
      <c r="D12" s="24">
        <f>'Hoja Trabajo - Cuentas Balance'!E72</f>
        <v>616000</v>
      </c>
    </row>
    <row r="13" spans="2:4" x14ac:dyDescent="0.25">
      <c r="B13" s="4" t="s">
        <v>437</v>
      </c>
      <c r="C13" s="23"/>
      <c r="D13" s="24"/>
    </row>
    <row r="14" spans="2:4" x14ac:dyDescent="0.25">
      <c r="B14" s="4" t="s">
        <v>438</v>
      </c>
      <c r="C14" s="23">
        <f>-'Hoja Trabajo - Cuentas Balance'!L76</f>
        <v>0</v>
      </c>
      <c r="D14" s="24">
        <f>-'Hoja Trabajo - Cuentas Balance'!L76</f>
        <v>0</v>
      </c>
    </row>
    <row r="15" spans="2:4" x14ac:dyDescent="0.25">
      <c r="B15" s="4" t="s">
        <v>485</v>
      </c>
      <c r="C15" s="23">
        <f>SUM(C12:C14)</f>
        <v>616000</v>
      </c>
      <c r="D15" s="24">
        <f>SUM(D12:D14)</f>
        <v>616000</v>
      </c>
    </row>
    <row r="16" spans="2:4" x14ac:dyDescent="0.25">
      <c r="B16" s="4" t="s">
        <v>350</v>
      </c>
      <c r="C16" s="23">
        <f>'Hoja Trabajo - Cuentas Balance'!M75</f>
        <v>0</v>
      </c>
      <c r="D16" s="24">
        <f>'Hoja Trabajo - Cuentas Balance'!M75</f>
        <v>0</v>
      </c>
    </row>
    <row r="18" spans="2:4" ht="15.6" x14ac:dyDescent="0.25">
      <c r="B18" s="32" t="s">
        <v>351</v>
      </c>
      <c r="C18" s="28">
        <f>SUM(C15:C16)</f>
        <v>616000</v>
      </c>
      <c r="D18" s="29">
        <f>SUM(D15:D16)</f>
        <v>616000</v>
      </c>
    </row>
    <row r="20" spans="2:4" x14ac:dyDescent="0.25">
      <c r="B20" s="4" t="s">
        <v>8</v>
      </c>
      <c r="C20" s="23">
        <f>-'Hoja Trabajo - Cuentas Balance'!L71</f>
        <v>-128800</v>
      </c>
      <c r="D20" s="24">
        <f>-'Hoja Trabajo - Cuentas Balance'!L71</f>
        <v>-128800</v>
      </c>
    </row>
    <row r="22" spans="2:4" ht="15.6" x14ac:dyDescent="0.25">
      <c r="B22" s="32" t="s">
        <v>9</v>
      </c>
      <c r="C22" s="26">
        <f>SUM(C18:C20)</f>
        <v>487200</v>
      </c>
      <c r="D22" s="27">
        <f>SUM(D18:D20)</f>
        <v>487200</v>
      </c>
    </row>
    <row r="24" spans="2:4" x14ac:dyDescent="0.25">
      <c r="B24" s="36" t="s">
        <v>352</v>
      </c>
      <c r="C24" s="23"/>
      <c r="D24" s="24"/>
    </row>
    <row r="25" spans="2:4" x14ac:dyDescent="0.25">
      <c r="B25" s="4" t="s">
        <v>11</v>
      </c>
      <c r="C25" s="23">
        <f>IF('Hoja Trabajo - Cuentas Balance'!F83="",0,-'Hoja Trabajo - Cuentas Balance'!F83)</f>
        <v>-387534.87288135593</v>
      </c>
      <c r="D25" s="24">
        <f>IF('Hoja Trabajo - Cuentas Balance'!F83="",0,-'Hoja Trabajo - Cuentas Balance'!F83)</f>
        <v>-387534.87288135593</v>
      </c>
    </row>
    <row r="26" spans="2:4" x14ac:dyDescent="0.25">
      <c r="B26" s="4" t="s">
        <v>10</v>
      </c>
      <c r="C26" s="23">
        <f>IF('Hoja Trabajo - Cuentas Balance'!F84="",0,-'Hoja Trabajo - Cuentas Balance'!F84)</f>
        <v>0</v>
      </c>
      <c r="D26" s="24">
        <f>IF('Hoja Trabajo - Cuentas Balance'!F84="",0,-'Hoja Trabajo - Cuentas Balance'!F84)</f>
        <v>0</v>
      </c>
    </row>
    <row r="28" spans="2:4" ht="15.6" x14ac:dyDescent="0.25">
      <c r="B28" s="32" t="s">
        <v>353</v>
      </c>
      <c r="C28" s="26">
        <f>SUM(C22:C26)</f>
        <v>99665.127118644072</v>
      </c>
      <c r="D28" s="27">
        <f>SUM(D22:D26)</f>
        <v>99665.127118644072</v>
      </c>
    </row>
    <row r="30" spans="2:4" x14ac:dyDescent="0.25">
      <c r="B30" s="36" t="s">
        <v>354</v>
      </c>
      <c r="C30" s="23"/>
      <c r="D30" s="24"/>
    </row>
    <row r="31" spans="2:4" x14ac:dyDescent="0.25">
      <c r="B31" s="4" t="s">
        <v>3</v>
      </c>
      <c r="C31" s="23">
        <f>'Hoja Trabajo - Cuentas Balance'!M77</f>
        <v>0</v>
      </c>
      <c r="D31" s="24">
        <f>'Hoja Trabajo - Cuentas Balance'!M77</f>
        <v>0</v>
      </c>
    </row>
    <row r="32" spans="2:4" x14ac:dyDescent="0.25">
      <c r="B32" s="4" t="s">
        <v>12</v>
      </c>
      <c r="C32" s="23">
        <f>-'Hoja Trabajo - Cuentas Balance'!L85</f>
        <v>0</v>
      </c>
      <c r="D32" s="24">
        <f>-'Hoja Trabajo - Cuentas Balance'!L85</f>
        <v>0</v>
      </c>
    </row>
    <row r="33" spans="2:4" x14ac:dyDescent="0.25">
      <c r="B33" s="4" t="s">
        <v>355</v>
      </c>
      <c r="C33" s="23">
        <f>'Hoja Trabajo - Cuentas Balance'!E79</f>
        <v>0</v>
      </c>
      <c r="D33" s="24">
        <f>'Hoja Trabajo - Cuentas Balance'!E79</f>
        <v>0</v>
      </c>
    </row>
    <row r="34" spans="2:4" x14ac:dyDescent="0.25">
      <c r="B34" s="4" t="s">
        <v>356</v>
      </c>
      <c r="C34" s="23">
        <f>-'Hoja Trabajo - Cuentas Balance'!L82</f>
        <v>0</v>
      </c>
      <c r="D34" s="24">
        <f>-'Hoja Trabajo - Cuentas Balance'!L82</f>
        <v>0</v>
      </c>
    </row>
    <row r="35" spans="2:4" x14ac:dyDescent="0.25">
      <c r="B35" s="4" t="s">
        <v>364</v>
      </c>
      <c r="C35" s="23"/>
      <c r="D35" s="24"/>
    </row>
    <row r="37" spans="2:4" ht="15.6" x14ac:dyDescent="0.25">
      <c r="B37" s="32" t="s">
        <v>486</v>
      </c>
      <c r="C37" s="26">
        <f>SUM(C28:C35)</f>
        <v>99665.127118644072</v>
      </c>
      <c r="D37" s="27">
        <f>SUM(D28:D35)</f>
        <v>99665.127118644072</v>
      </c>
    </row>
    <row r="38" spans="2:4" ht="15.6" x14ac:dyDescent="0.25">
      <c r="B38" s="32" t="s">
        <v>487</v>
      </c>
      <c r="C38" s="26"/>
      <c r="D38" s="27"/>
    </row>
    <row r="40" spans="2:4" x14ac:dyDescent="0.25">
      <c r="B40" s="4" t="s">
        <v>358</v>
      </c>
      <c r="C40" s="23"/>
      <c r="D40" s="24">
        <f>-'Hoja Trabajo - Cuentas Balance'!E98</f>
        <v>0</v>
      </c>
    </row>
    <row r="41" spans="2:4" x14ac:dyDescent="0.25">
      <c r="B41" s="4" t="s">
        <v>7</v>
      </c>
      <c r="C41" s="23"/>
      <c r="D41" s="24">
        <f>-'Hoja Trabajo - Cuentas Balance'!E101</f>
        <v>-29899.538135593219</v>
      </c>
    </row>
    <row r="43" spans="2:4" ht="15.6" x14ac:dyDescent="0.25">
      <c r="B43" s="32" t="s">
        <v>357</v>
      </c>
      <c r="C43" s="28">
        <f>SUM(C37:C41)</f>
        <v>99665.127118644072</v>
      </c>
      <c r="D43" s="29">
        <f>SUM(D37:D41)</f>
        <v>69765.588983050853</v>
      </c>
    </row>
    <row r="45" spans="2:4" x14ac:dyDescent="0.25">
      <c r="B45" s="4" t="s">
        <v>359</v>
      </c>
      <c r="C45" s="23"/>
      <c r="D45" s="24"/>
    </row>
    <row r="46" spans="2:4" x14ac:dyDescent="0.25">
      <c r="B46" s="4" t="s">
        <v>360</v>
      </c>
      <c r="C46" s="23"/>
      <c r="D46" s="24"/>
    </row>
    <row r="48" spans="2:4" ht="15.6" x14ac:dyDescent="0.25">
      <c r="B48" s="32" t="s">
        <v>361</v>
      </c>
      <c r="C48" s="28">
        <f>SUM(C43:C46)</f>
        <v>99665.127118644072</v>
      </c>
      <c r="D48" s="29">
        <f>SUM(D43:D46)</f>
        <v>69765.588983050853</v>
      </c>
    </row>
    <row r="50" spans="2:4" x14ac:dyDescent="0.25">
      <c r="B50" s="4" t="s">
        <v>362</v>
      </c>
      <c r="C50" s="23"/>
      <c r="D50" s="24"/>
    </row>
    <row r="51" spans="2:4" ht="15" thickBot="1" x14ac:dyDescent="0.3"/>
    <row r="52" spans="2:4" ht="18" thickBot="1" x14ac:dyDescent="0.3">
      <c r="B52" s="33" t="s">
        <v>363</v>
      </c>
      <c r="C52" s="34">
        <f>SUM(C48:C50)</f>
        <v>99665.127118644072</v>
      </c>
      <c r="D52" s="35">
        <f>SUM(D48:D50)</f>
        <v>69765.588983050853</v>
      </c>
    </row>
    <row r="54" spans="2:4" x14ac:dyDescent="0.25">
      <c r="B54" s="4" t="s">
        <v>488</v>
      </c>
    </row>
    <row r="55" spans="2:4" x14ac:dyDescent="0.25">
      <c r="B55" s="4" t="s">
        <v>489</v>
      </c>
    </row>
    <row r="56" spans="2:4" x14ac:dyDescent="0.25">
      <c r="B56" s="4" t="s">
        <v>490</v>
      </c>
    </row>
    <row r="57" spans="2:4" x14ac:dyDescent="0.25">
      <c r="B57" s="4" t="s">
        <v>491</v>
      </c>
    </row>
    <row r="58" spans="2:4" x14ac:dyDescent="0.25">
      <c r="B58" s="4" t="s">
        <v>492</v>
      </c>
    </row>
    <row r="59" spans="2:4" x14ac:dyDescent="0.25">
      <c r="B59" s="4" t="s">
        <v>493</v>
      </c>
    </row>
  </sheetData>
  <mergeCells count="4">
    <mergeCell ref="B4:D4"/>
    <mergeCell ref="B6:D6"/>
    <mergeCell ref="B2:D2"/>
    <mergeCell ref="B8:D8"/>
  </mergeCells>
  <phoneticPr fontId="0" type="noConversion"/>
  <conditionalFormatting sqref="C12:C16 C18 C20 C22 C24:C26 C28 C30:C35 C37:C38 C40:C41 C43 C45:C46 C48 C50 C52">
    <cfRule type="cellIs" dxfId="118" priority="1" stopIfTrue="1" operator="equal">
      <formula>0</formula>
    </cfRule>
  </conditionalFormatting>
  <conditionalFormatting sqref="D12:D16 D18 D20 D22 D24:D26 D28 D30:D35 D37:D38 D40:D41 D43 D45:D46 D48 D50 D52">
    <cfRule type="cellIs" dxfId="117" priority="2" stopIfTrue="1" operator="equal">
      <formula>0</formula>
    </cfRule>
  </conditionalFormatting>
  <printOptions horizontalCentered="1"/>
  <pageMargins left="0.19685039370078741" right="0.19685039370078741" top="0.39370078740157483" bottom="0.19685039370078741" header="0" footer="0"/>
  <pageSetup paperSize="9" scale="86" orientation="portrait" horizontalDpi="120" verticalDpi="7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12"/>
    <pageSetUpPr fitToPage="1"/>
  </sheetPr>
  <dimension ref="B2:D87"/>
  <sheetViews>
    <sheetView showGridLines="0" zoomScale="75" workbookViewId="0"/>
  </sheetViews>
  <sheetFormatPr baseColWidth="10" defaultColWidth="11.44140625" defaultRowHeight="14.4" x14ac:dyDescent="0.25"/>
  <cols>
    <col min="1" max="1" width="3.6640625" style="4" customWidth="1"/>
    <col min="2" max="2" width="74.88671875" style="4" customWidth="1"/>
    <col min="3" max="4" width="20.6640625" style="4" customWidth="1"/>
    <col min="5" max="5" width="3.6640625" style="4" customWidth="1"/>
    <col min="6" max="16384" width="11.44140625" style="4"/>
  </cols>
  <sheetData>
    <row r="2" spans="2:4" ht="23.4" x14ac:dyDescent="0.25">
      <c r="B2" s="344" t="str">
        <f>'Base de Datos'!$C$5</f>
        <v>LOS BAILARINES SRL</v>
      </c>
      <c r="C2" s="344"/>
      <c r="D2" s="344"/>
    </row>
    <row r="4" spans="2:4" ht="23.4" x14ac:dyDescent="0.25">
      <c r="B4" s="341" t="str">
        <f>CONCATENATE('Base de Datos'!$C$759)</f>
        <v>ESTADO DE RESULTADOS POR NATURALEZA</v>
      </c>
      <c r="C4" s="341"/>
      <c r="D4" s="341"/>
    </row>
    <row r="6" spans="2:4" ht="21" x14ac:dyDescent="0.25">
      <c r="B6" s="343" t="str">
        <f>'Base de Datos'!C5</f>
        <v>LOS BAILARINES SRL</v>
      </c>
      <c r="C6" s="343"/>
      <c r="D6" s="343"/>
    </row>
    <row r="8" spans="2:4" ht="21" x14ac:dyDescent="0.25">
      <c r="B8" s="342" t="s">
        <v>349</v>
      </c>
      <c r="C8" s="342"/>
      <c r="D8" s="342"/>
    </row>
    <row r="11" spans="2:4" x14ac:dyDescent="0.25">
      <c r="C11" s="17" t="s">
        <v>436</v>
      </c>
      <c r="D11" s="18" t="s">
        <v>37</v>
      </c>
    </row>
    <row r="12" spans="2:4" x14ac:dyDescent="0.25">
      <c r="B12" s="4" t="s">
        <v>17</v>
      </c>
      <c r="C12" s="23">
        <f>SUM('Hoja Trabajo - Divisionarias'!O240:O253)</f>
        <v>0</v>
      </c>
      <c r="D12" s="24">
        <f>SUM('Hoja Trabajo - Divisionarias'!O240:O253)</f>
        <v>0</v>
      </c>
    </row>
    <row r="13" spans="2:4" x14ac:dyDescent="0.25">
      <c r="B13" s="4" t="s">
        <v>437</v>
      </c>
      <c r="C13" s="23">
        <f>-SUM('Hoja Trabajo - Divisionarias'!N254:N259)</f>
        <v>0</v>
      </c>
      <c r="D13" s="24">
        <f>-SUM('Hoja Trabajo - Divisionarias'!N254:N259)</f>
        <v>0</v>
      </c>
    </row>
    <row r="14" spans="2:4" x14ac:dyDescent="0.25">
      <c r="B14" s="4" t="s">
        <v>438</v>
      </c>
      <c r="C14" s="23">
        <f>-SUM('Hoja Trabajo - Divisionarias'!N262:N263)</f>
        <v>0</v>
      </c>
      <c r="D14" s="24">
        <f>-SUM('Hoja Trabajo - Divisionarias'!N262:N263)</f>
        <v>0</v>
      </c>
    </row>
    <row r="15" spans="2:4" x14ac:dyDescent="0.25">
      <c r="B15" s="25" t="s">
        <v>18</v>
      </c>
      <c r="C15" s="26">
        <f>SUM(C12:C14)</f>
        <v>0</v>
      </c>
      <c r="D15" s="27">
        <f>SUM(D12:D14)</f>
        <v>0</v>
      </c>
    </row>
    <row r="16" spans="2:4" x14ac:dyDescent="0.25">
      <c r="B16" s="4" t="s">
        <v>439</v>
      </c>
      <c r="C16" s="23">
        <f>-SUM('Hoja Trabajo - Divisionarias'!N142:N146)</f>
        <v>0</v>
      </c>
      <c r="D16" s="24">
        <f>-SUM('Hoja Trabajo - Divisionarias'!N142:N146)</f>
        <v>0</v>
      </c>
    </row>
    <row r="17" spans="2:4" x14ac:dyDescent="0.25">
      <c r="B17" s="4" t="s">
        <v>440</v>
      </c>
      <c r="C17" s="23">
        <f>-'Hoja Trabajo - Divisionarias'!N159</f>
        <v>0</v>
      </c>
      <c r="D17" s="24">
        <f>-'Hoja Trabajo - Divisionarias'!N159</f>
        <v>0</v>
      </c>
    </row>
    <row r="18" spans="2:4" x14ac:dyDescent="0.25">
      <c r="B18" s="4" t="s">
        <v>441</v>
      </c>
      <c r="C18" s="23">
        <f>'Hoja Trabajo - Divisionarias'!O159</f>
        <v>154100</v>
      </c>
      <c r="D18" s="24">
        <f>'Hoja Trabajo - Divisionarias'!O159</f>
        <v>154100</v>
      </c>
    </row>
    <row r="20" spans="2:4" ht="15.6" x14ac:dyDescent="0.25">
      <c r="B20" s="32" t="s">
        <v>419</v>
      </c>
      <c r="C20" s="26">
        <f>SUM(C15:C18)</f>
        <v>154100</v>
      </c>
      <c r="D20" s="27">
        <f>SUM(D15:D18)</f>
        <v>154100</v>
      </c>
    </row>
    <row r="21" spans="2:4" ht="15.6" x14ac:dyDescent="0.25">
      <c r="B21" s="32"/>
    </row>
    <row r="22" spans="2:4" x14ac:dyDescent="0.25">
      <c r="B22" s="4" t="s">
        <v>16</v>
      </c>
      <c r="C22" s="23">
        <f>'Hoja Trabajo - Divisionarias'!O260</f>
        <v>0</v>
      </c>
      <c r="D22" s="24">
        <f>'Hoja Trabajo - Divisionarias'!O260</f>
        <v>0</v>
      </c>
    </row>
    <row r="23" spans="2:4" ht="15.6" x14ac:dyDescent="0.25">
      <c r="B23" s="32"/>
    </row>
    <row r="24" spans="2:4" ht="15.6" x14ac:dyDescent="0.25">
      <c r="B24" s="32" t="s">
        <v>13</v>
      </c>
      <c r="C24" s="26">
        <f>SUM(C20:C22)</f>
        <v>154100</v>
      </c>
      <c r="D24" s="27">
        <f>SUM(D20:D22)</f>
        <v>154100</v>
      </c>
    </row>
    <row r="26" spans="2:4" x14ac:dyDescent="0.25">
      <c r="B26" s="4" t="s">
        <v>47</v>
      </c>
      <c r="C26" s="23">
        <f>-SUM('Hoja Trabajo - Divisionarias'!N147:N150)</f>
        <v>0</v>
      </c>
      <c r="D26" s="24">
        <f>-SUM('Hoja Trabajo - Divisionarias'!N147:N150)</f>
        <v>0</v>
      </c>
    </row>
    <row r="27" spans="2:4" x14ac:dyDescent="0.25">
      <c r="B27" s="4" t="s">
        <v>48</v>
      </c>
      <c r="C27" s="23">
        <f>-SUM('Hoja Trabajo - Divisionarias'!N151)</f>
        <v>0</v>
      </c>
      <c r="D27" s="24">
        <f>-SUM('Hoja Trabajo - Divisionarias'!N151)</f>
        <v>0</v>
      </c>
    </row>
    <row r="28" spans="2:4" x14ac:dyDescent="0.25">
      <c r="B28" s="4" t="s">
        <v>49</v>
      </c>
      <c r="C28" s="23">
        <f>-SUM('Hoja Trabajo - Divisionarias'!N152)</f>
        <v>0</v>
      </c>
      <c r="D28" s="24">
        <f>-SUM('Hoja Trabajo - Divisionarias'!N152)</f>
        <v>0</v>
      </c>
    </row>
    <row r="29" spans="2:4" x14ac:dyDescent="0.25">
      <c r="B29" s="4" t="s">
        <v>462</v>
      </c>
      <c r="C29" s="23">
        <f>-SUM('Hoja Trabajo - Divisionarias'!N153)</f>
        <v>0</v>
      </c>
      <c r="D29" s="24">
        <f>-SUM('Hoja Trabajo - Divisionarias'!N153)</f>
        <v>0</v>
      </c>
    </row>
    <row r="30" spans="2:4" x14ac:dyDescent="0.25">
      <c r="B30" s="4" t="s">
        <v>50</v>
      </c>
      <c r="C30" s="23">
        <f>-'Hoja Trabajo - Divisionarias'!N154</f>
        <v>0</v>
      </c>
      <c r="D30" s="24">
        <f>-'Hoja Trabajo - Divisionarias'!N154</f>
        <v>0</v>
      </c>
    </row>
    <row r="31" spans="2:4" x14ac:dyDescent="0.25">
      <c r="B31" s="4" t="s">
        <v>51</v>
      </c>
      <c r="C31" s="23">
        <f>-'Hoja Trabajo - Divisionarias'!N155</f>
        <v>0</v>
      </c>
      <c r="D31" s="24">
        <f>-'Hoja Trabajo - Divisionarias'!N155</f>
        <v>0</v>
      </c>
    </row>
    <row r="32" spans="2:4" x14ac:dyDescent="0.25">
      <c r="B32" s="4" t="s">
        <v>465</v>
      </c>
      <c r="C32" s="23">
        <f>-SUM('Hoja Trabajo - Divisionarias'!N156:N158)</f>
        <v>0</v>
      </c>
      <c r="D32" s="24">
        <f>-SUM('Hoja Trabajo - Divisionarias'!N156:N158)</f>
        <v>0</v>
      </c>
    </row>
    <row r="33" spans="2:4" x14ac:dyDescent="0.25">
      <c r="B33" s="4" t="s">
        <v>52</v>
      </c>
      <c r="C33" s="23">
        <f>-'Hoja Trabajo - Divisionarias'!N160</f>
        <v>0</v>
      </c>
      <c r="D33" s="24">
        <f>-'Hoja Trabajo - Divisionarias'!N160</f>
        <v>0</v>
      </c>
    </row>
    <row r="34" spans="2:4" x14ac:dyDescent="0.25">
      <c r="B34" s="4" t="s">
        <v>53</v>
      </c>
      <c r="C34" s="23">
        <f>-'Hoja Trabajo - Divisionarias'!N161</f>
        <v>0</v>
      </c>
      <c r="D34" s="24">
        <f>-'Hoja Trabajo - Divisionarias'!N161</f>
        <v>0</v>
      </c>
    </row>
    <row r="35" spans="2:4" x14ac:dyDescent="0.25">
      <c r="B35" s="4" t="s">
        <v>54</v>
      </c>
      <c r="C35" s="23">
        <f>-'Hoja Trabajo - Divisionarias'!N162</f>
        <v>0</v>
      </c>
      <c r="D35" s="24">
        <f>-'Hoja Trabajo - Divisionarias'!N162</f>
        <v>0</v>
      </c>
    </row>
    <row r="36" spans="2:4" x14ac:dyDescent="0.25">
      <c r="B36" s="4" t="s">
        <v>463</v>
      </c>
      <c r="C36" s="23">
        <f>-'Hoja Trabajo - Divisionarias'!N163</f>
        <v>0</v>
      </c>
      <c r="D36" s="24">
        <f>-'Hoja Trabajo - Divisionarias'!N163</f>
        <v>0</v>
      </c>
    </row>
    <row r="37" spans="2:4" x14ac:dyDescent="0.25">
      <c r="B37" s="4" t="s">
        <v>55</v>
      </c>
      <c r="C37" s="23">
        <f>-'Hoja Trabajo - Divisionarias'!N164</f>
        <v>0</v>
      </c>
      <c r="D37" s="24">
        <f>-'Hoja Trabajo - Divisionarias'!N164</f>
        <v>0</v>
      </c>
    </row>
    <row r="38" spans="2:4" x14ac:dyDescent="0.25">
      <c r="B38" s="4" t="s">
        <v>56</v>
      </c>
      <c r="C38" s="23">
        <f>-'Hoja Trabajo - Divisionarias'!N165</f>
        <v>0</v>
      </c>
      <c r="D38" s="24">
        <f>-'Hoja Trabajo - Divisionarias'!N165</f>
        <v>0</v>
      </c>
    </row>
    <row r="39" spans="2:4" x14ac:dyDescent="0.25">
      <c r="B39" s="4" t="s">
        <v>57</v>
      </c>
      <c r="C39" s="23">
        <f>'Hoja Trabajo - Divisionarias'!O160</f>
        <v>0</v>
      </c>
      <c r="D39" s="24">
        <f>'Hoja Trabajo - Divisionarias'!O160</f>
        <v>0</v>
      </c>
    </row>
    <row r="40" spans="2:4" x14ac:dyDescent="0.25">
      <c r="B40" s="4" t="s">
        <v>58</v>
      </c>
      <c r="C40" s="23">
        <f>'Hoja Trabajo - Divisionarias'!O161</f>
        <v>0</v>
      </c>
      <c r="D40" s="24">
        <f>'Hoja Trabajo - Divisionarias'!O161</f>
        <v>0</v>
      </c>
    </row>
    <row r="41" spans="2:4" x14ac:dyDescent="0.25">
      <c r="B41" s="4" t="s">
        <v>59</v>
      </c>
      <c r="C41" s="23">
        <f>'Hoja Trabajo - Divisionarias'!O162</f>
        <v>0</v>
      </c>
      <c r="D41" s="24">
        <f>'Hoja Trabajo - Divisionarias'!O162</f>
        <v>0</v>
      </c>
    </row>
    <row r="42" spans="2:4" x14ac:dyDescent="0.25">
      <c r="B42" s="4" t="s">
        <v>464</v>
      </c>
      <c r="C42" s="23">
        <f>'Hoja Trabajo - Divisionarias'!O163</f>
        <v>0</v>
      </c>
      <c r="D42" s="24">
        <f>'Hoja Trabajo - Divisionarias'!O163</f>
        <v>0</v>
      </c>
    </row>
    <row r="43" spans="2:4" x14ac:dyDescent="0.25">
      <c r="B43" s="4" t="s">
        <v>60</v>
      </c>
      <c r="C43" s="23">
        <f>'Hoja Trabajo - Divisionarias'!O164</f>
        <v>0</v>
      </c>
      <c r="D43" s="24">
        <f>'Hoja Trabajo - Divisionarias'!O164</f>
        <v>0</v>
      </c>
    </row>
    <row r="44" spans="2:4" x14ac:dyDescent="0.25">
      <c r="B44" s="4" t="s">
        <v>61</v>
      </c>
      <c r="C44" s="23">
        <f>'Hoja Trabajo - Divisionarias'!O165</f>
        <v>0</v>
      </c>
      <c r="D44" s="24">
        <f>'Hoja Trabajo - Divisionarias'!O165</f>
        <v>0</v>
      </c>
    </row>
    <row r="45" spans="2:4" x14ac:dyDescent="0.25">
      <c r="B45" s="4" t="s">
        <v>442</v>
      </c>
      <c r="C45" s="23">
        <f>-SUM('Hoja Trabajo - Divisionarias'!N172:N200)</f>
        <v>-20542.372881355932</v>
      </c>
      <c r="D45" s="24">
        <f>-SUM('Hoja Trabajo - Divisionarias'!N172:N200)</f>
        <v>-20542.372881355932</v>
      </c>
    </row>
    <row r="47" spans="2:4" ht="15.6" x14ac:dyDescent="0.25">
      <c r="B47" s="32" t="s">
        <v>420</v>
      </c>
      <c r="C47" s="26">
        <f>SUM(C24:C45)</f>
        <v>133557.62711864407</v>
      </c>
      <c r="D47" s="27">
        <f>SUM(D24:D45)</f>
        <v>133557.62711864407</v>
      </c>
    </row>
    <row r="49" spans="2:4" x14ac:dyDescent="0.25">
      <c r="B49" s="4" t="s">
        <v>443</v>
      </c>
      <c r="C49" s="23">
        <f>-SUM('Hoja Trabajo - Divisionarias'!N166:N171)</f>
        <v>-327000</v>
      </c>
      <c r="D49" s="24">
        <f>-SUM('Hoja Trabajo - Divisionarias'!N166:N171)</f>
        <v>-327000</v>
      </c>
    </row>
    <row r="50" spans="2:4" x14ac:dyDescent="0.25">
      <c r="B50" s="4" t="s">
        <v>444</v>
      </c>
      <c r="C50" s="23">
        <f>-SUM('Hoja Trabajo - Divisionarias'!N201)</f>
        <v>0</v>
      </c>
      <c r="D50" s="24">
        <f>-SUM('Hoja Trabajo - Divisionarias'!N201)</f>
        <v>0</v>
      </c>
    </row>
    <row r="52" spans="2:4" ht="15.6" x14ac:dyDescent="0.25">
      <c r="B52" s="32" t="s">
        <v>445</v>
      </c>
      <c r="C52" s="26">
        <f>SUM(C47:C50)</f>
        <v>-193442.37288135593</v>
      </c>
      <c r="D52" s="27">
        <f>SUM(D47:D50)</f>
        <v>-193442.37288135593</v>
      </c>
    </row>
    <row r="54" spans="2:4" x14ac:dyDescent="0.25">
      <c r="B54" s="4" t="s">
        <v>0</v>
      </c>
      <c r="C54" s="23">
        <f>-SUM('Hoja Trabajo - Divisionarias'!N202:N215)</f>
        <v>-8450</v>
      </c>
      <c r="D54" s="24">
        <f>-SUM('Hoja Trabajo - Divisionarias'!N202:N215)</f>
        <v>-8450</v>
      </c>
    </row>
    <row r="55" spans="2:4" x14ac:dyDescent="0.25">
      <c r="B55" s="4" t="s">
        <v>1</v>
      </c>
      <c r="C55" s="23">
        <f>-SUM('Hoja Trabajo - Divisionarias'!N237)</f>
        <v>0</v>
      </c>
      <c r="D55" s="24">
        <f>-SUM('Hoja Trabajo - Divisionarias'!N237)</f>
        <v>0</v>
      </c>
    </row>
    <row r="56" spans="2:4" x14ac:dyDescent="0.25">
      <c r="B56" s="4" t="s">
        <v>4</v>
      </c>
      <c r="C56" s="23">
        <f>SUM('Hoja Trabajo - Divisionarias'!O261)</f>
        <v>0</v>
      </c>
      <c r="D56" s="24">
        <f>SUM('Hoja Trabajo - Divisionarias'!O261)</f>
        <v>0</v>
      </c>
    </row>
    <row r="57" spans="2:4" x14ac:dyDescent="0.25">
      <c r="B57" s="4" t="s">
        <v>355</v>
      </c>
      <c r="C57" s="23">
        <f>SUM('Hoja Trabajo - Divisionarias'!O264:O283)</f>
        <v>0</v>
      </c>
      <c r="D57" s="24">
        <f>SUM('Hoja Trabajo - Divisionarias'!O264:O283)</f>
        <v>0</v>
      </c>
    </row>
    <row r="59" spans="2:4" ht="15.6" x14ac:dyDescent="0.25">
      <c r="B59" s="32" t="s">
        <v>2</v>
      </c>
      <c r="C59" s="26">
        <f>SUM(C52:C57)</f>
        <v>-201892.37288135593</v>
      </c>
      <c r="D59" s="27">
        <f>SUM(D52:D57)</f>
        <v>-201892.37288135593</v>
      </c>
    </row>
    <row r="61" spans="2:4" x14ac:dyDescent="0.25">
      <c r="B61" s="4" t="s">
        <v>3</v>
      </c>
      <c r="C61" s="23">
        <f>SUM('Hoja Trabajo - Divisionarias'!O284:O294)</f>
        <v>0</v>
      </c>
      <c r="D61" s="24">
        <f>SUM('Hoja Trabajo - Divisionarias'!O284:O294)</f>
        <v>0</v>
      </c>
    </row>
    <row r="62" spans="2:4" x14ac:dyDescent="0.25">
      <c r="B62" s="4" t="s">
        <v>12</v>
      </c>
      <c r="C62" s="23">
        <f>-SUM('Hoja Trabajo - Divisionarias'!N216:N236)</f>
        <v>0</v>
      </c>
      <c r="D62" s="24">
        <f>-SUM('Hoja Trabajo - Divisionarias'!N216:N236)</f>
        <v>0</v>
      </c>
    </row>
    <row r="63" spans="2:4" x14ac:dyDescent="0.25">
      <c r="B63" s="4" t="s">
        <v>5</v>
      </c>
      <c r="C63" s="23"/>
      <c r="D63" s="24"/>
    </row>
    <row r="65" spans="2:4" ht="15.6" x14ac:dyDescent="0.25">
      <c r="B65" s="32" t="s">
        <v>486</v>
      </c>
      <c r="C65" s="26">
        <f>SUM(C59:C63)</f>
        <v>-201892.37288135593</v>
      </c>
      <c r="D65" s="27">
        <f>SUM(D59:D63)</f>
        <v>-201892.37288135593</v>
      </c>
    </row>
    <row r="66" spans="2:4" ht="15.6" x14ac:dyDescent="0.25">
      <c r="B66" s="32" t="s">
        <v>487</v>
      </c>
    </row>
    <row r="68" spans="2:4" x14ac:dyDescent="0.25">
      <c r="B68" s="4" t="s">
        <v>6</v>
      </c>
      <c r="C68" s="23"/>
      <c r="D68" s="24">
        <f>-'Hoja Trabajo - Cuentas Balance'!E98</f>
        <v>0</v>
      </c>
    </row>
    <row r="69" spans="2:4" x14ac:dyDescent="0.25">
      <c r="B69" s="4" t="s">
        <v>7</v>
      </c>
      <c r="C69" s="23"/>
      <c r="D69" s="24">
        <f>-'Hoja Trabajo - Cuentas Balance'!E101</f>
        <v>-29899.538135593219</v>
      </c>
    </row>
    <row r="71" spans="2:4" ht="15.6" x14ac:dyDescent="0.25">
      <c r="B71" s="32" t="s">
        <v>357</v>
      </c>
      <c r="C71" s="28">
        <f>SUM(C65:C69)</f>
        <v>-201892.37288135593</v>
      </c>
      <c r="D71" s="29">
        <f>SUM(D65:D69)</f>
        <v>-231791.91101694916</v>
      </c>
    </row>
    <row r="73" spans="2:4" x14ac:dyDescent="0.25">
      <c r="B73" s="4" t="s">
        <v>359</v>
      </c>
      <c r="C73" s="23"/>
      <c r="D73" s="24"/>
    </row>
    <row r="74" spans="2:4" x14ac:dyDescent="0.25">
      <c r="B74" s="4" t="s">
        <v>360</v>
      </c>
      <c r="C74" s="23"/>
      <c r="D74" s="24"/>
    </row>
    <row r="76" spans="2:4" ht="15.6" x14ac:dyDescent="0.25">
      <c r="B76" s="32" t="s">
        <v>361</v>
      </c>
      <c r="C76" s="28">
        <f>SUM(C71:C74)</f>
        <v>-201892.37288135593</v>
      </c>
      <c r="D76" s="29">
        <f>SUM(D71:D74)</f>
        <v>-231791.91101694916</v>
      </c>
    </row>
    <row r="78" spans="2:4" x14ac:dyDescent="0.25">
      <c r="B78" s="4" t="s">
        <v>362</v>
      </c>
      <c r="C78" s="23"/>
      <c r="D78" s="24"/>
    </row>
    <row r="79" spans="2:4" ht="15" thickBot="1" x14ac:dyDescent="0.3"/>
    <row r="80" spans="2:4" ht="18" thickBot="1" x14ac:dyDescent="0.3">
      <c r="B80" s="33" t="s">
        <v>421</v>
      </c>
      <c r="C80" s="34">
        <f>SUM(C76:C78)</f>
        <v>-201892.37288135593</v>
      </c>
      <c r="D80" s="35">
        <f>SUM(D76:D78)</f>
        <v>-231791.91101694916</v>
      </c>
    </row>
    <row r="82" spans="2:2" x14ac:dyDescent="0.25">
      <c r="B82" s="4" t="s">
        <v>488</v>
      </c>
    </row>
    <row r="83" spans="2:2" x14ac:dyDescent="0.25">
      <c r="B83" s="4" t="s">
        <v>489</v>
      </c>
    </row>
    <row r="84" spans="2:2" x14ac:dyDescent="0.25">
      <c r="B84" s="4" t="s">
        <v>490</v>
      </c>
    </row>
    <row r="85" spans="2:2" x14ac:dyDescent="0.25">
      <c r="B85" s="4" t="s">
        <v>491</v>
      </c>
    </row>
    <row r="86" spans="2:2" x14ac:dyDescent="0.25">
      <c r="B86" s="4" t="s">
        <v>492</v>
      </c>
    </row>
    <row r="87" spans="2:2" x14ac:dyDescent="0.25">
      <c r="B87" s="4" t="s">
        <v>493</v>
      </c>
    </row>
  </sheetData>
  <mergeCells count="4">
    <mergeCell ref="B2:D2"/>
    <mergeCell ref="B8:D8"/>
    <mergeCell ref="B4:D4"/>
    <mergeCell ref="B6:D6"/>
  </mergeCells>
  <phoneticPr fontId="0" type="noConversion"/>
  <conditionalFormatting sqref="C80 C65 C68:C69 C71 C73:C74 C76 C78 C59 C61:C63 C26:C45 C47 C49:C50 C52 C12:C18 C20 C22 C24 C54:C57">
    <cfRule type="cellIs" dxfId="116" priority="3" stopIfTrue="1" operator="equal">
      <formula>0</formula>
    </cfRule>
  </conditionalFormatting>
  <conditionalFormatting sqref="D80 D65 D68:D69 D71 D73:D74 D76 D78 D59 D61:D63 D26:D45 D47 D49:D50 D52 D12:D18 D20 D22 D24 D54:D57">
    <cfRule type="cellIs" dxfId="115" priority="4" stopIfTrue="1" operator="equal">
      <formula>0</formula>
    </cfRule>
  </conditionalFormatting>
  <printOptions horizontalCentered="1"/>
  <pageMargins left="0.19685039370078741" right="0.19685039370078741" top="0.39370078740157483" bottom="0.19685039370078741" header="0" footer="0"/>
  <pageSetup paperSize="9" scale="73" orientation="portrait" horizontalDpi="120" verticalDpi="7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12"/>
    <pageSetUpPr fitToPage="1"/>
  </sheetPr>
  <dimension ref="B2:K24"/>
  <sheetViews>
    <sheetView showGridLines="0" zoomScale="72" zoomScaleNormal="72" workbookViewId="0"/>
  </sheetViews>
  <sheetFormatPr baseColWidth="10" defaultColWidth="11.44140625" defaultRowHeight="14.4" x14ac:dyDescent="0.25"/>
  <cols>
    <col min="1" max="1" width="3.6640625" style="4" customWidth="1"/>
    <col min="2" max="2" width="4.109375" style="4" bestFit="1" customWidth="1"/>
    <col min="3" max="3" width="80.6640625" style="4" customWidth="1"/>
    <col min="4" max="11" width="20.6640625" style="4" customWidth="1"/>
    <col min="12" max="12" width="3.6640625" style="4" customWidth="1"/>
    <col min="13" max="16384" width="11.44140625" style="4"/>
  </cols>
  <sheetData>
    <row r="2" spans="2:11" ht="23.4" x14ac:dyDescent="0.25">
      <c r="B2" s="344" t="str">
        <f>'Base de Datos'!$C$5</f>
        <v>LOS BAILARINES SRL</v>
      </c>
      <c r="C2" s="344"/>
      <c r="D2" s="344"/>
      <c r="E2" s="344"/>
      <c r="F2" s="344"/>
      <c r="G2" s="344"/>
      <c r="H2" s="344"/>
      <c r="I2" s="344"/>
      <c r="J2" s="344"/>
      <c r="K2" s="344"/>
    </row>
    <row r="4" spans="2:11" ht="23.4" x14ac:dyDescent="0.25">
      <c r="B4" s="341" t="s">
        <v>494</v>
      </c>
      <c r="C4" s="341"/>
      <c r="D4" s="341"/>
      <c r="E4" s="341"/>
      <c r="F4" s="341"/>
      <c r="G4" s="341"/>
      <c r="H4" s="341"/>
      <c r="I4" s="341"/>
      <c r="J4" s="341"/>
      <c r="K4" s="341"/>
    </row>
    <row r="6" spans="2:11" ht="23.4" x14ac:dyDescent="0.25">
      <c r="B6" s="347" t="str">
        <f>'Base de Datos'!C5</f>
        <v>LOS BAILARINES SRL</v>
      </c>
      <c r="C6" s="347"/>
      <c r="D6" s="347"/>
      <c r="E6" s="347"/>
      <c r="F6" s="347"/>
      <c r="G6" s="347"/>
      <c r="H6" s="347"/>
      <c r="I6" s="347"/>
      <c r="J6" s="347"/>
      <c r="K6" s="347"/>
    </row>
    <row r="8" spans="2:11" ht="23.4" x14ac:dyDescent="0.25">
      <c r="B8" s="341" t="s">
        <v>349</v>
      </c>
      <c r="C8" s="341"/>
      <c r="D8" s="341"/>
      <c r="E8" s="341"/>
      <c r="F8" s="341"/>
      <c r="G8" s="341"/>
      <c r="H8" s="341"/>
      <c r="I8" s="341"/>
      <c r="J8" s="341"/>
      <c r="K8" s="341"/>
    </row>
    <row r="10" spans="2:11" ht="15" thickBot="1" x14ac:dyDescent="0.3"/>
    <row r="11" spans="2:11" ht="30" customHeight="1" thickBot="1" x14ac:dyDescent="0.3">
      <c r="B11" s="345" t="s">
        <v>495</v>
      </c>
      <c r="C11" s="346"/>
      <c r="D11" s="235" t="s">
        <v>397</v>
      </c>
      <c r="E11" s="224" t="s">
        <v>507</v>
      </c>
      <c r="F11" s="224" t="s">
        <v>508</v>
      </c>
      <c r="G11" s="224" t="s">
        <v>509</v>
      </c>
      <c r="H11" s="235" t="s">
        <v>496</v>
      </c>
      <c r="I11" s="224" t="s">
        <v>510</v>
      </c>
      <c r="J11" s="224" t="s">
        <v>511</v>
      </c>
      <c r="K11" s="221" t="s">
        <v>266</v>
      </c>
    </row>
    <row r="12" spans="2:11" ht="30" customHeight="1" thickTop="1" x14ac:dyDescent="0.25">
      <c r="B12" s="219"/>
      <c r="C12" s="220" t="str">
        <f>CONCATENATE("SALDOS AL 01 DE ",'Base de Datos'!C8," DEL ",'Base de Datos'!C9)</f>
        <v>SALDOS AL 01 DE MARZO DEL 2015</v>
      </c>
      <c r="D12" s="225">
        <f>'Libro Mayor - Nivel Cuentas'!F118</f>
        <v>1206900</v>
      </c>
      <c r="E12" s="225">
        <f>'Libro Mayor - Nivel Cuentas'!R118</f>
        <v>0</v>
      </c>
      <c r="F12" s="225">
        <f>'Libro Mayor - Nivel Cuentas'!L118</f>
        <v>0</v>
      </c>
      <c r="G12" s="225">
        <f>'Libro Mayor - Nivel Cuentas'!AD118</f>
        <v>0</v>
      </c>
      <c r="H12" s="225">
        <f>'Libro Mayor - Nivel Cuentas'!AJ118</f>
        <v>0</v>
      </c>
      <c r="I12" s="225"/>
      <c r="J12" s="225">
        <f>'Libro Mayor - Nivel Cuentas'!AP118</f>
        <v>0</v>
      </c>
      <c r="K12" s="226">
        <f>SUM(D12:J12)</f>
        <v>1206900</v>
      </c>
    </row>
    <row r="13" spans="2:11" ht="30" customHeight="1" x14ac:dyDescent="0.25">
      <c r="B13" s="217">
        <v>1</v>
      </c>
      <c r="C13" s="283" t="s">
        <v>1596</v>
      </c>
      <c r="D13" s="222"/>
      <c r="E13" s="222"/>
      <c r="F13" s="222"/>
      <c r="G13" s="222"/>
      <c r="H13" s="222"/>
      <c r="I13" s="222"/>
      <c r="J13" s="222"/>
      <c r="K13" s="223">
        <f t="shared" ref="K13:K24" si="0">SUM(D13:J13)</f>
        <v>0</v>
      </c>
    </row>
    <row r="14" spans="2:11" ht="30" customHeight="1" x14ac:dyDescent="0.25">
      <c r="B14" s="217">
        <v>2</v>
      </c>
      <c r="C14" s="216" t="s">
        <v>497</v>
      </c>
      <c r="D14" s="222"/>
      <c r="E14" s="222"/>
      <c r="F14" s="222"/>
      <c r="G14" s="222"/>
      <c r="H14" s="222"/>
      <c r="I14" s="222"/>
      <c r="J14" s="222"/>
      <c r="K14" s="223">
        <f t="shared" si="0"/>
        <v>0</v>
      </c>
    </row>
    <row r="15" spans="2:11" ht="30" customHeight="1" x14ac:dyDescent="0.25">
      <c r="B15" s="217">
        <v>3</v>
      </c>
      <c r="C15" s="216" t="s">
        <v>498</v>
      </c>
      <c r="D15" s="222"/>
      <c r="E15" s="222"/>
      <c r="F15" s="222"/>
      <c r="G15" s="222"/>
      <c r="H15" s="222"/>
      <c r="I15" s="222"/>
      <c r="J15" s="222"/>
      <c r="K15" s="223">
        <f t="shared" si="0"/>
        <v>0</v>
      </c>
    </row>
    <row r="16" spans="2:11" ht="30" customHeight="1" x14ac:dyDescent="0.25">
      <c r="B16" s="217">
        <v>4</v>
      </c>
      <c r="C16" s="216" t="s">
        <v>499</v>
      </c>
      <c r="D16" s="222"/>
      <c r="E16" s="222"/>
      <c r="F16" s="222"/>
      <c r="G16" s="222"/>
      <c r="H16" s="222"/>
      <c r="I16" s="222"/>
      <c r="J16" s="222"/>
      <c r="K16" s="223">
        <f t="shared" si="0"/>
        <v>0</v>
      </c>
    </row>
    <row r="17" spans="2:11" ht="30" customHeight="1" x14ac:dyDescent="0.25">
      <c r="B17" s="217">
        <v>5</v>
      </c>
      <c r="C17" s="216" t="s">
        <v>500</v>
      </c>
      <c r="D17" s="222"/>
      <c r="E17" s="222"/>
      <c r="F17" s="222"/>
      <c r="G17" s="222"/>
      <c r="H17" s="222"/>
      <c r="I17" s="222"/>
      <c r="J17" s="222"/>
      <c r="K17" s="223">
        <f t="shared" si="0"/>
        <v>0</v>
      </c>
    </row>
    <row r="18" spans="2:11" ht="30" customHeight="1" x14ac:dyDescent="0.25">
      <c r="B18" s="217">
        <v>6</v>
      </c>
      <c r="C18" s="216" t="s">
        <v>501</v>
      </c>
      <c r="D18" s="222"/>
      <c r="E18" s="222"/>
      <c r="F18" s="222"/>
      <c r="G18" s="222"/>
      <c r="H18" s="222"/>
      <c r="I18" s="222"/>
      <c r="J18" s="222"/>
      <c r="K18" s="223">
        <f t="shared" si="0"/>
        <v>0</v>
      </c>
    </row>
    <row r="19" spans="2:11" ht="30" customHeight="1" x14ac:dyDescent="0.25">
      <c r="B19" s="217">
        <v>7</v>
      </c>
      <c r="C19" s="216" t="s">
        <v>502</v>
      </c>
      <c r="D19" s="222"/>
      <c r="E19" s="222"/>
      <c r="F19" s="222"/>
      <c r="G19" s="222"/>
      <c r="H19" s="222"/>
      <c r="I19" s="222"/>
      <c r="J19" s="222"/>
      <c r="K19" s="223">
        <f t="shared" si="0"/>
        <v>0</v>
      </c>
    </row>
    <row r="20" spans="2:11" ht="30" customHeight="1" x14ac:dyDescent="0.25">
      <c r="B20" s="217">
        <v>8</v>
      </c>
      <c r="C20" s="216" t="s">
        <v>503</v>
      </c>
      <c r="D20" s="222"/>
      <c r="E20" s="222"/>
      <c r="F20" s="222"/>
      <c r="G20" s="222"/>
      <c r="H20" s="222"/>
      <c r="I20" s="222"/>
      <c r="J20" s="222"/>
      <c r="K20" s="223">
        <f t="shared" si="0"/>
        <v>0</v>
      </c>
    </row>
    <row r="21" spans="2:11" ht="30" customHeight="1" x14ac:dyDescent="0.25">
      <c r="B21" s="217">
        <v>9</v>
      </c>
      <c r="C21" s="216" t="s">
        <v>504</v>
      </c>
      <c r="D21" s="222"/>
      <c r="E21" s="222"/>
      <c r="F21" s="222"/>
      <c r="G21" s="222"/>
      <c r="H21" s="222"/>
      <c r="I21" s="222"/>
      <c r="J21" s="222"/>
      <c r="K21" s="223">
        <f t="shared" si="0"/>
        <v>0</v>
      </c>
    </row>
    <row r="22" spans="2:11" ht="30" customHeight="1" x14ac:dyDescent="0.25">
      <c r="B22" s="217">
        <v>10</v>
      </c>
      <c r="C22" s="216" t="s">
        <v>505</v>
      </c>
      <c r="D22" s="222"/>
      <c r="E22" s="222"/>
      <c r="F22" s="222"/>
      <c r="G22" s="222"/>
      <c r="H22" s="222"/>
      <c r="I22" s="222"/>
      <c r="J22" s="222">
        <f>'Resultados por Función - NIC 1'!D52</f>
        <v>69765.588983050853</v>
      </c>
      <c r="K22" s="223">
        <f t="shared" si="0"/>
        <v>69765.588983050853</v>
      </c>
    </row>
    <row r="23" spans="2:11" ht="30" customHeight="1" x14ac:dyDescent="0.25">
      <c r="B23" s="217">
        <v>11</v>
      </c>
      <c r="C23" s="216" t="s">
        <v>506</v>
      </c>
      <c r="D23" s="222"/>
      <c r="E23" s="222"/>
      <c r="F23" s="222"/>
      <c r="G23" s="222"/>
      <c r="H23" s="222"/>
      <c r="I23" s="222"/>
      <c r="J23" s="222"/>
      <c r="K23" s="223">
        <f t="shared" si="0"/>
        <v>0</v>
      </c>
    </row>
    <row r="24" spans="2:11" ht="30" customHeight="1" thickBot="1" x14ac:dyDescent="0.3">
      <c r="B24" s="227"/>
      <c r="C24" s="218" t="str">
        <f>CONCATENATE("SALDOS AL 30 DE ",'Base de Datos'!C8," DEL ",'Base de Datos'!C9)</f>
        <v>SALDOS AL 30 DE MARZO DEL 2015</v>
      </c>
      <c r="D24" s="228">
        <f>SUM(D12:D23)</f>
        <v>1206900</v>
      </c>
      <c r="E24" s="228">
        <f t="shared" ref="E24:J24" si="1">SUM(E12:E23)</f>
        <v>0</v>
      </c>
      <c r="F24" s="228">
        <f t="shared" si="1"/>
        <v>0</v>
      </c>
      <c r="G24" s="228">
        <f t="shared" si="1"/>
        <v>0</v>
      </c>
      <c r="H24" s="228">
        <f t="shared" si="1"/>
        <v>0</v>
      </c>
      <c r="I24" s="228">
        <f t="shared" si="1"/>
        <v>0</v>
      </c>
      <c r="J24" s="228">
        <f t="shared" si="1"/>
        <v>69765.588983050853</v>
      </c>
      <c r="K24" s="229">
        <f t="shared" si="0"/>
        <v>1276665.5889830508</v>
      </c>
    </row>
  </sheetData>
  <mergeCells count="5">
    <mergeCell ref="B11:C11"/>
    <mergeCell ref="B2:K2"/>
    <mergeCell ref="B4:K4"/>
    <mergeCell ref="B6:K6"/>
    <mergeCell ref="B8:K8"/>
  </mergeCells>
  <printOptions horizontalCentered="1"/>
  <pageMargins left="0.19685039370078741" right="0.19685039370078741" top="0.39370078740157483" bottom="0.19685039370078741" header="0" footer="0"/>
  <pageSetup paperSize="9" scale="56" orientation="landscape" verticalDpi="7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indexed="8"/>
    <pageSetUpPr fitToPage="1"/>
  </sheetPr>
  <dimension ref="B2:K553"/>
  <sheetViews>
    <sheetView showGridLines="0" zoomScale="80" zoomScaleNormal="80" workbookViewId="0"/>
  </sheetViews>
  <sheetFormatPr baseColWidth="10" defaultColWidth="11.44140625" defaultRowHeight="15.6" x14ac:dyDescent="0.25"/>
  <cols>
    <col min="1" max="1" width="3.6640625" style="7" customWidth="1"/>
    <col min="2" max="2" width="6.5546875" style="7" customWidth="1"/>
    <col min="3" max="5" width="11.6640625" style="7" customWidth="1"/>
    <col min="6" max="6" width="75.6640625" style="7" customWidth="1"/>
    <col min="7" max="8" width="20.6640625" style="7" customWidth="1"/>
    <col min="9" max="9" width="20.6640625" style="5" customWidth="1"/>
    <col min="10" max="11" width="20.6640625" style="7" customWidth="1"/>
    <col min="12" max="12" width="3.6640625" style="7" customWidth="1"/>
    <col min="13" max="16384" width="11.44140625" style="7"/>
  </cols>
  <sheetData>
    <row r="2" spans="2:11" ht="23.4" x14ac:dyDescent="0.25">
      <c r="B2" s="348" t="str">
        <f>'Base de Datos'!$C$5</f>
        <v>LOS BAILARINES SRL</v>
      </c>
      <c r="C2" s="348"/>
      <c r="D2" s="348"/>
      <c r="E2" s="348"/>
      <c r="F2" s="348"/>
      <c r="G2" s="348"/>
      <c r="H2" s="348"/>
      <c r="I2" s="348"/>
      <c r="J2" s="348"/>
      <c r="K2" s="348"/>
    </row>
    <row r="3" spans="2:11" ht="23.4" x14ac:dyDescent="0.25">
      <c r="B3" s="348" t="str">
        <f>CONCATENATE("R.U.C. N°"," ",'Base de Datos'!$C$6)</f>
        <v>R.U.C. N° 20411074561</v>
      </c>
      <c r="C3" s="348"/>
      <c r="D3" s="348"/>
      <c r="E3" s="348"/>
      <c r="F3" s="348"/>
      <c r="G3" s="348"/>
      <c r="H3" s="348"/>
      <c r="I3" s="348"/>
      <c r="J3" s="348"/>
      <c r="K3" s="348"/>
    </row>
    <row r="5" spans="2:11" ht="18.600000000000001" thickBot="1" x14ac:dyDescent="0.3">
      <c r="B5" s="349" t="str">
        <f>CONCATENATE('Base de Datos'!$C$765," - ",'Base de Datos'!$C$9)</f>
        <v>LIBRO DIARIO ASIENTOS DE CIERRE - 2015</v>
      </c>
      <c r="C5" s="349"/>
      <c r="D5" s="349"/>
      <c r="E5" s="349"/>
      <c r="F5" s="349"/>
      <c r="G5" s="349"/>
      <c r="H5" s="349"/>
      <c r="I5" s="349"/>
      <c r="J5" s="349"/>
      <c r="K5" s="349"/>
    </row>
    <row r="6" spans="2:11" x14ac:dyDescent="0.25">
      <c r="B6" s="319" t="s">
        <v>451</v>
      </c>
      <c r="C6" s="319"/>
      <c r="D6" s="319"/>
      <c r="E6" s="319"/>
      <c r="F6" s="319"/>
      <c r="G6" s="320" t="s">
        <v>452</v>
      </c>
      <c r="H6" s="320" t="s">
        <v>453</v>
      </c>
      <c r="I6" s="320" t="s">
        <v>454</v>
      </c>
      <c r="J6" s="320" t="s">
        <v>455</v>
      </c>
      <c r="K6" s="322" t="s">
        <v>456</v>
      </c>
    </row>
    <row r="7" spans="2:11" ht="16.2" thickBot="1" x14ac:dyDescent="0.3">
      <c r="B7" s="126" t="s">
        <v>405</v>
      </c>
      <c r="C7" s="126" t="s">
        <v>457</v>
      </c>
      <c r="D7" s="126" t="s">
        <v>458</v>
      </c>
      <c r="E7" s="126" t="s">
        <v>459</v>
      </c>
      <c r="F7" s="126" t="s">
        <v>372</v>
      </c>
      <c r="G7" s="321"/>
      <c r="H7" s="321"/>
      <c r="I7" s="321"/>
      <c r="J7" s="321"/>
      <c r="K7" s="323"/>
    </row>
    <row r="8" spans="2:11" ht="16.2" thickTop="1" x14ac:dyDescent="0.25">
      <c r="B8" s="152">
        <v>79</v>
      </c>
      <c r="C8" s="153"/>
      <c r="D8" s="154"/>
      <c r="E8" s="155"/>
      <c r="F8" s="156" t="str">
        <f t="shared" ref="F8:F70" si="0">IF(AND(B8="",C8="",D8="",E8=""),"",IF(AND(B8&gt;0,C8&gt;0,D8&gt;0,E8&gt;0),"",IF(B8&gt;0,VLOOKUP(B8,CuentasContables,5,FALSE),IF(C8&gt;0,VLOOKUP(C8,SubCuentasContables,4,FALSE),IF(D8&gt;0,VLOOKUP(D8,DivisionariasContables,3,FALSE),IF(E8&gt;0,VLOOKUP(E8,SubDivisionariasContables,2,FALSE)))))))</f>
        <v>CARGAS IMPUTABLES A CUENTAS DE COSTOS Y GASTOS</v>
      </c>
      <c r="G8" s="130"/>
      <c r="H8" s="130"/>
      <c r="I8" s="128"/>
      <c r="J8" s="129">
        <f>SUM(I9)</f>
        <v>366992.5</v>
      </c>
      <c r="K8" s="137"/>
    </row>
    <row r="9" spans="2:11" x14ac:dyDescent="0.25">
      <c r="B9" s="152"/>
      <c r="C9" s="153">
        <v>791</v>
      </c>
      <c r="D9" s="154"/>
      <c r="E9" s="155"/>
      <c r="F9" s="156" t="str">
        <f t="shared" si="0"/>
        <v>Cargas Imputables a Cuentas de Costos y Gastos</v>
      </c>
      <c r="G9" s="130"/>
      <c r="H9" s="130"/>
      <c r="I9" s="131">
        <f>SUM(G10)</f>
        <v>366992.5</v>
      </c>
      <c r="J9" s="129"/>
      <c r="K9" s="137"/>
    </row>
    <row r="10" spans="2:11" x14ac:dyDescent="0.25">
      <c r="B10" s="152"/>
      <c r="C10" s="153"/>
      <c r="D10" s="154">
        <v>7911</v>
      </c>
      <c r="E10" s="155"/>
      <c r="F10" s="156" t="str">
        <f t="shared" si="0"/>
        <v>Cargas Imputables a Cuentas de Costos y Gastos</v>
      </c>
      <c r="G10" s="133">
        <f>'Hoja Trabajo - Divisionarias'!G295</f>
        <v>366992.5</v>
      </c>
      <c r="H10" s="130"/>
      <c r="I10" s="128"/>
      <c r="J10" s="129"/>
      <c r="K10" s="137"/>
    </row>
    <row r="11" spans="2:11" x14ac:dyDescent="0.25">
      <c r="B11" s="152">
        <v>94</v>
      </c>
      <c r="C11" s="153"/>
      <c r="D11" s="154"/>
      <c r="E11" s="155"/>
      <c r="F11" s="156" t="str">
        <f t="shared" si="0"/>
        <v>GASTOS ADMINISTRATIVOS</v>
      </c>
      <c r="G11" s="130"/>
      <c r="H11" s="130"/>
      <c r="I11" s="128"/>
      <c r="J11" s="129"/>
      <c r="K11" s="137">
        <f>SUM(I12)</f>
        <v>366992.5</v>
      </c>
    </row>
    <row r="12" spans="2:11" x14ac:dyDescent="0.25">
      <c r="B12" s="152"/>
      <c r="C12" s="153">
        <v>949</v>
      </c>
      <c r="D12" s="154"/>
      <c r="E12" s="155"/>
      <c r="F12" s="156" t="str">
        <f t="shared" si="0"/>
        <v>Otros Gastos Administrativos</v>
      </c>
      <c r="G12" s="130"/>
      <c r="H12" s="130"/>
      <c r="I12" s="131">
        <f>SUM(H13)</f>
        <v>366992.5</v>
      </c>
      <c r="J12" s="129"/>
      <c r="K12" s="137"/>
    </row>
    <row r="13" spans="2:11" x14ac:dyDescent="0.25">
      <c r="B13" s="152"/>
      <c r="C13" s="153"/>
      <c r="D13" s="154">
        <v>9491</v>
      </c>
      <c r="E13" s="155"/>
      <c r="F13" s="156" t="str">
        <f t="shared" si="0"/>
        <v>Otros Gastos Administrativos</v>
      </c>
      <c r="G13" s="130"/>
      <c r="H13" s="133">
        <f>'Hoja Trabajo - Divisionarias'!$F$304</f>
        <v>366992.5</v>
      </c>
      <c r="I13" s="128"/>
      <c r="J13" s="129"/>
      <c r="K13" s="137"/>
    </row>
    <row r="14" spans="2:11" x14ac:dyDescent="0.25">
      <c r="B14" s="152">
        <v>95</v>
      </c>
      <c r="C14" s="153"/>
      <c r="D14" s="154"/>
      <c r="E14" s="155"/>
      <c r="F14" s="156" t="str">
        <f t="shared" si="0"/>
        <v>GASTOS DE VENTAS</v>
      </c>
      <c r="G14" s="130"/>
      <c r="H14" s="130"/>
      <c r="I14" s="132"/>
      <c r="J14" s="129"/>
      <c r="K14" s="137">
        <f>SUM(I15)</f>
        <v>0</v>
      </c>
    </row>
    <row r="15" spans="2:11" x14ac:dyDescent="0.25">
      <c r="B15" s="152"/>
      <c r="C15" s="153">
        <v>959</v>
      </c>
      <c r="D15" s="154"/>
      <c r="E15" s="155"/>
      <c r="F15" s="156" t="str">
        <f t="shared" si="0"/>
        <v>Otros Gastos de Ventas</v>
      </c>
      <c r="G15" s="130"/>
      <c r="H15" s="130"/>
      <c r="I15" s="131">
        <f>SUM(H16)</f>
        <v>0</v>
      </c>
      <c r="J15" s="129"/>
      <c r="K15" s="137"/>
    </row>
    <row r="16" spans="2:11" x14ac:dyDescent="0.25">
      <c r="B16" s="152"/>
      <c r="C16" s="153"/>
      <c r="D16" s="154">
        <v>9591</v>
      </c>
      <c r="E16" s="155"/>
      <c r="F16" s="156" t="str">
        <f t="shared" si="0"/>
        <v>Otros Gastos de Ventas</v>
      </c>
      <c r="G16" s="130"/>
      <c r="H16" s="133"/>
      <c r="I16" s="128"/>
      <c r="J16" s="129"/>
      <c r="K16" s="137"/>
    </row>
    <row r="17" spans="2:11" x14ac:dyDescent="0.25">
      <c r="B17" s="152">
        <v>97</v>
      </c>
      <c r="C17" s="153"/>
      <c r="D17" s="154"/>
      <c r="E17" s="155"/>
      <c r="F17" s="156" t="str">
        <f t="shared" si="0"/>
        <v>GASTOS FINANCIEROS</v>
      </c>
      <c r="G17" s="130"/>
      <c r="H17" s="130"/>
      <c r="I17" s="128"/>
      <c r="J17" s="129"/>
      <c r="K17" s="137">
        <f>SUM(I18)</f>
        <v>0</v>
      </c>
    </row>
    <row r="18" spans="2:11" x14ac:dyDescent="0.25">
      <c r="B18" s="152"/>
      <c r="C18" s="153">
        <v>979</v>
      </c>
      <c r="D18" s="154"/>
      <c r="E18" s="155"/>
      <c r="F18" s="156" t="str">
        <f t="shared" si="0"/>
        <v>Otras Cargas Financieras</v>
      </c>
      <c r="G18" s="130"/>
      <c r="H18" s="130"/>
      <c r="I18" s="131">
        <f>SUM(H19)</f>
        <v>0</v>
      </c>
      <c r="J18" s="129"/>
      <c r="K18" s="137"/>
    </row>
    <row r="19" spans="2:11" x14ac:dyDescent="0.25">
      <c r="B19" s="143"/>
      <c r="C19" s="144"/>
      <c r="D19" s="145">
        <v>9791</v>
      </c>
      <c r="E19" s="146"/>
      <c r="F19" s="147" t="str">
        <f t="shared" si="0"/>
        <v>Impuesto a las Transacciones Financieras</v>
      </c>
      <c r="G19" s="148"/>
      <c r="H19" s="148">
        <f>'Hoja Trabajo - Divisionarias'!$F$305</f>
        <v>0</v>
      </c>
      <c r="I19" s="148"/>
      <c r="J19" s="149"/>
      <c r="K19" s="150"/>
    </row>
    <row r="20" spans="2:11" x14ac:dyDescent="0.25">
      <c r="B20" s="152">
        <v>61</v>
      </c>
      <c r="C20" s="153"/>
      <c r="D20" s="154"/>
      <c r="E20" s="155"/>
      <c r="F20" s="156" t="str">
        <f t="shared" si="0"/>
        <v>VARIACIÓN DE EXISTENCIAS</v>
      </c>
      <c r="G20" s="130"/>
      <c r="H20" s="130"/>
      <c r="I20" s="128"/>
      <c r="J20" s="129">
        <f>SUM(I21)</f>
        <v>0</v>
      </c>
      <c r="K20" s="137"/>
    </row>
    <row r="21" spans="2:11" x14ac:dyDescent="0.25">
      <c r="B21" s="152"/>
      <c r="C21" s="153">
        <v>611</v>
      </c>
      <c r="D21" s="154"/>
      <c r="E21" s="155"/>
      <c r="F21" s="156" t="str">
        <f t="shared" si="0"/>
        <v>Mercaderías</v>
      </c>
      <c r="G21" s="130"/>
      <c r="H21" s="130"/>
      <c r="I21" s="131">
        <f>SUM(G22)</f>
        <v>0</v>
      </c>
      <c r="J21" s="129"/>
      <c r="K21" s="137"/>
    </row>
    <row r="22" spans="2:11" x14ac:dyDescent="0.25">
      <c r="B22" s="152"/>
      <c r="C22" s="153"/>
      <c r="D22" s="154">
        <v>6111</v>
      </c>
      <c r="E22" s="155"/>
      <c r="F22" s="156" t="str">
        <f t="shared" si="0"/>
        <v>Mercaderías Manufacturadas</v>
      </c>
      <c r="G22" s="133">
        <f>H25</f>
        <v>0</v>
      </c>
      <c r="H22" s="130"/>
      <c r="I22" s="128"/>
      <c r="J22" s="129"/>
      <c r="K22" s="137"/>
    </row>
    <row r="23" spans="2:11" x14ac:dyDescent="0.25">
      <c r="B23" s="152">
        <v>69</v>
      </c>
      <c r="C23" s="153"/>
      <c r="D23" s="154"/>
      <c r="E23" s="155"/>
      <c r="F23" s="156" t="str">
        <f t="shared" si="0"/>
        <v>COSTO DE VENTAS</v>
      </c>
      <c r="G23" s="130"/>
      <c r="H23" s="130"/>
      <c r="I23" s="128"/>
      <c r="J23" s="129"/>
      <c r="K23" s="137">
        <f>SUM(I24)</f>
        <v>0</v>
      </c>
    </row>
    <row r="24" spans="2:11" x14ac:dyDescent="0.25">
      <c r="B24" s="152"/>
      <c r="C24" s="153">
        <v>691</v>
      </c>
      <c r="D24" s="154"/>
      <c r="E24" s="155"/>
      <c r="F24" s="156" t="str">
        <f t="shared" si="0"/>
        <v>Mercaderías</v>
      </c>
      <c r="G24" s="130"/>
      <c r="H24" s="130"/>
      <c r="I24" s="131">
        <f>SUM(H25)</f>
        <v>0</v>
      </c>
      <c r="J24" s="129"/>
      <c r="K24" s="137"/>
    </row>
    <row r="25" spans="2:11" x14ac:dyDescent="0.25">
      <c r="B25" s="143"/>
      <c r="C25" s="144"/>
      <c r="D25" s="145">
        <v>6911</v>
      </c>
      <c r="E25" s="146"/>
      <c r="F25" s="147" t="str">
        <f t="shared" si="0"/>
        <v>Mercaderías Manufacturadas</v>
      </c>
      <c r="G25" s="148"/>
      <c r="H25" s="148">
        <f>'Hoja Trabajo - Divisionarias'!F238</f>
        <v>0</v>
      </c>
      <c r="I25" s="148"/>
      <c r="J25" s="149"/>
      <c r="K25" s="150"/>
    </row>
    <row r="26" spans="2:11" x14ac:dyDescent="0.25">
      <c r="B26" s="152">
        <v>71</v>
      </c>
      <c r="C26" s="153"/>
      <c r="D26" s="154"/>
      <c r="E26" s="155"/>
      <c r="F26" s="156" t="str">
        <f t="shared" si="0"/>
        <v>VARIACIÓN DE LA PRODUCCIÓN ALMACENADA</v>
      </c>
      <c r="G26" s="130"/>
      <c r="H26" s="130"/>
      <c r="I26" s="128"/>
      <c r="J26" s="129">
        <f>SUM(I27)</f>
        <v>0</v>
      </c>
      <c r="K26" s="137"/>
    </row>
    <row r="27" spans="2:11" x14ac:dyDescent="0.25">
      <c r="B27" s="152"/>
      <c r="C27" s="153">
        <v>711</v>
      </c>
      <c r="D27" s="154"/>
      <c r="E27" s="155"/>
      <c r="F27" s="156" t="str">
        <f t="shared" si="0"/>
        <v>Variación de Productos Terminados</v>
      </c>
      <c r="G27" s="130"/>
      <c r="H27" s="130"/>
      <c r="I27" s="131">
        <f>SUM(G28)</f>
        <v>0</v>
      </c>
      <c r="J27" s="129"/>
      <c r="K27" s="137"/>
    </row>
    <row r="28" spans="2:11" x14ac:dyDescent="0.25">
      <c r="B28" s="152"/>
      <c r="C28" s="153"/>
      <c r="D28" s="154">
        <v>7111</v>
      </c>
      <c r="E28" s="155"/>
      <c r="F28" s="156" t="str">
        <f t="shared" si="0"/>
        <v>Productos Manufacturados</v>
      </c>
      <c r="G28" s="133">
        <f>'Hoja Trabajo - Divisionarias'!H272</f>
        <v>0</v>
      </c>
      <c r="H28" s="130"/>
      <c r="I28" s="128"/>
      <c r="J28" s="129"/>
      <c r="K28" s="137"/>
    </row>
    <row r="29" spans="2:11" x14ac:dyDescent="0.25">
      <c r="B29" s="152">
        <v>69</v>
      </c>
      <c r="C29" s="153"/>
      <c r="D29" s="154"/>
      <c r="E29" s="155"/>
      <c r="F29" s="156" t="str">
        <f t="shared" si="0"/>
        <v>COSTO DE VENTAS</v>
      </c>
      <c r="G29" s="130"/>
      <c r="H29" s="130"/>
      <c r="I29" s="128"/>
      <c r="J29" s="129"/>
      <c r="K29" s="137">
        <f>SUM(I30)</f>
        <v>0</v>
      </c>
    </row>
    <row r="30" spans="2:11" x14ac:dyDescent="0.25">
      <c r="B30" s="152"/>
      <c r="C30" s="153">
        <v>692</v>
      </c>
      <c r="D30" s="154"/>
      <c r="E30" s="155"/>
      <c r="F30" s="156" t="str">
        <f t="shared" si="0"/>
        <v>Productos Terminados</v>
      </c>
      <c r="G30" s="130"/>
      <c r="H30" s="130"/>
      <c r="I30" s="131">
        <f>SUM(H31)</f>
        <v>0</v>
      </c>
      <c r="J30" s="129"/>
      <c r="K30" s="137"/>
    </row>
    <row r="31" spans="2:11" x14ac:dyDescent="0.25">
      <c r="B31" s="143"/>
      <c r="C31" s="144"/>
      <c r="D31" s="145">
        <v>6921</v>
      </c>
      <c r="E31" s="146"/>
      <c r="F31" s="147" t="str">
        <f t="shared" si="0"/>
        <v>Productos Manufacturados</v>
      </c>
      <c r="G31" s="148"/>
      <c r="H31" s="148">
        <f>G28</f>
        <v>0</v>
      </c>
      <c r="I31" s="148"/>
      <c r="J31" s="149"/>
      <c r="K31" s="150"/>
    </row>
    <row r="32" spans="2:11" x14ac:dyDescent="0.25">
      <c r="B32" s="152">
        <v>61</v>
      </c>
      <c r="C32" s="153"/>
      <c r="D32" s="154"/>
      <c r="E32" s="155"/>
      <c r="F32" s="156" t="str">
        <f t="shared" si="0"/>
        <v>VARIACIÓN DE EXISTENCIAS</v>
      </c>
      <c r="G32" s="130"/>
      <c r="H32" s="130"/>
      <c r="I32" s="128"/>
      <c r="J32" s="129">
        <f>SUM(I33)</f>
        <v>154100</v>
      </c>
      <c r="K32" s="137"/>
    </row>
    <row r="33" spans="2:11" x14ac:dyDescent="0.25">
      <c r="B33" s="152"/>
      <c r="C33" s="153">
        <v>611</v>
      </c>
      <c r="D33" s="154"/>
      <c r="E33" s="155"/>
      <c r="F33" s="156" t="str">
        <f t="shared" si="0"/>
        <v>Mercaderías</v>
      </c>
      <c r="G33" s="130"/>
      <c r="H33" s="130"/>
      <c r="I33" s="131">
        <f>SUM(G34)</f>
        <v>154100</v>
      </c>
      <c r="J33" s="129"/>
      <c r="K33" s="137"/>
    </row>
    <row r="34" spans="2:11" x14ac:dyDescent="0.25">
      <c r="B34" s="152"/>
      <c r="C34" s="153"/>
      <c r="D34" s="154">
        <v>6111</v>
      </c>
      <c r="E34" s="155"/>
      <c r="F34" s="156" t="str">
        <f t="shared" si="0"/>
        <v>Mercaderías Manufacturadas</v>
      </c>
      <c r="G34" s="133">
        <f>IF('Mayor - Nivel Divisionarias'!F1056&gt;G22,'Mayor - Nivel Divisionarias'!F1056-G22,0)</f>
        <v>154100</v>
      </c>
      <c r="H34" s="130"/>
      <c r="I34" s="128"/>
      <c r="J34" s="129"/>
      <c r="K34" s="137"/>
    </row>
    <row r="35" spans="2:11" x14ac:dyDescent="0.25">
      <c r="B35" s="152">
        <v>70</v>
      </c>
      <c r="C35" s="153"/>
      <c r="D35" s="154"/>
      <c r="E35" s="155"/>
      <c r="F35" s="156" t="str">
        <f t="shared" si="0"/>
        <v>VENTAS</v>
      </c>
      <c r="G35" s="130"/>
      <c r="H35" s="130"/>
      <c r="I35" s="132"/>
      <c r="J35" s="129">
        <f>SUM(I36)</f>
        <v>0</v>
      </c>
      <c r="K35" s="137"/>
    </row>
    <row r="36" spans="2:11" x14ac:dyDescent="0.25">
      <c r="B36" s="152"/>
      <c r="C36" s="153">
        <v>701</v>
      </c>
      <c r="D36" s="154"/>
      <c r="E36" s="155"/>
      <c r="F36" s="156" t="str">
        <f t="shared" si="0"/>
        <v>Mercaderías</v>
      </c>
      <c r="G36" s="130"/>
      <c r="H36" s="130"/>
      <c r="I36" s="131">
        <f>SUM(G37:G41)</f>
        <v>0</v>
      </c>
      <c r="J36" s="129"/>
      <c r="K36" s="137"/>
    </row>
    <row r="37" spans="2:11" x14ac:dyDescent="0.25">
      <c r="B37" s="152"/>
      <c r="C37" s="153"/>
      <c r="D37" s="154">
        <v>7011</v>
      </c>
      <c r="E37" s="155"/>
      <c r="F37" s="156" t="str">
        <f t="shared" si="0"/>
        <v>Mercaderías - Mercaderías Manufacturadas</v>
      </c>
      <c r="G37" s="130">
        <f>'Mayor - Nivel Divisionarias'!F1560</f>
        <v>0</v>
      </c>
      <c r="H37" s="130"/>
      <c r="I37" s="132"/>
      <c r="J37" s="129"/>
      <c r="K37" s="137"/>
    </row>
    <row r="38" spans="2:11" x14ac:dyDescent="0.25">
      <c r="B38" s="152"/>
      <c r="C38" s="153"/>
      <c r="D38" s="154">
        <v>7012</v>
      </c>
      <c r="E38" s="155"/>
      <c r="F38" s="156" t="str">
        <f t="shared" si="0"/>
        <v>Mercaderías - Mercaderías de Extracción</v>
      </c>
      <c r="G38" s="130">
        <f>'Mayor - Nivel Divisionarias'!L1560</f>
        <v>0</v>
      </c>
      <c r="H38" s="130"/>
      <c r="I38" s="132"/>
      <c r="J38" s="129"/>
      <c r="K38" s="137"/>
    </row>
    <row r="39" spans="2:11" x14ac:dyDescent="0.25">
      <c r="B39" s="152"/>
      <c r="C39" s="153"/>
      <c r="D39" s="154">
        <v>7013</v>
      </c>
      <c r="E39" s="155"/>
      <c r="F39" s="156" t="str">
        <f t="shared" si="0"/>
        <v>Mercaderías - Mercaderías Agropecuarias y Piscícolas</v>
      </c>
      <c r="G39" s="130">
        <f>'Mayor - Nivel Divisionarias'!R1560</f>
        <v>0</v>
      </c>
      <c r="H39" s="130"/>
      <c r="I39" s="132"/>
      <c r="J39" s="129"/>
      <c r="K39" s="137"/>
    </row>
    <row r="40" spans="2:11" x14ac:dyDescent="0.25">
      <c r="B40" s="152"/>
      <c r="C40" s="153"/>
      <c r="D40" s="154">
        <v>7014</v>
      </c>
      <c r="E40" s="155"/>
      <c r="F40" s="156" t="str">
        <f t="shared" si="0"/>
        <v>Mercaderías - Mercaderías Inmuebles</v>
      </c>
      <c r="G40" s="130">
        <f>'Mayor - Nivel Divisionarias'!X1560</f>
        <v>0</v>
      </c>
      <c r="H40" s="130"/>
      <c r="I40" s="132"/>
      <c r="J40" s="129"/>
      <c r="K40" s="137"/>
    </row>
    <row r="41" spans="2:11" x14ac:dyDescent="0.25">
      <c r="B41" s="152"/>
      <c r="C41" s="153"/>
      <c r="D41" s="154">
        <v>7015</v>
      </c>
      <c r="E41" s="155"/>
      <c r="F41" s="156" t="str">
        <f t="shared" si="0"/>
        <v>Mercaderías - Otras</v>
      </c>
      <c r="G41" s="133">
        <f>'Mayor - Nivel Divisionarias'!AD1560</f>
        <v>0</v>
      </c>
      <c r="H41" s="130"/>
      <c r="I41" s="132"/>
      <c r="J41" s="129"/>
      <c r="K41" s="137"/>
    </row>
    <row r="42" spans="2:11" x14ac:dyDescent="0.25">
      <c r="B42" s="152">
        <v>80</v>
      </c>
      <c r="C42" s="153"/>
      <c r="D42" s="154"/>
      <c r="E42" s="155"/>
      <c r="F42" s="156" t="str">
        <f t="shared" si="0"/>
        <v>MARGEN COMERCIAL</v>
      </c>
      <c r="G42" s="130"/>
      <c r="H42" s="130"/>
      <c r="I42" s="132"/>
      <c r="J42" s="129"/>
      <c r="K42" s="137">
        <f>SUM(H43,)</f>
        <v>154100</v>
      </c>
    </row>
    <row r="43" spans="2:11" x14ac:dyDescent="0.25">
      <c r="B43" s="143"/>
      <c r="C43" s="144">
        <v>801</v>
      </c>
      <c r="D43" s="145"/>
      <c r="E43" s="146"/>
      <c r="F43" s="147" t="str">
        <f t="shared" si="0"/>
        <v>Margen Comercial</v>
      </c>
      <c r="G43" s="148"/>
      <c r="H43" s="148">
        <f>SUM(G34,G37:G41)</f>
        <v>154100</v>
      </c>
      <c r="I43" s="148"/>
      <c r="J43" s="149"/>
      <c r="K43" s="150"/>
    </row>
    <row r="44" spans="2:11" x14ac:dyDescent="0.25">
      <c r="B44" s="152">
        <v>80</v>
      </c>
      <c r="C44" s="153"/>
      <c r="D44" s="154"/>
      <c r="E44" s="155"/>
      <c r="F44" s="156" t="str">
        <f t="shared" si="0"/>
        <v>MARGEN COMERCIAL</v>
      </c>
      <c r="G44" s="130"/>
      <c r="H44" s="130"/>
      <c r="I44" s="128"/>
      <c r="J44" s="129">
        <f>SUM(G45)</f>
        <v>0</v>
      </c>
      <c r="K44" s="137"/>
    </row>
    <row r="45" spans="2:11" x14ac:dyDescent="0.25">
      <c r="B45" s="152"/>
      <c r="C45" s="153">
        <v>801</v>
      </c>
      <c r="D45" s="154"/>
      <c r="E45" s="155"/>
      <c r="F45" s="156" t="str">
        <f t="shared" si="0"/>
        <v>Margen Comercial</v>
      </c>
      <c r="G45" s="133">
        <f>SUM(H48,H51,H54:H59,H62:H63)</f>
        <v>0</v>
      </c>
      <c r="H45" s="130"/>
      <c r="I45" s="128"/>
      <c r="J45" s="129"/>
      <c r="K45" s="137"/>
    </row>
    <row r="46" spans="2:11" x14ac:dyDescent="0.25">
      <c r="B46" s="152">
        <v>60</v>
      </c>
      <c r="C46" s="153"/>
      <c r="D46" s="154"/>
      <c r="E46" s="155"/>
      <c r="F46" s="156" t="str">
        <f t="shared" si="0"/>
        <v>COMPRAS</v>
      </c>
      <c r="G46" s="130"/>
      <c r="H46" s="130"/>
      <c r="I46" s="128"/>
      <c r="J46" s="129"/>
      <c r="K46" s="137">
        <f>SUM(I47)</f>
        <v>0</v>
      </c>
    </row>
    <row r="47" spans="2:11" x14ac:dyDescent="0.25">
      <c r="B47" s="152"/>
      <c r="C47" s="153">
        <v>601</v>
      </c>
      <c r="D47" s="154"/>
      <c r="E47" s="155"/>
      <c r="F47" s="156" t="str">
        <f t="shared" si="0"/>
        <v>Mercaderías</v>
      </c>
      <c r="G47" s="130"/>
      <c r="H47" s="130"/>
      <c r="I47" s="131">
        <f>SUM(H48)</f>
        <v>0</v>
      </c>
      <c r="J47" s="129"/>
      <c r="K47" s="137"/>
    </row>
    <row r="48" spans="2:11" x14ac:dyDescent="0.25">
      <c r="B48" s="152"/>
      <c r="C48" s="153"/>
      <c r="D48" s="154">
        <v>6011</v>
      </c>
      <c r="E48" s="155"/>
      <c r="F48" s="156" t="str">
        <f t="shared" si="0"/>
        <v>Mercaderías - Mercaderías Manufacturadas</v>
      </c>
      <c r="G48" s="130"/>
      <c r="H48" s="133">
        <f>'Hoja Trabajo - Divisionarias'!N142</f>
        <v>0</v>
      </c>
      <c r="I48" s="128"/>
      <c r="J48" s="129"/>
      <c r="K48" s="137"/>
    </row>
    <row r="49" spans="2:11" x14ac:dyDescent="0.25">
      <c r="B49" s="152">
        <v>61</v>
      </c>
      <c r="C49" s="153"/>
      <c r="D49" s="154"/>
      <c r="E49" s="155"/>
      <c r="F49" s="156" t="str">
        <f t="shared" si="0"/>
        <v>VARIACIÓN DE EXISTENCIAS</v>
      </c>
      <c r="G49" s="130"/>
      <c r="H49" s="130"/>
      <c r="I49" s="128"/>
      <c r="J49" s="129"/>
      <c r="K49" s="137">
        <f>SUM(I50)</f>
        <v>0</v>
      </c>
    </row>
    <row r="50" spans="2:11" x14ac:dyDescent="0.25">
      <c r="B50" s="152"/>
      <c r="C50" s="153">
        <v>611</v>
      </c>
      <c r="D50" s="154"/>
      <c r="E50" s="155"/>
      <c r="F50" s="156" t="str">
        <f t="shared" si="0"/>
        <v>Mercaderías</v>
      </c>
      <c r="G50" s="130"/>
      <c r="H50" s="130"/>
      <c r="I50" s="131">
        <f>SUM(H51)</f>
        <v>0</v>
      </c>
      <c r="J50" s="129"/>
      <c r="K50" s="137"/>
    </row>
    <row r="51" spans="2:11" x14ac:dyDescent="0.25">
      <c r="B51" s="152"/>
      <c r="C51" s="153"/>
      <c r="D51" s="154">
        <v>6111</v>
      </c>
      <c r="E51" s="155"/>
      <c r="F51" s="156" t="str">
        <f t="shared" si="0"/>
        <v>Mercaderías Manufacturadas</v>
      </c>
      <c r="G51" s="130"/>
      <c r="H51" s="133">
        <f>IF('Mayor - Nivel Divisionarias'!F1056&lt;G22,G22-'Mayor - Nivel Divisionarias'!F1056,0)</f>
        <v>0</v>
      </c>
      <c r="I51" s="128"/>
      <c r="J51" s="129"/>
      <c r="K51" s="137"/>
    </row>
    <row r="52" spans="2:11" x14ac:dyDescent="0.25">
      <c r="B52" s="152">
        <v>70</v>
      </c>
      <c r="C52" s="153"/>
      <c r="D52" s="154"/>
      <c r="E52" s="155"/>
      <c r="F52" s="156" t="str">
        <f t="shared" si="0"/>
        <v>VENTAS</v>
      </c>
      <c r="G52" s="130"/>
      <c r="H52" s="130"/>
      <c r="I52" s="128"/>
      <c r="J52" s="129"/>
      <c r="K52" s="137">
        <f>SUM(I53)</f>
        <v>0</v>
      </c>
    </row>
    <row r="53" spans="2:11" x14ac:dyDescent="0.25">
      <c r="B53" s="152"/>
      <c r="C53" s="153">
        <v>709</v>
      </c>
      <c r="D53" s="154"/>
      <c r="E53" s="155"/>
      <c r="F53" s="156" t="str">
        <f t="shared" si="0"/>
        <v>Devoluciones sobre Ventas</v>
      </c>
      <c r="G53" s="130"/>
      <c r="H53" s="130"/>
      <c r="I53" s="131">
        <f>SUM(H54:H59)</f>
        <v>0</v>
      </c>
      <c r="J53" s="129"/>
      <c r="K53" s="137"/>
    </row>
    <row r="54" spans="2:11" x14ac:dyDescent="0.25">
      <c r="B54" s="152"/>
      <c r="C54" s="153"/>
      <c r="D54" s="154">
        <v>7091</v>
      </c>
      <c r="E54" s="155"/>
      <c r="F54" s="156" t="str">
        <f t="shared" si="0"/>
        <v>Devoluciones sobre Ventas - Mercaderías - Terceros</v>
      </c>
      <c r="G54" s="130"/>
      <c r="H54" s="130">
        <f>'Hoja Trabajo - Divisionarias'!N254</f>
        <v>0</v>
      </c>
      <c r="I54" s="128"/>
      <c r="J54" s="129"/>
      <c r="K54" s="137"/>
    </row>
    <row r="55" spans="2:11" x14ac:dyDescent="0.25">
      <c r="B55" s="152"/>
      <c r="C55" s="153"/>
      <c r="D55" s="154">
        <v>7092</v>
      </c>
      <c r="E55" s="155"/>
      <c r="F55" s="156" t="str">
        <f t="shared" si="0"/>
        <v>Devoluciones sobre Ventas - Mercaderías - Relacionadas</v>
      </c>
      <c r="G55" s="130"/>
      <c r="H55" s="130">
        <f>'Hoja Trabajo - Divisionarias'!N255</f>
        <v>0</v>
      </c>
      <c r="I55" s="128"/>
      <c r="J55" s="129"/>
      <c r="K55" s="137"/>
    </row>
    <row r="56" spans="2:11" x14ac:dyDescent="0.25">
      <c r="B56" s="152"/>
      <c r="C56" s="153"/>
      <c r="D56" s="154">
        <v>7093</v>
      </c>
      <c r="E56" s="155"/>
      <c r="F56" s="156" t="str">
        <f t="shared" si="0"/>
        <v>Devoluciones sobre Ventas - Productos Terminados - Terceros</v>
      </c>
      <c r="G56" s="130"/>
      <c r="H56" s="130">
        <f>'Hoja Trabajo - Divisionarias'!N256</f>
        <v>0</v>
      </c>
      <c r="I56" s="128"/>
      <c r="J56" s="129"/>
      <c r="K56" s="137"/>
    </row>
    <row r="57" spans="2:11" x14ac:dyDescent="0.25">
      <c r="B57" s="152"/>
      <c r="C57" s="153"/>
      <c r="D57" s="154">
        <v>7094</v>
      </c>
      <c r="E57" s="155"/>
      <c r="F57" s="156" t="str">
        <f t="shared" si="0"/>
        <v>Devoluciones sobre Ventas - Productos Terminados - Relacionadas</v>
      </c>
      <c r="G57" s="130"/>
      <c r="H57" s="130">
        <f>'Hoja Trabajo - Divisionarias'!N257</f>
        <v>0</v>
      </c>
      <c r="I57" s="128"/>
      <c r="J57" s="129"/>
      <c r="K57" s="137"/>
    </row>
    <row r="58" spans="2:11" x14ac:dyDescent="0.25">
      <c r="B58" s="152"/>
      <c r="C58" s="153"/>
      <c r="D58" s="154">
        <v>7095</v>
      </c>
      <c r="E58" s="155"/>
      <c r="F58" s="156" t="str">
        <f t="shared" si="0"/>
        <v>Devoluciones sobre Ventas - Subproductos, Desechos y Desperdicios - Terceros</v>
      </c>
      <c r="G58" s="130"/>
      <c r="H58" s="130">
        <f>'Hoja Trabajo - Divisionarias'!N258</f>
        <v>0</v>
      </c>
      <c r="I58" s="128"/>
      <c r="J58" s="129"/>
      <c r="K58" s="137"/>
    </row>
    <row r="59" spans="2:11" x14ac:dyDescent="0.25">
      <c r="B59" s="152"/>
      <c r="C59" s="153"/>
      <c r="D59" s="154">
        <v>7096</v>
      </c>
      <c r="E59" s="155"/>
      <c r="F59" s="156" t="str">
        <f t="shared" si="0"/>
        <v>Devoluciones sobre Ventas - Subproductos, Desechos y Desperdicios - Relacionadas</v>
      </c>
      <c r="G59" s="130"/>
      <c r="H59" s="133">
        <f>'Hoja Trabajo - Divisionarias'!N259</f>
        <v>0</v>
      </c>
      <c r="I59" s="128"/>
      <c r="J59" s="129"/>
      <c r="K59" s="137"/>
    </row>
    <row r="60" spans="2:11" x14ac:dyDescent="0.25">
      <c r="B60" s="152">
        <v>74</v>
      </c>
      <c r="C60" s="153"/>
      <c r="D60" s="154"/>
      <c r="E60" s="155"/>
      <c r="F60" s="156" t="str">
        <f t="shared" si="0"/>
        <v>DESCUENTOS, REBAJAS Y BONIFICACIONES CONCEDIDOS</v>
      </c>
      <c r="G60" s="130"/>
      <c r="H60" s="130"/>
      <c r="I60" s="128"/>
      <c r="J60" s="129"/>
      <c r="K60" s="137">
        <f>SUM(I61)</f>
        <v>0</v>
      </c>
    </row>
    <row r="61" spans="2:11" x14ac:dyDescent="0.25">
      <c r="B61" s="152"/>
      <c r="C61" s="153">
        <v>741</v>
      </c>
      <c r="D61" s="154"/>
      <c r="E61" s="155"/>
      <c r="F61" s="156" t="str">
        <f t="shared" si="0"/>
        <v>Descuentos, Rebajas y Bonificaciones Concedidos</v>
      </c>
      <c r="G61" s="130"/>
      <c r="H61" s="130"/>
      <c r="I61" s="131">
        <f>SUM(H62:H63)</f>
        <v>0</v>
      </c>
      <c r="J61" s="129"/>
      <c r="K61" s="137"/>
    </row>
    <row r="62" spans="2:11" x14ac:dyDescent="0.25">
      <c r="B62" s="152"/>
      <c r="C62" s="153"/>
      <c r="D62" s="154">
        <v>7411</v>
      </c>
      <c r="E62" s="155"/>
      <c r="F62" s="156" t="str">
        <f t="shared" si="0"/>
        <v>Descuentos, Rebajas y Bonificaciones Concedidos - Terceros</v>
      </c>
      <c r="G62" s="130"/>
      <c r="H62" s="130">
        <f>'Hoja Trabajo - Divisionarias'!N262</f>
        <v>0</v>
      </c>
      <c r="I62" s="128"/>
      <c r="J62" s="129"/>
      <c r="K62" s="137"/>
    </row>
    <row r="63" spans="2:11" x14ac:dyDescent="0.25">
      <c r="B63" s="143"/>
      <c r="C63" s="144"/>
      <c r="D63" s="145">
        <v>7412</v>
      </c>
      <c r="E63" s="146"/>
      <c r="F63" s="147" t="str">
        <f t="shared" si="0"/>
        <v>Descuentos, Rebajas y Bonificaciones Concedidos - Relacionadas</v>
      </c>
      <c r="G63" s="148"/>
      <c r="H63" s="148">
        <f>'Hoja Trabajo - Divisionarias'!N263</f>
        <v>0</v>
      </c>
      <c r="I63" s="148"/>
      <c r="J63" s="149"/>
      <c r="K63" s="150"/>
    </row>
    <row r="64" spans="2:11" x14ac:dyDescent="0.25">
      <c r="B64" s="152">
        <v>70</v>
      </c>
      <c r="C64" s="153"/>
      <c r="D64" s="154"/>
      <c r="E64" s="155"/>
      <c r="F64" s="156" t="str">
        <f t="shared" si="0"/>
        <v>VENTAS</v>
      </c>
      <c r="G64" s="130"/>
      <c r="H64" s="130"/>
      <c r="I64" s="128"/>
      <c r="J64" s="129">
        <f>SUM(I65,I71)</f>
        <v>0</v>
      </c>
      <c r="K64" s="137"/>
    </row>
    <row r="65" spans="2:11" x14ac:dyDescent="0.25">
      <c r="B65" s="152"/>
      <c r="C65" s="153">
        <v>702</v>
      </c>
      <c r="D65" s="154"/>
      <c r="E65" s="155"/>
      <c r="F65" s="156" t="str">
        <f t="shared" si="0"/>
        <v>Productos Terminados</v>
      </c>
      <c r="G65" s="130"/>
      <c r="H65" s="130"/>
      <c r="I65" s="128">
        <f>SUM(G66:G70)</f>
        <v>0</v>
      </c>
      <c r="J65" s="129"/>
      <c r="K65" s="137"/>
    </row>
    <row r="66" spans="2:11" x14ac:dyDescent="0.25">
      <c r="B66" s="152"/>
      <c r="C66" s="153"/>
      <c r="D66" s="154">
        <v>7021</v>
      </c>
      <c r="E66" s="155"/>
      <c r="F66" s="156" t="str">
        <f t="shared" si="0"/>
        <v>Productos Terminados - Productos Manufacturados</v>
      </c>
      <c r="G66" s="130">
        <f>'Mayor - Nivel Divisionarias'!F1574</f>
        <v>0</v>
      </c>
      <c r="H66" s="130"/>
      <c r="I66" s="128"/>
      <c r="J66" s="129"/>
      <c r="K66" s="137"/>
    </row>
    <row r="67" spans="2:11" x14ac:dyDescent="0.25">
      <c r="B67" s="152"/>
      <c r="C67" s="153"/>
      <c r="D67" s="154">
        <v>7022</v>
      </c>
      <c r="E67" s="155"/>
      <c r="F67" s="156" t="str">
        <f t="shared" si="0"/>
        <v>Productos Terminados - Productos de Extracción Terminados</v>
      </c>
      <c r="G67" s="130">
        <f>'Mayor - Nivel Divisionarias'!L1574</f>
        <v>0</v>
      </c>
      <c r="H67" s="130"/>
      <c r="I67" s="128"/>
      <c r="J67" s="129"/>
      <c r="K67" s="137"/>
    </row>
    <row r="68" spans="2:11" x14ac:dyDescent="0.25">
      <c r="B68" s="152"/>
      <c r="C68" s="153"/>
      <c r="D68" s="154">
        <v>7023</v>
      </c>
      <c r="E68" s="155"/>
      <c r="F68" s="156" t="str">
        <f t="shared" si="0"/>
        <v>Productos Terminados - Productos Agropecuarios y Piscícolas Terminados</v>
      </c>
      <c r="G68" s="130">
        <f>'Mayor - Nivel Divisionarias'!R1574</f>
        <v>0</v>
      </c>
      <c r="H68" s="130"/>
      <c r="I68" s="128"/>
      <c r="J68" s="129"/>
      <c r="K68" s="137"/>
    </row>
    <row r="69" spans="2:11" x14ac:dyDescent="0.25">
      <c r="B69" s="152"/>
      <c r="C69" s="153"/>
      <c r="D69" s="154">
        <v>7024</v>
      </c>
      <c r="E69" s="155"/>
      <c r="F69" s="156" t="str">
        <f t="shared" si="0"/>
        <v>Productos Terminados - Productos Inmuebles Terminados</v>
      </c>
      <c r="G69" s="130">
        <f>'Mayor - Nivel Divisionarias'!X1574</f>
        <v>0</v>
      </c>
      <c r="H69" s="130"/>
      <c r="I69" s="128"/>
      <c r="J69" s="129"/>
      <c r="K69" s="137"/>
    </row>
    <row r="70" spans="2:11" x14ac:dyDescent="0.25">
      <c r="B70" s="152"/>
      <c r="C70" s="153"/>
      <c r="D70" s="154">
        <v>7025</v>
      </c>
      <c r="E70" s="155"/>
      <c r="F70" s="156" t="str">
        <f t="shared" si="0"/>
        <v>Productos Terminados - Existencias de Servicios Terminados</v>
      </c>
      <c r="G70" s="133">
        <f>'Mayor - Nivel Divisionarias'!AD1574</f>
        <v>0</v>
      </c>
      <c r="H70" s="130"/>
      <c r="I70" s="128"/>
      <c r="J70" s="129"/>
      <c r="K70" s="137"/>
    </row>
    <row r="71" spans="2:11" x14ac:dyDescent="0.25">
      <c r="B71" s="152"/>
      <c r="C71" s="153">
        <v>704</v>
      </c>
      <c r="D71" s="154"/>
      <c r="E71" s="155"/>
      <c r="F71" s="156" t="str">
        <f t="shared" ref="F71:F134" si="1">IF(AND(B71="",C71="",D71="",E71=""),"",IF(AND(B71&gt;0,C71&gt;0,D71&gt;0,E71&gt;0),"",IF(B71&gt;0,VLOOKUP(B71,CuentasContables,5,FALSE),IF(C71&gt;0,VLOOKUP(C71,SubCuentasContables,4,FALSE),IF(D71&gt;0,VLOOKUP(D71,DivisionariasContables,3,FALSE),IF(E71&gt;0,VLOOKUP(E71,SubDivisionariasContables,2,FALSE)))))))</f>
        <v>Prestación de Servicios</v>
      </c>
      <c r="G71" s="130"/>
      <c r="H71" s="130"/>
      <c r="I71" s="131">
        <f>SUM(G72:G73)</f>
        <v>0</v>
      </c>
      <c r="J71" s="129"/>
      <c r="K71" s="137"/>
    </row>
    <row r="72" spans="2:11" x14ac:dyDescent="0.25">
      <c r="B72" s="152"/>
      <c r="C72" s="153"/>
      <c r="D72" s="154">
        <v>7041</v>
      </c>
      <c r="E72" s="155"/>
      <c r="F72" s="156" t="str">
        <f t="shared" si="1"/>
        <v>Prestación de Servicios - Terceros</v>
      </c>
      <c r="G72" s="130">
        <f>'Mayor - Nivel Divisionarias'!F1602</f>
        <v>0</v>
      </c>
      <c r="H72" s="130"/>
      <c r="I72" s="128"/>
      <c r="J72" s="129"/>
      <c r="K72" s="137"/>
    </row>
    <row r="73" spans="2:11" x14ac:dyDescent="0.25">
      <c r="B73" s="152"/>
      <c r="C73" s="153"/>
      <c r="D73" s="154">
        <v>7042</v>
      </c>
      <c r="E73" s="155"/>
      <c r="F73" s="156" t="str">
        <f t="shared" si="1"/>
        <v>Prestación de Servicios - Relacionadas</v>
      </c>
      <c r="G73" s="133">
        <f>'Mayor - Nivel Divisionarias'!L1602</f>
        <v>0</v>
      </c>
      <c r="H73" s="130"/>
      <c r="I73" s="128"/>
      <c r="J73" s="129"/>
      <c r="K73" s="137"/>
    </row>
    <row r="74" spans="2:11" x14ac:dyDescent="0.25">
      <c r="B74" s="152">
        <v>71</v>
      </c>
      <c r="C74" s="153"/>
      <c r="D74" s="154"/>
      <c r="E74" s="155"/>
      <c r="F74" s="156" t="str">
        <f t="shared" si="1"/>
        <v>VARIACIÓN DE LA PRODUCCIÓN ALMACENADA</v>
      </c>
      <c r="G74" s="130"/>
      <c r="H74" s="130"/>
      <c r="I74" s="132"/>
      <c r="J74" s="129">
        <f>SUM(I75)</f>
        <v>0</v>
      </c>
      <c r="K74" s="137"/>
    </row>
    <row r="75" spans="2:11" x14ac:dyDescent="0.25">
      <c r="B75" s="152"/>
      <c r="C75" s="153">
        <v>711</v>
      </c>
      <c r="D75" s="154"/>
      <c r="E75" s="155"/>
      <c r="F75" s="156" t="str">
        <f t="shared" si="1"/>
        <v>Variación de Productos Terminados</v>
      </c>
      <c r="G75" s="130"/>
      <c r="H75" s="130"/>
      <c r="I75" s="131">
        <f>SUM(G76)</f>
        <v>0</v>
      </c>
      <c r="J75" s="129"/>
      <c r="K75" s="137"/>
    </row>
    <row r="76" spans="2:11" x14ac:dyDescent="0.25">
      <c r="B76" s="152"/>
      <c r="C76" s="153"/>
      <c r="D76" s="154">
        <v>7111</v>
      </c>
      <c r="E76" s="155"/>
      <c r="F76" s="156" t="str">
        <f t="shared" si="1"/>
        <v>Productos Manufacturados</v>
      </c>
      <c r="G76" s="133">
        <f>'Hoja Trabajo - Divisionarias'!O272</f>
        <v>0</v>
      </c>
      <c r="H76" s="130"/>
      <c r="I76" s="128"/>
      <c r="J76" s="129"/>
      <c r="K76" s="137"/>
    </row>
    <row r="77" spans="2:11" x14ac:dyDescent="0.25">
      <c r="B77" s="152">
        <v>72</v>
      </c>
      <c r="C77" s="153"/>
      <c r="D77" s="154"/>
      <c r="E77" s="155"/>
      <c r="F77" s="156" t="str">
        <f t="shared" si="1"/>
        <v>PRODUCCIÓN DE ACTIVO INMOVILIZADO</v>
      </c>
      <c r="G77" s="130"/>
      <c r="H77" s="130"/>
      <c r="I77" s="128"/>
      <c r="J77" s="129">
        <f>SUM(I78)</f>
        <v>0</v>
      </c>
      <c r="K77" s="137"/>
    </row>
    <row r="78" spans="2:11" x14ac:dyDescent="0.25">
      <c r="B78" s="152"/>
      <c r="C78" s="153">
        <v>721</v>
      </c>
      <c r="D78" s="154"/>
      <c r="E78" s="155"/>
      <c r="F78" s="156" t="str">
        <f t="shared" si="1"/>
        <v>Inversiones Inmobiliarias</v>
      </c>
      <c r="G78" s="130"/>
      <c r="H78" s="130"/>
      <c r="I78" s="131">
        <f>SUM(G79)</f>
        <v>0</v>
      </c>
      <c r="J78" s="129"/>
      <c r="K78" s="137"/>
    </row>
    <row r="79" spans="2:11" x14ac:dyDescent="0.25">
      <c r="B79" s="152"/>
      <c r="C79" s="153"/>
      <c r="D79" s="154">
        <v>7211</v>
      </c>
      <c r="E79" s="155"/>
      <c r="F79" s="156" t="str">
        <f t="shared" si="1"/>
        <v>Edificaciones</v>
      </c>
      <c r="G79" s="182"/>
      <c r="H79" s="130"/>
      <c r="I79" s="128"/>
      <c r="J79" s="129"/>
      <c r="K79" s="137"/>
    </row>
    <row r="80" spans="2:11" x14ac:dyDescent="0.25">
      <c r="B80" s="152">
        <v>81</v>
      </c>
      <c r="C80" s="153"/>
      <c r="D80" s="154"/>
      <c r="E80" s="155"/>
      <c r="F80" s="156" t="str">
        <f t="shared" si="1"/>
        <v>PRODUCCIÓN DEL EJERCICIO</v>
      </c>
      <c r="G80" s="130"/>
      <c r="H80" s="130"/>
      <c r="I80" s="128"/>
      <c r="J80" s="129"/>
      <c r="K80" s="137">
        <f>SUM(H81)</f>
        <v>0</v>
      </c>
    </row>
    <row r="81" spans="2:11" x14ac:dyDescent="0.25">
      <c r="B81" s="143"/>
      <c r="C81" s="144">
        <v>811</v>
      </c>
      <c r="D81" s="145"/>
      <c r="E81" s="146"/>
      <c r="F81" s="147" t="str">
        <f t="shared" si="1"/>
        <v>Producción de Bienes</v>
      </c>
      <c r="G81" s="148"/>
      <c r="H81" s="148">
        <f>SUM(G66:G70,G72:G73,G76,G79)</f>
        <v>0</v>
      </c>
      <c r="I81" s="148"/>
      <c r="J81" s="149"/>
      <c r="K81" s="150"/>
    </row>
    <row r="82" spans="2:11" x14ac:dyDescent="0.25">
      <c r="B82" s="152">
        <v>81</v>
      </c>
      <c r="C82" s="153"/>
      <c r="D82" s="154"/>
      <c r="E82" s="155"/>
      <c r="F82" s="156" t="str">
        <f t="shared" si="1"/>
        <v>PRODUCCIÓN DEL EJERCICIO</v>
      </c>
      <c r="G82" s="130"/>
      <c r="H82" s="130"/>
      <c r="I82" s="128"/>
      <c r="J82" s="129">
        <f>SUM(G83)</f>
        <v>0</v>
      </c>
      <c r="K82" s="137"/>
    </row>
    <row r="83" spans="2:11" x14ac:dyDescent="0.25">
      <c r="B83" s="152"/>
      <c r="C83" s="153">
        <v>811</v>
      </c>
      <c r="D83" s="154"/>
      <c r="E83" s="155"/>
      <c r="F83" s="156" t="str">
        <f t="shared" si="1"/>
        <v>Producción de Bienes</v>
      </c>
      <c r="G83" s="182">
        <f>SUM(H86)</f>
        <v>0</v>
      </c>
      <c r="H83" s="130"/>
      <c r="I83" s="128"/>
      <c r="J83" s="129"/>
      <c r="K83" s="137"/>
    </row>
    <row r="84" spans="2:11" x14ac:dyDescent="0.25">
      <c r="B84" s="152">
        <v>71</v>
      </c>
      <c r="C84" s="153"/>
      <c r="D84" s="154"/>
      <c r="E84" s="155"/>
      <c r="F84" s="156" t="str">
        <f t="shared" si="1"/>
        <v>VARIACIÓN DE LA PRODUCCIÓN ALMACENADA</v>
      </c>
      <c r="G84" s="130"/>
      <c r="H84" s="130"/>
      <c r="I84" s="128"/>
      <c r="J84" s="129"/>
      <c r="K84" s="137">
        <f>SUM(I85)</f>
        <v>0</v>
      </c>
    </row>
    <row r="85" spans="2:11" x14ac:dyDescent="0.25">
      <c r="B85" s="152"/>
      <c r="C85" s="153">
        <v>711</v>
      </c>
      <c r="D85" s="154"/>
      <c r="E85" s="155"/>
      <c r="F85" s="156" t="str">
        <f t="shared" si="1"/>
        <v>Variación de Productos Terminados</v>
      </c>
      <c r="G85" s="130"/>
      <c r="H85" s="130"/>
      <c r="I85" s="131">
        <f>SUM(H86)</f>
        <v>0</v>
      </c>
      <c r="J85" s="129"/>
      <c r="K85" s="137"/>
    </row>
    <row r="86" spans="2:11" x14ac:dyDescent="0.25">
      <c r="B86" s="143"/>
      <c r="C86" s="144"/>
      <c r="D86" s="145">
        <v>7111</v>
      </c>
      <c r="E86" s="146"/>
      <c r="F86" s="147" t="str">
        <f t="shared" si="1"/>
        <v>Productos Manufacturados</v>
      </c>
      <c r="G86" s="148"/>
      <c r="H86" s="148">
        <f>IF('Hoja Trabajo - Divisionarias'!N272="",0,'Hoja Trabajo - Divisionarias'!N272)</f>
        <v>0</v>
      </c>
      <c r="I86" s="148"/>
      <c r="J86" s="149"/>
      <c r="K86" s="150"/>
    </row>
    <row r="87" spans="2:11" x14ac:dyDescent="0.25">
      <c r="B87" s="152">
        <v>80</v>
      </c>
      <c r="C87" s="153"/>
      <c r="D87" s="154"/>
      <c r="E87" s="155"/>
      <c r="F87" s="156" t="str">
        <f t="shared" si="1"/>
        <v>MARGEN COMERCIAL</v>
      </c>
      <c r="G87" s="130"/>
      <c r="H87" s="130"/>
      <c r="I87" s="128"/>
      <c r="J87" s="129">
        <f>SUM(G88)</f>
        <v>154100</v>
      </c>
      <c r="K87" s="137"/>
    </row>
    <row r="88" spans="2:11" x14ac:dyDescent="0.25">
      <c r="B88" s="152"/>
      <c r="C88" s="153">
        <v>801</v>
      </c>
      <c r="D88" s="154"/>
      <c r="E88" s="155"/>
      <c r="F88" s="156" t="str">
        <f t="shared" si="1"/>
        <v>Margen Comercial</v>
      </c>
      <c r="G88" s="182">
        <f>IF(H43&gt;G45,H43-G45,0)</f>
        <v>154100</v>
      </c>
      <c r="H88" s="130"/>
      <c r="I88" s="128"/>
      <c r="J88" s="129"/>
      <c r="K88" s="137"/>
    </row>
    <row r="89" spans="2:11" x14ac:dyDescent="0.25">
      <c r="B89" s="152">
        <v>81</v>
      </c>
      <c r="C89" s="153"/>
      <c r="D89" s="154"/>
      <c r="E89" s="155"/>
      <c r="F89" s="156" t="str">
        <f t="shared" si="1"/>
        <v>PRODUCCIÓN DEL EJERCICIO</v>
      </c>
      <c r="G89" s="130"/>
      <c r="H89" s="130"/>
      <c r="I89" s="128"/>
      <c r="J89" s="129">
        <f>SUM(G90)</f>
        <v>0</v>
      </c>
      <c r="K89" s="137"/>
    </row>
    <row r="90" spans="2:11" x14ac:dyDescent="0.25">
      <c r="B90" s="152"/>
      <c r="C90" s="153">
        <v>811</v>
      </c>
      <c r="D90" s="154"/>
      <c r="E90" s="155"/>
      <c r="F90" s="156" t="str">
        <f t="shared" si="1"/>
        <v>Producción de Bienes</v>
      </c>
      <c r="G90" s="182">
        <f>IF(K80&gt;G83,K80-G83,0)</f>
        <v>0</v>
      </c>
      <c r="H90" s="130"/>
      <c r="I90" s="128"/>
      <c r="J90" s="129"/>
      <c r="K90" s="137"/>
    </row>
    <row r="91" spans="2:11" x14ac:dyDescent="0.25">
      <c r="B91" s="152">
        <v>82</v>
      </c>
      <c r="C91" s="153"/>
      <c r="D91" s="154"/>
      <c r="E91" s="155"/>
      <c r="F91" s="156" t="str">
        <f t="shared" si="1"/>
        <v>VALOR AGREGADO</v>
      </c>
      <c r="G91" s="130"/>
      <c r="H91" s="130"/>
      <c r="I91" s="128"/>
      <c r="J91" s="129">
        <f>SUM(G92)</f>
        <v>0</v>
      </c>
      <c r="K91" s="137"/>
    </row>
    <row r="92" spans="2:11" x14ac:dyDescent="0.25">
      <c r="B92" s="152"/>
      <c r="C92" s="153">
        <v>821</v>
      </c>
      <c r="D92" s="154"/>
      <c r="E92" s="155"/>
      <c r="F92" s="156" t="str">
        <f t="shared" si="1"/>
        <v>Valor Agregado</v>
      </c>
      <c r="G92" s="182">
        <f>SUM(H94,H96)</f>
        <v>0</v>
      </c>
      <c r="H92" s="130"/>
      <c r="I92" s="128"/>
      <c r="J92" s="129"/>
      <c r="K92" s="137"/>
    </row>
    <row r="93" spans="2:11" x14ac:dyDescent="0.25">
      <c r="B93" s="152">
        <v>80</v>
      </c>
      <c r="C93" s="153"/>
      <c r="D93" s="154"/>
      <c r="E93" s="155"/>
      <c r="F93" s="156" t="str">
        <f t="shared" si="1"/>
        <v>MARGEN COMERCIAL</v>
      </c>
      <c r="G93" s="130"/>
      <c r="H93" s="130"/>
      <c r="I93" s="128"/>
      <c r="J93" s="129"/>
      <c r="K93" s="137">
        <f>SUM(H94)</f>
        <v>0</v>
      </c>
    </row>
    <row r="94" spans="2:11" x14ac:dyDescent="0.25">
      <c r="B94" s="152"/>
      <c r="C94" s="153">
        <v>801</v>
      </c>
      <c r="D94" s="154"/>
      <c r="E94" s="155"/>
      <c r="F94" s="156" t="str">
        <f t="shared" si="1"/>
        <v>Margen Comercial</v>
      </c>
      <c r="G94" s="130"/>
      <c r="H94" s="133">
        <f>IF(G45&gt;H43,G45-H43,0)</f>
        <v>0</v>
      </c>
      <c r="I94" s="128"/>
      <c r="J94" s="129"/>
      <c r="K94" s="137"/>
    </row>
    <row r="95" spans="2:11" x14ac:dyDescent="0.25">
      <c r="B95" s="152">
        <v>81</v>
      </c>
      <c r="C95" s="153"/>
      <c r="D95" s="154"/>
      <c r="E95" s="155"/>
      <c r="F95" s="156" t="str">
        <f t="shared" si="1"/>
        <v>PRODUCCIÓN DEL EJERCICIO</v>
      </c>
      <c r="G95" s="130"/>
      <c r="H95" s="130"/>
      <c r="I95" s="128"/>
      <c r="J95" s="129"/>
      <c r="K95" s="137">
        <f>SUM(H96)</f>
        <v>0</v>
      </c>
    </row>
    <row r="96" spans="2:11" x14ac:dyDescent="0.25">
      <c r="B96" s="152"/>
      <c r="C96" s="153">
        <v>811</v>
      </c>
      <c r="D96" s="154"/>
      <c r="E96" s="155"/>
      <c r="F96" s="156" t="str">
        <f t="shared" si="1"/>
        <v>Producción de Bienes</v>
      </c>
      <c r="G96" s="130"/>
      <c r="H96" s="133">
        <f>IF(G83="",0,IF(G83&gt;H81,G83-H81,0))</f>
        <v>0</v>
      </c>
      <c r="I96" s="128"/>
      <c r="J96" s="129"/>
      <c r="K96" s="137"/>
    </row>
    <row r="97" spans="2:11" x14ac:dyDescent="0.25">
      <c r="B97" s="152">
        <v>82</v>
      </c>
      <c r="C97" s="153"/>
      <c r="D97" s="154"/>
      <c r="E97" s="155"/>
      <c r="F97" s="156" t="str">
        <f t="shared" si="1"/>
        <v>VALOR AGREGADO</v>
      </c>
      <c r="G97" s="130"/>
      <c r="H97" s="130"/>
      <c r="I97" s="128"/>
      <c r="J97" s="129"/>
      <c r="K97" s="137">
        <f>SUM(H98)</f>
        <v>154100</v>
      </c>
    </row>
    <row r="98" spans="2:11" x14ac:dyDescent="0.25">
      <c r="B98" s="143"/>
      <c r="C98" s="144">
        <v>821</v>
      </c>
      <c r="D98" s="145"/>
      <c r="E98" s="146"/>
      <c r="F98" s="147" t="str">
        <f t="shared" si="1"/>
        <v>Valor Agregado</v>
      </c>
      <c r="G98" s="148"/>
      <c r="H98" s="148">
        <f>SUM(G88,G90)</f>
        <v>154100</v>
      </c>
      <c r="I98" s="148"/>
      <c r="J98" s="149"/>
      <c r="K98" s="150"/>
    </row>
    <row r="99" spans="2:11" x14ac:dyDescent="0.25">
      <c r="B99" s="152">
        <v>61</v>
      </c>
      <c r="C99" s="153"/>
      <c r="D99" s="154"/>
      <c r="E99" s="155"/>
      <c r="F99" s="156" t="str">
        <f t="shared" si="1"/>
        <v>VARIACIÓN DE EXISTENCIAS</v>
      </c>
      <c r="G99" s="130"/>
      <c r="H99" s="130"/>
      <c r="I99" s="128"/>
      <c r="J99" s="129">
        <f>SUM(I100,I102,I106)</f>
        <v>0</v>
      </c>
      <c r="K99" s="137"/>
    </row>
    <row r="100" spans="2:11" x14ac:dyDescent="0.25">
      <c r="B100" s="152"/>
      <c r="C100" s="153">
        <v>612</v>
      </c>
      <c r="D100" s="154"/>
      <c r="E100" s="155"/>
      <c r="F100" s="156" t="str">
        <f t="shared" si="1"/>
        <v>Materias Primas</v>
      </c>
      <c r="G100" s="130"/>
      <c r="H100" s="130"/>
      <c r="I100" s="131">
        <f>SUM(G101)</f>
        <v>0</v>
      </c>
      <c r="J100" s="129"/>
      <c r="K100" s="137"/>
    </row>
    <row r="101" spans="2:11" x14ac:dyDescent="0.25">
      <c r="B101" s="152"/>
      <c r="C101" s="153"/>
      <c r="D101" s="154">
        <v>6121</v>
      </c>
      <c r="E101" s="155"/>
      <c r="F101" s="156" t="str">
        <f t="shared" si="1"/>
        <v>Materias Primas para Productos Manufacturados</v>
      </c>
      <c r="G101" s="133" t="str">
        <f>'Mayor - Nivel Divisionarias'!F1071</f>
        <v/>
      </c>
      <c r="H101" s="130"/>
      <c r="I101" s="128"/>
      <c r="J101" s="129"/>
      <c r="K101" s="137"/>
    </row>
    <row r="102" spans="2:11" x14ac:dyDescent="0.25">
      <c r="B102" s="152"/>
      <c r="C102" s="153">
        <v>613</v>
      </c>
      <c r="D102" s="154"/>
      <c r="E102" s="155"/>
      <c r="F102" s="156" t="str">
        <f t="shared" si="1"/>
        <v>Materiales Auxiliares, Suministros y Repuestos</v>
      </c>
      <c r="G102" s="130"/>
      <c r="H102" s="130"/>
      <c r="I102" s="131">
        <f>SUM(G103:G105)</f>
        <v>0</v>
      </c>
      <c r="J102" s="129"/>
      <c r="K102" s="137"/>
    </row>
    <row r="103" spans="2:11" x14ac:dyDescent="0.25">
      <c r="B103" s="152"/>
      <c r="C103" s="153"/>
      <c r="D103" s="154">
        <v>6131</v>
      </c>
      <c r="E103" s="155"/>
      <c r="F103" s="156" t="str">
        <f t="shared" si="1"/>
        <v>Materiales Auxiliares</v>
      </c>
      <c r="G103" s="130" t="str">
        <f>'Mayor - Nivel Divisionarias'!F1085</f>
        <v/>
      </c>
      <c r="H103" s="130"/>
      <c r="I103" s="128"/>
      <c r="J103" s="129"/>
      <c r="K103" s="137"/>
    </row>
    <row r="104" spans="2:11" x14ac:dyDescent="0.25">
      <c r="B104" s="152"/>
      <c r="C104" s="153"/>
      <c r="D104" s="154">
        <v>6132</v>
      </c>
      <c r="E104" s="155"/>
      <c r="F104" s="156" t="str">
        <f t="shared" si="1"/>
        <v>Suministros</v>
      </c>
      <c r="G104" s="130" t="str">
        <f>'Mayor - Nivel Divisionarias'!L1085</f>
        <v/>
      </c>
      <c r="H104" s="130"/>
      <c r="I104" s="128"/>
      <c r="J104" s="129"/>
      <c r="K104" s="137"/>
    </row>
    <row r="105" spans="2:11" x14ac:dyDescent="0.25">
      <c r="B105" s="152"/>
      <c r="C105" s="153"/>
      <c r="D105" s="154">
        <v>6133</v>
      </c>
      <c r="E105" s="155"/>
      <c r="F105" s="156" t="str">
        <f t="shared" si="1"/>
        <v>Repuestos</v>
      </c>
      <c r="G105" s="133" t="str">
        <f>'Mayor - Nivel Divisionarias'!R1085</f>
        <v/>
      </c>
      <c r="H105" s="130"/>
      <c r="I105" s="128"/>
      <c r="J105" s="129"/>
      <c r="K105" s="137"/>
    </row>
    <row r="106" spans="2:11" x14ac:dyDescent="0.25">
      <c r="B106" s="152"/>
      <c r="C106" s="153">
        <v>614</v>
      </c>
      <c r="D106" s="154"/>
      <c r="E106" s="155"/>
      <c r="F106" s="156" t="str">
        <f t="shared" si="1"/>
        <v>Envases y Embalajes</v>
      </c>
      <c r="G106" s="130"/>
      <c r="H106" s="130"/>
      <c r="I106" s="131">
        <f>SUM(G107:G108)</f>
        <v>0</v>
      </c>
      <c r="J106" s="129"/>
      <c r="K106" s="137"/>
    </row>
    <row r="107" spans="2:11" x14ac:dyDescent="0.25">
      <c r="B107" s="152"/>
      <c r="C107" s="153"/>
      <c r="D107" s="154">
        <v>6141</v>
      </c>
      <c r="E107" s="155"/>
      <c r="F107" s="156" t="str">
        <f t="shared" si="1"/>
        <v>Envases</v>
      </c>
      <c r="G107" s="130" t="str">
        <f>'Mayor - Nivel Divisionarias'!F1099</f>
        <v/>
      </c>
      <c r="H107" s="130"/>
      <c r="I107" s="128"/>
      <c r="J107" s="129"/>
      <c r="K107" s="137"/>
    </row>
    <row r="108" spans="2:11" x14ac:dyDescent="0.25">
      <c r="B108" s="152"/>
      <c r="C108" s="153"/>
      <c r="D108" s="154">
        <v>6142</v>
      </c>
      <c r="E108" s="155"/>
      <c r="F108" s="156" t="str">
        <f t="shared" si="1"/>
        <v>Embalajes</v>
      </c>
      <c r="G108" s="133" t="str">
        <f>'Mayor - Nivel Divisionarias'!L1099</f>
        <v/>
      </c>
      <c r="H108" s="130"/>
      <c r="I108" s="128"/>
      <c r="J108" s="129"/>
      <c r="K108" s="137"/>
    </row>
    <row r="109" spans="2:11" x14ac:dyDescent="0.25">
      <c r="B109" s="152">
        <v>82</v>
      </c>
      <c r="C109" s="153"/>
      <c r="D109" s="154"/>
      <c r="E109" s="155"/>
      <c r="F109" s="156" t="str">
        <f t="shared" si="1"/>
        <v>VALOR AGREGADO</v>
      </c>
      <c r="G109" s="130"/>
      <c r="H109" s="130"/>
      <c r="I109" s="128"/>
      <c r="J109" s="129"/>
      <c r="K109" s="137">
        <f>SUM(H110)</f>
        <v>0</v>
      </c>
    </row>
    <row r="110" spans="2:11" x14ac:dyDescent="0.25">
      <c r="B110" s="143"/>
      <c r="C110" s="144">
        <v>821</v>
      </c>
      <c r="D110" s="145"/>
      <c r="E110" s="146"/>
      <c r="F110" s="147" t="str">
        <f t="shared" si="1"/>
        <v>Valor Agregado</v>
      </c>
      <c r="G110" s="148"/>
      <c r="H110" s="148">
        <f>SUM(G101,G103:G104,G107:G108)</f>
        <v>0</v>
      </c>
      <c r="I110" s="148"/>
      <c r="J110" s="149"/>
      <c r="K110" s="150"/>
    </row>
    <row r="111" spans="2:11" x14ac:dyDescent="0.25">
      <c r="B111" s="152">
        <v>82</v>
      </c>
      <c r="C111" s="153"/>
      <c r="D111" s="154"/>
      <c r="E111" s="155"/>
      <c r="F111" s="156" t="str">
        <f t="shared" si="1"/>
        <v>VALOR AGREGADO</v>
      </c>
      <c r="G111" s="130"/>
      <c r="H111" s="130"/>
      <c r="I111" s="128"/>
      <c r="J111" s="129">
        <f>SUM(G112)</f>
        <v>20542.372881355932</v>
      </c>
      <c r="K111" s="137"/>
    </row>
    <row r="112" spans="2:11" x14ac:dyDescent="0.25">
      <c r="B112" s="152"/>
      <c r="C112" s="153">
        <v>821</v>
      </c>
      <c r="D112" s="154"/>
      <c r="E112" s="155"/>
      <c r="F112" s="156" t="str">
        <f t="shared" si="1"/>
        <v>Valor Agregado</v>
      </c>
      <c r="G112" s="133">
        <f>SUM(H115:H118,H120:H122,H124:H125,H127:H129,H132,H134:H136,H138:H139,H142:H145,H147:H149,H151,H153:H154,H156:H160,H162:H168,H170:H172,H174:H177)</f>
        <v>20542.372881355932</v>
      </c>
      <c r="H112" s="130"/>
      <c r="I112" s="128"/>
      <c r="J112" s="129"/>
      <c r="K112" s="137"/>
    </row>
    <row r="113" spans="2:11" x14ac:dyDescent="0.25">
      <c r="B113" s="152">
        <v>60</v>
      </c>
      <c r="C113" s="153"/>
      <c r="D113" s="154"/>
      <c r="E113" s="155"/>
      <c r="F113" s="156" t="str">
        <f t="shared" si="1"/>
        <v>COMPRAS</v>
      </c>
      <c r="G113" s="130"/>
      <c r="H113" s="130"/>
      <c r="I113" s="128"/>
      <c r="J113" s="129"/>
      <c r="K113" s="137">
        <f>SUM(I114,I119,I123,I126)</f>
        <v>0</v>
      </c>
    </row>
    <row r="114" spans="2:11" x14ac:dyDescent="0.25">
      <c r="B114" s="152"/>
      <c r="C114" s="153">
        <v>602</v>
      </c>
      <c r="D114" s="154"/>
      <c r="E114" s="155"/>
      <c r="F114" s="156" t="str">
        <f t="shared" si="1"/>
        <v>Materias Primas</v>
      </c>
      <c r="G114" s="130"/>
      <c r="H114" s="130"/>
      <c r="I114" s="128">
        <f>SUM(H115:H118)</f>
        <v>0</v>
      </c>
      <c r="J114" s="129"/>
      <c r="K114" s="137"/>
    </row>
    <row r="115" spans="2:11" x14ac:dyDescent="0.25">
      <c r="B115" s="152"/>
      <c r="C115" s="153"/>
      <c r="D115" s="154">
        <v>6021</v>
      </c>
      <c r="E115" s="155"/>
      <c r="F115" s="156" t="str">
        <f t="shared" si="1"/>
        <v>Materias Primas - Materias Primas para Productos Manufacturados</v>
      </c>
      <c r="G115" s="130"/>
      <c r="H115" s="130">
        <f>'Hoja Trabajo - Divisionarias'!N147</f>
        <v>0</v>
      </c>
      <c r="I115" s="128"/>
      <c r="J115" s="129"/>
      <c r="K115" s="137"/>
    </row>
    <row r="116" spans="2:11" x14ac:dyDescent="0.25">
      <c r="B116" s="152"/>
      <c r="C116" s="153"/>
      <c r="D116" s="154">
        <v>6022</v>
      </c>
      <c r="E116" s="155"/>
      <c r="F116" s="156" t="str">
        <f t="shared" si="1"/>
        <v>Materias Primas - Materias Primas para Productos de Extracción</v>
      </c>
      <c r="G116" s="130"/>
      <c r="H116" s="130">
        <f>'Hoja Trabajo - Divisionarias'!N148</f>
        <v>0</v>
      </c>
      <c r="I116" s="128"/>
      <c r="J116" s="129"/>
      <c r="K116" s="137"/>
    </row>
    <row r="117" spans="2:11" x14ac:dyDescent="0.25">
      <c r="B117" s="152"/>
      <c r="C117" s="153"/>
      <c r="D117" s="154">
        <v>6023</v>
      </c>
      <c r="E117" s="155"/>
      <c r="F117" s="156" t="str">
        <f t="shared" si="1"/>
        <v>Materias Primas - Materias Primas para Productos Agropecuarios y Piscícolas</v>
      </c>
      <c r="G117" s="130"/>
      <c r="H117" s="130">
        <f>'Hoja Trabajo - Divisionarias'!N149</f>
        <v>0</v>
      </c>
      <c r="I117" s="128"/>
      <c r="J117" s="129"/>
      <c r="K117" s="137"/>
    </row>
    <row r="118" spans="2:11" x14ac:dyDescent="0.25">
      <c r="B118" s="152"/>
      <c r="C118" s="153"/>
      <c r="D118" s="154">
        <v>6024</v>
      </c>
      <c r="E118" s="155"/>
      <c r="F118" s="156" t="str">
        <f t="shared" si="1"/>
        <v>Materias Primas - Materias Primas para Productos Inmuebles</v>
      </c>
      <c r="G118" s="130"/>
      <c r="H118" s="133">
        <f>'Hoja Trabajo - Divisionarias'!N150</f>
        <v>0</v>
      </c>
      <c r="I118" s="128"/>
      <c r="J118" s="129"/>
      <c r="K118" s="137"/>
    </row>
    <row r="119" spans="2:11" x14ac:dyDescent="0.25">
      <c r="B119" s="152"/>
      <c r="C119" s="153">
        <v>603</v>
      </c>
      <c r="D119" s="154"/>
      <c r="E119" s="155"/>
      <c r="F119" s="156" t="str">
        <f t="shared" si="1"/>
        <v>Materiales Auxiliares, Suministros y Repuestos</v>
      </c>
      <c r="G119" s="130"/>
      <c r="H119" s="130"/>
      <c r="I119" s="128">
        <f>SUM(H120:H122)</f>
        <v>0</v>
      </c>
      <c r="J119" s="129"/>
      <c r="K119" s="137"/>
    </row>
    <row r="120" spans="2:11" x14ac:dyDescent="0.25">
      <c r="B120" s="152"/>
      <c r="C120" s="153"/>
      <c r="D120" s="154">
        <v>6031</v>
      </c>
      <c r="E120" s="155"/>
      <c r="F120" s="156" t="str">
        <f t="shared" si="1"/>
        <v>Materiales Auxiliares, Suministros y Repuestos - Materiales Auxiliares</v>
      </c>
      <c r="G120" s="130"/>
      <c r="H120" s="130">
        <f>'Hoja Trabajo - Divisionarias'!N151</f>
        <v>0</v>
      </c>
      <c r="I120" s="128"/>
      <c r="J120" s="129"/>
      <c r="K120" s="137"/>
    </row>
    <row r="121" spans="2:11" x14ac:dyDescent="0.25">
      <c r="B121" s="152"/>
      <c r="C121" s="153"/>
      <c r="D121" s="154">
        <v>6032</v>
      </c>
      <c r="E121" s="155"/>
      <c r="F121" s="156" t="str">
        <f t="shared" si="1"/>
        <v>Materiales Auxiliares, Suministros y Repuestos - Suministros</v>
      </c>
      <c r="G121" s="130"/>
      <c r="H121" s="130">
        <f>'Hoja Trabajo - Divisionarias'!N152</f>
        <v>0</v>
      </c>
      <c r="I121" s="128"/>
      <c r="J121" s="129"/>
      <c r="K121" s="137"/>
    </row>
    <row r="122" spans="2:11" x14ac:dyDescent="0.25">
      <c r="B122" s="152"/>
      <c r="C122" s="153"/>
      <c r="D122" s="154">
        <v>6033</v>
      </c>
      <c r="E122" s="155"/>
      <c r="F122" s="156" t="str">
        <f t="shared" si="1"/>
        <v>Materiales Auxiliares, Suministros y Repuestos - Repuestos</v>
      </c>
      <c r="G122" s="130"/>
      <c r="H122" s="133">
        <f>'Hoja Trabajo - Divisionarias'!N153</f>
        <v>0</v>
      </c>
      <c r="I122" s="128"/>
      <c r="J122" s="129"/>
      <c r="K122" s="137"/>
    </row>
    <row r="123" spans="2:11" x14ac:dyDescent="0.25">
      <c r="B123" s="152"/>
      <c r="C123" s="153">
        <v>604</v>
      </c>
      <c r="D123" s="154"/>
      <c r="E123" s="155"/>
      <c r="F123" s="156" t="str">
        <f t="shared" si="1"/>
        <v>Envases y Embalajes</v>
      </c>
      <c r="G123" s="130"/>
      <c r="H123" s="130"/>
      <c r="I123" s="131">
        <f>SUM(H124:H125)</f>
        <v>0</v>
      </c>
      <c r="J123" s="129"/>
      <c r="K123" s="137"/>
    </row>
    <row r="124" spans="2:11" x14ac:dyDescent="0.25">
      <c r="B124" s="152"/>
      <c r="C124" s="153"/>
      <c r="D124" s="154">
        <v>6041</v>
      </c>
      <c r="E124" s="155"/>
      <c r="F124" s="156" t="str">
        <f t="shared" si="1"/>
        <v>Envases y Embalajes - Envases</v>
      </c>
      <c r="G124" s="130"/>
      <c r="H124" s="130">
        <f>'Hoja Trabajo - Divisionarias'!N154</f>
        <v>0</v>
      </c>
      <c r="I124" s="128"/>
      <c r="J124" s="129"/>
      <c r="K124" s="137"/>
    </row>
    <row r="125" spans="2:11" x14ac:dyDescent="0.25">
      <c r="B125" s="152"/>
      <c r="C125" s="153"/>
      <c r="D125" s="154">
        <v>6042</v>
      </c>
      <c r="E125" s="155"/>
      <c r="F125" s="156" t="str">
        <f t="shared" si="1"/>
        <v>Envases y Embalajes - Embalajes</v>
      </c>
      <c r="G125" s="130"/>
      <c r="H125" s="133">
        <f>'Hoja Trabajo - Divisionarias'!N155</f>
        <v>0</v>
      </c>
      <c r="I125" s="128"/>
      <c r="J125" s="129"/>
      <c r="K125" s="137"/>
    </row>
    <row r="126" spans="2:11" x14ac:dyDescent="0.25">
      <c r="B126" s="152"/>
      <c r="C126" s="153">
        <v>609</v>
      </c>
      <c r="D126" s="154"/>
      <c r="E126" s="155"/>
      <c r="F126" s="156" t="str">
        <f t="shared" si="1"/>
        <v>Costos Vinculados con las Compras</v>
      </c>
      <c r="G126" s="130"/>
      <c r="H126" s="130"/>
      <c r="I126" s="128">
        <f>SUM(H127:H129)</f>
        <v>0</v>
      </c>
      <c r="J126" s="129"/>
      <c r="K126" s="137"/>
    </row>
    <row r="127" spans="2:11" x14ac:dyDescent="0.25">
      <c r="B127" s="152"/>
      <c r="C127" s="153"/>
      <c r="D127" s="154">
        <v>6091</v>
      </c>
      <c r="E127" s="155"/>
      <c r="F127" s="156" t="str">
        <f t="shared" si="1"/>
        <v>Costos Vinculados con las Compras de Mercaderías</v>
      </c>
      <c r="G127" s="130"/>
      <c r="H127" s="130">
        <f>'Hoja Trabajo - Divisionarias'!N156</f>
        <v>0</v>
      </c>
      <c r="I127" s="128"/>
      <c r="J127" s="129"/>
      <c r="K127" s="137"/>
    </row>
    <row r="128" spans="2:11" x14ac:dyDescent="0.25">
      <c r="B128" s="152"/>
      <c r="C128" s="153"/>
      <c r="D128" s="154">
        <v>6092</v>
      </c>
      <c r="E128" s="155"/>
      <c r="F128" s="156" t="str">
        <f t="shared" si="1"/>
        <v>Costos Vinculados con las Compras de Materias Primas</v>
      </c>
      <c r="G128" s="130"/>
      <c r="H128" s="130">
        <f>'Hoja Trabajo - Divisionarias'!N157</f>
        <v>0</v>
      </c>
      <c r="I128" s="128"/>
      <c r="J128" s="129"/>
      <c r="K128" s="137"/>
    </row>
    <row r="129" spans="2:11" x14ac:dyDescent="0.25">
      <c r="B129" s="152"/>
      <c r="C129" s="153"/>
      <c r="D129" s="154">
        <v>6099</v>
      </c>
      <c r="E129" s="155"/>
      <c r="F129" s="156" t="str">
        <f t="shared" si="1"/>
        <v>Costos Vinculados con las Compras - Reclasificación de IGV al Costo</v>
      </c>
      <c r="G129" s="130"/>
      <c r="H129" s="133">
        <f>'Hoja Trabajo - Divisionarias'!N158</f>
        <v>0</v>
      </c>
      <c r="I129" s="128"/>
      <c r="J129" s="129"/>
      <c r="K129" s="137"/>
    </row>
    <row r="130" spans="2:11" x14ac:dyDescent="0.25">
      <c r="B130" s="152">
        <v>61</v>
      </c>
      <c r="C130" s="153"/>
      <c r="D130" s="154"/>
      <c r="E130" s="155"/>
      <c r="F130" s="156" t="str">
        <f t="shared" si="1"/>
        <v>VARIACIÓN DE EXISTENCIAS</v>
      </c>
      <c r="G130" s="130"/>
      <c r="H130" s="130"/>
      <c r="I130" s="128"/>
      <c r="J130" s="129"/>
      <c r="K130" s="137">
        <f>SUM(I131,I133,I137)</f>
        <v>0</v>
      </c>
    </row>
    <row r="131" spans="2:11" x14ac:dyDescent="0.25">
      <c r="B131" s="152"/>
      <c r="C131" s="153">
        <v>612</v>
      </c>
      <c r="D131" s="154"/>
      <c r="E131" s="155"/>
      <c r="F131" s="156" t="str">
        <f t="shared" si="1"/>
        <v>Materias Primas</v>
      </c>
      <c r="G131" s="130"/>
      <c r="H131" s="130"/>
      <c r="I131" s="128">
        <f>SUM(H132)</f>
        <v>0</v>
      </c>
      <c r="J131" s="129"/>
      <c r="K131" s="137"/>
    </row>
    <row r="132" spans="2:11" x14ac:dyDescent="0.25">
      <c r="B132" s="152"/>
      <c r="C132" s="153"/>
      <c r="D132" s="154">
        <v>6121</v>
      </c>
      <c r="E132" s="155"/>
      <c r="F132" s="156" t="str">
        <f t="shared" si="1"/>
        <v>Materias Primas para Productos Manufacturados</v>
      </c>
      <c r="G132" s="130"/>
      <c r="H132" s="133">
        <f>'Hoja Trabajo - Divisionarias'!N160</f>
        <v>0</v>
      </c>
      <c r="I132" s="128"/>
      <c r="J132" s="129"/>
      <c r="K132" s="137"/>
    </row>
    <row r="133" spans="2:11" x14ac:dyDescent="0.25">
      <c r="B133" s="152"/>
      <c r="C133" s="153">
        <v>613</v>
      </c>
      <c r="D133" s="154"/>
      <c r="E133" s="155"/>
      <c r="F133" s="156" t="str">
        <f t="shared" si="1"/>
        <v>Materiales Auxiliares, Suministros y Repuestos</v>
      </c>
      <c r="G133" s="130"/>
      <c r="H133" s="130"/>
      <c r="I133" s="128">
        <f>SUM(H134:H136)</f>
        <v>0</v>
      </c>
      <c r="J133" s="129"/>
      <c r="K133" s="137"/>
    </row>
    <row r="134" spans="2:11" x14ac:dyDescent="0.25">
      <c r="B134" s="152"/>
      <c r="C134" s="153"/>
      <c r="D134" s="154">
        <v>6131</v>
      </c>
      <c r="E134" s="155"/>
      <c r="F134" s="156" t="str">
        <f t="shared" si="1"/>
        <v>Materiales Auxiliares</v>
      </c>
      <c r="G134" s="130"/>
      <c r="H134" s="130">
        <f>'Hoja Trabajo - Divisionarias'!N161</f>
        <v>0</v>
      </c>
      <c r="I134" s="128"/>
      <c r="J134" s="129"/>
      <c r="K134" s="137"/>
    </row>
    <row r="135" spans="2:11" x14ac:dyDescent="0.25">
      <c r="B135" s="152"/>
      <c r="C135" s="153"/>
      <c r="D135" s="154">
        <v>6132</v>
      </c>
      <c r="E135" s="155"/>
      <c r="F135" s="156" t="str">
        <f t="shared" ref="F135:F198" si="2">IF(AND(B135="",C135="",D135="",E135=""),"",IF(AND(B135&gt;0,C135&gt;0,D135&gt;0,E135&gt;0),"",IF(B135&gt;0,VLOOKUP(B135,CuentasContables,5,FALSE),IF(C135&gt;0,VLOOKUP(C135,SubCuentasContables,4,FALSE),IF(D135&gt;0,VLOOKUP(D135,DivisionariasContables,3,FALSE),IF(E135&gt;0,VLOOKUP(E135,SubDivisionariasContables,2,FALSE)))))))</f>
        <v>Suministros</v>
      </c>
      <c r="G135" s="130"/>
      <c r="H135" s="130">
        <f>'Hoja Trabajo - Divisionarias'!N162</f>
        <v>0</v>
      </c>
      <c r="I135" s="128"/>
      <c r="J135" s="129"/>
      <c r="K135" s="137"/>
    </row>
    <row r="136" spans="2:11" x14ac:dyDescent="0.25">
      <c r="B136" s="152"/>
      <c r="C136" s="153"/>
      <c r="D136" s="154">
        <v>6133</v>
      </c>
      <c r="E136" s="155"/>
      <c r="F136" s="156" t="str">
        <f t="shared" si="2"/>
        <v>Repuestos</v>
      </c>
      <c r="G136" s="130"/>
      <c r="H136" s="133">
        <f>'Hoja Trabajo - Divisionarias'!N163</f>
        <v>0</v>
      </c>
      <c r="I136" s="128"/>
      <c r="J136" s="129"/>
      <c r="K136" s="137"/>
    </row>
    <row r="137" spans="2:11" x14ac:dyDescent="0.25">
      <c r="B137" s="152"/>
      <c r="C137" s="153">
        <v>614</v>
      </c>
      <c r="D137" s="154"/>
      <c r="E137" s="155"/>
      <c r="F137" s="156" t="str">
        <f t="shared" si="2"/>
        <v>Envases y Embalajes</v>
      </c>
      <c r="G137" s="130"/>
      <c r="H137" s="130"/>
      <c r="I137" s="131">
        <f>SUM(H138:H139)</f>
        <v>0</v>
      </c>
      <c r="J137" s="129"/>
      <c r="K137" s="137"/>
    </row>
    <row r="138" spans="2:11" x14ac:dyDescent="0.25">
      <c r="B138" s="152"/>
      <c r="C138" s="153"/>
      <c r="D138" s="154">
        <v>6141</v>
      </c>
      <c r="E138" s="155"/>
      <c r="F138" s="156" t="str">
        <f t="shared" si="2"/>
        <v>Envases</v>
      </c>
      <c r="G138" s="130"/>
      <c r="H138" s="130">
        <f>'Hoja Trabajo - Divisionarias'!N164</f>
        <v>0</v>
      </c>
      <c r="I138" s="128"/>
      <c r="J138" s="129"/>
      <c r="K138" s="137"/>
    </row>
    <row r="139" spans="2:11" x14ac:dyDescent="0.25">
      <c r="B139" s="152"/>
      <c r="C139" s="153"/>
      <c r="D139" s="154">
        <v>6142</v>
      </c>
      <c r="E139" s="155"/>
      <c r="F139" s="156" t="str">
        <f t="shared" si="2"/>
        <v>Embalajes</v>
      </c>
      <c r="G139" s="130"/>
      <c r="H139" s="133">
        <f>'Hoja Trabajo - Divisionarias'!N165</f>
        <v>0</v>
      </c>
      <c r="I139" s="128"/>
      <c r="J139" s="129"/>
      <c r="K139" s="137"/>
    </row>
    <row r="140" spans="2:11" x14ac:dyDescent="0.25">
      <c r="B140" s="152">
        <v>63</v>
      </c>
      <c r="C140" s="153"/>
      <c r="D140" s="154"/>
      <c r="E140" s="155"/>
      <c r="F140" s="156" t="str">
        <f t="shared" si="2"/>
        <v>GASTOS DE SERVICIOS PRESTADOS POR TERCEROS</v>
      </c>
      <c r="G140" s="130"/>
      <c r="H140" s="130"/>
      <c r="I140" s="128"/>
      <c r="J140" s="129"/>
      <c r="K140" s="137">
        <f>SUM(I141,I146,I150,I152,I155,I161,I169,I173)</f>
        <v>20542.372881355932</v>
      </c>
    </row>
    <row r="141" spans="2:11" x14ac:dyDescent="0.25">
      <c r="B141" s="152"/>
      <c r="C141" s="153">
        <v>631</v>
      </c>
      <c r="D141" s="154"/>
      <c r="E141" s="155"/>
      <c r="F141" s="156" t="str">
        <f t="shared" si="2"/>
        <v>Transporte, Correos y Gastos de Viaje</v>
      </c>
      <c r="G141" s="130"/>
      <c r="H141" s="130"/>
      <c r="I141" s="128">
        <f>SUM(H142:H145)</f>
        <v>0</v>
      </c>
      <c r="J141" s="129"/>
      <c r="K141" s="137"/>
    </row>
    <row r="142" spans="2:11" x14ac:dyDescent="0.25">
      <c r="B142" s="152"/>
      <c r="C142" s="153"/>
      <c r="D142" s="154">
        <v>6311</v>
      </c>
      <c r="E142" s="155"/>
      <c r="F142" s="156" t="str">
        <f t="shared" si="2"/>
        <v>Transporte, Correos y Gastos de Viaje - Transporte</v>
      </c>
      <c r="G142" s="130"/>
      <c r="H142" s="130">
        <f>'Hoja Trabajo - Divisionarias'!N172</f>
        <v>0</v>
      </c>
      <c r="I142" s="128"/>
      <c r="J142" s="129"/>
      <c r="K142" s="137"/>
    </row>
    <row r="143" spans="2:11" x14ac:dyDescent="0.25">
      <c r="B143" s="152"/>
      <c r="C143" s="153"/>
      <c r="D143" s="154">
        <v>6312</v>
      </c>
      <c r="E143" s="155"/>
      <c r="F143" s="156" t="str">
        <f t="shared" si="2"/>
        <v>Transporte, Correos y Gastos de Viaje - Correos</v>
      </c>
      <c r="G143" s="130"/>
      <c r="H143" s="130">
        <f>'Hoja Trabajo - Divisionarias'!N173</f>
        <v>0</v>
      </c>
      <c r="I143" s="128"/>
      <c r="J143" s="129"/>
      <c r="K143" s="137"/>
    </row>
    <row r="144" spans="2:11" x14ac:dyDescent="0.25">
      <c r="B144" s="152"/>
      <c r="C144" s="153"/>
      <c r="D144" s="154">
        <v>6313</v>
      </c>
      <c r="E144" s="155"/>
      <c r="F144" s="156" t="str">
        <f t="shared" si="2"/>
        <v>Transporte, Correos y Gastos de Viaje - Alojamiento</v>
      </c>
      <c r="G144" s="130"/>
      <c r="H144" s="130">
        <f>'Hoja Trabajo - Divisionarias'!N174</f>
        <v>0</v>
      </c>
      <c r="I144" s="128"/>
      <c r="J144" s="129"/>
      <c r="K144" s="137"/>
    </row>
    <row r="145" spans="2:11" x14ac:dyDescent="0.25">
      <c r="B145" s="152"/>
      <c r="C145" s="153"/>
      <c r="D145" s="154">
        <v>6314</v>
      </c>
      <c r="E145" s="155"/>
      <c r="F145" s="156" t="str">
        <f t="shared" si="2"/>
        <v>Transporte, Correos y Gastos de Viaje - Alimentación</v>
      </c>
      <c r="G145" s="130"/>
      <c r="H145" s="133">
        <f>'Hoja Trabajo - Divisionarias'!N175</f>
        <v>0</v>
      </c>
      <c r="I145" s="128"/>
      <c r="J145" s="129"/>
      <c r="K145" s="137"/>
    </row>
    <row r="146" spans="2:11" x14ac:dyDescent="0.25">
      <c r="B146" s="152"/>
      <c r="C146" s="153">
        <v>632</v>
      </c>
      <c r="D146" s="154"/>
      <c r="E146" s="155"/>
      <c r="F146" s="156" t="str">
        <f t="shared" si="2"/>
        <v>Asesoría y Consultoría</v>
      </c>
      <c r="G146" s="130"/>
      <c r="H146" s="130"/>
      <c r="I146" s="128">
        <f>SUM(H147:H149)</f>
        <v>12000</v>
      </c>
      <c r="J146" s="129"/>
      <c r="K146" s="137"/>
    </row>
    <row r="147" spans="2:11" x14ac:dyDescent="0.25">
      <c r="B147" s="152"/>
      <c r="C147" s="153"/>
      <c r="D147" s="154">
        <v>6321</v>
      </c>
      <c r="E147" s="155"/>
      <c r="F147" s="156" t="str">
        <f t="shared" si="2"/>
        <v>Asesoría y Consultoría - Administrativa</v>
      </c>
      <c r="G147" s="130"/>
      <c r="H147" s="130">
        <f>'Hoja Trabajo - Divisionarias'!N176</f>
        <v>0</v>
      </c>
      <c r="I147" s="128"/>
      <c r="J147" s="129"/>
      <c r="K147" s="137"/>
    </row>
    <row r="148" spans="2:11" x14ac:dyDescent="0.25">
      <c r="B148" s="152"/>
      <c r="C148" s="153"/>
      <c r="D148" s="154">
        <v>6322</v>
      </c>
      <c r="E148" s="155"/>
      <c r="F148" s="156" t="str">
        <f t="shared" si="2"/>
        <v>Asesoría y Consultoría - Legal y Tributario</v>
      </c>
      <c r="G148" s="130"/>
      <c r="H148" s="130">
        <f>'Hoja Trabajo - Divisionarias'!N177</f>
        <v>0</v>
      </c>
      <c r="I148" s="128"/>
      <c r="J148" s="129"/>
      <c r="K148" s="137"/>
    </row>
    <row r="149" spans="2:11" x14ac:dyDescent="0.25">
      <c r="B149" s="152"/>
      <c r="C149" s="153"/>
      <c r="D149" s="154">
        <v>6323</v>
      </c>
      <c r="E149" s="155"/>
      <c r="F149" s="156" t="str">
        <f t="shared" si="2"/>
        <v>Asesoría y Consultoría - Auditoría y Contable</v>
      </c>
      <c r="G149" s="130"/>
      <c r="H149" s="133">
        <f>'Hoja Trabajo - Divisionarias'!N178</f>
        <v>12000</v>
      </c>
      <c r="I149" s="128"/>
      <c r="J149" s="129"/>
      <c r="K149" s="137"/>
    </row>
    <row r="150" spans="2:11" x14ac:dyDescent="0.25">
      <c r="B150" s="152"/>
      <c r="C150" s="153">
        <v>633</v>
      </c>
      <c r="D150" s="154"/>
      <c r="E150" s="155"/>
      <c r="F150" s="156" t="str">
        <f t="shared" si="2"/>
        <v>Producción Encargada a Terceros</v>
      </c>
      <c r="G150" s="130"/>
      <c r="H150" s="130"/>
      <c r="I150" s="128">
        <f>SUM(H151)</f>
        <v>0</v>
      </c>
      <c r="J150" s="129"/>
      <c r="K150" s="137"/>
    </row>
    <row r="151" spans="2:11" x14ac:dyDescent="0.25">
      <c r="B151" s="152"/>
      <c r="C151" s="153"/>
      <c r="D151" s="154">
        <v>6331</v>
      </c>
      <c r="E151" s="155"/>
      <c r="F151" s="156" t="str">
        <f t="shared" si="2"/>
        <v>Producción Encargada a Terceros</v>
      </c>
      <c r="G151" s="130"/>
      <c r="H151" s="133">
        <f>'Hoja Trabajo - Divisionarias'!N179</f>
        <v>0</v>
      </c>
      <c r="I151" s="128"/>
      <c r="J151" s="129"/>
      <c r="K151" s="137"/>
    </row>
    <row r="152" spans="2:11" x14ac:dyDescent="0.25">
      <c r="B152" s="152"/>
      <c r="C152" s="153">
        <v>634</v>
      </c>
      <c r="D152" s="154"/>
      <c r="E152" s="155"/>
      <c r="F152" s="156" t="str">
        <f t="shared" si="2"/>
        <v>Mantenimiento y Reparación</v>
      </c>
      <c r="G152" s="130"/>
      <c r="H152" s="130"/>
      <c r="I152" s="128">
        <f>SUM(H153:H154)</f>
        <v>0</v>
      </c>
      <c r="J152" s="129"/>
      <c r="K152" s="137"/>
    </row>
    <row r="153" spans="2:11" x14ac:dyDescent="0.25">
      <c r="B153" s="152"/>
      <c r="C153" s="153"/>
      <c r="D153" s="154">
        <v>6341</v>
      </c>
      <c r="E153" s="155"/>
      <c r="F153" s="156" t="str">
        <f t="shared" si="2"/>
        <v>Mantenimiento y Reparación - Inversión Inmobiliaria</v>
      </c>
      <c r="G153" s="130"/>
      <c r="H153" s="130">
        <f>'Hoja Trabajo - Divisionarias'!N180</f>
        <v>0</v>
      </c>
      <c r="I153" s="128"/>
      <c r="J153" s="129"/>
      <c r="K153" s="137"/>
    </row>
    <row r="154" spans="2:11" x14ac:dyDescent="0.25">
      <c r="B154" s="152"/>
      <c r="C154" s="153"/>
      <c r="D154" s="154">
        <v>6342</v>
      </c>
      <c r="E154" s="155"/>
      <c r="F154" s="156" t="str">
        <f t="shared" si="2"/>
        <v>Mantenimiento y Reparación - Activos Adquiridos en Arrendamiento Financiero</v>
      </c>
      <c r="G154" s="130"/>
      <c r="H154" s="133">
        <f>'Hoja Trabajo - Divisionarias'!N181</f>
        <v>0</v>
      </c>
      <c r="I154" s="128"/>
      <c r="J154" s="129"/>
      <c r="K154" s="137"/>
    </row>
    <row r="155" spans="2:11" x14ac:dyDescent="0.25">
      <c r="B155" s="152"/>
      <c r="C155" s="153">
        <v>635</v>
      </c>
      <c r="D155" s="154"/>
      <c r="E155" s="155"/>
      <c r="F155" s="156" t="str">
        <f t="shared" si="2"/>
        <v>Alquileres</v>
      </c>
      <c r="G155" s="130"/>
      <c r="H155" s="130"/>
      <c r="I155" s="128">
        <f>SUM(H156:H160)</f>
        <v>0</v>
      </c>
      <c r="J155" s="129"/>
      <c r="K155" s="137"/>
    </row>
    <row r="156" spans="2:11" x14ac:dyDescent="0.25">
      <c r="B156" s="152"/>
      <c r="C156" s="153"/>
      <c r="D156" s="154">
        <v>6351</v>
      </c>
      <c r="E156" s="155"/>
      <c r="F156" s="156" t="str">
        <f t="shared" si="2"/>
        <v>Alquileres - Terrenos</v>
      </c>
      <c r="G156" s="130"/>
      <c r="H156" s="130">
        <f>'Hoja Trabajo - Divisionarias'!N182</f>
        <v>0</v>
      </c>
      <c r="I156" s="128"/>
      <c r="J156" s="129"/>
      <c r="K156" s="137"/>
    </row>
    <row r="157" spans="2:11" x14ac:dyDescent="0.25">
      <c r="B157" s="152"/>
      <c r="C157" s="153"/>
      <c r="D157" s="154">
        <v>6352</v>
      </c>
      <c r="E157" s="155"/>
      <c r="F157" s="156" t="str">
        <f t="shared" si="2"/>
        <v>Alquileres - Edificaciones</v>
      </c>
      <c r="G157" s="130"/>
      <c r="H157" s="130">
        <f>'Hoja Trabajo - Divisionarias'!N183</f>
        <v>0</v>
      </c>
      <c r="I157" s="128"/>
      <c r="J157" s="129"/>
      <c r="K157" s="137"/>
    </row>
    <row r="158" spans="2:11" x14ac:dyDescent="0.25">
      <c r="B158" s="152"/>
      <c r="C158" s="153"/>
      <c r="D158" s="154">
        <v>6353</v>
      </c>
      <c r="E158" s="155"/>
      <c r="F158" s="156" t="str">
        <f t="shared" si="2"/>
        <v>Alquileres - Maquinarias y Equipos de Explotación</v>
      </c>
      <c r="G158" s="130"/>
      <c r="H158" s="130">
        <f>'Hoja Trabajo - Divisionarias'!N184</f>
        <v>0</v>
      </c>
      <c r="I158" s="128"/>
      <c r="J158" s="129"/>
      <c r="K158" s="137"/>
    </row>
    <row r="159" spans="2:11" x14ac:dyDescent="0.25">
      <c r="B159" s="152"/>
      <c r="C159" s="153"/>
      <c r="D159" s="154">
        <v>6354</v>
      </c>
      <c r="E159" s="155"/>
      <c r="F159" s="156" t="str">
        <f t="shared" si="2"/>
        <v>Alquileres - Equipos de Transporte</v>
      </c>
      <c r="G159" s="130"/>
      <c r="H159" s="130">
        <f>'Hoja Trabajo - Divisionarias'!N185</f>
        <v>0</v>
      </c>
      <c r="I159" s="128"/>
      <c r="J159" s="129"/>
      <c r="K159" s="137"/>
    </row>
    <row r="160" spans="2:11" x14ac:dyDescent="0.25">
      <c r="B160" s="152"/>
      <c r="C160" s="153"/>
      <c r="D160" s="154">
        <v>6356</v>
      </c>
      <c r="E160" s="155"/>
      <c r="F160" s="156" t="str">
        <f t="shared" si="2"/>
        <v>Alquileres - Equipos Diversos</v>
      </c>
      <c r="G160" s="130"/>
      <c r="H160" s="133">
        <f>'Hoja Trabajo - Divisionarias'!N186</f>
        <v>0</v>
      </c>
      <c r="I160" s="128"/>
      <c r="J160" s="129"/>
      <c r="K160" s="137"/>
    </row>
    <row r="161" spans="2:11" x14ac:dyDescent="0.25">
      <c r="B161" s="152"/>
      <c r="C161" s="153">
        <v>636</v>
      </c>
      <c r="D161" s="154"/>
      <c r="E161" s="155"/>
      <c r="F161" s="156" t="str">
        <f t="shared" si="2"/>
        <v>Servicios Básicos</v>
      </c>
      <c r="G161" s="130"/>
      <c r="H161" s="130"/>
      <c r="I161" s="128">
        <f>SUM(H162:H168)</f>
        <v>8542.3728813559319</v>
      </c>
      <c r="J161" s="129"/>
      <c r="K161" s="137"/>
    </row>
    <row r="162" spans="2:11" x14ac:dyDescent="0.25">
      <c r="B162" s="152"/>
      <c r="C162" s="153"/>
      <c r="D162" s="154">
        <v>6361</v>
      </c>
      <c r="E162" s="155"/>
      <c r="F162" s="156" t="str">
        <f t="shared" si="2"/>
        <v>Servicios Básicos - Energía Eléctrica</v>
      </c>
      <c r="G162" s="130"/>
      <c r="H162" s="130">
        <f>'Hoja Trabajo - Divisionarias'!N187</f>
        <v>8542.3728813559319</v>
      </c>
      <c r="I162" s="128"/>
      <c r="J162" s="129"/>
      <c r="K162" s="137"/>
    </row>
    <row r="163" spans="2:11" x14ac:dyDescent="0.25">
      <c r="B163" s="152"/>
      <c r="C163" s="153"/>
      <c r="D163" s="154">
        <v>6362</v>
      </c>
      <c r="E163" s="155"/>
      <c r="F163" s="156" t="str">
        <f t="shared" si="2"/>
        <v>Servicios Básicos - Gas</v>
      </c>
      <c r="G163" s="130"/>
      <c r="H163" s="130">
        <f>'Hoja Trabajo - Divisionarias'!N188</f>
        <v>0</v>
      </c>
      <c r="I163" s="128"/>
      <c r="J163" s="129"/>
      <c r="K163" s="137"/>
    </row>
    <row r="164" spans="2:11" x14ac:dyDescent="0.25">
      <c r="B164" s="152"/>
      <c r="C164" s="153"/>
      <c r="D164" s="154">
        <v>6363</v>
      </c>
      <c r="E164" s="155"/>
      <c r="F164" s="156" t="str">
        <f t="shared" si="2"/>
        <v>Servicios Básicos - Agua</v>
      </c>
      <c r="G164" s="130"/>
      <c r="H164" s="130">
        <f>'Hoja Trabajo - Divisionarias'!N189</f>
        <v>0</v>
      </c>
      <c r="I164" s="128"/>
      <c r="J164" s="129"/>
      <c r="K164" s="137"/>
    </row>
    <row r="165" spans="2:11" x14ac:dyDescent="0.25">
      <c r="B165" s="152"/>
      <c r="C165" s="153"/>
      <c r="D165" s="154">
        <v>6364</v>
      </c>
      <c r="E165" s="155"/>
      <c r="F165" s="156" t="str">
        <f t="shared" si="2"/>
        <v>Servicios Básicos - Teléfono</v>
      </c>
      <c r="G165" s="130"/>
      <c r="H165" s="130">
        <f>'Hoja Trabajo - Divisionarias'!N190</f>
        <v>0</v>
      </c>
      <c r="I165" s="128"/>
      <c r="J165" s="129"/>
      <c r="K165" s="137"/>
    </row>
    <row r="166" spans="2:11" x14ac:dyDescent="0.25">
      <c r="B166" s="152"/>
      <c r="C166" s="153"/>
      <c r="D166" s="154">
        <v>6365</v>
      </c>
      <c r="E166" s="155"/>
      <c r="F166" s="156" t="str">
        <f t="shared" si="2"/>
        <v>Servicios Básicos - Internet</v>
      </c>
      <c r="G166" s="130"/>
      <c r="H166" s="130">
        <f>'Hoja Trabajo - Divisionarias'!N191</f>
        <v>0</v>
      </c>
      <c r="I166" s="128"/>
      <c r="J166" s="129"/>
      <c r="K166" s="137"/>
    </row>
    <row r="167" spans="2:11" x14ac:dyDescent="0.25">
      <c r="B167" s="152"/>
      <c r="C167" s="153"/>
      <c r="D167" s="154">
        <v>6366</v>
      </c>
      <c r="E167" s="155"/>
      <c r="F167" s="156" t="str">
        <f t="shared" si="2"/>
        <v>Servicios Básicos - Radio</v>
      </c>
      <c r="G167" s="130"/>
      <c r="H167" s="130">
        <f>'Hoja Trabajo - Divisionarias'!N192</f>
        <v>0</v>
      </c>
      <c r="I167" s="128"/>
      <c r="J167" s="129"/>
      <c r="K167" s="137"/>
    </row>
    <row r="168" spans="2:11" x14ac:dyDescent="0.25">
      <c r="B168" s="152"/>
      <c r="C168" s="153"/>
      <c r="D168" s="154">
        <v>6367</v>
      </c>
      <c r="E168" s="155"/>
      <c r="F168" s="156" t="str">
        <f t="shared" si="2"/>
        <v>Servicios Básicos - Cable</v>
      </c>
      <c r="G168" s="130"/>
      <c r="H168" s="133">
        <f>'Hoja Trabajo - Divisionarias'!N193</f>
        <v>0</v>
      </c>
      <c r="I168" s="128"/>
      <c r="J168" s="129"/>
      <c r="K168" s="137"/>
    </row>
    <row r="169" spans="2:11" x14ac:dyDescent="0.25">
      <c r="B169" s="152"/>
      <c r="C169" s="153">
        <v>637</v>
      </c>
      <c r="D169" s="154"/>
      <c r="E169" s="155"/>
      <c r="F169" s="156" t="str">
        <f t="shared" si="2"/>
        <v>Publicidad, Publicaciones y Relaciones Públicas</v>
      </c>
      <c r="G169" s="130"/>
      <c r="H169" s="130"/>
      <c r="I169" s="128">
        <f>SUM(H170:H172)</f>
        <v>0</v>
      </c>
      <c r="J169" s="129"/>
      <c r="K169" s="137"/>
    </row>
    <row r="170" spans="2:11" x14ac:dyDescent="0.25">
      <c r="B170" s="152"/>
      <c r="C170" s="153"/>
      <c r="D170" s="154">
        <v>6371</v>
      </c>
      <c r="E170" s="155"/>
      <c r="F170" s="156" t="str">
        <f t="shared" si="2"/>
        <v>Publicidad</v>
      </c>
      <c r="G170" s="130"/>
      <c r="H170" s="130">
        <f>'Hoja Trabajo - Divisionarias'!N194</f>
        <v>0</v>
      </c>
      <c r="I170" s="128"/>
      <c r="J170" s="129"/>
      <c r="K170" s="137"/>
    </row>
    <row r="171" spans="2:11" x14ac:dyDescent="0.25">
      <c r="B171" s="152"/>
      <c r="C171" s="153"/>
      <c r="D171" s="154">
        <v>6372</v>
      </c>
      <c r="E171" s="155"/>
      <c r="F171" s="156" t="str">
        <f t="shared" si="2"/>
        <v>Publicaciones</v>
      </c>
      <c r="G171" s="130"/>
      <c r="H171" s="130">
        <f>'Hoja Trabajo - Divisionarias'!N195</f>
        <v>0</v>
      </c>
      <c r="I171" s="128"/>
      <c r="J171" s="129"/>
      <c r="K171" s="137"/>
    </row>
    <row r="172" spans="2:11" x14ac:dyDescent="0.25">
      <c r="B172" s="152"/>
      <c r="C172" s="153"/>
      <c r="D172" s="154">
        <v>6373</v>
      </c>
      <c r="E172" s="155"/>
      <c r="F172" s="156" t="str">
        <f t="shared" si="2"/>
        <v>Relaciones Públicas</v>
      </c>
      <c r="G172" s="130"/>
      <c r="H172" s="133">
        <f>'Hoja Trabajo - Divisionarias'!N196</f>
        <v>0</v>
      </c>
      <c r="I172" s="128"/>
      <c r="J172" s="129"/>
      <c r="K172" s="137"/>
    </row>
    <row r="173" spans="2:11" x14ac:dyDescent="0.25">
      <c r="B173" s="152"/>
      <c r="C173" s="153">
        <v>639</v>
      </c>
      <c r="D173" s="154"/>
      <c r="E173" s="155"/>
      <c r="F173" s="156" t="str">
        <f t="shared" si="2"/>
        <v>Otros Servicios Prestados por Terceros</v>
      </c>
      <c r="G173" s="130"/>
      <c r="H173" s="130"/>
      <c r="I173" s="131">
        <f>SUM(H174:H177)</f>
        <v>0</v>
      </c>
      <c r="J173" s="129"/>
      <c r="K173" s="137"/>
    </row>
    <row r="174" spans="2:11" x14ac:dyDescent="0.25">
      <c r="B174" s="152"/>
      <c r="C174" s="153"/>
      <c r="D174" s="154">
        <v>6391</v>
      </c>
      <c r="E174" s="155"/>
      <c r="F174" s="156" t="str">
        <f t="shared" si="2"/>
        <v>Gastos Bancarios</v>
      </c>
      <c r="G174" s="130"/>
      <c r="H174" s="130">
        <f>'Hoja Trabajo - Divisionarias'!N197</f>
        <v>0</v>
      </c>
      <c r="I174" s="128"/>
      <c r="J174" s="129"/>
      <c r="K174" s="137"/>
    </row>
    <row r="175" spans="2:11" x14ac:dyDescent="0.25">
      <c r="B175" s="152"/>
      <c r="C175" s="153"/>
      <c r="D175" s="154">
        <v>6392</v>
      </c>
      <c r="E175" s="155"/>
      <c r="F175" s="156" t="str">
        <f t="shared" si="2"/>
        <v>Gastos de Laboratorio</v>
      </c>
      <c r="G175" s="130"/>
      <c r="H175" s="130">
        <f>'Hoja Trabajo - Divisionarias'!N198</f>
        <v>0</v>
      </c>
      <c r="I175" s="128"/>
      <c r="J175" s="129"/>
      <c r="K175" s="137"/>
    </row>
    <row r="176" spans="2:11" x14ac:dyDescent="0.25">
      <c r="B176" s="152"/>
      <c r="C176" s="153"/>
      <c r="D176" s="154">
        <v>6398</v>
      </c>
      <c r="E176" s="155"/>
      <c r="F176" s="156" t="str">
        <f t="shared" si="2"/>
        <v>Reclasificación de IGV al Gasto</v>
      </c>
      <c r="G176" s="130"/>
      <c r="H176" s="130">
        <f>'Hoja Trabajo - Divisionarias'!N199</f>
        <v>0</v>
      </c>
      <c r="I176" s="128"/>
      <c r="J176" s="129"/>
      <c r="K176" s="137"/>
    </row>
    <row r="177" spans="2:11" x14ac:dyDescent="0.25">
      <c r="B177" s="143"/>
      <c r="C177" s="144"/>
      <c r="D177" s="145">
        <v>6399</v>
      </c>
      <c r="E177" s="146"/>
      <c r="F177" s="147" t="str">
        <f t="shared" si="2"/>
        <v>Otros Gastos por Servicios Prestados por Terceros</v>
      </c>
      <c r="G177" s="148"/>
      <c r="H177" s="148">
        <f>'Hoja Trabajo - Divisionarias'!N200</f>
        <v>0</v>
      </c>
      <c r="I177" s="148"/>
      <c r="J177" s="149"/>
      <c r="K177" s="150"/>
    </row>
    <row r="178" spans="2:11" x14ac:dyDescent="0.25">
      <c r="B178" s="152">
        <v>82</v>
      </c>
      <c r="C178" s="153"/>
      <c r="D178" s="154"/>
      <c r="E178" s="155"/>
      <c r="F178" s="156" t="str">
        <f t="shared" si="2"/>
        <v>VALOR AGREGADO</v>
      </c>
      <c r="G178" s="130"/>
      <c r="H178" s="130"/>
      <c r="I178" s="128"/>
      <c r="J178" s="129">
        <f>SUM(G179)</f>
        <v>133557.62711864407</v>
      </c>
      <c r="K178" s="137"/>
    </row>
    <row r="179" spans="2:11" x14ac:dyDescent="0.25">
      <c r="B179" s="152"/>
      <c r="C179" s="153">
        <v>821</v>
      </c>
      <c r="D179" s="154"/>
      <c r="E179" s="155"/>
      <c r="F179" s="156" t="str">
        <f t="shared" si="2"/>
        <v>Valor Agregado</v>
      </c>
      <c r="G179" s="133">
        <f>IF((H98+H110-G92-G112)&lt;0,0,H98+H110-G92-G112)</f>
        <v>133557.62711864407</v>
      </c>
      <c r="H179" s="130"/>
      <c r="I179" s="128"/>
      <c r="J179" s="129"/>
      <c r="K179" s="137"/>
    </row>
    <row r="180" spans="2:11" x14ac:dyDescent="0.25">
      <c r="B180" s="152">
        <v>83</v>
      </c>
      <c r="C180" s="153"/>
      <c r="D180" s="154"/>
      <c r="E180" s="155"/>
      <c r="F180" s="156" t="str">
        <f t="shared" si="2"/>
        <v>EXCEDENTE BRUTO (INSUFICIENCIA BRUTA) DE EXPLOTACIÓN</v>
      </c>
      <c r="G180" s="130"/>
      <c r="H180" s="130"/>
      <c r="I180" s="128"/>
      <c r="J180" s="129">
        <f>G181</f>
        <v>0</v>
      </c>
      <c r="K180" s="137"/>
    </row>
    <row r="181" spans="2:11" x14ac:dyDescent="0.25">
      <c r="B181" s="152"/>
      <c r="C181" s="153">
        <v>831</v>
      </c>
      <c r="D181" s="154"/>
      <c r="E181" s="155"/>
      <c r="F181" s="156" t="str">
        <f t="shared" si="2"/>
        <v>Excedente Bruto (Insuficiencia Bruta) de Explotación</v>
      </c>
      <c r="G181" s="133">
        <f>H183</f>
        <v>0</v>
      </c>
      <c r="H181" s="130"/>
      <c r="I181" s="128"/>
      <c r="J181" s="129"/>
      <c r="K181" s="137"/>
    </row>
    <row r="182" spans="2:11" x14ac:dyDescent="0.25">
      <c r="B182" s="152">
        <v>82</v>
      </c>
      <c r="C182" s="153"/>
      <c r="D182" s="154"/>
      <c r="E182" s="155"/>
      <c r="F182" s="156" t="str">
        <f t="shared" si="2"/>
        <v>VALOR AGREGADO</v>
      </c>
      <c r="G182" s="130"/>
      <c r="H182" s="130"/>
      <c r="I182" s="128"/>
      <c r="J182" s="129"/>
      <c r="K182" s="137">
        <f>SUM(H183)</f>
        <v>0</v>
      </c>
    </row>
    <row r="183" spans="2:11" x14ac:dyDescent="0.25">
      <c r="B183" s="152"/>
      <c r="C183" s="153">
        <v>821</v>
      </c>
      <c r="D183" s="154"/>
      <c r="E183" s="155"/>
      <c r="F183" s="156" t="str">
        <f t="shared" si="2"/>
        <v>Valor Agregado</v>
      </c>
      <c r="G183" s="130"/>
      <c r="H183" s="133">
        <f>-IF((H98+H110-G92-G112)&gt;0,0,H98+H110-G92-G112)</f>
        <v>0</v>
      </c>
      <c r="I183" s="128"/>
      <c r="J183" s="129"/>
      <c r="K183" s="137"/>
    </row>
    <row r="184" spans="2:11" x14ac:dyDescent="0.25">
      <c r="B184" s="152">
        <v>83</v>
      </c>
      <c r="C184" s="153"/>
      <c r="D184" s="154"/>
      <c r="E184" s="155"/>
      <c r="F184" s="156" t="str">
        <f t="shared" si="2"/>
        <v>EXCEDENTE BRUTO (INSUFICIENCIA BRUTA) DE EXPLOTACIÓN</v>
      </c>
      <c r="G184" s="130"/>
      <c r="H184" s="130"/>
      <c r="I184" s="128"/>
      <c r="J184" s="129"/>
      <c r="K184" s="137">
        <f>H185</f>
        <v>133557.62711864407</v>
      </c>
    </row>
    <row r="185" spans="2:11" x14ac:dyDescent="0.25">
      <c r="B185" s="143"/>
      <c r="C185" s="144">
        <v>831</v>
      </c>
      <c r="D185" s="145"/>
      <c r="E185" s="146"/>
      <c r="F185" s="147" t="str">
        <f t="shared" si="2"/>
        <v>Excedente Bruto (Insuficiencia Bruta) de Explotación</v>
      </c>
      <c r="G185" s="148"/>
      <c r="H185" s="148">
        <f>G179</f>
        <v>133557.62711864407</v>
      </c>
      <c r="I185" s="148"/>
      <c r="J185" s="149"/>
      <c r="K185" s="150"/>
    </row>
    <row r="186" spans="2:11" x14ac:dyDescent="0.25">
      <c r="B186" s="152">
        <v>83</v>
      </c>
      <c r="C186" s="153"/>
      <c r="D186" s="154"/>
      <c r="E186" s="155"/>
      <c r="F186" s="156" t="str">
        <f t="shared" si="2"/>
        <v>EXCEDENTE BRUTO (INSUFICIENCIA BRUTA) DE EXPLOTACIÓN</v>
      </c>
      <c r="G186" s="130"/>
      <c r="H186" s="130"/>
      <c r="I186" s="128"/>
      <c r="J186" s="129">
        <f>SUM(G187)</f>
        <v>327000</v>
      </c>
      <c r="K186" s="137"/>
    </row>
    <row r="187" spans="2:11" x14ac:dyDescent="0.25">
      <c r="B187" s="152"/>
      <c r="C187" s="153">
        <v>831</v>
      </c>
      <c r="D187" s="154"/>
      <c r="E187" s="155"/>
      <c r="F187" s="156" t="str">
        <f t="shared" si="2"/>
        <v>Excedente Bruto (Insuficiencia Bruta) de Explotación</v>
      </c>
      <c r="G187" s="133">
        <f>SUM(H190,H193,H195:H196,H198,H201)</f>
        <v>327000</v>
      </c>
      <c r="H187" s="130"/>
      <c r="I187" s="128"/>
      <c r="J187" s="129"/>
      <c r="K187" s="137"/>
    </row>
    <row r="188" spans="2:11" x14ac:dyDescent="0.25">
      <c r="B188" s="152">
        <v>62</v>
      </c>
      <c r="C188" s="153"/>
      <c r="D188" s="154"/>
      <c r="E188" s="155"/>
      <c r="F188" s="156" t="str">
        <f t="shared" si="2"/>
        <v>GASTOS DE PERSONAL, DIRECTORES Y GERENTES</v>
      </c>
      <c r="G188" s="130"/>
      <c r="H188" s="130"/>
      <c r="I188" s="128"/>
      <c r="J188" s="129"/>
      <c r="K188" s="137">
        <f>SUM(I189,I192,I194,I197)</f>
        <v>327000</v>
      </c>
    </row>
    <row r="189" spans="2:11" x14ac:dyDescent="0.25">
      <c r="B189" s="152"/>
      <c r="C189" s="153">
        <v>621</v>
      </c>
      <c r="D189" s="154"/>
      <c r="E189" s="155"/>
      <c r="F189" s="156" t="str">
        <f t="shared" si="2"/>
        <v>Remuneraciones</v>
      </c>
      <c r="G189" s="130"/>
      <c r="H189" s="130"/>
      <c r="I189" s="128">
        <f>SUM(H190:H191)</f>
        <v>300000</v>
      </c>
      <c r="J189" s="129"/>
      <c r="K189" s="137"/>
    </row>
    <row r="190" spans="2:11" x14ac:dyDescent="0.25">
      <c r="B190" s="152"/>
      <c r="C190" s="153"/>
      <c r="D190" s="154">
        <v>6211</v>
      </c>
      <c r="E190" s="155"/>
      <c r="F190" s="156" t="str">
        <f t="shared" si="2"/>
        <v>Sueldos y Salarios</v>
      </c>
      <c r="G190" s="130"/>
      <c r="H190" s="130">
        <f>'Hoja Trabajo - Divisionarias'!N166</f>
        <v>300000</v>
      </c>
      <c r="I190" s="128"/>
      <c r="J190" s="129"/>
      <c r="K190" s="137"/>
    </row>
    <row r="191" spans="2:11" x14ac:dyDescent="0.25">
      <c r="B191" s="152"/>
      <c r="C191" s="153"/>
      <c r="D191" s="154">
        <v>6112</v>
      </c>
      <c r="E191" s="155"/>
      <c r="F191" s="156" t="str">
        <f t="shared" si="2"/>
        <v>Mercaderías de Extracción</v>
      </c>
      <c r="G191" s="130"/>
      <c r="H191" s="133">
        <f>'Hoja Trabajo - Divisionarias'!N167</f>
        <v>0</v>
      </c>
      <c r="I191" s="128"/>
      <c r="J191" s="129"/>
      <c r="K191" s="137"/>
    </row>
    <row r="192" spans="2:11" x14ac:dyDescent="0.25">
      <c r="B192" s="152"/>
      <c r="C192" s="153">
        <v>622</v>
      </c>
      <c r="D192" s="154"/>
      <c r="E192" s="155"/>
      <c r="F192" s="156" t="str">
        <f t="shared" si="2"/>
        <v>Otras Remuneraciones</v>
      </c>
      <c r="G192" s="130"/>
      <c r="H192" s="130"/>
      <c r="I192" s="128">
        <f>SUM(H193)</f>
        <v>0</v>
      </c>
      <c r="J192" s="129"/>
      <c r="K192" s="137"/>
    </row>
    <row r="193" spans="2:11" x14ac:dyDescent="0.25">
      <c r="B193" s="152"/>
      <c r="C193" s="153"/>
      <c r="D193" s="154">
        <v>6221</v>
      </c>
      <c r="E193" s="155"/>
      <c r="F193" s="156" t="str">
        <f t="shared" si="2"/>
        <v>Otras Remuneraciones</v>
      </c>
      <c r="G193" s="130"/>
      <c r="H193" s="133">
        <f>'Hoja Trabajo - Divisionarias'!N168</f>
        <v>0</v>
      </c>
      <c r="I193" s="128"/>
      <c r="J193" s="129"/>
      <c r="K193" s="137"/>
    </row>
    <row r="194" spans="2:11" x14ac:dyDescent="0.25">
      <c r="B194" s="152"/>
      <c r="C194" s="153">
        <v>627</v>
      </c>
      <c r="D194" s="154"/>
      <c r="E194" s="155"/>
      <c r="F194" s="156" t="str">
        <f t="shared" si="2"/>
        <v>Seguridad, Previsión Social y Otras Contribuciones</v>
      </c>
      <c r="G194" s="130"/>
      <c r="H194" s="130"/>
      <c r="I194" s="128">
        <f>SUM(H195:H196)</f>
        <v>27000</v>
      </c>
      <c r="J194" s="129"/>
      <c r="K194" s="137"/>
    </row>
    <row r="195" spans="2:11" x14ac:dyDescent="0.25">
      <c r="B195" s="152"/>
      <c r="C195" s="153"/>
      <c r="D195" s="154">
        <v>6271</v>
      </c>
      <c r="E195" s="155"/>
      <c r="F195" s="156" t="str">
        <f t="shared" si="2"/>
        <v>Régimen de Prestaciones de Salud</v>
      </c>
      <c r="G195" s="130"/>
      <c r="H195" s="130">
        <f>'Hoja Trabajo - Divisionarias'!N169</f>
        <v>27000</v>
      </c>
      <c r="I195" s="128"/>
      <c r="J195" s="129"/>
      <c r="K195" s="137"/>
    </row>
    <row r="196" spans="2:11" x14ac:dyDescent="0.25">
      <c r="B196" s="152"/>
      <c r="C196" s="153"/>
      <c r="D196" s="154">
        <v>6274</v>
      </c>
      <c r="E196" s="155"/>
      <c r="F196" s="156" t="str">
        <f t="shared" si="2"/>
        <v>Seguro de Vida</v>
      </c>
      <c r="G196" s="130"/>
      <c r="H196" s="133">
        <f>'Hoja Trabajo - Divisionarias'!N170</f>
        <v>0</v>
      </c>
      <c r="I196" s="128"/>
      <c r="J196" s="129"/>
      <c r="K196" s="137"/>
    </row>
    <row r="197" spans="2:11" x14ac:dyDescent="0.25">
      <c r="B197" s="152"/>
      <c r="C197" s="153">
        <v>629</v>
      </c>
      <c r="D197" s="154"/>
      <c r="E197" s="155"/>
      <c r="F197" s="156" t="str">
        <f t="shared" si="2"/>
        <v>Beneficios Sociales de los Trabajadores</v>
      </c>
      <c r="G197" s="130"/>
      <c r="H197" s="130"/>
      <c r="I197" s="131">
        <f>SUM(H198)</f>
        <v>0</v>
      </c>
      <c r="J197" s="129"/>
      <c r="K197" s="137"/>
    </row>
    <row r="198" spans="2:11" x14ac:dyDescent="0.25">
      <c r="B198" s="152"/>
      <c r="C198" s="153"/>
      <c r="D198" s="154">
        <v>6291</v>
      </c>
      <c r="E198" s="155"/>
      <c r="F198" s="156" t="str">
        <f t="shared" si="2"/>
        <v>Compensación por Tiempo de Servicio</v>
      </c>
      <c r="G198" s="130"/>
      <c r="H198" s="133">
        <f>'Hoja Trabajo - Divisionarias'!N171</f>
        <v>0</v>
      </c>
      <c r="I198" s="128"/>
      <c r="J198" s="129"/>
      <c r="K198" s="137"/>
    </row>
    <row r="199" spans="2:11" x14ac:dyDescent="0.25">
      <c r="B199" s="152">
        <v>64</v>
      </c>
      <c r="C199" s="153"/>
      <c r="D199" s="154"/>
      <c r="E199" s="155"/>
      <c r="F199" s="156" t="str">
        <f t="shared" ref="F199:F258" si="3">IF(AND(B199="",C199="",D199="",E199=""),"",IF(AND(B199&gt;0,C199&gt;0,D199&gt;0,E199&gt;0),"",IF(B199&gt;0,VLOOKUP(B199,CuentasContables,5,FALSE),IF(C199&gt;0,VLOOKUP(C199,SubCuentasContables,4,FALSE),IF(D199&gt;0,VLOOKUP(D199,DivisionariasContables,3,FALSE),IF(E199&gt;0,VLOOKUP(E199,SubDivisionariasContables,2,FALSE)))))))</f>
        <v>GASTOS POR TRIBUTOS</v>
      </c>
      <c r="G199" s="130"/>
      <c r="H199" s="130"/>
      <c r="I199" s="128"/>
      <c r="J199" s="129"/>
      <c r="K199" s="137">
        <f>SUM(I200)</f>
        <v>0</v>
      </c>
    </row>
    <row r="200" spans="2:11" x14ac:dyDescent="0.25">
      <c r="B200" s="152"/>
      <c r="C200" s="153">
        <v>641</v>
      </c>
      <c r="D200" s="154"/>
      <c r="E200" s="155"/>
      <c r="F200" s="156" t="str">
        <f t="shared" si="3"/>
        <v>Gobierno Central</v>
      </c>
      <c r="G200" s="130"/>
      <c r="H200" s="130"/>
      <c r="I200" s="131">
        <f>SUM(H201)</f>
        <v>0</v>
      </c>
      <c r="J200" s="129"/>
      <c r="K200" s="137"/>
    </row>
    <row r="201" spans="2:11" x14ac:dyDescent="0.25">
      <c r="B201" s="143"/>
      <c r="C201" s="144"/>
      <c r="D201" s="145">
        <v>6412</v>
      </c>
      <c r="E201" s="146"/>
      <c r="F201" s="147" t="str">
        <f t="shared" si="3"/>
        <v>Impuesto a las Transacciones Financieras</v>
      </c>
      <c r="G201" s="148"/>
      <c r="H201" s="148">
        <f>'Hoja Trabajo - Divisionarias'!N201</f>
        <v>0</v>
      </c>
      <c r="I201" s="148"/>
      <c r="J201" s="149"/>
      <c r="K201" s="150"/>
    </row>
    <row r="202" spans="2:11" x14ac:dyDescent="0.25">
      <c r="B202" s="152">
        <v>83</v>
      </c>
      <c r="C202" s="153"/>
      <c r="D202" s="154"/>
      <c r="E202" s="155"/>
      <c r="F202" s="156" t="str">
        <f t="shared" si="3"/>
        <v>EXCEDENTE BRUTO (INSUFICIENCIA BRUTA) DE EXPLOTACIÓN</v>
      </c>
      <c r="G202" s="130"/>
      <c r="H202" s="130"/>
      <c r="I202" s="128"/>
      <c r="J202" s="129">
        <f>SUM(G203)</f>
        <v>0</v>
      </c>
      <c r="K202" s="137"/>
    </row>
    <row r="203" spans="2:11" x14ac:dyDescent="0.25">
      <c r="B203" s="152"/>
      <c r="C203" s="153">
        <v>831</v>
      </c>
      <c r="D203" s="154"/>
      <c r="E203" s="155"/>
      <c r="F203" s="156" t="str">
        <f t="shared" si="3"/>
        <v>Excedente Bruto (Insuficiencia Bruta) de Explotación</v>
      </c>
      <c r="G203" s="133">
        <f>IF((H185-G181-G187)&lt;0,0,H185-G181-G187)</f>
        <v>0</v>
      </c>
      <c r="H203" s="130"/>
      <c r="I203" s="128"/>
      <c r="J203" s="129"/>
      <c r="K203" s="137"/>
    </row>
    <row r="204" spans="2:11" x14ac:dyDescent="0.25">
      <c r="B204" s="152">
        <v>84</v>
      </c>
      <c r="C204" s="153"/>
      <c r="D204" s="154"/>
      <c r="E204" s="155"/>
      <c r="F204" s="156" t="str">
        <f t="shared" si="3"/>
        <v>RESULTADO DE EXPLOTACIÓN</v>
      </c>
      <c r="G204" s="130"/>
      <c r="H204" s="130"/>
      <c r="I204" s="128"/>
      <c r="J204" s="129">
        <f>SUM(G205)</f>
        <v>193442.37288135593</v>
      </c>
      <c r="K204" s="137"/>
    </row>
    <row r="205" spans="2:11" x14ac:dyDescent="0.25">
      <c r="B205" s="152"/>
      <c r="C205" s="153">
        <v>841</v>
      </c>
      <c r="D205" s="154"/>
      <c r="E205" s="155"/>
      <c r="F205" s="156" t="str">
        <f t="shared" si="3"/>
        <v>Resultado de Explotación</v>
      </c>
      <c r="G205" s="133">
        <f>H207</f>
        <v>193442.37288135593</v>
      </c>
      <c r="H205" s="130"/>
      <c r="I205" s="128"/>
      <c r="J205" s="129"/>
      <c r="K205" s="137"/>
    </row>
    <row r="206" spans="2:11" x14ac:dyDescent="0.25">
      <c r="B206" s="152">
        <v>83</v>
      </c>
      <c r="C206" s="153"/>
      <c r="D206" s="154"/>
      <c r="E206" s="155"/>
      <c r="F206" s="156" t="str">
        <f t="shared" si="3"/>
        <v>EXCEDENTE BRUTO (INSUFICIENCIA BRUTA) DE EXPLOTACIÓN</v>
      </c>
      <c r="G206" s="130"/>
      <c r="H206" s="130"/>
      <c r="I206" s="128"/>
      <c r="J206" s="129"/>
      <c r="K206" s="137">
        <f>SUM(H207)</f>
        <v>193442.37288135593</v>
      </c>
    </row>
    <row r="207" spans="2:11" x14ac:dyDescent="0.25">
      <c r="B207" s="152"/>
      <c r="C207" s="153">
        <v>831</v>
      </c>
      <c r="D207" s="154"/>
      <c r="E207" s="155"/>
      <c r="F207" s="156" t="str">
        <f t="shared" si="3"/>
        <v>Excedente Bruto (Insuficiencia Bruta) de Explotación</v>
      </c>
      <c r="G207" s="130"/>
      <c r="H207" s="133">
        <f>-IF((H185-G181-G187)&gt;0,0,H185-G181-G187)</f>
        <v>193442.37288135593</v>
      </c>
      <c r="I207" s="128"/>
      <c r="J207" s="129"/>
      <c r="K207" s="137"/>
    </row>
    <row r="208" spans="2:11" x14ac:dyDescent="0.25">
      <c r="B208" s="152">
        <v>84</v>
      </c>
      <c r="C208" s="153"/>
      <c r="D208" s="154"/>
      <c r="E208" s="155"/>
      <c r="F208" s="156" t="str">
        <f t="shared" si="3"/>
        <v>RESULTADO DE EXPLOTACIÓN</v>
      </c>
      <c r="G208" s="130"/>
      <c r="H208" s="130"/>
      <c r="I208" s="128"/>
      <c r="J208" s="129"/>
      <c r="K208" s="137">
        <f>H209</f>
        <v>0</v>
      </c>
    </row>
    <row r="209" spans="2:11" x14ac:dyDescent="0.25">
      <c r="B209" s="143"/>
      <c r="C209" s="144">
        <v>841</v>
      </c>
      <c r="D209" s="145"/>
      <c r="E209" s="146"/>
      <c r="F209" s="147" t="str">
        <f t="shared" si="3"/>
        <v>Resultado de Explotación</v>
      </c>
      <c r="G209" s="148"/>
      <c r="H209" s="148">
        <f>G203</f>
        <v>0</v>
      </c>
      <c r="I209" s="148"/>
      <c r="J209" s="149"/>
      <c r="K209" s="150"/>
    </row>
    <row r="210" spans="2:11" x14ac:dyDescent="0.25">
      <c r="B210" s="152">
        <v>84</v>
      </c>
      <c r="C210" s="153"/>
      <c r="D210" s="154"/>
      <c r="E210" s="155"/>
      <c r="F210" s="156" t="str">
        <f t="shared" si="3"/>
        <v>RESULTADO DE EXPLOTACIÓN</v>
      </c>
      <c r="G210" s="130"/>
      <c r="H210" s="130"/>
      <c r="I210" s="128"/>
      <c r="J210" s="129">
        <f>SUM(G211)</f>
        <v>8450</v>
      </c>
      <c r="K210" s="137"/>
    </row>
    <row r="211" spans="2:11" x14ac:dyDescent="0.25">
      <c r="B211" s="152"/>
      <c r="C211" s="153">
        <v>841</v>
      </c>
      <c r="D211" s="154"/>
      <c r="E211" s="155"/>
      <c r="F211" s="156" t="str">
        <f t="shared" si="3"/>
        <v>Resultado de Explotación</v>
      </c>
      <c r="G211" s="133">
        <f>SUM(H214,H216,H218:H218,H220:H221,H223:H224,H226,H228,H230:H234,H237)</f>
        <v>8450</v>
      </c>
      <c r="H211" s="130"/>
      <c r="I211" s="128"/>
      <c r="J211" s="129"/>
      <c r="K211" s="137"/>
    </row>
    <row r="212" spans="2:11" x14ac:dyDescent="0.25">
      <c r="B212" s="152">
        <v>65</v>
      </c>
      <c r="C212" s="153"/>
      <c r="D212" s="154"/>
      <c r="E212" s="155"/>
      <c r="F212" s="156" t="str">
        <f t="shared" si="3"/>
        <v>OTROS GASTOS DE GESTIÓN</v>
      </c>
      <c r="G212" s="130"/>
      <c r="H212" s="130"/>
      <c r="I212" s="128"/>
      <c r="J212" s="129"/>
      <c r="K212" s="137">
        <f>SUM(I213,I215,I217,I219,I222,I225,I227,I229)</f>
        <v>8450</v>
      </c>
    </row>
    <row r="213" spans="2:11" x14ac:dyDescent="0.25">
      <c r="B213" s="152"/>
      <c r="C213" s="153">
        <v>651</v>
      </c>
      <c r="D213" s="154"/>
      <c r="E213" s="155"/>
      <c r="F213" s="156" t="str">
        <f t="shared" si="3"/>
        <v>Seguros</v>
      </c>
      <c r="G213" s="130"/>
      <c r="H213" s="130"/>
      <c r="I213" s="128">
        <f>SUM(H214)</f>
        <v>0</v>
      </c>
      <c r="J213" s="129"/>
      <c r="K213" s="137"/>
    </row>
    <row r="214" spans="2:11" x14ac:dyDescent="0.25">
      <c r="B214" s="152"/>
      <c r="C214" s="153"/>
      <c r="D214" s="154">
        <v>6511</v>
      </c>
      <c r="E214" s="155"/>
      <c r="F214" s="156" t="str">
        <f t="shared" si="3"/>
        <v>Seguros</v>
      </c>
      <c r="G214" s="130"/>
      <c r="H214" s="133">
        <f>'Hoja Trabajo - Divisionarias'!N202</f>
        <v>0</v>
      </c>
      <c r="I214" s="128"/>
      <c r="J214" s="129"/>
      <c r="K214" s="137"/>
    </row>
    <row r="215" spans="2:11" x14ac:dyDescent="0.25">
      <c r="B215" s="152"/>
      <c r="C215" s="153">
        <v>652</v>
      </c>
      <c r="D215" s="154"/>
      <c r="E215" s="155"/>
      <c r="F215" s="156" t="str">
        <f t="shared" si="3"/>
        <v>Regalías</v>
      </c>
      <c r="G215" s="130"/>
      <c r="H215" s="130"/>
      <c r="I215" s="128">
        <f>SUM(H216)</f>
        <v>0</v>
      </c>
      <c r="J215" s="129"/>
      <c r="K215" s="137"/>
    </row>
    <row r="216" spans="2:11" x14ac:dyDescent="0.25">
      <c r="B216" s="152"/>
      <c r="C216" s="153"/>
      <c r="D216" s="154">
        <v>6521</v>
      </c>
      <c r="E216" s="155"/>
      <c r="F216" s="156" t="str">
        <f t="shared" si="3"/>
        <v>Regalías</v>
      </c>
      <c r="G216" s="130"/>
      <c r="H216" s="133">
        <f>'Hoja Trabajo - Divisionarias'!N203</f>
        <v>0</v>
      </c>
      <c r="I216" s="128"/>
      <c r="J216" s="129"/>
      <c r="K216" s="137"/>
    </row>
    <row r="217" spans="2:11" x14ac:dyDescent="0.25">
      <c r="B217" s="152"/>
      <c r="C217" s="153">
        <v>653</v>
      </c>
      <c r="D217" s="154"/>
      <c r="E217" s="155"/>
      <c r="F217" s="156" t="str">
        <f t="shared" si="3"/>
        <v>Suscripciones</v>
      </c>
      <c r="G217" s="130"/>
      <c r="H217" s="130"/>
      <c r="I217" s="128">
        <f>SUM(H218:H218)</f>
        <v>0</v>
      </c>
      <c r="J217" s="129"/>
      <c r="K217" s="137"/>
    </row>
    <row r="218" spans="2:11" x14ac:dyDescent="0.25">
      <c r="B218" s="152"/>
      <c r="C218" s="153"/>
      <c r="D218" s="154">
        <v>6531</v>
      </c>
      <c r="E218" s="155"/>
      <c r="F218" s="156" t="str">
        <f t="shared" si="3"/>
        <v>Suscripciones</v>
      </c>
      <c r="G218" s="130"/>
      <c r="H218" s="133">
        <f>'Hoja Trabajo - Divisionarias'!N204</f>
        <v>0</v>
      </c>
      <c r="I218" s="128"/>
      <c r="J218" s="129"/>
      <c r="K218" s="137"/>
    </row>
    <row r="219" spans="2:11" x14ac:dyDescent="0.25">
      <c r="B219" s="152"/>
      <c r="C219" s="153">
        <v>654</v>
      </c>
      <c r="D219" s="154"/>
      <c r="E219" s="155"/>
      <c r="F219" s="156" t="str">
        <f t="shared" si="3"/>
        <v>Licencias y Derechos de Vigencia</v>
      </c>
      <c r="G219" s="130"/>
      <c r="H219" s="130"/>
      <c r="I219" s="128">
        <f>SUM(H220:H221)</f>
        <v>0</v>
      </c>
      <c r="J219" s="129"/>
      <c r="K219" s="137"/>
    </row>
    <row r="220" spans="2:11" x14ac:dyDescent="0.25">
      <c r="B220" s="152"/>
      <c r="C220" s="153"/>
      <c r="D220" s="154">
        <v>6541</v>
      </c>
      <c r="E220" s="155"/>
      <c r="F220" s="156" t="str">
        <f t="shared" si="3"/>
        <v>Licencias</v>
      </c>
      <c r="G220" s="130"/>
      <c r="H220" s="130">
        <f>'Hoja Trabajo - Divisionarias'!N205</f>
        <v>0</v>
      </c>
      <c r="I220" s="128"/>
      <c r="J220" s="129"/>
      <c r="K220" s="137"/>
    </row>
    <row r="221" spans="2:11" x14ac:dyDescent="0.25">
      <c r="B221" s="152"/>
      <c r="C221" s="153"/>
      <c r="D221" s="154">
        <v>6542</v>
      </c>
      <c r="E221" s="155"/>
      <c r="F221" s="156" t="str">
        <f t="shared" si="3"/>
        <v>Derechos de Vigencia</v>
      </c>
      <c r="G221" s="130"/>
      <c r="H221" s="133">
        <f>'Hoja Trabajo - Divisionarias'!N206</f>
        <v>0</v>
      </c>
      <c r="I221" s="128"/>
      <c r="J221" s="129"/>
      <c r="K221" s="137"/>
    </row>
    <row r="222" spans="2:11" x14ac:dyDescent="0.25">
      <c r="B222" s="152"/>
      <c r="C222" s="153">
        <v>655</v>
      </c>
      <c r="D222" s="154"/>
      <c r="E222" s="155"/>
      <c r="F222" s="156" t="str">
        <f t="shared" si="3"/>
        <v>Costo Neto de Enajenación de Activos Inmovilizados y Operaciones Discontinuadas</v>
      </c>
      <c r="G222" s="130"/>
      <c r="H222" s="130"/>
      <c r="I222" s="128">
        <f>SUM(H223:H224)</f>
        <v>0</v>
      </c>
      <c r="J222" s="129"/>
      <c r="K222" s="137"/>
    </row>
    <row r="223" spans="2:11" x14ac:dyDescent="0.25">
      <c r="B223" s="152"/>
      <c r="C223" s="153"/>
      <c r="D223" s="154">
        <v>6551</v>
      </c>
      <c r="E223" s="155"/>
      <c r="F223" s="156" t="str">
        <f t="shared" si="3"/>
        <v>Costo Neto de Enajenación de Activos Inmovilizados</v>
      </c>
      <c r="G223" s="130"/>
      <c r="H223" s="130">
        <f>'Hoja Trabajo - Divisionarias'!N207</f>
        <v>0</v>
      </c>
      <c r="I223" s="128"/>
      <c r="J223" s="129"/>
      <c r="K223" s="137"/>
    </row>
    <row r="224" spans="2:11" x14ac:dyDescent="0.25">
      <c r="B224" s="152"/>
      <c r="C224" s="153"/>
      <c r="D224" s="154">
        <v>6552</v>
      </c>
      <c r="E224" s="155"/>
      <c r="F224" s="156" t="str">
        <f t="shared" si="3"/>
        <v>Operaciones Discontinuadas – Abandono de Activos</v>
      </c>
      <c r="G224" s="130"/>
      <c r="H224" s="133">
        <f>'Hoja Trabajo - Divisionarias'!N208</f>
        <v>0</v>
      </c>
      <c r="I224" s="128"/>
      <c r="J224" s="129"/>
      <c r="K224" s="137"/>
    </row>
    <row r="225" spans="2:11" x14ac:dyDescent="0.25">
      <c r="B225" s="152"/>
      <c r="C225" s="153">
        <v>656</v>
      </c>
      <c r="D225" s="154"/>
      <c r="E225" s="155"/>
      <c r="F225" s="156" t="str">
        <f t="shared" si="3"/>
        <v>Suministros</v>
      </c>
      <c r="G225" s="130"/>
      <c r="H225" s="130"/>
      <c r="I225" s="128">
        <f>SUM(H226)</f>
        <v>0</v>
      </c>
      <c r="J225" s="129"/>
      <c r="K225" s="137"/>
    </row>
    <row r="226" spans="2:11" x14ac:dyDescent="0.25">
      <c r="B226" s="152"/>
      <c r="C226" s="153"/>
      <c r="D226" s="154">
        <v>6561</v>
      </c>
      <c r="E226" s="155"/>
      <c r="F226" s="156" t="str">
        <f t="shared" si="3"/>
        <v>Suministros</v>
      </c>
      <c r="G226" s="130"/>
      <c r="H226" s="133">
        <f>'Hoja Trabajo - Divisionarias'!N209</f>
        <v>0</v>
      </c>
      <c r="I226" s="128"/>
      <c r="J226" s="129"/>
      <c r="K226" s="137"/>
    </row>
    <row r="227" spans="2:11" x14ac:dyDescent="0.25">
      <c r="B227" s="152"/>
      <c r="C227" s="153">
        <v>658</v>
      </c>
      <c r="D227" s="154"/>
      <c r="E227" s="155"/>
      <c r="F227" s="156" t="str">
        <f t="shared" si="3"/>
        <v>Gestión Medioambiental</v>
      </c>
      <c r="G227" s="130"/>
      <c r="H227" s="130"/>
      <c r="I227" s="128">
        <f>SUM(H228)</f>
        <v>0</v>
      </c>
      <c r="J227" s="129"/>
      <c r="K227" s="137"/>
    </row>
    <row r="228" spans="2:11" x14ac:dyDescent="0.25">
      <c r="B228" s="152"/>
      <c r="C228" s="153"/>
      <c r="D228" s="154">
        <v>6581</v>
      </c>
      <c r="E228" s="155"/>
      <c r="F228" s="156" t="str">
        <f t="shared" si="3"/>
        <v>Gestión Medioambiental</v>
      </c>
      <c r="G228" s="130"/>
      <c r="H228" s="133">
        <f>'Hoja Trabajo - Divisionarias'!N210</f>
        <v>0</v>
      </c>
      <c r="I228" s="128"/>
      <c r="J228" s="129"/>
      <c r="K228" s="137"/>
    </row>
    <row r="229" spans="2:11" x14ac:dyDescent="0.25">
      <c r="B229" s="152"/>
      <c r="C229" s="153">
        <v>659</v>
      </c>
      <c r="D229" s="154"/>
      <c r="E229" s="155"/>
      <c r="F229" s="156" t="str">
        <f t="shared" si="3"/>
        <v>Otros Gastos de Gestión</v>
      </c>
      <c r="G229" s="130"/>
      <c r="H229" s="130"/>
      <c r="I229" s="131">
        <f>SUM(H230:H234)</f>
        <v>8450</v>
      </c>
      <c r="J229" s="129"/>
      <c r="K229" s="137"/>
    </row>
    <row r="230" spans="2:11" x14ac:dyDescent="0.25">
      <c r="B230" s="152"/>
      <c r="C230" s="153"/>
      <c r="D230" s="154">
        <v>6591</v>
      </c>
      <c r="E230" s="155"/>
      <c r="F230" s="156" t="str">
        <f t="shared" si="3"/>
        <v>Donaciones</v>
      </c>
      <c r="G230" s="130"/>
      <c r="H230" s="130">
        <f>'Hoja Trabajo - Divisionarias'!N211</f>
        <v>0</v>
      </c>
      <c r="I230" s="128"/>
      <c r="J230" s="129"/>
      <c r="K230" s="137"/>
    </row>
    <row r="231" spans="2:11" x14ac:dyDescent="0.25">
      <c r="B231" s="152"/>
      <c r="C231" s="153"/>
      <c r="D231" s="154">
        <v>6592</v>
      </c>
      <c r="E231" s="155"/>
      <c r="F231" s="156" t="str">
        <f t="shared" si="3"/>
        <v>Sanciones Administrativas</v>
      </c>
      <c r="G231" s="130"/>
      <c r="H231" s="130">
        <f>'Hoja Trabajo - Divisionarias'!N212</f>
        <v>0</v>
      </c>
      <c r="I231" s="128"/>
      <c r="J231" s="129"/>
      <c r="K231" s="137"/>
    </row>
    <row r="232" spans="2:11" x14ac:dyDescent="0.25">
      <c r="B232" s="152"/>
      <c r="C232" s="153"/>
      <c r="D232" s="154">
        <v>6593</v>
      </c>
      <c r="E232" s="155"/>
      <c r="F232" s="156" t="e">
        <f t="shared" si="3"/>
        <v>#N/A</v>
      </c>
      <c r="G232" s="130"/>
      <c r="H232" s="130">
        <f>'Hoja Trabajo - Divisionarias'!N213</f>
        <v>0</v>
      </c>
      <c r="I232" s="128"/>
      <c r="J232" s="129"/>
      <c r="K232" s="137"/>
    </row>
    <row r="233" spans="2:11" x14ac:dyDescent="0.25">
      <c r="B233" s="152"/>
      <c r="C233" s="153"/>
      <c r="D233" s="154">
        <v>6598</v>
      </c>
      <c r="E233" s="155"/>
      <c r="F233" s="156" t="str">
        <f t="shared" si="3"/>
        <v>Reclasificación de IGV al Gasto</v>
      </c>
      <c r="G233" s="130"/>
      <c r="H233" s="130">
        <f>'Hoja Trabajo - Divisionarias'!N214</f>
        <v>8450</v>
      </c>
      <c r="I233" s="128"/>
      <c r="J233" s="129"/>
      <c r="K233" s="137"/>
    </row>
    <row r="234" spans="2:11" x14ac:dyDescent="0.25">
      <c r="B234" s="152"/>
      <c r="C234" s="153"/>
      <c r="D234" s="154">
        <v>6599</v>
      </c>
      <c r="E234" s="155"/>
      <c r="F234" s="156" t="str">
        <f t="shared" si="3"/>
        <v>Varios Gastos de Gestión</v>
      </c>
      <c r="G234" s="130"/>
      <c r="H234" s="133">
        <f>'Hoja Trabajo - Divisionarias'!N215</f>
        <v>0</v>
      </c>
      <c r="I234" s="128"/>
      <c r="J234" s="129"/>
      <c r="K234" s="137"/>
    </row>
    <row r="235" spans="2:11" x14ac:dyDescent="0.25">
      <c r="B235" s="152">
        <v>68</v>
      </c>
      <c r="C235" s="153"/>
      <c r="D235" s="154"/>
      <c r="E235" s="155"/>
      <c r="F235" s="156" t="str">
        <f t="shared" si="3"/>
        <v>VALUACIÓN Y DETERIORO DE ACTIVOS Y PROVISIONES</v>
      </c>
      <c r="G235" s="130"/>
      <c r="H235" s="130"/>
      <c r="I235" s="128"/>
      <c r="J235" s="129"/>
      <c r="K235" s="137">
        <f>SUM(I236)</f>
        <v>0</v>
      </c>
    </row>
    <row r="236" spans="2:11" x14ac:dyDescent="0.25">
      <c r="B236" s="152"/>
      <c r="C236" s="153">
        <v>681</v>
      </c>
      <c r="D236" s="154"/>
      <c r="E236" s="155"/>
      <c r="F236" s="156" t="str">
        <f t="shared" si="3"/>
        <v>Depreciación</v>
      </c>
      <c r="G236" s="130"/>
      <c r="H236" s="130"/>
      <c r="I236" s="131">
        <f>SUM(H237)</f>
        <v>0</v>
      </c>
      <c r="J236" s="129"/>
      <c r="K236" s="137"/>
    </row>
    <row r="237" spans="2:11" x14ac:dyDescent="0.25">
      <c r="B237" s="143"/>
      <c r="C237" s="144"/>
      <c r="D237" s="145">
        <v>6814</v>
      </c>
      <c r="E237" s="146"/>
      <c r="F237" s="147" t="str">
        <f t="shared" si="3"/>
        <v>Depreciación de Inmuebles, Maquinaria y Equipo - Costo</v>
      </c>
      <c r="G237" s="148"/>
      <c r="H237" s="148">
        <f>'Hoja Trabajo - Divisionarias'!N237</f>
        <v>0</v>
      </c>
      <c r="I237" s="148"/>
      <c r="J237" s="149"/>
      <c r="K237" s="150"/>
    </row>
    <row r="238" spans="2:11" x14ac:dyDescent="0.25">
      <c r="B238" s="152">
        <v>73</v>
      </c>
      <c r="C238" s="153"/>
      <c r="D238" s="154"/>
      <c r="E238" s="155"/>
      <c r="F238" s="156" t="str">
        <f t="shared" si="3"/>
        <v>DESCUENTOS, REBAJAS Y BONIFICACIONES OBTENIDOS</v>
      </c>
      <c r="G238" s="130"/>
      <c r="H238" s="130"/>
      <c r="I238" s="128"/>
      <c r="J238" s="129">
        <f>SUM(I239)</f>
        <v>0</v>
      </c>
      <c r="K238" s="137"/>
    </row>
    <row r="239" spans="2:11" x14ac:dyDescent="0.25">
      <c r="B239" s="152"/>
      <c r="C239" s="153">
        <v>731</v>
      </c>
      <c r="D239" s="154"/>
      <c r="E239" s="155"/>
      <c r="F239" s="156" t="str">
        <f t="shared" si="3"/>
        <v>Descuentos, Rebajas y Bonificaciones Obtenidos</v>
      </c>
      <c r="G239" s="130"/>
      <c r="H239" s="130"/>
      <c r="I239" s="131">
        <f>SUM(G240)</f>
        <v>0</v>
      </c>
      <c r="J239" s="129"/>
      <c r="K239" s="137"/>
    </row>
    <row r="240" spans="2:11" x14ac:dyDescent="0.25">
      <c r="B240" s="152"/>
      <c r="C240" s="153"/>
      <c r="D240" s="154">
        <v>7311</v>
      </c>
      <c r="E240" s="155"/>
      <c r="F240" s="156" t="str">
        <f t="shared" si="3"/>
        <v>Descuentos, Rebajas y Bonificaciones Obtenidos - Terceros</v>
      </c>
      <c r="G240" s="182">
        <f>'Hoja Trabajo - Divisionarias'!M261</f>
        <v>0</v>
      </c>
      <c r="H240" s="130"/>
      <c r="I240" s="128"/>
      <c r="J240" s="129"/>
      <c r="K240" s="137"/>
    </row>
    <row r="241" spans="2:11" x14ac:dyDescent="0.25">
      <c r="B241" s="152">
        <v>75</v>
      </c>
      <c r="C241" s="153"/>
      <c r="D241" s="154"/>
      <c r="E241" s="155"/>
      <c r="F241" s="156" t="str">
        <f t="shared" si="3"/>
        <v>OTROS INGRESOS DE GESTIÓN</v>
      </c>
      <c r="G241" s="130"/>
      <c r="H241" s="130"/>
      <c r="I241" s="128"/>
      <c r="J241" s="129">
        <f>SUM(I242,I244,I247,I249,I255,I259,I265,I267)</f>
        <v>0</v>
      </c>
      <c r="K241" s="137"/>
    </row>
    <row r="242" spans="2:11" x14ac:dyDescent="0.25">
      <c r="B242" s="152"/>
      <c r="C242" s="153">
        <v>751</v>
      </c>
      <c r="D242" s="154"/>
      <c r="E242" s="155"/>
      <c r="F242" s="156" t="str">
        <f t="shared" si="3"/>
        <v>Servicios en Beneficio del Personal</v>
      </c>
      <c r="G242" s="130"/>
      <c r="H242" s="130"/>
      <c r="I242" s="128">
        <f>SUM(G243)</f>
        <v>0</v>
      </c>
      <c r="J242" s="129"/>
      <c r="K242" s="137"/>
    </row>
    <row r="243" spans="2:11" x14ac:dyDescent="0.25">
      <c r="B243" s="152"/>
      <c r="C243" s="153"/>
      <c r="D243" s="154">
        <v>7511</v>
      </c>
      <c r="E243" s="155"/>
      <c r="F243" s="156" t="str">
        <f t="shared" si="3"/>
        <v>Servicios en Beneficio del Personal</v>
      </c>
      <c r="G243" s="133">
        <f>'Hoja Trabajo - Divisionarias'!O264</f>
        <v>0</v>
      </c>
      <c r="H243" s="130"/>
      <c r="I243" s="128"/>
      <c r="J243" s="129"/>
      <c r="K243" s="137"/>
    </row>
    <row r="244" spans="2:11" x14ac:dyDescent="0.25">
      <c r="B244" s="152"/>
      <c r="C244" s="153">
        <v>752</v>
      </c>
      <c r="D244" s="154"/>
      <c r="E244" s="155"/>
      <c r="F244" s="156" t="str">
        <f t="shared" si="3"/>
        <v>Comisiones y Corretajes</v>
      </c>
      <c r="G244" s="130"/>
      <c r="H244" s="130"/>
      <c r="I244" s="128">
        <f>SUM(G245:G246)</f>
        <v>0</v>
      </c>
      <c r="J244" s="129"/>
      <c r="K244" s="137"/>
    </row>
    <row r="245" spans="2:11" x14ac:dyDescent="0.25">
      <c r="B245" s="152"/>
      <c r="C245" s="153"/>
      <c r="D245" s="154">
        <v>7521</v>
      </c>
      <c r="E245" s="155"/>
      <c r="F245" s="156" t="str">
        <f t="shared" si="3"/>
        <v>Comisiones</v>
      </c>
      <c r="G245" s="130">
        <f>'Hoja Trabajo - Divisionarias'!O265</f>
        <v>0</v>
      </c>
      <c r="H245" s="130"/>
      <c r="I245" s="128"/>
      <c r="J245" s="129"/>
      <c r="K245" s="137"/>
    </row>
    <row r="246" spans="2:11" x14ac:dyDescent="0.25">
      <c r="B246" s="152"/>
      <c r="C246" s="153"/>
      <c r="D246" s="154">
        <v>7522</v>
      </c>
      <c r="E246" s="155"/>
      <c r="F246" s="156" t="str">
        <f t="shared" si="3"/>
        <v>Corretajes</v>
      </c>
      <c r="G246" s="133">
        <f>'Hoja Trabajo - Divisionarias'!O266</f>
        <v>0</v>
      </c>
      <c r="H246" s="130"/>
      <c r="I246" s="128"/>
      <c r="J246" s="129"/>
      <c r="K246" s="137"/>
    </row>
    <row r="247" spans="2:11" x14ac:dyDescent="0.25">
      <c r="B247" s="152"/>
      <c r="C247" s="153">
        <v>753</v>
      </c>
      <c r="D247" s="154"/>
      <c r="E247" s="155"/>
      <c r="F247" s="156" t="str">
        <f t="shared" si="3"/>
        <v>Regalías</v>
      </c>
      <c r="G247" s="130"/>
      <c r="H247" s="130"/>
      <c r="I247" s="128">
        <f>SUM(G248)</f>
        <v>0</v>
      </c>
      <c r="J247" s="129"/>
      <c r="K247" s="137"/>
    </row>
    <row r="248" spans="2:11" x14ac:dyDescent="0.25">
      <c r="B248" s="152"/>
      <c r="C248" s="153"/>
      <c r="D248" s="154">
        <v>7531</v>
      </c>
      <c r="E248" s="155"/>
      <c r="F248" s="156" t="str">
        <f t="shared" si="3"/>
        <v>Regalías</v>
      </c>
      <c r="G248" s="133">
        <f>'Hoja Trabajo - Divisionarias'!O267</f>
        <v>0</v>
      </c>
      <c r="H248" s="130"/>
      <c r="I248" s="128"/>
      <c r="J248" s="129"/>
      <c r="K248" s="137"/>
    </row>
    <row r="249" spans="2:11" x14ac:dyDescent="0.25">
      <c r="B249" s="152"/>
      <c r="C249" s="153">
        <v>754</v>
      </c>
      <c r="D249" s="154"/>
      <c r="E249" s="155"/>
      <c r="F249" s="156" t="str">
        <f t="shared" si="3"/>
        <v>Alquileres</v>
      </c>
      <c r="G249" s="130"/>
      <c r="H249" s="130"/>
      <c r="I249" s="128">
        <f>SUM(G250:G254)</f>
        <v>0</v>
      </c>
      <c r="J249" s="129"/>
      <c r="K249" s="137"/>
    </row>
    <row r="250" spans="2:11" x14ac:dyDescent="0.25">
      <c r="B250" s="152"/>
      <c r="C250" s="153"/>
      <c r="D250" s="154">
        <v>7541</v>
      </c>
      <c r="E250" s="155"/>
      <c r="F250" s="156" t="str">
        <f t="shared" si="3"/>
        <v>Terrenos</v>
      </c>
      <c r="G250" s="130">
        <f>'Hoja Trabajo - Divisionarias'!O268</f>
        <v>0</v>
      </c>
      <c r="H250" s="130"/>
      <c r="I250" s="128"/>
      <c r="J250" s="129"/>
      <c r="K250" s="137"/>
    </row>
    <row r="251" spans="2:11" x14ac:dyDescent="0.25">
      <c r="B251" s="152"/>
      <c r="C251" s="153"/>
      <c r="D251" s="154">
        <v>7542</v>
      </c>
      <c r="E251" s="155"/>
      <c r="F251" s="156" t="str">
        <f t="shared" si="3"/>
        <v>Edificaciones</v>
      </c>
      <c r="G251" s="130">
        <f>'Hoja Trabajo - Divisionarias'!O269</f>
        <v>0</v>
      </c>
      <c r="H251" s="130"/>
      <c r="I251" s="128"/>
      <c r="J251" s="129"/>
      <c r="K251" s="137"/>
    </row>
    <row r="252" spans="2:11" x14ac:dyDescent="0.25">
      <c r="B252" s="152"/>
      <c r="C252" s="153"/>
      <c r="D252" s="154">
        <v>7543</v>
      </c>
      <c r="E252" s="155"/>
      <c r="F252" s="156" t="str">
        <f t="shared" si="3"/>
        <v>Maquinarias y Equipos de Explotación</v>
      </c>
      <c r="G252" s="130">
        <f>'Hoja Trabajo - Divisionarias'!O270</f>
        <v>0</v>
      </c>
      <c r="H252" s="130"/>
      <c r="I252" s="128"/>
      <c r="J252" s="129"/>
      <c r="K252" s="137"/>
    </row>
    <row r="253" spans="2:11" x14ac:dyDescent="0.25">
      <c r="B253" s="152"/>
      <c r="C253" s="153"/>
      <c r="D253" s="154">
        <v>7544</v>
      </c>
      <c r="E253" s="155"/>
      <c r="F253" s="156" t="str">
        <f t="shared" si="3"/>
        <v>Equipos de Transporte</v>
      </c>
      <c r="G253" s="130">
        <f>'Hoja Trabajo - Divisionarias'!O271</f>
        <v>0</v>
      </c>
      <c r="H253" s="130"/>
      <c r="I253" s="128"/>
      <c r="J253" s="129"/>
      <c r="K253" s="137"/>
    </row>
    <row r="254" spans="2:11" x14ac:dyDescent="0.25">
      <c r="B254" s="152"/>
      <c r="C254" s="153"/>
      <c r="D254" s="154">
        <v>7545</v>
      </c>
      <c r="E254" s="155"/>
      <c r="F254" s="156" t="str">
        <f t="shared" si="3"/>
        <v>Equipos Diversos</v>
      </c>
      <c r="G254" s="133">
        <f>'Hoja Trabajo - Divisionarias'!O272</f>
        <v>0</v>
      </c>
      <c r="H254" s="130"/>
      <c r="I254" s="128"/>
      <c r="J254" s="129"/>
      <c r="K254" s="137"/>
    </row>
    <row r="255" spans="2:11" x14ac:dyDescent="0.25">
      <c r="B255" s="152"/>
      <c r="C255" s="153">
        <v>755</v>
      </c>
      <c r="D255" s="154"/>
      <c r="E255" s="155"/>
      <c r="F255" s="156" t="str">
        <f t="shared" si="3"/>
        <v>Recuperación de Cuentas de Valuación</v>
      </c>
      <c r="G255" s="130"/>
      <c r="H255" s="130"/>
      <c r="I255" s="128">
        <f>SUM(G256:G258)</f>
        <v>0</v>
      </c>
      <c r="J255" s="129"/>
      <c r="K255" s="137"/>
    </row>
    <row r="256" spans="2:11" x14ac:dyDescent="0.25">
      <c r="B256" s="152"/>
      <c r="C256" s="153"/>
      <c r="D256" s="154">
        <v>7551</v>
      </c>
      <c r="E256" s="155"/>
      <c r="F256" s="156" t="str">
        <f t="shared" si="3"/>
        <v>Recuperación - Cuentas de Cobranza Dudosa</v>
      </c>
      <c r="G256" s="130">
        <f>'Hoja Trabajo - Divisionarias'!O273</f>
        <v>0</v>
      </c>
      <c r="H256" s="130"/>
      <c r="I256" s="128"/>
      <c r="J256" s="129"/>
      <c r="K256" s="137"/>
    </row>
    <row r="257" spans="2:11" x14ac:dyDescent="0.25">
      <c r="B257" s="152"/>
      <c r="C257" s="153"/>
      <c r="D257" s="154">
        <v>7552</v>
      </c>
      <c r="E257" s="155"/>
      <c r="F257" s="156" t="str">
        <f t="shared" si="3"/>
        <v>Recuperación - Desvalorización de Existencias</v>
      </c>
      <c r="G257" s="130">
        <f>'Hoja Trabajo - Divisionarias'!O274</f>
        <v>0</v>
      </c>
      <c r="H257" s="130"/>
      <c r="I257" s="128"/>
      <c r="J257" s="129"/>
      <c r="K257" s="137"/>
    </row>
    <row r="258" spans="2:11" x14ac:dyDescent="0.25">
      <c r="B258" s="152"/>
      <c r="C258" s="153"/>
      <c r="D258" s="154">
        <v>7553</v>
      </c>
      <c r="E258" s="155"/>
      <c r="F258" s="156" t="str">
        <f t="shared" si="3"/>
        <v>Recuperación - Desvalorización de Inversiones Inmobiliarias</v>
      </c>
      <c r="G258" s="133">
        <f>'Hoja Trabajo - Divisionarias'!O275</f>
        <v>0</v>
      </c>
      <c r="H258" s="130"/>
      <c r="I258" s="128"/>
      <c r="J258" s="129"/>
      <c r="K258" s="137"/>
    </row>
    <row r="259" spans="2:11" x14ac:dyDescent="0.25">
      <c r="B259" s="152"/>
      <c r="C259" s="153">
        <v>756</v>
      </c>
      <c r="D259" s="154"/>
      <c r="E259" s="155"/>
      <c r="F259" s="156" t="str">
        <f t="shared" ref="F259:F322" si="4">IF(AND(B259="",C259="",D259="",E259=""),"",IF(AND(B259&gt;0,C259&gt;0,D259&gt;0,E259&gt;0),"",IF(B259&gt;0,VLOOKUP(B259,CuentasContables,5,FALSE),IF(C259&gt;0,VLOOKUP(C259,SubCuentasContables,4,FALSE),IF(D259&gt;0,VLOOKUP(D259,DivisionariasContables,3,FALSE),IF(E259&gt;0,VLOOKUP(E259,SubDivisionariasContables,2,FALSE)))))))</f>
        <v>Enajenación de Activos Inmovilizados</v>
      </c>
      <c r="G259" s="130"/>
      <c r="H259" s="130"/>
      <c r="I259" s="128">
        <f>SUM(G260:G264)</f>
        <v>0</v>
      </c>
      <c r="J259" s="129"/>
      <c r="K259" s="137"/>
    </row>
    <row r="260" spans="2:11" x14ac:dyDescent="0.25">
      <c r="B260" s="152"/>
      <c r="C260" s="153"/>
      <c r="D260" s="154">
        <v>7561</v>
      </c>
      <c r="E260" s="155"/>
      <c r="F260" s="156" t="str">
        <f t="shared" si="4"/>
        <v>Inversiones Mobiliarias</v>
      </c>
      <c r="G260" s="130">
        <f>'Hoja Trabajo - Divisionarias'!O276</f>
        <v>0</v>
      </c>
      <c r="H260" s="130"/>
      <c r="I260" s="128"/>
      <c r="J260" s="129"/>
      <c r="K260" s="137"/>
    </row>
    <row r="261" spans="2:11" x14ac:dyDescent="0.25">
      <c r="B261" s="152"/>
      <c r="C261" s="153"/>
      <c r="D261" s="154">
        <v>7562</v>
      </c>
      <c r="E261" s="155"/>
      <c r="F261" s="156" t="str">
        <f t="shared" si="4"/>
        <v>Inversiones Inmobiliarias</v>
      </c>
      <c r="G261" s="130">
        <f>'Hoja Trabajo - Divisionarias'!O277</f>
        <v>0</v>
      </c>
      <c r="H261" s="130"/>
      <c r="I261" s="128"/>
      <c r="J261" s="129"/>
      <c r="K261" s="137"/>
    </row>
    <row r="262" spans="2:11" x14ac:dyDescent="0.25">
      <c r="B262" s="152"/>
      <c r="C262" s="153"/>
      <c r="D262" s="154">
        <v>7563</v>
      </c>
      <c r="E262" s="155"/>
      <c r="F262" s="156" t="str">
        <f t="shared" si="4"/>
        <v>Activos Adquiridos en Arrendamiento Financiero</v>
      </c>
      <c r="G262" s="130">
        <f>'Hoja Trabajo - Divisionarias'!O278</f>
        <v>0</v>
      </c>
      <c r="H262" s="130"/>
      <c r="I262" s="128"/>
      <c r="J262" s="129"/>
      <c r="K262" s="137"/>
    </row>
    <row r="263" spans="2:11" x14ac:dyDescent="0.25">
      <c r="B263" s="152"/>
      <c r="C263" s="153"/>
      <c r="D263" s="154">
        <v>7564</v>
      </c>
      <c r="E263" s="155"/>
      <c r="F263" s="156" t="str">
        <f t="shared" si="4"/>
        <v>Inmuebles, Maquinaria y Equipo</v>
      </c>
      <c r="G263" s="130">
        <f>'Hoja Trabajo - Divisionarias'!O279</f>
        <v>0</v>
      </c>
      <c r="H263" s="130"/>
      <c r="I263" s="128"/>
      <c r="J263" s="129"/>
      <c r="K263" s="137"/>
    </row>
    <row r="264" spans="2:11" x14ac:dyDescent="0.25">
      <c r="B264" s="152"/>
      <c r="C264" s="153"/>
      <c r="D264" s="154">
        <v>7565</v>
      </c>
      <c r="E264" s="155"/>
      <c r="F264" s="156" t="str">
        <f t="shared" si="4"/>
        <v>Intangibles</v>
      </c>
      <c r="G264" s="133">
        <f>'Hoja Trabajo - Divisionarias'!O280</f>
        <v>0</v>
      </c>
      <c r="H264" s="130"/>
      <c r="I264" s="128"/>
      <c r="J264" s="129"/>
      <c r="K264" s="137"/>
    </row>
    <row r="265" spans="2:11" x14ac:dyDescent="0.25">
      <c r="B265" s="152"/>
      <c r="C265" s="153">
        <v>757</v>
      </c>
      <c r="D265" s="154"/>
      <c r="E265" s="155"/>
      <c r="F265" s="156" t="str">
        <f t="shared" si="4"/>
        <v>Recuperación de Deterioro de Cuentas de Activos Inmovilizados</v>
      </c>
      <c r="G265" s="130"/>
      <c r="H265" s="130"/>
      <c r="I265" s="128">
        <f>SUM(G266)</f>
        <v>0</v>
      </c>
      <c r="J265" s="129"/>
      <c r="K265" s="137"/>
    </row>
    <row r="266" spans="2:11" x14ac:dyDescent="0.25">
      <c r="B266" s="152"/>
      <c r="C266" s="153"/>
      <c r="D266" s="154">
        <v>7571</v>
      </c>
      <c r="E266" s="155"/>
      <c r="F266" s="156" t="str">
        <f t="shared" si="4"/>
        <v>Recuperación de Deterioro de Inversiones Inmobiliarias</v>
      </c>
      <c r="G266" s="133">
        <f>'Hoja Trabajo - Divisionarias'!O281</f>
        <v>0</v>
      </c>
      <c r="H266" s="130"/>
      <c r="I266" s="128"/>
      <c r="J266" s="129"/>
      <c r="K266" s="137"/>
    </row>
    <row r="267" spans="2:11" x14ac:dyDescent="0.25">
      <c r="B267" s="152"/>
      <c r="C267" s="153">
        <v>759</v>
      </c>
      <c r="D267" s="154"/>
      <c r="E267" s="155"/>
      <c r="F267" s="156" t="str">
        <f t="shared" si="4"/>
        <v>Otros Ingresos de Gestión</v>
      </c>
      <c r="G267" s="130"/>
      <c r="H267" s="130"/>
      <c r="I267" s="131">
        <f>SUM(G268:G269)</f>
        <v>0</v>
      </c>
      <c r="J267" s="129"/>
      <c r="K267" s="137"/>
    </row>
    <row r="268" spans="2:11" x14ac:dyDescent="0.25">
      <c r="B268" s="152"/>
      <c r="C268" s="153"/>
      <c r="D268" s="154">
        <v>7591</v>
      </c>
      <c r="E268" s="155"/>
      <c r="F268" s="156" t="str">
        <f t="shared" si="4"/>
        <v>Subsidios Gubernamentales</v>
      </c>
      <c r="G268" s="130">
        <f>'Hoja Trabajo - Divisionarias'!O282</f>
        <v>0</v>
      </c>
      <c r="H268" s="130"/>
      <c r="I268" s="128"/>
      <c r="J268" s="129"/>
      <c r="K268" s="137"/>
    </row>
    <row r="269" spans="2:11" x14ac:dyDescent="0.25">
      <c r="B269" s="152"/>
      <c r="C269" s="153"/>
      <c r="D269" s="154">
        <v>7599</v>
      </c>
      <c r="E269" s="155"/>
      <c r="F269" s="156" t="str">
        <f t="shared" si="4"/>
        <v>Otros Ingresos de Gestión</v>
      </c>
      <c r="G269" s="133">
        <f>'Hoja Trabajo - Divisionarias'!O283</f>
        <v>0</v>
      </c>
      <c r="H269" s="130"/>
      <c r="I269" s="128"/>
      <c r="J269" s="129"/>
      <c r="K269" s="137"/>
    </row>
    <row r="270" spans="2:11" x14ac:dyDescent="0.25">
      <c r="B270" s="152">
        <v>78</v>
      </c>
      <c r="C270" s="153"/>
      <c r="D270" s="154"/>
      <c r="E270" s="155"/>
      <c r="F270" s="156" t="str">
        <f t="shared" si="4"/>
        <v>CARGAS CUBIERTAS POR PROVISIONES</v>
      </c>
      <c r="G270" s="130"/>
      <c r="H270" s="130"/>
      <c r="I270" s="128"/>
      <c r="J270" s="129">
        <f>SUM(I271)</f>
        <v>0</v>
      </c>
      <c r="K270" s="137"/>
    </row>
    <row r="271" spans="2:11" x14ac:dyDescent="0.25">
      <c r="B271" s="152"/>
      <c r="C271" s="153">
        <v>781</v>
      </c>
      <c r="D271" s="154"/>
      <c r="E271" s="155"/>
      <c r="F271" s="156" t="str">
        <f t="shared" si="4"/>
        <v>Cargas Cubiertas por Provisiones</v>
      </c>
      <c r="G271" s="130"/>
      <c r="H271" s="130"/>
      <c r="I271" s="131">
        <f>SUM(G272)</f>
        <v>0</v>
      </c>
      <c r="J271" s="129"/>
      <c r="K271" s="137"/>
    </row>
    <row r="272" spans="2:11" x14ac:dyDescent="0.25">
      <c r="B272" s="152"/>
      <c r="C272" s="153"/>
      <c r="D272" s="154">
        <v>7811</v>
      </c>
      <c r="E272" s="155"/>
      <c r="F272" s="156" t="str">
        <f t="shared" si="4"/>
        <v>Cargas Cubiertas por Provisiones</v>
      </c>
      <c r="G272" s="133"/>
      <c r="H272" s="130"/>
      <c r="I272" s="128"/>
      <c r="J272" s="129"/>
      <c r="K272" s="137"/>
    </row>
    <row r="273" spans="2:11" x14ac:dyDescent="0.25">
      <c r="B273" s="152">
        <v>84</v>
      </c>
      <c r="C273" s="153"/>
      <c r="D273" s="154"/>
      <c r="E273" s="155"/>
      <c r="F273" s="156" t="str">
        <f t="shared" si="4"/>
        <v>RESULTADO DE EXPLOTACIÓN</v>
      </c>
      <c r="G273" s="130"/>
      <c r="H273" s="130"/>
      <c r="I273" s="128"/>
      <c r="J273" s="129"/>
      <c r="K273" s="137">
        <f>SUM(H274)</f>
        <v>0</v>
      </c>
    </row>
    <row r="274" spans="2:11" x14ac:dyDescent="0.25">
      <c r="B274" s="143"/>
      <c r="C274" s="144">
        <v>841</v>
      </c>
      <c r="D274" s="145"/>
      <c r="E274" s="146"/>
      <c r="F274" s="147" t="str">
        <f t="shared" si="4"/>
        <v>Resultado de Explotación</v>
      </c>
      <c r="G274" s="148"/>
      <c r="H274" s="148">
        <f>SUM(G240,G243,G245:G246,G248,G250:G254,G256:G258,G260:G264,G266,G268:G269,G272)</f>
        <v>0</v>
      </c>
      <c r="I274" s="148"/>
      <c r="J274" s="149"/>
      <c r="K274" s="150"/>
    </row>
    <row r="275" spans="2:11" x14ac:dyDescent="0.25">
      <c r="B275" s="152">
        <v>84</v>
      </c>
      <c r="C275" s="153"/>
      <c r="D275" s="154"/>
      <c r="E275" s="155"/>
      <c r="F275" s="156" t="str">
        <f t="shared" si="4"/>
        <v>RESULTADO DE EXPLOTACIÓN</v>
      </c>
      <c r="G275" s="130"/>
      <c r="H275" s="130"/>
      <c r="I275" s="128"/>
      <c r="J275" s="129">
        <f>SUM(G276)</f>
        <v>0</v>
      </c>
      <c r="K275" s="137"/>
    </row>
    <row r="276" spans="2:11" x14ac:dyDescent="0.25">
      <c r="B276" s="152"/>
      <c r="C276" s="153">
        <v>841</v>
      </c>
      <c r="D276" s="154"/>
      <c r="E276" s="155"/>
      <c r="F276" s="156" t="str">
        <f t="shared" si="4"/>
        <v>Resultado de Explotación</v>
      </c>
      <c r="G276" s="133">
        <f>IF((H209+H274-G205-G211)&lt;0,0,H209+H274-G205-G211)</f>
        <v>0</v>
      </c>
      <c r="H276" s="130"/>
      <c r="I276" s="128"/>
      <c r="J276" s="129"/>
      <c r="K276" s="137"/>
    </row>
    <row r="277" spans="2:11" x14ac:dyDescent="0.25">
      <c r="B277" s="152">
        <v>85</v>
      </c>
      <c r="C277" s="153"/>
      <c r="D277" s="154"/>
      <c r="E277" s="155"/>
      <c r="F277" s="156" t="str">
        <f t="shared" si="4"/>
        <v>RESULTADO ANTES DE PARTICIPACIONES E IMPUESTOS</v>
      </c>
      <c r="G277" s="130"/>
      <c r="H277" s="130"/>
      <c r="I277" s="128"/>
      <c r="J277" s="129">
        <f>SUM(G278)</f>
        <v>201892.37288135593</v>
      </c>
      <c r="K277" s="137"/>
    </row>
    <row r="278" spans="2:11" x14ac:dyDescent="0.25">
      <c r="B278" s="152"/>
      <c r="C278" s="153">
        <v>851</v>
      </c>
      <c r="D278" s="154"/>
      <c r="E278" s="155"/>
      <c r="F278" s="156" t="str">
        <f t="shared" si="4"/>
        <v>Resultado antes de Participaciones e Impuestos</v>
      </c>
      <c r="G278" s="133">
        <f>H280</f>
        <v>201892.37288135593</v>
      </c>
      <c r="H278" s="130"/>
      <c r="I278" s="128"/>
      <c r="J278" s="129"/>
      <c r="K278" s="137"/>
    </row>
    <row r="279" spans="2:11" x14ac:dyDescent="0.25">
      <c r="B279" s="152">
        <v>84</v>
      </c>
      <c r="C279" s="153"/>
      <c r="D279" s="154"/>
      <c r="E279" s="155"/>
      <c r="F279" s="156" t="str">
        <f t="shared" si="4"/>
        <v>RESULTADO DE EXPLOTACIÓN</v>
      </c>
      <c r="G279" s="130"/>
      <c r="H279" s="130"/>
      <c r="I279" s="128"/>
      <c r="J279" s="129"/>
      <c r="K279" s="137">
        <f>SUM(H280)</f>
        <v>201892.37288135593</v>
      </c>
    </row>
    <row r="280" spans="2:11" x14ac:dyDescent="0.25">
      <c r="B280" s="152"/>
      <c r="C280" s="153">
        <v>841</v>
      </c>
      <c r="D280" s="154"/>
      <c r="E280" s="155"/>
      <c r="F280" s="156" t="str">
        <f t="shared" si="4"/>
        <v>Resultado de Explotación</v>
      </c>
      <c r="G280" s="130"/>
      <c r="H280" s="133">
        <f>-IF((H209+H274-G205-G211)&gt;0,0,H209+H274-G205-G211)</f>
        <v>201892.37288135593</v>
      </c>
      <c r="I280" s="128"/>
      <c r="J280" s="129"/>
      <c r="K280" s="137"/>
    </row>
    <row r="281" spans="2:11" x14ac:dyDescent="0.25">
      <c r="B281" s="152">
        <v>85</v>
      </c>
      <c r="C281" s="153"/>
      <c r="D281" s="154"/>
      <c r="E281" s="155"/>
      <c r="F281" s="156" t="str">
        <f t="shared" si="4"/>
        <v>RESULTADO ANTES DE PARTICIPACIONES E IMPUESTOS</v>
      </c>
      <c r="G281" s="130"/>
      <c r="H281" s="130"/>
      <c r="I281" s="128"/>
      <c r="J281" s="129"/>
      <c r="K281" s="137">
        <f>SUM(H282)</f>
        <v>0</v>
      </c>
    </row>
    <row r="282" spans="2:11" x14ac:dyDescent="0.25">
      <c r="B282" s="143"/>
      <c r="C282" s="144">
        <v>851</v>
      </c>
      <c r="D282" s="145"/>
      <c r="E282" s="146"/>
      <c r="F282" s="147" t="str">
        <f t="shared" si="4"/>
        <v>Resultado antes de Participaciones e Impuestos</v>
      </c>
      <c r="G282" s="148"/>
      <c r="H282" s="148">
        <f>G276</f>
        <v>0</v>
      </c>
      <c r="I282" s="148"/>
      <c r="J282" s="149"/>
      <c r="K282" s="150"/>
    </row>
    <row r="283" spans="2:11" x14ac:dyDescent="0.25">
      <c r="B283" s="152">
        <v>85</v>
      </c>
      <c r="C283" s="153"/>
      <c r="D283" s="154"/>
      <c r="E283" s="155"/>
      <c r="F283" s="156" t="str">
        <f t="shared" si="4"/>
        <v>RESULTADO ANTES DE PARTICIPACIONES E IMPUESTOS</v>
      </c>
      <c r="G283" s="130"/>
      <c r="H283" s="130"/>
      <c r="I283" s="128"/>
      <c r="J283" s="129">
        <f>SUM(G284)</f>
        <v>0</v>
      </c>
      <c r="K283" s="137"/>
    </row>
    <row r="284" spans="2:11" x14ac:dyDescent="0.25">
      <c r="B284" s="152"/>
      <c r="C284" s="153">
        <v>851</v>
      </c>
      <c r="D284" s="154"/>
      <c r="E284" s="155"/>
      <c r="F284" s="156" t="str">
        <f t="shared" si="4"/>
        <v>Resultado antes de Participaciones e Impuestos</v>
      </c>
      <c r="G284" s="133">
        <f>SUM(H287:H290,H292,H294:H299,H302,H304,H306,H308,H310:H314)</f>
        <v>0</v>
      </c>
      <c r="H284" s="130"/>
      <c r="I284" s="128"/>
      <c r="J284" s="129"/>
      <c r="K284" s="137"/>
    </row>
    <row r="285" spans="2:11" x14ac:dyDescent="0.25">
      <c r="B285" s="152">
        <v>67</v>
      </c>
      <c r="C285" s="153"/>
      <c r="D285" s="154"/>
      <c r="E285" s="155"/>
      <c r="F285" s="156" t="str">
        <f t="shared" si="4"/>
        <v>GASTOS FINANCIEROS</v>
      </c>
      <c r="G285" s="130"/>
      <c r="H285" s="130"/>
      <c r="I285" s="128"/>
      <c r="J285" s="129"/>
      <c r="K285" s="137">
        <f>SUM(I286,I291,I293,I301,I303,I305,I307,I309)</f>
        <v>0</v>
      </c>
    </row>
    <row r="286" spans="2:11" x14ac:dyDescent="0.25">
      <c r="B286" s="152"/>
      <c r="C286" s="153">
        <v>671</v>
      </c>
      <c r="D286" s="154"/>
      <c r="E286" s="155"/>
      <c r="F286" s="156" t="str">
        <f t="shared" si="4"/>
        <v>Gastos en Operaciones de Endeudamiento y Otros</v>
      </c>
      <c r="G286" s="130"/>
      <c r="H286" s="130"/>
      <c r="I286" s="128">
        <f>SUM(H287:H290)</f>
        <v>0</v>
      </c>
      <c r="J286" s="129"/>
      <c r="K286" s="137"/>
    </row>
    <row r="287" spans="2:11" x14ac:dyDescent="0.25">
      <c r="B287" s="152"/>
      <c r="C287" s="153"/>
      <c r="D287" s="154">
        <v>6711</v>
      </c>
      <c r="E287" s="155"/>
      <c r="F287" s="156" t="str">
        <f t="shared" si="4"/>
        <v>Préstamos de Instituciones Financieras y Otras Entidades</v>
      </c>
      <c r="G287" s="130"/>
      <c r="H287" s="130">
        <f>'Hoja Trabajo - Divisionarias'!N216</f>
        <v>0</v>
      </c>
      <c r="I287" s="128"/>
      <c r="J287" s="129"/>
      <c r="K287" s="137"/>
    </row>
    <row r="288" spans="2:11" x14ac:dyDescent="0.25">
      <c r="B288" s="152"/>
      <c r="C288" s="153"/>
      <c r="D288" s="154">
        <v>6712</v>
      </c>
      <c r="E288" s="155"/>
      <c r="F288" s="156" t="str">
        <f t="shared" si="4"/>
        <v>Contratos de Arrendamiento Financiero</v>
      </c>
      <c r="G288" s="130"/>
      <c r="H288" s="130">
        <f>'Hoja Trabajo - Divisionarias'!N217</f>
        <v>0</v>
      </c>
      <c r="I288" s="128"/>
      <c r="J288" s="129"/>
      <c r="K288" s="137"/>
    </row>
    <row r="289" spans="2:11" x14ac:dyDescent="0.25">
      <c r="B289" s="152"/>
      <c r="C289" s="153"/>
      <c r="D289" s="154">
        <v>6713</v>
      </c>
      <c r="E289" s="155"/>
      <c r="F289" s="156" t="str">
        <f t="shared" si="4"/>
        <v>Emisión y Colocación de Instrumentos Representativos de Deuda y Patrimonio</v>
      </c>
      <c r="G289" s="130"/>
      <c r="H289" s="130">
        <f>'Hoja Trabajo - Divisionarias'!N218</f>
        <v>0</v>
      </c>
      <c r="I289" s="128"/>
      <c r="J289" s="129"/>
      <c r="K289" s="137"/>
    </row>
    <row r="290" spans="2:11" x14ac:dyDescent="0.25">
      <c r="B290" s="152"/>
      <c r="C290" s="153"/>
      <c r="D290" s="154">
        <v>6714</v>
      </c>
      <c r="E290" s="155"/>
      <c r="F290" s="156" t="str">
        <f t="shared" si="4"/>
        <v>Documentos Vendidos o Descontados</v>
      </c>
      <c r="G290" s="130"/>
      <c r="H290" s="133">
        <f>'Hoja Trabajo - Divisionarias'!N219</f>
        <v>0</v>
      </c>
      <c r="I290" s="128"/>
      <c r="J290" s="129"/>
      <c r="K290" s="137"/>
    </row>
    <row r="291" spans="2:11" x14ac:dyDescent="0.25">
      <c r="B291" s="152"/>
      <c r="C291" s="153">
        <v>672</v>
      </c>
      <c r="D291" s="154"/>
      <c r="E291" s="155"/>
      <c r="F291" s="156" t="str">
        <f t="shared" si="4"/>
        <v>Pérdida por Instrumentos Financieros Derivados</v>
      </c>
      <c r="G291" s="130"/>
      <c r="H291" s="130"/>
      <c r="I291" s="128">
        <f>SUM(H292)</f>
        <v>0</v>
      </c>
      <c r="J291" s="129"/>
      <c r="K291" s="137"/>
    </row>
    <row r="292" spans="2:11" x14ac:dyDescent="0.25">
      <c r="B292" s="152"/>
      <c r="C292" s="153"/>
      <c r="D292" s="154">
        <v>6721</v>
      </c>
      <c r="E292" s="155"/>
      <c r="F292" s="156" t="str">
        <f t="shared" si="4"/>
        <v>Pérdida por Instrumentos Financieros Derivados</v>
      </c>
      <c r="G292" s="130"/>
      <c r="H292" s="133">
        <f>'Hoja Trabajo - Divisionarias'!N220</f>
        <v>0</v>
      </c>
      <c r="I292" s="128"/>
      <c r="J292" s="129"/>
      <c r="K292" s="137"/>
    </row>
    <row r="293" spans="2:11" x14ac:dyDescent="0.25">
      <c r="B293" s="152"/>
      <c r="C293" s="153">
        <v>673</v>
      </c>
      <c r="D293" s="154"/>
      <c r="E293" s="155"/>
      <c r="F293" s="156" t="str">
        <f t="shared" si="4"/>
        <v>Intereses por Préstamos y Otras Obligaciones</v>
      </c>
      <c r="G293" s="130"/>
      <c r="H293" s="130"/>
      <c r="I293" s="128">
        <f>SUM(H294:H299)</f>
        <v>0</v>
      </c>
      <c r="J293" s="129"/>
      <c r="K293" s="137"/>
    </row>
    <row r="294" spans="2:11" x14ac:dyDescent="0.25">
      <c r="B294" s="152"/>
      <c r="C294" s="153"/>
      <c r="D294" s="154">
        <v>6731</v>
      </c>
      <c r="E294" s="155"/>
      <c r="F294" s="156" t="str">
        <f t="shared" si="4"/>
        <v>Préstamos de Instituciones Financieras y Otras Entidades</v>
      </c>
      <c r="G294" s="130"/>
      <c r="H294" s="130">
        <f>'Hoja Trabajo - Divisionarias'!N221</f>
        <v>0</v>
      </c>
      <c r="I294" s="128"/>
      <c r="J294" s="129"/>
      <c r="K294" s="137"/>
    </row>
    <row r="295" spans="2:11" x14ac:dyDescent="0.25">
      <c r="B295" s="152"/>
      <c r="C295" s="153"/>
      <c r="D295" s="154">
        <v>6732</v>
      </c>
      <c r="E295" s="155"/>
      <c r="F295" s="156" t="str">
        <f t="shared" si="4"/>
        <v>Contratos de Arrendamiento Financiero</v>
      </c>
      <c r="G295" s="130"/>
      <c r="H295" s="130">
        <f>'Hoja Trabajo - Divisionarias'!N222</f>
        <v>0</v>
      </c>
      <c r="I295" s="128"/>
      <c r="J295" s="129"/>
      <c r="K295" s="137"/>
    </row>
    <row r="296" spans="2:11" x14ac:dyDescent="0.25">
      <c r="B296" s="152"/>
      <c r="C296" s="153"/>
      <c r="D296" s="154">
        <v>6733</v>
      </c>
      <c r="E296" s="155"/>
      <c r="F296" s="156" t="str">
        <f t="shared" si="4"/>
        <v>Otros Instrumentos Financieros por Pagar</v>
      </c>
      <c r="G296" s="130"/>
      <c r="H296" s="130">
        <f>'Hoja Trabajo - Divisionarias'!N223</f>
        <v>0</v>
      </c>
      <c r="I296" s="128"/>
      <c r="J296" s="129"/>
      <c r="K296" s="137"/>
    </row>
    <row r="297" spans="2:11" x14ac:dyDescent="0.25">
      <c r="B297" s="152"/>
      <c r="C297" s="153"/>
      <c r="D297" s="154">
        <v>6734</v>
      </c>
      <c r="E297" s="155"/>
      <c r="F297" s="156" t="str">
        <f t="shared" si="4"/>
        <v>Documentos Vendidos o Descontados</v>
      </c>
      <c r="G297" s="130"/>
      <c r="H297" s="130">
        <f>'Hoja Trabajo - Divisionarias'!N224</f>
        <v>0</v>
      </c>
      <c r="I297" s="128"/>
      <c r="J297" s="129"/>
      <c r="K297" s="137"/>
    </row>
    <row r="298" spans="2:11" x14ac:dyDescent="0.25">
      <c r="B298" s="152"/>
      <c r="C298" s="153"/>
      <c r="D298" s="154">
        <v>6735</v>
      </c>
      <c r="E298" s="155"/>
      <c r="F298" s="156" t="str">
        <f t="shared" si="4"/>
        <v>Obligaciones Emitidas</v>
      </c>
      <c r="G298" s="130"/>
      <c r="H298" s="130">
        <f>'Hoja Trabajo - Divisionarias'!N225</f>
        <v>0</v>
      </c>
      <c r="I298" s="128"/>
      <c r="J298" s="129"/>
      <c r="K298" s="137"/>
    </row>
    <row r="299" spans="2:11" x14ac:dyDescent="0.25">
      <c r="B299" s="152"/>
      <c r="C299" s="153"/>
      <c r="D299" s="154">
        <v>6736</v>
      </c>
      <c r="E299" s="155"/>
      <c r="F299" s="156" t="str">
        <f t="shared" si="4"/>
        <v>Obligaciones Comerciales</v>
      </c>
      <c r="G299" s="130"/>
      <c r="H299" s="133">
        <f>'Hoja Trabajo - Divisionarias'!N226</f>
        <v>0</v>
      </c>
      <c r="I299" s="128"/>
      <c r="J299" s="129"/>
      <c r="K299" s="137"/>
    </row>
    <row r="300" spans="2:11" x14ac:dyDescent="0.25">
      <c r="B300" s="152"/>
      <c r="C300" s="153"/>
      <c r="D300" s="154">
        <v>6737</v>
      </c>
      <c r="E300" s="155"/>
      <c r="F300" s="156" t="str">
        <f t="shared" si="4"/>
        <v>Obligaciones Tributarias</v>
      </c>
      <c r="G300" s="130"/>
      <c r="H300" s="130"/>
      <c r="I300" s="128"/>
      <c r="J300" s="129"/>
      <c r="K300" s="137"/>
    </row>
    <row r="301" spans="2:11" x14ac:dyDescent="0.25">
      <c r="B301" s="152"/>
      <c r="C301" s="153">
        <v>674</v>
      </c>
      <c r="D301" s="154"/>
      <c r="E301" s="155"/>
      <c r="F301" s="156" t="str">
        <f t="shared" si="4"/>
        <v>Gastos en Operaciones de Factoraje (Factoring)</v>
      </c>
      <c r="G301" s="130"/>
      <c r="H301" s="130"/>
      <c r="I301" s="128">
        <f>SUM(H302)</f>
        <v>0</v>
      </c>
      <c r="J301" s="129"/>
      <c r="K301" s="137"/>
    </row>
    <row r="302" spans="2:11" x14ac:dyDescent="0.25">
      <c r="B302" s="152"/>
      <c r="C302" s="153"/>
      <c r="D302" s="154">
        <v>6741</v>
      </c>
      <c r="E302" s="155"/>
      <c r="F302" s="156" t="str">
        <f t="shared" si="4"/>
        <v>Gastos por Menor Valor</v>
      </c>
      <c r="G302" s="130"/>
      <c r="H302" s="133">
        <f>'Hoja Trabajo - Divisionarias'!N228</f>
        <v>0</v>
      </c>
      <c r="I302" s="128"/>
      <c r="J302" s="129"/>
      <c r="K302" s="137"/>
    </row>
    <row r="303" spans="2:11" x14ac:dyDescent="0.25">
      <c r="B303" s="152"/>
      <c r="C303" s="153">
        <v>675</v>
      </c>
      <c r="D303" s="154"/>
      <c r="E303" s="155"/>
      <c r="F303" s="156" t="str">
        <f t="shared" si="4"/>
        <v>Descuentos Concedidos por Pronto Pago</v>
      </c>
      <c r="G303" s="130"/>
      <c r="H303" s="130"/>
      <c r="I303" s="128">
        <f>SUM(H304)</f>
        <v>0</v>
      </c>
      <c r="J303" s="129"/>
      <c r="K303" s="137"/>
    </row>
    <row r="304" spans="2:11" x14ac:dyDescent="0.25">
      <c r="B304" s="152"/>
      <c r="C304" s="153"/>
      <c r="D304" s="154">
        <v>6751</v>
      </c>
      <c r="E304" s="155"/>
      <c r="F304" s="156" t="str">
        <f t="shared" si="4"/>
        <v>Descuentos Concedidos por Pronto Pago</v>
      </c>
      <c r="G304" s="130"/>
      <c r="H304" s="133">
        <f>'Hoja Trabajo - Divisionarias'!N229</f>
        <v>0</v>
      </c>
      <c r="I304" s="128"/>
      <c r="J304" s="129"/>
      <c r="K304" s="137"/>
    </row>
    <row r="305" spans="2:11" x14ac:dyDescent="0.25">
      <c r="B305" s="152"/>
      <c r="C305" s="153">
        <v>676</v>
      </c>
      <c r="D305" s="154"/>
      <c r="E305" s="155"/>
      <c r="F305" s="156" t="str">
        <f t="shared" si="4"/>
        <v>Diferencia de Cambio</v>
      </c>
      <c r="G305" s="130"/>
      <c r="H305" s="130"/>
      <c r="I305" s="128">
        <f>SUM(H306)</f>
        <v>0</v>
      </c>
      <c r="J305" s="129"/>
      <c r="K305" s="137"/>
    </row>
    <row r="306" spans="2:11" x14ac:dyDescent="0.25">
      <c r="B306" s="152"/>
      <c r="C306" s="153"/>
      <c r="D306" s="154">
        <v>6761</v>
      </c>
      <c r="E306" s="155"/>
      <c r="F306" s="156" t="str">
        <f t="shared" si="4"/>
        <v>Diferencia de Cambio</v>
      </c>
      <c r="G306" s="130"/>
      <c r="H306" s="133">
        <f>'Hoja Trabajo - Divisionarias'!N230</f>
        <v>0</v>
      </c>
      <c r="I306" s="128"/>
      <c r="J306" s="129"/>
      <c r="K306" s="137"/>
    </row>
    <row r="307" spans="2:11" x14ac:dyDescent="0.25">
      <c r="B307" s="152"/>
      <c r="C307" s="153">
        <v>677</v>
      </c>
      <c r="D307" s="154"/>
      <c r="E307" s="155"/>
      <c r="F307" s="156" t="str">
        <f t="shared" si="4"/>
        <v>Pérdida por Medición de Activos y Pasivos Financieros al Valor Razonable</v>
      </c>
      <c r="G307" s="130"/>
      <c r="H307" s="130"/>
      <c r="I307" s="128">
        <f>SUM(H308)</f>
        <v>0</v>
      </c>
      <c r="J307" s="129"/>
      <c r="K307" s="137"/>
    </row>
    <row r="308" spans="2:11" x14ac:dyDescent="0.25">
      <c r="B308" s="152"/>
      <c r="C308" s="153"/>
      <c r="D308" s="154">
        <v>6771</v>
      </c>
      <c r="E308" s="155"/>
      <c r="F308" s="156" t="str">
        <f t="shared" si="4"/>
        <v>Inversiones para Negociación</v>
      </c>
      <c r="G308" s="130"/>
      <c r="H308" s="133">
        <f>'Hoja Trabajo - Divisionarias'!N231</f>
        <v>0</v>
      </c>
      <c r="I308" s="128"/>
      <c r="J308" s="129"/>
      <c r="K308" s="137"/>
    </row>
    <row r="309" spans="2:11" x14ac:dyDescent="0.25">
      <c r="B309" s="152"/>
      <c r="C309" s="153">
        <v>679</v>
      </c>
      <c r="D309" s="154"/>
      <c r="E309" s="155"/>
      <c r="F309" s="156" t="str">
        <f t="shared" si="4"/>
        <v>Otros Gastos Financieros</v>
      </c>
      <c r="G309" s="130"/>
      <c r="H309" s="130"/>
      <c r="I309" s="131">
        <f>SUM(H310:H314)</f>
        <v>0</v>
      </c>
      <c r="J309" s="129"/>
      <c r="K309" s="137"/>
    </row>
    <row r="310" spans="2:11" x14ac:dyDescent="0.25">
      <c r="B310" s="152"/>
      <c r="C310" s="153"/>
      <c r="D310" s="154">
        <v>6791</v>
      </c>
      <c r="E310" s="155"/>
      <c r="F310" s="156" t="str">
        <f t="shared" si="4"/>
        <v>Primas por Opciones</v>
      </c>
      <c r="G310" s="130"/>
      <c r="H310" s="130">
        <f>'Hoja Trabajo - Divisionarias'!N232</f>
        <v>0</v>
      </c>
      <c r="I310" s="128"/>
      <c r="J310" s="129"/>
      <c r="K310" s="137"/>
    </row>
    <row r="311" spans="2:11" x14ac:dyDescent="0.25">
      <c r="B311" s="152"/>
      <c r="C311" s="153"/>
      <c r="D311" s="154">
        <v>6792</v>
      </c>
      <c r="E311" s="155"/>
      <c r="F311" s="156" t="str">
        <f t="shared" si="4"/>
        <v>Gastos Financieros en Medición a Valor Descontado</v>
      </c>
      <c r="G311" s="130"/>
      <c r="H311" s="130">
        <f>'Hoja Trabajo - Divisionarias'!N233</f>
        <v>0</v>
      </c>
      <c r="I311" s="128"/>
      <c r="J311" s="129"/>
      <c r="K311" s="137"/>
    </row>
    <row r="312" spans="2:11" x14ac:dyDescent="0.25">
      <c r="B312" s="152"/>
      <c r="C312" s="153"/>
      <c r="D312" s="154">
        <v>6793</v>
      </c>
      <c r="E312" s="155"/>
      <c r="F312" s="156" t="str">
        <f t="shared" si="4"/>
        <v>Intereses por Demora con las AFP's</v>
      </c>
      <c r="G312" s="130"/>
      <c r="H312" s="130">
        <f>'Hoja Trabajo - Divisionarias'!N234</f>
        <v>0</v>
      </c>
      <c r="I312" s="128"/>
      <c r="J312" s="129"/>
      <c r="K312" s="137"/>
    </row>
    <row r="313" spans="2:11" x14ac:dyDescent="0.25">
      <c r="B313" s="152"/>
      <c r="C313" s="153"/>
      <c r="D313" s="154">
        <v>6794</v>
      </c>
      <c r="E313" s="155"/>
      <c r="F313" s="156" t="str">
        <f t="shared" si="4"/>
        <v>Intereses por Demora en el Pago de Tributos</v>
      </c>
      <c r="G313" s="130"/>
      <c r="H313" s="130">
        <f>'Hoja Trabajo - Divisionarias'!N235</f>
        <v>0</v>
      </c>
      <c r="I313" s="128"/>
      <c r="J313" s="129"/>
      <c r="K313" s="137"/>
    </row>
    <row r="314" spans="2:11" x14ac:dyDescent="0.25">
      <c r="B314" s="143"/>
      <c r="C314" s="144"/>
      <c r="D314" s="145">
        <v>6799</v>
      </c>
      <c r="E314" s="146"/>
      <c r="F314" s="147" t="str">
        <f t="shared" si="4"/>
        <v>Reclasificación de IGV al Gasto</v>
      </c>
      <c r="G314" s="148"/>
      <c r="H314" s="148">
        <f>'Hoja Trabajo - Divisionarias'!N236</f>
        <v>0</v>
      </c>
      <c r="I314" s="148"/>
      <c r="J314" s="149"/>
      <c r="K314" s="150"/>
    </row>
    <row r="315" spans="2:11" x14ac:dyDescent="0.25">
      <c r="B315" s="152">
        <v>77</v>
      </c>
      <c r="C315" s="153"/>
      <c r="D315" s="154"/>
      <c r="E315" s="155"/>
      <c r="F315" s="156" t="str">
        <f t="shared" si="4"/>
        <v>INGRESOS FINANCIEROS</v>
      </c>
      <c r="G315" s="130"/>
      <c r="H315" s="130"/>
      <c r="I315" s="128"/>
      <c r="J315" s="129">
        <f>SUM(I316,I318,I324,I326,I328,I330,I332)</f>
        <v>0</v>
      </c>
      <c r="K315" s="137"/>
    </row>
    <row r="316" spans="2:11" x14ac:dyDescent="0.25">
      <c r="B316" s="152"/>
      <c r="C316" s="153">
        <v>771</v>
      </c>
      <c r="D316" s="154"/>
      <c r="E316" s="155"/>
      <c r="F316" s="156" t="str">
        <f t="shared" si="4"/>
        <v>Ganancia por Instrumento Financiero Derivado</v>
      </c>
      <c r="G316" s="130"/>
      <c r="H316" s="130"/>
      <c r="I316" s="128">
        <f>SUM(G317)</f>
        <v>0</v>
      </c>
      <c r="J316" s="129"/>
      <c r="K316" s="137"/>
    </row>
    <row r="317" spans="2:11" x14ac:dyDescent="0.25">
      <c r="B317" s="152"/>
      <c r="C317" s="153"/>
      <c r="D317" s="154">
        <v>7711</v>
      </c>
      <c r="E317" s="155"/>
      <c r="F317" s="156" t="str">
        <f t="shared" si="4"/>
        <v>Ganancia por Instrumento Financiero Derivado</v>
      </c>
      <c r="G317" s="133">
        <f>'Hoja Trabajo - Divisionarias'!O284</f>
        <v>0</v>
      </c>
      <c r="H317" s="130"/>
      <c r="I317" s="128"/>
      <c r="J317" s="129"/>
      <c r="K317" s="137"/>
    </row>
    <row r="318" spans="2:11" x14ac:dyDescent="0.25">
      <c r="B318" s="152"/>
      <c r="C318" s="153">
        <v>772</v>
      </c>
      <c r="D318" s="154"/>
      <c r="E318" s="155"/>
      <c r="F318" s="156" t="str">
        <f t="shared" si="4"/>
        <v>Rendimientos Ganados</v>
      </c>
      <c r="G318" s="130"/>
      <c r="H318" s="130"/>
      <c r="I318" s="128">
        <f>SUM(G319:G323)</f>
        <v>0</v>
      </c>
      <c r="J318" s="129"/>
      <c r="K318" s="137"/>
    </row>
    <row r="319" spans="2:11" x14ac:dyDescent="0.25">
      <c r="B319" s="152"/>
      <c r="C319" s="153"/>
      <c r="D319" s="154">
        <v>7721</v>
      </c>
      <c r="E319" s="155"/>
      <c r="F319" s="156" t="str">
        <f t="shared" si="4"/>
        <v>Depósitos en Instituciones Financieras</v>
      </c>
      <c r="G319" s="130">
        <f>'Hoja Trabajo - Divisionarias'!O285</f>
        <v>0</v>
      </c>
      <c r="H319" s="130"/>
      <c r="I319" s="128"/>
      <c r="J319" s="129"/>
      <c r="K319" s="137"/>
    </row>
    <row r="320" spans="2:11" x14ac:dyDescent="0.25">
      <c r="B320" s="152"/>
      <c r="C320" s="153"/>
      <c r="D320" s="154">
        <v>7722</v>
      </c>
      <c r="E320" s="155"/>
      <c r="F320" s="156" t="str">
        <f t="shared" si="4"/>
        <v>Cuentas por Cobrar Comerciales</v>
      </c>
      <c r="G320" s="130">
        <f>'Hoja Trabajo - Divisionarias'!O286</f>
        <v>0</v>
      </c>
      <c r="H320" s="130"/>
      <c r="I320" s="128"/>
      <c r="J320" s="129"/>
      <c r="K320" s="137"/>
    </row>
    <row r="321" spans="2:11" x14ac:dyDescent="0.25">
      <c r="B321" s="152"/>
      <c r="C321" s="153"/>
      <c r="D321" s="154">
        <v>7723</v>
      </c>
      <c r="E321" s="155"/>
      <c r="F321" s="156" t="str">
        <f t="shared" si="4"/>
        <v>Préstamos Otorgados</v>
      </c>
      <c r="G321" s="130">
        <f>'Hoja Trabajo - Divisionarias'!O287</f>
        <v>0</v>
      </c>
      <c r="H321" s="130"/>
      <c r="I321" s="128"/>
      <c r="J321" s="129"/>
      <c r="K321" s="137"/>
    </row>
    <row r="322" spans="2:11" x14ac:dyDescent="0.25">
      <c r="B322" s="152"/>
      <c r="C322" s="153"/>
      <c r="D322" s="154">
        <v>7724</v>
      </c>
      <c r="E322" s="155"/>
      <c r="F322" s="156" t="str">
        <f t="shared" si="4"/>
        <v>Inversiones a ser Mantenidas hasta el Vencimiento</v>
      </c>
      <c r="G322" s="130">
        <f>'Hoja Trabajo - Divisionarias'!O288</f>
        <v>0</v>
      </c>
      <c r="H322" s="130"/>
      <c r="I322" s="128"/>
      <c r="J322" s="129"/>
      <c r="K322" s="137"/>
    </row>
    <row r="323" spans="2:11" x14ac:dyDescent="0.25">
      <c r="B323" s="152"/>
      <c r="C323" s="153"/>
      <c r="D323" s="154">
        <v>7725</v>
      </c>
      <c r="E323" s="155"/>
      <c r="F323" s="156" t="str">
        <f t="shared" ref="F323:F395" si="5">IF(AND(B323="",C323="",D323="",E323=""),"",IF(AND(B323&gt;0,C323&gt;0,D323&gt;0,E323&gt;0),"",IF(B323&gt;0,VLOOKUP(B323,CuentasContables,5,FALSE),IF(C323&gt;0,VLOOKUP(C323,SubCuentasContables,4,FALSE),IF(D323&gt;0,VLOOKUP(D323,DivisionariasContables,3,FALSE),IF(E323&gt;0,VLOOKUP(E323,SubDivisionariasContables,2,FALSE)))))))</f>
        <v>Instrumentos Financieros Representativos de Derecho Patrimonial</v>
      </c>
      <c r="G323" s="133">
        <f>'Hoja Trabajo - Divisionarias'!O289</f>
        <v>0</v>
      </c>
      <c r="H323" s="130"/>
      <c r="I323" s="128"/>
      <c r="J323" s="129"/>
      <c r="K323" s="137"/>
    </row>
    <row r="324" spans="2:11" x14ac:dyDescent="0.25">
      <c r="B324" s="152"/>
      <c r="C324" s="153">
        <v>773</v>
      </c>
      <c r="D324" s="154"/>
      <c r="E324" s="155"/>
      <c r="F324" s="156" t="str">
        <f t="shared" si="5"/>
        <v>Dividendos</v>
      </c>
      <c r="G324" s="130"/>
      <c r="H324" s="130"/>
      <c r="I324" s="128">
        <f>SUM(G325)</f>
        <v>0</v>
      </c>
      <c r="J324" s="129"/>
      <c r="K324" s="137"/>
    </row>
    <row r="325" spans="2:11" x14ac:dyDescent="0.25">
      <c r="B325" s="152"/>
      <c r="C325" s="153"/>
      <c r="D325" s="154">
        <v>7731</v>
      </c>
      <c r="E325" s="155"/>
      <c r="F325" s="156" t="str">
        <f t="shared" si="5"/>
        <v>Dividendos</v>
      </c>
      <c r="G325" s="133">
        <f>'Hoja Trabajo - Divisionarias'!O290</f>
        <v>0</v>
      </c>
      <c r="H325" s="130"/>
      <c r="I325" s="128"/>
      <c r="J325" s="129"/>
      <c r="K325" s="137"/>
    </row>
    <row r="326" spans="2:11" x14ac:dyDescent="0.25">
      <c r="B326" s="152"/>
      <c r="C326" s="153">
        <v>775</v>
      </c>
      <c r="D326" s="154"/>
      <c r="E326" s="155"/>
      <c r="F326" s="156" t="str">
        <f t="shared" si="5"/>
        <v>Descuentos Obtenidos por Pronto Pago</v>
      </c>
      <c r="G326" s="130"/>
      <c r="H326" s="130"/>
      <c r="I326" s="128">
        <f>SUM(G327)</f>
        <v>0</v>
      </c>
      <c r="J326" s="129"/>
      <c r="K326" s="137"/>
    </row>
    <row r="327" spans="2:11" x14ac:dyDescent="0.25">
      <c r="B327" s="152"/>
      <c r="C327" s="153"/>
      <c r="D327" s="154">
        <v>7751</v>
      </c>
      <c r="E327" s="155"/>
      <c r="F327" s="156" t="str">
        <f t="shared" si="5"/>
        <v>Descuentos Obtenidos por Pronto Pago</v>
      </c>
      <c r="G327" s="133">
        <f>'Hoja Trabajo - Divisionarias'!O291</f>
        <v>0</v>
      </c>
      <c r="H327" s="130"/>
      <c r="I327" s="128"/>
      <c r="J327" s="129"/>
      <c r="K327" s="137"/>
    </row>
    <row r="328" spans="2:11" x14ac:dyDescent="0.25">
      <c r="B328" s="152"/>
      <c r="C328" s="153">
        <v>776</v>
      </c>
      <c r="D328" s="154"/>
      <c r="E328" s="155"/>
      <c r="F328" s="156" t="str">
        <f t="shared" si="5"/>
        <v>Diferencia en Cambio</v>
      </c>
      <c r="G328" s="130"/>
      <c r="H328" s="130"/>
      <c r="I328" s="128">
        <f>SUM(G329)</f>
        <v>0</v>
      </c>
      <c r="J328" s="129"/>
      <c r="K328" s="137"/>
    </row>
    <row r="329" spans="2:11" x14ac:dyDescent="0.25">
      <c r="B329" s="152"/>
      <c r="C329" s="153"/>
      <c r="D329" s="154">
        <v>7761</v>
      </c>
      <c r="E329" s="155"/>
      <c r="F329" s="156" t="str">
        <f t="shared" si="5"/>
        <v>Diferencia en Cambio</v>
      </c>
      <c r="G329" s="133">
        <f>'Hoja Trabajo - Divisionarias'!O292</f>
        <v>0</v>
      </c>
      <c r="H329" s="130"/>
      <c r="I329" s="128"/>
      <c r="J329" s="129"/>
      <c r="K329" s="137"/>
    </row>
    <row r="330" spans="2:11" x14ac:dyDescent="0.25">
      <c r="B330" s="152"/>
      <c r="C330" s="153">
        <v>777</v>
      </c>
      <c r="D330" s="154"/>
      <c r="E330" s="155"/>
      <c r="F330" s="156" t="str">
        <f t="shared" si="5"/>
        <v>Ganancia por Medición de Activos y Pasivos al Valor Razonable</v>
      </c>
      <c r="G330" s="130"/>
      <c r="H330" s="130"/>
      <c r="I330" s="128">
        <f>SUM(G331)</f>
        <v>0</v>
      </c>
      <c r="J330" s="129"/>
      <c r="K330" s="137"/>
    </row>
    <row r="331" spans="2:11" x14ac:dyDescent="0.25">
      <c r="B331" s="152"/>
      <c r="C331" s="153"/>
      <c r="D331" s="154">
        <v>7771</v>
      </c>
      <c r="E331" s="155"/>
      <c r="F331" s="156" t="str">
        <f t="shared" si="5"/>
        <v>Inversiones Mantenidas para Negociación</v>
      </c>
      <c r="G331" s="133">
        <f>'Hoja Trabajo - Divisionarias'!O293</f>
        <v>0</v>
      </c>
      <c r="H331" s="130"/>
      <c r="I331" s="128"/>
      <c r="J331" s="129"/>
      <c r="K331" s="137"/>
    </row>
    <row r="332" spans="2:11" x14ac:dyDescent="0.25">
      <c r="B332" s="152"/>
      <c r="C332" s="153">
        <v>779</v>
      </c>
      <c r="D332" s="154"/>
      <c r="E332" s="155"/>
      <c r="F332" s="156" t="str">
        <f t="shared" si="5"/>
        <v>Otros Ingresos Financieros</v>
      </c>
      <c r="G332" s="130"/>
      <c r="H332" s="130"/>
      <c r="I332" s="131">
        <f>SUM(G333)</f>
        <v>0</v>
      </c>
      <c r="J332" s="129"/>
      <c r="K332" s="137"/>
    </row>
    <row r="333" spans="2:11" x14ac:dyDescent="0.25">
      <c r="B333" s="152"/>
      <c r="C333" s="153"/>
      <c r="D333" s="154">
        <v>7791</v>
      </c>
      <c r="E333" s="155"/>
      <c r="F333" s="156" t="str">
        <f t="shared" si="5"/>
        <v>Ingresos Financieros en Medición al Valor Descontado</v>
      </c>
      <c r="G333" s="133">
        <f>'Hoja Trabajo - Divisionarias'!O294</f>
        <v>0</v>
      </c>
      <c r="H333" s="130"/>
      <c r="I333" s="128"/>
      <c r="J333" s="129"/>
      <c r="K333" s="137"/>
    </row>
    <row r="334" spans="2:11" x14ac:dyDescent="0.25">
      <c r="B334" s="152">
        <v>85</v>
      </c>
      <c r="C334" s="153"/>
      <c r="D334" s="154"/>
      <c r="E334" s="155"/>
      <c r="F334" s="156" t="str">
        <f t="shared" si="5"/>
        <v>RESULTADO ANTES DE PARTICIPACIONES E IMPUESTOS</v>
      </c>
      <c r="G334" s="130"/>
      <c r="H334" s="130"/>
      <c r="I334" s="128"/>
      <c r="J334" s="129"/>
      <c r="K334" s="137">
        <f>SUM(H335)</f>
        <v>0</v>
      </c>
    </row>
    <row r="335" spans="2:11" x14ac:dyDescent="0.25">
      <c r="B335" s="143"/>
      <c r="C335" s="144">
        <v>851</v>
      </c>
      <c r="D335" s="145"/>
      <c r="E335" s="146"/>
      <c r="F335" s="147" t="str">
        <f t="shared" si="5"/>
        <v>Resultado antes de Participaciones e Impuestos</v>
      </c>
      <c r="G335" s="148"/>
      <c r="H335" s="148">
        <f>SUM(G317,G319:G323,G325,G327,G329,G331,G333)</f>
        <v>0</v>
      </c>
      <c r="I335" s="148"/>
      <c r="J335" s="149"/>
      <c r="K335" s="150"/>
    </row>
    <row r="336" spans="2:11" x14ac:dyDescent="0.25">
      <c r="B336" s="152">
        <v>85</v>
      </c>
      <c r="C336" s="153"/>
      <c r="D336" s="154"/>
      <c r="E336" s="155"/>
      <c r="F336" s="156" t="str">
        <f t="shared" si="5"/>
        <v>RESULTADO ANTES DE PARTICIPACIONES E IMPUESTOS</v>
      </c>
      <c r="G336" s="130"/>
      <c r="H336" s="130"/>
      <c r="I336" s="128"/>
      <c r="J336" s="129">
        <f>SUM(G337)</f>
        <v>0</v>
      </c>
      <c r="K336" s="137"/>
    </row>
    <row r="337" spans="2:11" x14ac:dyDescent="0.25">
      <c r="B337" s="152"/>
      <c r="C337" s="153">
        <v>851</v>
      </c>
      <c r="D337" s="154"/>
      <c r="E337" s="155"/>
      <c r="F337" s="156" t="str">
        <f t="shared" si="5"/>
        <v>Resultado antes de Participaciones e Impuestos</v>
      </c>
      <c r="G337" s="133">
        <f>IF((H282+H335-G278-G284)&lt;0,0,H282+H335-G278-G284)</f>
        <v>0</v>
      </c>
      <c r="H337" s="130"/>
      <c r="I337" s="128"/>
      <c r="J337" s="129"/>
      <c r="K337" s="137"/>
    </row>
    <row r="338" spans="2:11" x14ac:dyDescent="0.25">
      <c r="B338" s="152">
        <v>89</v>
      </c>
      <c r="C338" s="153"/>
      <c r="D338" s="154"/>
      <c r="E338" s="155"/>
      <c r="F338" s="156" t="str">
        <f t="shared" si="5"/>
        <v>DETERMINACIÓN DEL RESULTADO DEL EJERCICIO</v>
      </c>
      <c r="G338" s="130"/>
      <c r="H338" s="130"/>
      <c r="I338" s="128"/>
      <c r="J338" s="129">
        <f>SUM(G339)</f>
        <v>201892.37288135593</v>
      </c>
      <c r="K338" s="137"/>
    </row>
    <row r="339" spans="2:11" x14ac:dyDescent="0.25">
      <c r="B339" s="152"/>
      <c r="C339" s="153">
        <v>892</v>
      </c>
      <c r="D339" s="154"/>
      <c r="E339" s="155"/>
      <c r="F339" s="156" t="str">
        <f t="shared" si="5"/>
        <v>Pérdida</v>
      </c>
      <c r="G339" s="133">
        <f>H341</f>
        <v>201892.37288135593</v>
      </c>
      <c r="H339" s="130"/>
      <c r="I339" s="128"/>
      <c r="J339" s="129"/>
      <c r="K339" s="137"/>
    </row>
    <row r="340" spans="2:11" x14ac:dyDescent="0.25">
      <c r="B340" s="152">
        <v>85</v>
      </c>
      <c r="C340" s="153"/>
      <c r="D340" s="154"/>
      <c r="E340" s="155"/>
      <c r="F340" s="156" t="str">
        <f t="shared" si="5"/>
        <v>RESULTADO ANTES DE PARTICIPACIONES E IMPUESTOS</v>
      </c>
      <c r="G340" s="130"/>
      <c r="H340" s="130"/>
      <c r="I340" s="128"/>
      <c r="J340" s="129"/>
      <c r="K340" s="137">
        <f>SUM(H341)</f>
        <v>201892.37288135593</v>
      </c>
    </row>
    <row r="341" spans="2:11" x14ac:dyDescent="0.25">
      <c r="B341" s="152"/>
      <c r="C341" s="153">
        <v>851</v>
      </c>
      <c r="D341" s="154"/>
      <c r="E341" s="155"/>
      <c r="F341" s="156" t="str">
        <f t="shared" si="5"/>
        <v>Resultado antes de Participaciones e Impuestos</v>
      </c>
      <c r="G341" s="130"/>
      <c r="H341" s="133">
        <f>-IF((H282+H335-G278-G284)&gt;0,0,H282+H335-G278-G284)</f>
        <v>201892.37288135593</v>
      </c>
      <c r="I341" s="128"/>
      <c r="J341" s="129"/>
      <c r="K341" s="137"/>
    </row>
    <row r="342" spans="2:11" x14ac:dyDescent="0.25">
      <c r="B342" s="152">
        <v>89</v>
      </c>
      <c r="C342" s="153"/>
      <c r="D342" s="154"/>
      <c r="E342" s="155"/>
      <c r="F342" s="156" t="str">
        <f t="shared" si="5"/>
        <v>DETERMINACIÓN DEL RESULTADO DEL EJERCICIO</v>
      </c>
      <c r="G342" s="130"/>
      <c r="H342" s="130"/>
      <c r="I342" s="128"/>
      <c r="J342" s="129"/>
      <c r="K342" s="137">
        <f>SUM(H343)</f>
        <v>0</v>
      </c>
    </row>
    <row r="343" spans="2:11" x14ac:dyDescent="0.25">
      <c r="B343" s="143"/>
      <c r="C343" s="144">
        <v>891</v>
      </c>
      <c r="D343" s="145"/>
      <c r="E343" s="146"/>
      <c r="F343" s="147" t="str">
        <f t="shared" si="5"/>
        <v>Utilidad</v>
      </c>
      <c r="G343" s="148"/>
      <c r="H343" s="148">
        <f>G337</f>
        <v>0</v>
      </c>
      <c r="I343" s="148"/>
      <c r="J343" s="149"/>
      <c r="K343" s="150"/>
    </row>
    <row r="344" spans="2:11" x14ac:dyDescent="0.25">
      <c r="B344" s="152">
        <v>87</v>
      </c>
      <c r="C344" s="153"/>
      <c r="D344" s="154"/>
      <c r="E344" s="155"/>
      <c r="F344" s="156" t="str">
        <f t="shared" ref="F344:F348" si="6">IF(AND(B344="",C344="",D344="",E344=""),"",IF(AND(B344&gt;0,C344&gt;0,D344&gt;0,E344&gt;0),"",IF(B344&gt;0,VLOOKUP(B344,CuentasContables,5,FALSE),IF(C344&gt;0,VLOOKUP(C344,SubCuentasContables,4,FALSE),IF(D344&gt;0,VLOOKUP(D344,DivisionariasContables,3,FALSE),IF(E344&gt;0,VLOOKUP(E344,SubDivisionariasContables,2,FALSE)))))))</f>
        <v>PARTICIPACIONES DE LOS TRABAJADORES</v>
      </c>
      <c r="G344" s="130"/>
      <c r="H344" s="130"/>
      <c r="I344" s="128"/>
      <c r="J344" s="129">
        <f>SUM(G345)</f>
        <v>0</v>
      </c>
      <c r="K344" s="137"/>
    </row>
    <row r="345" spans="2:11" x14ac:dyDescent="0.25">
      <c r="B345" s="152"/>
      <c r="C345" s="153">
        <v>871</v>
      </c>
      <c r="D345" s="154"/>
      <c r="E345" s="155"/>
      <c r="F345" s="156" t="str">
        <f t="shared" si="6"/>
        <v>Participación de los Trabajadores - Corriente</v>
      </c>
      <c r="G345" s="133">
        <f>H348</f>
        <v>0</v>
      </c>
      <c r="H345" s="130"/>
      <c r="I345" s="128"/>
      <c r="J345" s="129"/>
      <c r="K345" s="137"/>
    </row>
    <row r="346" spans="2:11" x14ac:dyDescent="0.25">
      <c r="B346" s="152">
        <v>41</v>
      </c>
      <c r="C346" s="153"/>
      <c r="D346" s="154"/>
      <c r="E346" s="155"/>
      <c r="F346" s="156" t="str">
        <f t="shared" si="6"/>
        <v>REMUNERACIONES Y PARTICIPACIONES POR PAGAR</v>
      </c>
      <c r="G346" s="130"/>
      <c r="H346" s="130"/>
      <c r="I346" s="128"/>
      <c r="J346" s="129"/>
      <c r="K346" s="137">
        <f>SUM(H348)</f>
        <v>0</v>
      </c>
    </row>
    <row r="347" spans="2:11" x14ac:dyDescent="0.25">
      <c r="B347" s="152"/>
      <c r="C347" s="153">
        <v>413</v>
      </c>
      <c r="D347" s="154"/>
      <c r="E347" s="155"/>
      <c r="F347" s="156" t="str">
        <f t="shared" si="6"/>
        <v>Participaciones de los Trabajadores por Pagar</v>
      </c>
      <c r="G347" s="130"/>
      <c r="H347" s="130"/>
      <c r="I347" s="128"/>
      <c r="J347" s="129"/>
      <c r="K347" s="137"/>
    </row>
    <row r="348" spans="2:11" x14ac:dyDescent="0.25">
      <c r="B348" s="285"/>
      <c r="C348" s="286"/>
      <c r="D348" s="287">
        <v>4131</v>
      </c>
      <c r="E348" s="288"/>
      <c r="F348" s="289" t="str">
        <f t="shared" si="6"/>
        <v>Participaciones de los Trabajadores por Pagar</v>
      </c>
      <c r="G348" s="148"/>
      <c r="H348" s="148">
        <f>'Hoja Trabajo - Cuentas Balance'!E98</f>
        <v>0</v>
      </c>
      <c r="I348" s="290"/>
      <c r="J348" s="149"/>
      <c r="K348" s="150"/>
    </row>
    <row r="349" spans="2:11" x14ac:dyDescent="0.25">
      <c r="B349" s="284">
        <v>89</v>
      </c>
      <c r="C349" s="135"/>
      <c r="D349" s="134"/>
      <c r="E349" s="136"/>
      <c r="F349" s="156" t="str">
        <f t="shared" si="5"/>
        <v>DETERMINACIÓN DEL RESULTADO DEL EJERCICIO</v>
      </c>
      <c r="G349" s="130"/>
      <c r="H349" s="130"/>
      <c r="I349" s="130"/>
      <c r="J349" s="129">
        <f>SUM(G350)</f>
        <v>0</v>
      </c>
      <c r="K349" s="137"/>
    </row>
    <row r="350" spans="2:11" x14ac:dyDescent="0.25">
      <c r="B350" s="284"/>
      <c r="C350" s="135">
        <v>891</v>
      </c>
      <c r="D350" s="134"/>
      <c r="E350" s="136"/>
      <c r="F350" s="156" t="str">
        <f t="shared" si="5"/>
        <v>Utilidad</v>
      </c>
      <c r="G350" s="133">
        <f>H352</f>
        <v>0</v>
      </c>
      <c r="H350" s="130"/>
      <c r="I350" s="130"/>
      <c r="J350" s="129"/>
      <c r="K350" s="137"/>
    </row>
    <row r="351" spans="2:11" x14ac:dyDescent="0.25">
      <c r="B351" s="284">
        <v>87</v>
      </c>
      <c r="C351" s="135"/>
      <c r="D351" s="134"/>
      <c r="E351" s="136"/>
      <c r="F351" s="156" t="str">
        <f t="shared" si="5"/>
        <v>PARTICIPACIONES DE LOS TRABAJADORES</v>
      </c>
      <c r="G351" s="130"/>
      <c r="H351" s="130"/>
      <c r="I351" s="130"/>
      <c r="J351" s="129"/>
      <c r="K351" s="137">
        <f>SUM(H352)</f>
        <v>0</v>
      </c>
    </row>
    <row r="352" spans="2:11" x14ac:dyDescent="0.25">
      <c r="B352" s="143"/>
      <c r="C352" s="144">
        <v>871</v>
      </c>
      <c r="D352" s="145"/>
      <c r="E352" s="146"/>
      <c r="F352" s="289" t="str">
        <f t="shared" si="5"/>
        <v>Participación de los Trabajadores - Corriente</v>
      </c>
      <c r="G352" s="148"/>
      <c r="H352" s="148">
        <f>G345</f>
        <v>0</v>
      </c>
      <c r="I352" s="148"/>
      <c r="J352" s="149"/>
      <c r="K352" s="150"/>
    </row>
    <row r="353" spans="2:11" x14ac:dyDescent="0.25">
      <c r="B353" s="152">
        <v>88</v>
      </c>
      <c r="C353" s="153"/>
      <c r="D353" s="154"/>
      <c r="E353" s="155"/>
      <c r="F353" s="156" t="str">
        <f t="shared" si="5"/>
        <v>IMPUESTO A LA RENTA</v>
      </c>
      <c r="G353" s="130"/>
      <c r="H353" s="130"/>
      <c r="I353" s="128"/>
      <c r="J353" s="129">
        <f>SUM(G354)</f>
        <v>0</v>
      </c>
      <c r="K353" s="137"/>
    </row>
    <row r="354" spans="2:11" x14ac:dyDescent="0.25">
      <c r="B354" s="152"/>
      <c r="C354" s="153">
        <v>881</v>
      </c>
      <c r="D354" s="154"/>
      <c r="E354" s="155"/>
      <c r="F354" s="156" t="str">
        <f t="shared" si="5"/>
        <v>Impuesto a la Renta - Corriente</v>
      </c>
      <c r="G354" s="133">
        <f>SUM(H357)</f>
        <v>0</v>
      </c>
      <c r="H354" s="130"/>
      <c r="I354" s="128"/>
      <c r="J354" s="129"/>
      <c r="K354" s="137"/>
    </row>
    <row r="355" spans="2:11" x14ac:dyDescent="0.25">
      <c r="B355" s="152">
        <v>40</v>
      </c>
      <c r="C355" s="153"/>
      <c r="D355" s="154"/>
      <c r="E355" s="155"/>
      <c r="F355" s="156" t="str">
        <f t="shared" si="5"/>
        <v>TRIBUTOS, CONTRAPRESTACIONES Y APORTES AL SISTEMA DE PENSIONES Y DE SALUD POR PAGAR</v>
      </c>
      <c r="G355" s="130"/>
      <c r="H355" s="130"/>
      <c r="I355" s="128"/>
      <c r="J355" s="129"/>
      <c r="K355" s="137">
        <f>SUM(I356)</f>
        <v>0</v>
      </c>
    </row>
    <row r="356" spans="2:11" x14ac:dyDescent="0.25">
      <c r="B356" s="152"/>
      <c r="C356" s="153">
        <v>401</v>
      </c>
      <c r="D356" s="154"/>
      <c r="E356" s="155"/>
      <c r="F356" s="156" t="str">
        <f t="shared" si="5"/>
        <v>Gobierno Central</v>
      </c>
      <c r="G356" s="130"/>
      <c r="H356" s="130"/>
      <c r="I356" s="131">
        <f>SUM(H357)</f>
        <v>0</v>
      </c>
      <c r="J356" s="129"/>
      <c r="K356" s="137"/>
    </row>
    <row r="357" spans="2:11" x14ac:dyDescent="0.25">
      <c r="B357" s="143"/>
      <c r="C357" s="144"/>
      <c r="D357" s="145">
        <v>4017</v>
      </c>
      <c r="E357" s="146"/>
      <c r="F357" s="147" t="str">
        <f t="shared" si="5"/>
        <v>Impuesto a la Renta</v>
      </c>
      <c r="G357" s="148"/>
      <c r="H357" s="148">
        <f>'Hoja Trabajo - Divisionarias'!E321</f>
        <v>0</v>
      </c>
      <c r="I357" s="148"/>
      <c r="J357" s="149"/>
      <c r="K357" s="150"/>
    </row>
    <row r="358" spans="2:11" x14ac:dyDescent="0.25">
      <c r="B358" s="152">
        <v>89</v>
      </c>
      <c r="C358" s="153"/>
      <c r="D358" s="154"/>
      <c r="E358" s="155"/>
      <c r="F358" s="156" t="str">
        <f t="shared" si="5"/>
        <v>DETERMINACIÓN DEL RESULTADO DEL EJERCICIO</v>
      </c>
      <c r="G358" s="130"/>
      <c r="H358" s="130"/>
      <c r="I358" s="128"/>
      <c r="J358" s="129">
        <f>SUM(G359)</f>
        <v>0</v>
      </c>
      <c r="K358" s="137"/>
    </row>
    <row r="359" spans="2:11" x14ac:dyDescent="0.25">
      <c r="B359" s="152"/>
      <c r="C359" s="153">
        <v>891</v>
      </c>
      <c r="D359" s="154"/>
      <c r="E359" s="155"/>
      <c r="F359" s="156" t="str">
        <f t="shared" si="5"/>
        <v>Utilidad</v>
      </c>
      <c r="G359" s="133">
        <f>SUM(H361)</f>
        <v>0</v>
      </c>
      <c r="H359" s="130"/>
      <c r="I359" s="128"/>
      <c r="J359" s="129"/>
      <c r="K359" s="137"/>
    </row>
    <row r="360" spans="2:11" x14ac:dyDescent="0.25">
      <c r="B360" s="152">
        <v>88</v>
      </c>
      <c r="C360" s="153"/>
      <c r="D360" s="154"/>
      <c r="E360" s="155"/>
      <c r="F360" s="156" t="str">
        <f t="shared" si="5"/>
        <v>IMPUESTO A LA RENTA</v>
      </c>
      <c r="G360" s="130"/>
      <c r="H360" s="130"/>
      <c r="I360" s="128"/>
      <c r="J360" s="129"/>
      <c r="K360" s="137">
        <f>SUM(H361)</f>
        <v>0</v>
      </c>
    </row>
    <row r="361" spans="2:11" x14ac:dyDescent="0.25">
      <c r="B361" s="143"/>
      <c r="C361" s="144">
        <v>881</v>
      </c>
      <c r="D361" s="145"/>
      <c r="E361" s="146"/>
      <c r="F361" s="147" t="str">
        <f t="shared" si="5"/>
        <v>Impuesto a la Renta - Corriente</v>
      </c>
      <c r="G361" s="148"/>
      <c r="H361" s="148">
        <f>G354</f>
        <v>0</v>
      </c>
      <c r="I361" s="148"/>
      <c r="J361" s="149"/>
      <c r="K361" s="150"/>
    </row>
    <row r="362" spans="2:11" x14ac:dyDescent="0.25">
      <c r="B362" s="152">
        <v>59</v>
      </c>
      <c r="C362" s="153"/>
      <c r="D362" s="154"/>
      <c r="E362" s="155"/>
      <c r="F362" s="156" t="str">
        <f t="shared" si="5"/>
        <v>RESULTADOS  ACUMULADOS</v>
      </c>
      <c r="G362" s="130"/>
      <c r="H362" s="130"/>
      <c r="I362" s="128"/>
      <c r="J362" s="129">
        <f>SUM(I363)</f>
        <v>201892.37288135593</v>
      </c>
      <c r="K362" s="137"/>
    </row>
    <row r="363" spans="2:11" x14ac:dyDescent="0.25">
      <c r="B363" s="152"/>
      <c r="C363" s="153">
        <v>592</v>
      </c>
      <c r="D363" s="154"/>
      <c r="E363" s="155"/>
      <c r="F363" s="156" t="str">
        <f t="shared" si="5"/>
        <v>Pérdidas Acumuladas</v>
      </c>
      <c r="G363" s="130"/>
      <c r="H363" s="130"/>
      <c r="I363" s="131">
        <f>SUM(G364)</f>
        <v>201892.37288135593</v>
      </c>
      <c r="J363" s="129"/>
      <c r="K363" s="137"/>
    </row>
    <row r="364" spans="2:11" x14ac:dyDescent="0.25">
      <c r="B364" s="152"/>
      <c r="C364" s="153"/>
      <c r="D364" s="154">
        <v>5921</v>
      </c>
      <c r="E364" s="155"/>
      <c r="F364" s="156" t="str">
        <f t="shared" si="5"/>
        <v>Pérdidas Acumuladas</v>
      </c>
      <c r="G364" s="133">
        <f>H371</f>
        <v>201892.37288135593</v>
      </c>
      <c r="H364" s="130"/>
      <c r="I364" s="128"/>
      <c r="J364" s="129"/>
      <c r="K364" s="137"/>
    </row>
    <row r="365" spans="2:11" x14ac:dyDescent="0.25">
      <c r="B365" s="152">
        <v>89</v>
      </c>
      <c r="C365" s="153"/>
      <c r="D365" s="154"/>
      <c r="E365" s="155"/>
      <c r="F365" s="156" t="str">
        <f t="shared" si="5"/>
        <v>DETERMINACIÓN DEL RESULTADO DEL EJERCICIO</v>
      </c>
      <c r="G365" s="130"/>
      <c r="H365" s="130"/>
      <c r="I365" s="128"/>
      <c r="J365" s="129">
        <f>SUM(G366)</f>
        <v>0</v>
      </c>
      <c r="K365" s="137"/>
    </row>
    <row r="366" spans="2:11" x14ac:dyDescent="0.25">
      <c r="B366" s="152"/>
      <c r="C366" s="153">
        <v>891</v>
      </c>
      <c r="D366" s="154"/>
      <c r="E366" s="155"/>
      <c r="F366" s="156" t="str">
        <f t="shared" si="5"/>
        <v>Utilidad</v>
      </c>
      <c r="G366" s="133">
        <f>IF(H343="",0,IF(G359="",0,H343-G359-G350))</f>
        <v>0</v>
      </c>
      <c r="H366" s="130"/>
      <c r="I366" s="128"/>
      <c r="J366" s="129"/>
      <c r="K366" s="137"/>
    </row>
    <row r="367" spans="2:11" x14ac:dyDescent="0.25">
      <c r="B367" s="152">
        <v>59</v>
      </c>
      <c r="C367" s="153"/>
      <c r="D367" s="154"/>
      <c r="E367" s="155"/>
      <c r="F367" s="156" t="str">
        <f t="shared" si="5"/>
        <v>RESULTADOS  ACUMULADOS</v>
      </c>
      <c r="G367" s="130"/>
      <c r="H367" s="130"/>
      <c r="I367" s="128"/>
      <c r="J367" s="129"/>
      <c r="K367" s="137">
        <f>SUM(I368)</f>
        <v>0</v>
      </c>
    </row>
    <row r="368" spans="2:11" x14ac:dyDescent="0.25">
      <c r="B368" s="152"/>
      <c r="C368" s="153">
        <v>591</v>
      </c>
      <c r="D368" s="154"/>
      <c r="E368" s="155"/>
      <c r="F368" s="156" t="str">
        <f t="shared" si="5"/>
        <v>Utilidades No Distribuidas</v>
      </c>
      <c r="G368" s="130"/>
      <c r="H368" s="130"/>
      <c r="I368" s="131">
        <f>SUM(H369)</f>
        <v>0</v>
      </c>
      <c r="J368" s="129"/>
      <c r="K368" s="137"/>
    </row>
    <row r="369" spans="2:11" x14ac:dyDescent="0.25">
      <c r="B369" s="152"/>
      <c r="C369" s="153"/>
      <c r="D369" s="154">
        <v>5911</v>
      </c>
      <c r="E369" s="155"/>
      <c r="F369" s="156" t="str">
        <f t="shared" si="5"/>
        <v>Utilidades Acumuladas</v>
      </c>
      <c r="G369" s="130"/>
      <c r="H369" s="133">
        <f>G366</f>
        <v>0</v>
      </c>
      <c r="I369" s="128"/>
      <c r="J369" s="129"/>
      <c r="K369" s="137"/>
    </row>
    <row r="370" spans="2:11" x14ac:dyDescent="0.25">
      <c r="B370" s="152">
        <v>89</v>
      </c>
      <c r="C370" s="153"/>
      <c r="D370" s="154"/>
      <c r="E370" s="155"/>
      <c r="F370" s="156" t="str">
        <f t="shared" si="5"/>
        <v>DETERMINACIÓN DEL RESULTADO DEL EJERCICIO</v>
      </c>
      <c r="G370" s="130"/>
      <c r="H370" s="130"/>
      <c r="I370" s="128"/>
      <c r="J370" s="129"/>
      <c r="K370" s="137">
        <f>SUM(H371)</f>
        <v>201892.37288135593</v>
      </c>
    </row>
    <row r="371" spans="2:11" x14ac:dyDescent="0.25">
      <c r="B371" s="143"/>
      <c r="C371" s="144">
        <v>892</v>
      </c>
      <c r="D371" s="145"/>
      <c r="E371" s="146"/>
      <c r="F371" s="147" t="str">
        <f t="shared" si="5"/>
        <v>Pérdida</v>
      </c>
      <c r="G371" s="148"/>
      <c r="H371" s="148">
        <f>G339</f>
        <v>201892.37288135593</v>
      </c>
      <c r="I371" s="148"/>
      <c r="J371" s="149"/>
      <c r="K371" s="150"/>
    </row>
    <row r="372" spans="2:11" x14ac:dyDescent="0.25">
      <c r="B372" s="152">
        <v>10</v>
      </c>
      <c r="C372" s="153"/>
      <c r="D372" s="154"/>
      <c r="E372" s="155"/>
      <c r="F372" s="156" t="str">
        <f t="shared" si="5"/>
        <v>EFECTIVO Y EQUIVALENTES DE EFECTIVO</v>
      </c>
      <c r="G372" s="130"/>
      <c r="H372" s="130"/>
      <c r="I372" s="128"/>
      <c r="J372" s="129">
        <f>SUM(I373,I375)</f>
        <v>191809</v>
      </c>
      <c r="K372" s="137"/>
    </row>
    <row r="373" spans="2:11" x14ac:dyDescent="0.25">
      <c r="B373" s="152"/>
      <c r="C373" s="153">
        <v>104</v>
      </c>
      <c r="D373" s="154"/>
      <c r="E373" s="155"/>
      <c r="F373" s="156" t="str">
        <f t="shared" si="5"/>
        <v>Cuentas Corrientes en Instituciones Financieras</v>
      </c>
      <c r="G373" s="130"/>
      <c r="H373" s="130"/>
      <c r="I373" s="128">
        <f>SUM(G374)</f>
        <v>191809</v>
      </c>
      <c r="J373" s="129"/>
      <c r="K373" s="137"/>
    </row>
    <row r="374" spans="2:11" x14ac:dyDescent="0.25">
      <c r="B374" s="152"/>
      <c r="C374" s="153"/>
      <c r="D374" s="154">
        <v>1041</v>
      </c>
      <c r="E374" s="155"/>
      <c r="F374" s="156" t="str">
        <f t="shared" si="5"/>
        <v>Cuentas Corrientes Operativas</v>
      </c>
      <c r="G374" s="133">
        <f>SUM('Hoja Trabajo - Divisionarias'!K17)</f>
        <v>191809</v>
      </c>
      <c r="H374" s="130"/>
      <c r="I374" s="128"/>
      <c r="J374" s="129"/>
      <c r="K374" s="137"/>
    </row>
    <row r="375" spans="2:11" x14ac:dyDescent="0.25">
      <c r="B375" s="152">
        <v>39</v>
      </c>
      <c r="C375" s="153"/>
      <c r="D375" s="154"/>
      <c r="E375" s="155"/>
      <c r="F375" s="156" t="str">
        <f t="shared" si="5"/>
        <v>DEPRECIACIÓN, AMORTIZACIÓN Y AGOTAMIENTO ACUMULADOS</v>
      </c>
      <c r="G375" s="130"/>
      <c r="H375" s="130"/>
      <c r="I375" s="128"/>
      <c r="J375" s="129">
        <f>SUM(I376)</f>
        <v>31542.5</v>
      </c>
      <c r="K375" s="137"/>
    </row>
    <row r="376" spans="2:11" x14ac:dyDescent="0.25">
      <c r="B376" s="152"/>
      <c r="C376" s="153">
        <v>391</v>
      </c>
      <c r="D376" s="154"/>
      <c r="E376" s="155"/>
      <c r="F376" s="156" t="str">
        <f t="shared" si="5"/>
        <v>Depreciación Acumulada</v>
      </c>
      <c r="G376" s="130"/>
      <c r="H376" s="130"/>
      <c r="I376" s="131">
        <f>SUM(G377:G378)</f>
        <v>31542.5</v>
      </c>
      <c r="J376" s="129"/>
      <c r="K376" s="137"/>
    </row>
    <row r="377" spans="2:11" x14ac:dyDescent="0.25">
      <c r="B377" s="152"/>
      <c r="C377" s="153"/>
      <c r="D377" s="154">
        <v>3911</v>
      </c>
      <c r="E377" s="155"/>
      <c r="F377" s="156" t="str">
        <f t="shared" si="5"/>
        <v>Inversiones Inmobiliarias</v>
      </c>
      <c r="G377" s="130">
        <f>'Hoja Trabajo - Divisionarias'!K120</f>
        <v>31542.5</v>
      </c>
      <c r="H377" s="130"/>
      <c r="I377" s="128"/>
      <c r="J377" s="129"/>
      <c r="K377" s="137"/>
    </row>
    <row r="378" spans="2:11" x14ac:dyDescent="0.25">
      <c r="B378" s="152"/>
      <c r="C378" s="153"/>
      <c r="D378" s="154">
        <v>3913</v>
      </c>
      <c r="E378" s="155"/>
      <c r="F378" s="156" t="str">
        <f t="shared" si="5"/>
        <v>Inmuebles, Maquinaria y Equipo - Costo</v>
      </c>
      <c r="G378" s="133">
        <f>'Hoja Trabajo - Divisionarias'!K121</f>
        <v>0</v>
      </c>
      <c r="H378" s="130"/>
      <c r="I378" s="128"/>
      <c r="J378" s="129"/>
      <c r="K378" s="137"/>
    </row>
    <row r="379" spans="2:11" x14ac:dyDescent="0.25">
      <c r="B379" s="152"/>
      <c r="C379" s="153"/>
      <c r="D379" s="154"/>
      <c r="E379" s="155">
        <v>39132</v>
      </c>
      <c r="F379" s="156" t="str">
        <f t="shared" si="5"/>
        <v>Maquinarias y Equipos de Explotación</v>
      </c>
      <c r="G379" s="130"/>
      <c r="H379" s="130"/>
      <c r="I379" s="128"/>
      <c r="J379" s="129"/>
      <c r="K379" s="137"/>
    </row>
    <row r="380" spans="2:11" x14ac:dyDescent="0.25">
      <c r="B380" s="152">
        <v>40</v>
      </c>
      <c r="C380" s="153"/>
      <c r="D380" s="154"/>
      <c r="E380" s="155"/>
      <c r="F380" s="156" t="str">
        <f t="shared" si="5"/>
        <v>TRIBUTOS, CONTRAPRESTACIONES Y APORTES AL SISTEMA DE PENSIONES Y DE SALUD POR PAGAR</v>
      </c>
      <c r="G380" s="130"/>
      <c r="H380" s="130"/>
      <c r="I380" s="128"/>
      <c r="J380" s="129">
        <f>SUM(I381,I388,I391,I393)</f>
        <v>65142</v>
      </c>
      <c r="K380" s="137"/>
    </row>
    <row r="381" spans="2:11" x14ac:dyDescent="0.25">
      <c r="B381" s="152"/>
      <c r="C381" s="153">
        <v>401</v>
      </c>
      <c r="D381" s="154"/>
      <c r="E381" s="155"/>
      <c r="F381" s="156" t="str">
        <f t="shared" si="5"/>
        <v>Gobierno Central</v>
      </c>
      <c r="G381" s="130"/>
      <c r="H381" s="130"/>
      <c r="I381" s="128">
        <f>SUM(G382,G384,G386)</f>
        <v>0</v>
      </c>
      <c r="J381" s="129"/>
      <c r="K381" s="137"/>
    </row>
    <row r="382" spans="2:11" x14ac:dyDescent="0.25">
      <c r="B382" s="152"/>
      <c r="C382" s="153"/>
      <c r="D382" s="154">
        <v>4011</v>
      </c>
      <c r="E382" s="155"/>
      <c r="F382" s="156" t="str">
        <f t="shared" si="5"/>
        <v>Impuesto General a las Ventas</v>
      </c>
      <c r="G382" s="133">
        <f>'Hoja Trabajo - Divisionarias'!K122</f>
        <v>0</v>
      </c>
      <c r="H382" s="130"/>
      <c r="I382" s="128"/>
      <c r="J382" s="129"/>
      <c r="K382" s="137"/>
    </row>
    <row r="383" spans="2:11" x14ac:dyDescent="0.25">
      <c r="B383" s="152"/>
      <c r="C383" s="153"/>
      <c r="D383" s="154"/>
      <c r="E383" s="155">
        <v>40112</v>
      </c>
      <c r="F383" s="156" t="str">
        <f t="shared" si="5"/>
        <v>IGV - Servicios Prestados por No Domiciliados</v>
      </c>
      <c r="G383" s="130"/>
      <c r="H383" s="130"/>
      <c r="I383" s="128"/>
      <c r="J383" s="129"/>
      <c r="K383" s="137"/>
    </row>
    <row r="384" spans="2:11" x14ac:dyDescent="0.25">
      <c r="B384" s="152"/>
      <c r="C384" s="153"/>
      <c r="D384" s="154">
        <v>4017</v>
      </c>
      <c r="E384" s="155"/>
      <c r="F384" s="156" t="str">
        <f t="shared" si="5"/>
        <v>Impuesto a la Renta</v>
      </c>
      <c r="G384" s="133">
        <f>SUM('Hoja Trabajo - Divisionarias'!K124,'Hoja Trabajo - Divisionarias'!E321)</f>
        <v>0</v>
      </c>
      <c r="H384" s="130"/>
      <c r="I384" s="128"/>
      <c r="J384" s="129"/>
      <c r="K384" s="137"/>
    </row>
    <row r="385" spans="2:11" x14ac:dyDescent="0.25">
      <c r="B385" s="152"/>
      <c r="C385" s="153"/>
      <c r="D385" s="154"/>
      <c r="E385" s="155">
        <v>40172</v>
      </c>
      <c r="F385" s="156" t="str">
        <f t="shared" si="5"/>
        <v>Renta de Cuarta Categoría</v>
      </c>
      <c r="G385" s="130"/>
      <c r="H385" s="130"/>
      <c r="I385" s="128"/>
      <c r="J385" s="129"/>
      <c r="K385" s="137"/>
    </row>
    <row r="386" spans="2:11" x14ac:dyDescent="0.25">
      <c r="B386" s="152"/>
      <c r="C386" s="153"/>
      <c r="D386" s="154">
        <v>4018</v>
      </c>
      <c r="E386" s="155"/>
      <c r="F386" s="156" t="str">
        <f t="shared" si="5"/>
        <v>Otros Impuestos y Contraprestaciones</v>
      </c>
      <c r="G386" s="133">
        <f>'Hoja Trabajo - Divisionarias'!K125</f>
        <v>0</v>
      </c>
      <c r="H386" s="130"/>
      <c r="I386" s="128"/>
      <c r="J386" s="129"/>
      <c r="K386" s="137"/>
    </row>
    <row r="387" spans="2:11" x14ac:dyDescent="0.25">
      <c r="B387" s="152"/>
      <c r="C387" s="153"/>
      <c r="D387" s="154"/>
      <c r="E387" s="155">
        <v>40181</v>
      </c>
      <c r="F387" s="156" t="str">
        <f t="shared" si="5"/>
        <v>Impuesto a las Transacciones Financieras</v>
      </c>
      <c r="G387" s="130"/>
      <c r="H387" s="130"/>
      <c r="I387" s="128"/>
      <c r="J387" s="129"/>
      <c r="K387" s="137"/>
    </row>
    <row r="388" spans="2:11" x14ac:dyDescent="0.25">
      <c r="B388" s="152"/>
      <c r="C388" s="153">
        <v>403</v>
      </c>
      <c r="D388" s="154"/>
      <c r="E388" s="155"/>
      <c r="F388" s="156" t="str">
        <f t="shared" si="5"/>
        <v>Instituciones Públicas</v>
      </c>
      <c r="G388" s="130"/>
      <c r="H388" s="130"/>
      <c r="I388" s="128">
        <f>SUM(G389:G390)</f>
        <v>39480</v>
      </c>
      <c r="J388" s="129"/>
      <c r="K388" s="137"/>
    </row>
    <row r="389" spans="2:11" x14ac:dyDescent="0.25">
      <c r="B389" s="152"/>
      <c r="C389" s="153"/>
      <c r="D389" s="154">
        <v>4031</v>
      </c>
      <c r="E389" s="155"/>
      <c r="F389" s="156" t="str">
        <f t="shared" si="5"/>
        <v>ESSALUD</v>
      </c>
      <c r="G389" s="130">
        <f>'Hoja Trabajo - Divisionarias'!K126</f>
        <v>27000</v>
      </c>
      <c r="H389" s="130"/>
      <c r="I389" s="128"/>
      <c r="J389" s="129"/>
      <c r="K389" s="137"/>
    </row>
    <row r="390" spans="2:11" x14ac:dyDescent="0.25">
      <c r="B390" s="152"/>
      <c r="C390" s="153"/>
      <c r="D390" s="154">
        <v>4032</v>
      </c>
      <c r="E390" s="155"/>
      <c r="F390" s="156" t="str">
        <f t="shared" si="5"/>
        <v>ONP</v>
      </c>
      <c r="G390" s="133">
        <f>'Hoja Trabajo - Divisionarias'!K127</f>
        <v>12480</v>
      </c>
      <c r="H390" s="130"/>
      <c r="I390" s="128"/>
      <c r="J390" s="129"/>
      <c r="K390" s="137"/>
    </row>
    <row r="391" spans="2:11" x14ac:dyDescent="0.25">
      <c r="B391" s="152"/>
      <c r="C391" s="153">
        <v>404</v>
      </c>
      <c r="D391" s="154"/>
      <c r="E391" s="155"/>
      <c r="F391" s="156" t="str">
        <f t="shared" si="5"/>
        <v>Seguro Complementario de Trabajo de Riesgo</v>
      </c>
      <c r="G391" s="130"/>
      <c r="H391" s="130"/>
      <c r="I391" s="128">
        <f>SUM(G392)</f>
        <v>0</v>
      </c>
      <c r="J391" s="129"/>
      <c r="K391" s="137"/>
    </row>
    <row r="392" spans="2:11" x14ac:dyDescent="0.25">
      <c r="B392" s="152"/>
      <c r="C392" s="153"/>
      <c r="D392" s="154">
        <v>4041</v>
      </c>
      <c r="E392" s="155"/>
      <c r="F392" s="156" t="str">
        <f t="shared" si="5"/>
        <v>Seguro Complementario de Trabajo de Riesgo</v>
      </c>
      <c r="G392" s="133">
        <f>'Hoja Trabajo - Divisionarias'!K128</f>
        <v>0</v>
      </c>
      <c r="H392" s="130"/>
      <c r="I392" s="128"/>
      <c r="J392" s="129"/>
      <c r="K392" s="137"/>
    </row>
    <row r="393" spans="2:11" x14ac:dyDescent="0.25">
      <c r="B393" s="152"/>
      <c r="C393" s="153">
        <v>407</v>
      </c>
      <c r="D393" s="154"/>
      <c r="E393" s="155"/>
      <c r="F393" s="156" t="str">
        <f t="shared" si="5"/>
        <v>Administradoras de Fondos de Pensiones</v>
      </c>
      <c r="G393" s="130"/>
      <c r="H393" s="130"/>
      <c r="I393" s="131">
        <f>SUM(G394:G397)</f>
        <v>25662</v>
      </c>
      <c r="J393" s="129"/>
      <c r="K393" s="137"/>
    </row>
    <row r="394" spans="2:11" x14ac:dyDescent="0.25">
      <c r="B394" s="152"/>
      <c r="C394" s="153"/>
      <c r="D394" s="154">
        <v>4071</v>
      </c>
      <c r="E394" s="155"/>
      <c r="F394" s="156" t="str">
        <f t="shared" si="5"/>
        <v>Habitat</v>
      </c>
      <c r="G394" s="130">
        <f>'Hoja Trabajo - Divisionarias'!K129</f>
        <v>5664</v>
      </c>
      <c r="H394" s="130"/>
      <c r="I394" s="128"/>
      <c r="J394" s="129"/>
      <c r="K394" s="137"/>
    </row>
    <row r="395" spans="2:11" x14ac:dyDescent="0.25">
      <c r="B395" s="152"/>
      <c r="C395" s="153"/>
      <c r="D395" s="154">
        <v>4072</v>
      </c>
      <c r="E395" s="155"/>
      <c r="F395" s="156" t="str">
        <f t="shared" si="5"/>
        <v>Integra</v>
      </c>
      <c r="G395" s="130">
        <f>'Hoja Trabajo - Divisionarias'!K130</f>
        <v>6901.2</v>
      </c>
      <c r="H395" s="130"/>
      <c r="I395" s="128"/>
      <c r="J395" s="129"/>
      <c r="K395" s="137"/>
    </row>
    <row r="396" spans="2:11" x14ac:dyDescent="0.25">
      <c r="B396" s="152"/>
      <c r="C396" s="153"/>
      <c r="D396" s="154">
        <v>4073</v>
      </c>
      <c r="E396" s="155"/>
      <c r="F396" s="156" t="str">
        <f t="shared" ref="F396:F460" si="7">IF(AND(B396="",C396="",D396="",E396=""),"",IF(AND(B396&gt;0,C396&gt;0,D396&gt;0,E396&gt;0),"",IF(B396&gt;0,VLOOKUP(B396,CuentasContables,5,FALSE),IF(C396&gt;0,VLOOKUP(C396,SubCuentasContables,4,FALSE),IF(D396&gt;0,VLOOKUP(D396,DivisionariasContables,3,FALSE),IF(E396&gt;0,VLOOKUP(E396,SubDivisionariasContables,2,FALSE)))))))</f>
        <v>Prima</v>
      </c>
      <c r="G396" s="130">
        <f>'Hoja Trabajo - Divisionarias'!K131</f>
        <v>13096.8</v>
      </c>
      <c r="H396" s="130"/>
      <c r="I396" s="128"/>
      <c r="J396" s="129"/>
      <c r="K396" s="137"/>
    </row>
    <row r="397" spans="2:11" x14ac:dyDescent="0.25">
      <c r="B397" s="152"/>
      <c r="C397" s="153"/>
      <c r="D397" s="154">
        <v>4074</v>
      </c>
      <c r="E397" s="155"/>
      <c r="F397" s="156" t="str">
        <f t="shared" si="7"/>
        <v>Profuturo</v>
      </c>
      <c r="G397" s="133">
        <f>'Hoja Trabajo - Divisionarias'!K132</f>
        <v>0</v>
      </c>
      <c r="H397" s="130"/>
      <c r="I397" s="128"/>
      <c r="J397" s="129"/>
      <c r="K397" s="137"/>
    </row>
    <row r="398" spans="2:11" x14ac:dyDescent="0.25">
      <c r="B398" s="152">
        <v>41</v>
      </c>
      <c r="C398" s="153"/>
      <c r="D398" s="154"/>
      <c r="E398" s="155"/>
      <c r="F398" s="156" t="str">
        <f t="shared" si="7"/>
        <v>REMUNERACIONES Y PARTICIPACIONES POR PAGAR</v>
      </c>
      <c r="G398" s="130"/>
      <c r="H398" s="130"/>
      <c r="I398" s="128"/>
      <c r="J398" s="129">
        <f>SUM(I399,I401,I403)</f>
        <v>261858</v>
      </c>
      <c r="K398" s="137"/>
    </row>
    <row r="399" spans="2:11" x14ac:dyDescent="0.25">
      <c r="B399" s="152"/>
      <c r="C399" s="153">
        <v>411</v>
      </c>
      <c r="D399" s="154"/>
      <c r="E399" s="155"/>
      <c r="F399" s="156" t="str">
        <f t="shared" si="7"/>
        <v>Remuneraciones por Pagar</v>
      </c>
      <c r="G399" s="130"/>
      <c r="H399" s="130"/>
      <c r="I399" s="128">
        <f>SUM(G400)</f>
        <v>261858</v>
      </c>
      <c r="J399" s="129"/>
      <c r="K399" s="137"/>
    </row>
    <row r="400" spans="2:11" x14ac:dyDescent="0.25">
      <c r="B400" s="152"/>
      <c r="C400" s="153"/>
      <c r="D400" s="154">
        <v>4111</v>
      </c>
      <c r="E400" s="155"/>
      <c r="F400" s="156" t="str">
        <f t="shared" si="7"/>
        <v>Sueldos y Salarios por Pagar</v>
      </c>
      <c r="G400" s="133">
        <f>'Hoja Trabajo - Divisionarias'!$K$133</f>
        <v>261858</v>
      </c>
      <c r="H400" s="130"/>
      <c r="I400" s="128"/>
      <c r="J400" s="129"/>
      <c r="K400" s="137"/>
    </row>
    <row r="401" spans="2:11" x14ac:dyDescent="0.25">
      <c r="B401" s="152"/>
      <c r="C401" s="153">
        <v>413</v>
      </c>
      <c r="D401" s="154"/>
      <c r="E401" s="155"/>
      <c r="F401" s="156" t="str">
        <f t="shared" ref="F401:F402" si="8">IF(AND(B401="",C401="",D401="",E401=""),"",IF(AND(B401&gt;0,C401&gt;0,D401&gt;0,E401&gt;0),"",IF(B401&gt;0,VLOOKUP(B401,CuentasContables,5,FALSE),IF(C401&gt;0,VLOOKUP(C401,SubCuentasContables,4,FALSE),IF(D401&gt;0,VLOOKUP(D401,DivisionariasContables,3,FALSE),IF(E401&gt;0,VLOOKUP(E401,SubDivisionariasContables,2,FALSE)))))))</f>
        <v>Participaciones de los Trabajadores por Pagar</v>
      </c>
      <c r="G401" s="130"/>
      <c r="H401" s="130"/>
      <c r="I401" s="128">
        <f>SUM(G402)</f>
        <v>0</v>
      </c>
      <c r="J401" s="129"/>
      <c r="K401" s="137"/>
    </row>
    <row r="402" spans="2:11" x14ac:dyDescent="0.25">
      <c r="B402" s="152"/>
      <c r="C402" s="153"/>
      <c r="D402" s="154">
        <v>4131</v>
      </c>
      <c r="E402" s="155"/>
      <c r="F402" s="156" t="str">
        <f t="shared" si="8"/>
        <v>Participaciones de los Trabajadores por Pagar</v>
      </c>
      <c r="G402" s="133">
        <f>'Hoja Trabajo - Divisionarias'!E318</f>
        <v>0</v>
      </c>
      <c r="H402" s="130"/>
      <c r="I402" s="128"/>
      <c r="J402" s="129"/>
      <c r="K402" s="137"/>
    </row>
    <row r="403" spans="2:11" x14ac:dyDescent="0.25">
      <c r="B403" s="152"/>
      <c r="C403" s="153">
        <v>415</v>
      </c>
      <c r="D403" s="154"/>
      <c r="E403" s="155"/>
      <c r="F403" s="156" t="str">
        <f t="shared" si="7"/>
        <v>Beneficios Sociales de los Trabajadores por Pagar</v>
      </c>
      <c r="G403" s="130"/>
      <c r="H403" s="130"/>
      <c r="I403" s="131">
        <f>SUM(G404)</f>
        <v>0</v>
      </c>
      <c r="J403" s="129"/>
      <c r="K403" s="137"/>
    </row>
    <row r="404" spans="2:11" x14ac:dyDescent="0.25">
      <c r="B404" s="152"/>
      <c r="C404" s="153"/>
      <c r="D404" s="154">
        <v>4151</v>
      </c>
      <c r="E404" s="155"/>
      <c r="F404" s="156" t="str">
        <f t="shared" si="7"/>
        <v>Compensación por Tiempo de Servicios</v>
      </c>
      <c r="G404" s="133">
        <f>'Hoja Trabajo - Divisionarias'!$K$134</f>
        <v>0</v>
      </c>
      <c r="H404" s="130"/>
      <c r="I404" s="128"/>
      <c r="J404" s="129"/>
      <c r="K404" s="137"/>
    </row>
    <row r="405" spans="2:11" x14ac:dyDescent="0.25">
      <c r="B405" s="152">
        <v>42</v>
      </c>
      <c r="C405" s="153"/>
      <c r="D405" s="154"/>
      <c r="E405" s="155"/>
      <c r="F405" s="156" t="str">
        <f t="shared" si="7"/>
        <v>CUENTAS POR PAGAR COMERCIALES - TERCEROS</v>
      </c>
      <c r="G405" s="130"/>
      <c r="H405" s="130"/>
      <c r="I405" s="128"/>
      <c r="J405" s="129">
        <f>SUM(I406,I408)</f>
        <v>11040</v>
      </c>
      <c r="K405" s="137"/>
    </row>
    <row r="406" spans="2:11" x14ac:dyDescent="0.25">
      <c r="B406" s="152"/>
      <c r="C406" s="153">
        <v>421</v>
      </c>
      <c r="D406" s="154"/>
      <c r="E406" s="155"/>
      <c r="F406" s="156" t="str">
        <f t="shared" si="7"/>
        <v>Facturas, Boletas y Otros Comprobantes por Pagar</v>
      </c>
      <c r="G406" s="130"/>
      <c r="H406" s="130"/>
      <c r="I406" s="131">
        <f>SUM(G407)</f>
        <v>0</v>
      </c>
      <c r="J406" s="129"/>
      <c r="K406" s="137"/>
    </row>
    <row r="407" spans="2:11" x14ac:dyDescent="0.25">
      <c r="B407" s="152"/>
      <c r="C407" s="153"/>
      <c r="D407" s="154">
        <v>4212</v>
      </c>
      <c r="E407" s="155"/>
      <c r="F407" s="156" t="str">
        <f t="shared" si="7"/>
        <v>Facturas, Boletas y Otros Comprobantes por Pagar - Emitidas</v>
      </c>
      <c r="G407" s="133">
        <f>'Hoja Trabajo - Divisionarias'!K135</f>
        <v>0</v>
      </c>
      <c r="H407" s="130"/>
      <c r="I407" s="128"/>
      <c r="J407" s="129"/>
      <c r="K407" s="137"/>
    </row>
    <row r="408" spans="2:11" x14ac:dyDescent="0.25">
      <c r="B408" s="152"/>
      <c r="C408" s="153">
        <v>424</v>
      </c>
      <c r="D408" s="154"/>
      <c r="E408" s="155"/>
      <c r="F408" s="156" t="str">
        <f t="shared" si="7"/>
        <v>Honorarios por Pagar</v>
      </c>
      <c r="G408" s="130"/>
      <c r="H408" s="130"/>
      <c r="I408" s="131">
        <f>SUM(G409)</f>
        <v>11040</v>
      </c>
      <c r="J408" s="129"/>
      <c r="K408" s="137"/>
    </row>
    <row r="409" spans="2:11" x14ac:dyDescent="0.25">
      <c r="B409" s="152"/>
      <c r="C409" s="153"/>
      <c r="D409" s="154">
        <v>4241</v>
      </c>
      <c r="E409" s="155"/>
      <c r="F409" s="156" t="str">
        <f t="shared" si="7"/>
        <v>Honorarios por Pagar</v>
      </c>
      <c r="G409" s="133">
        <f>'Hoja Trabajo - Divisionarias'!K136</f>
        <v>11040</v>
      </c>
      <c r="H409" s="130"/>
      <c r="I409" s="128"/>
      <c r="J409" s="129"/>
      <c r="K409" s="137"/>
    </row>
    <row r="410" spans="2:11" x14ac:dyDescent="0.25">
      <c r="B410" s="152">
        <v>46</v>
      </c>
      <c r="C410" s="153"/>
      <c r="D410" s="154"/>
      <c r="E410" s="155"/>
      <c r="F410" s="156" t="str">
        <f t="shared" si="7"/>
        <v>CUENTAS POR PAGAR DIVERSAS - TERCEROS</v>
      </c>
      <c r="G410" s="130"/>
      <c r="H410" s="130"/>
      <c r="I410" s="128"/>
      <c r="J410" s="129">
        <f>SUM(I411)</f>
        <v>9971</v>
      </c>
      <c r="K410" s="137"/>
    </row>
    <row r="411" spans="2:11" x14ac:dyDescent="0.25">
      <c r="B411" s="152"/>
      <c r="C411" s="153">
        <v>469</v>
      </c>
      <c r="D411" s="154"/>
      <c r="E411" s="155"/>
      <c r="F411" s="156" t="str">
        <f t="shared" si="7"/>
        <v>Otras Cuentas por Pagar Diversas</v>
      </c>
      <c r="G411" s="130"/>
      <c r="H411" s="130"/>
      <c r="I411" s="131">
        <f>SUM(G412)</f>
        <v>9971</v>
      </c>
      <c r="J411" s="129"/>
      <c r="K411" s="137"/>
    </row>
    <row r="412" spans="2:11" x14ac:dyDescent="0.25">
      <c r="B412" s="152"/>
      <c r="C412" s="153"/>
      <c r="D412" s="154">
        <v>4699</v>
      </c>
      <c r="E412" s="155"/>
      <c r="F412" s="156" t="str">
        <f t="shared" si="7"/>
        <v>Otras Cuentas por Pagar Diversas</v>
      </c>
      <c r="G412" s="133">
        <f>'Hoja Trabajo - Divisionarias'!K137</f>
        <v>9971</v>
      </c>
      <c r="H412" s="130"/>
      <c r="I412" s="128"/>
      <c r="J412" s="129"/>
      <c r="K412" s="137"/>
    </row>
    <row r="413" spans="2:11" x14ac:dyDescent="0.25">
      <c r="B413" s="152">
        <v>50</v>
      </c>
      <c r="C413" s="153"/>
      <c r="D413" s="154"/>
      <c r="E413" s="155"/>
      <c r="F413" s="156" t="str">
        <f t="shared" si="7"/>
        <v>CAPITAL</v>
      </c>
      <c r="G413" s="130"/>
      <c r="H413" s="130"/>
      <c r="I413" s="128"/>
      <c r="J413" s="129">
        <f>SUM(I414)</f>
        <v>0</v>
      </c>
      <c r="K413" s="137"/>
    </row>
    <row r="414" spans="2:11" x14ac:dyDescent="0.25">
      <c r="B414" s="152"/>
      <c r="C414" s="153">
        <v>501</v>
      </c>
      <c r="D414" s="154"/>
      <c r="E414" s="155"/>
      <c r="F414" s="156" t="str">
        <f t="shared" si="7"/>
        <v>Capital Social</v>
      </c>
      <c r="G414" s="130"/>
      <c r="H414" s="130"/>
      <c r="I414" s="131">
        <f>SUM(G415:G416)</f>
        <v>0</v>
      </c>
      <c r="J414" s="129"/>
      <c r="K414" s="137"/>
    </row>
    <row r="415" spans="2:11" x14ac:dyDescent="0.25">
      <c r="B415" s="152"/>
      <c r="C415" s="153"/>
      <c r="D415" s="154">
        <v>5011</v>
      </c>
      <c r="E415" s="155"/>
      <c r="F415" s="156" t="str">
        <f t="shared" si="7"/>
        <v>Acciones</v>
      </c>
      <c r="G415" s="130">
        <f>'Hoja Trabajo - Divisionarias'!K138</f>
        <v>0</v>
      </c>
      <c r="H415" s="130"/>
      <c r="I415" s="128"/>
      <c r="J415" s="129"/>
      <c r="K415" s="137"/>
    </row>
    <row r="416" spans="2:11" x14ac:dyDescent="0.25">
      <c r="B416" s="152"/>
      <c r="C416" s="153"/>
      <c r="D416" s="154">
        <v>5012</v>
      </c>
      <c r="E416" s="155"/>
      <c r="F416" s="156" t="str">
        <f t="shared" si="7"/>
        <v>Participaciones</v>
      </c>
      <c r="G416" s="133">
        <f>'Hoja Trabajo - Divisionarias'!K139</f>
        <v>0</v>
      </c>
      <c r="H416" s="130"/>
      <c r="I416" s="128"/>
      <c r="J416" s="129"/>
      <c r="K416" s="137"/>
    </row>
    <row r="417" spans="2:11" x14ac:dyDescent="0.25">
      <c r="B417" s="152">
        <v>59</v>
      </c>
      <c r="C417" s="153"/>
      <c r="D417" s="154"/>
      <c r="E417" s="155"/>
      <c r="F417" s="156" t="str">
        <f t="shared" si="7"/>
        <v>RESULTADOS  ACUMULADOS</v>
      </c>
      <c r="G417" s="130"/>
      <c r="H417" s="130"/>
      <c r="I417" s="128"/>
      <c r="J417" s="129">
        <f>SUM(I418)</f>
        <v>0</v>
      </c>
      <c r="K417" s="137"/>
    </row>
    <row r="418" spans="2:11" x14ac:dyDescent="0.25">
      <c r="B418" s="152"/>
      <c r="C418" s="153">
        <v>591</v>
      </c>
      <c r="D418" s="154"/>
      <c r="E418" s="155"/>
      <c r="F418" s="156" t="str">
        <f t="shared" si="7"/>
        <v>Utilidades No Distribuidas</v>
      </c>
      <c r="G418" s="130"/>
      <c r="H418" s="130"/>
      <c r="I418" s="131">
        <f>SUM(G419)</f>
        <v>0</v>
      </c>
      <c r="J418" s="129"/>
      <c r="K418" s="137"/>
    </row>
    <row r="419" spans="2:11" x14ac:dyDescent="0.25">
      <c r="B419" s="152"/>
      <c r="C419" s="153"/>
      <c r="D419" s="154">
        <v>5911</v>
      </c>
      <c r="E419" s="155"/>
      <c r="F419" s="156" t="str">
        <f t="shared" si="7"/>
        <v>Utilidades Acumuladas</v>
      </c>
      <c r="G419" s="133">
        <f>SUM('Hoja Trabajo - Divisionarias'!K140,'Hoja Trabajo - Divisionarias'!$K$309-'Hoja Trabajo - Divisionarias'!E321-'Hoja Trabajo - Divisionarias'!E318)</f>
        <v>0</v>
      </c>
      <c r="H419" s="130"/>
      <c r="I419" s="128"/>
      <c r="J419" s="129"/>
      <c r="K419" s="137"/>
    </row>
    <row r="420" spans="2:11" x14ac:dyDescent="0.25">
      <c r="B420" s="152">
        <v>10</v>
      </c>
      <c r="C420" s="153"/>
      <c r="D420" s="154"/>
      <c r="E420" s="155"/>
      <c r="F420" s="156" t="str">
        <f t="shared" si="7"/>
        <v>EFECTIVO Y EQUIVALENTES DE EFECTIVO</v>
      </c>
      <c r="G420" s="130"/>
      <c r="H420" s="130"/>
      <c r="I420" s="128"/>
      <c r="J420" s="129"/>
      <c r="K420" s="137">
        <f>SUM(I421,I423)</f>
        <v>0</v>
      </c>
    </row>
    <row r="421" spans="2:11" x14ac:dyDescent="0.25">
      <c r="B421" s="152"/>
      <c r="C421" s="153">
        <v>101</v>
      </c>
      <c r="D421" s="154"/>
      <c r="E421" s="155"/>
      <c r="F421" s="156" t="str">
        <f t="shared" si="7"/>
        <v>Caja</v>
      </c>
      <c r="G421" s="130"/>
      <c r="H421" s="130"/>
      <c r="I421" s="128">
        <f>SUM(H422)</f>
        <v>0</v>
      </c>
      <c r="J421" s="129"/>
      <c r="K421" s="137"/>
    </row>
    <row r="422" spans="2:11" x14ac:dyDescent="0.25">
      <c r="B422" s="152"/>
      <c r="C422" s="153"/>
      <c r="D422" s="154">
        <v>1011</v>
      </c>
      <c r="E422" s="155"/>
      <c r="F422" s="156" t="str">
        <f t="shared" si="7"/>
        <v>Dinero en Efectivo</v>
      </c>
      <c r="G422" s="130"/>
      <c r="H422" s="133">
        <f>'Hoja Trabajo - Divisionarias'!J16</f>
        <v>0</v>
      </c>
      <c r="I422" s="128"/>
      <c r="J422" s="129"/>
      <c r="K422" s="137"/>
    </row>
    <row r="423" spans="2:11" x14ac:dyDescent="0.25">
      <c r="B423" s="152"/>
      <c r="C423" s="153">
        <v>104</v>
      </c>
      <c r="D423" s="154"/>
      <c r="E423" s="155"/>
      <c r="F423" s="156" t="str">
        <f t="shared" si="7"/>
        <v>Cuentas Corrientes en Instituciones Financieras</v>
      </c>
      <c r="G423" s="130"/>
      <c r="H423" s="130"/>
      <c r="I423" s="131">
        <f>SUM(H424)</f>
        <v>0</v>
      </c>
      <c r="J423" s="129"/>
      <c r="K423" s="137"/>
    </row>
    <row r="424" spans="2:11" x14ac:dyDescent="0.25">
      <c r="B424" s="152"/>
      <c r="C424" s="153"/>
      <c r="D424" s="154">
        <v>1041</v>
      </c>
      <c r="E424" s="155"/>
      <c r="F424" s="156" t="str">
        <f t="shared" si="7"/>
        <v>Cuentas Corrientes Operativas</v>
      </c>
      <c r="G424" s="130"/>
      <c r="H424" s="133">
        <f>'Hoja Trabajo - Divisionarias'!J17</f>
        <v>0</v>
      </c>
      <c r="I424" s="128"/>
      <c r="J424" s="129"/>
      <c r="K424" s="137"/>
    </row>
    <row r="425" spans="2:11" x14ac:dyDescent="0.25">
      <c r="B425" s="152">
        <v>12</v>
      </c>
      <c r="C425" s="153"/>
      <c r="D425" s="154"/>
      <c r="E425" s="155"/>
      <c r="F425" s="156" t="str">
        <f t="shared" si="7"/>
        <v>CUENTAS POR COBRAR COMERCIALES - TERCEROS</v>
      </c>
      <c r="G425" s="130"/>
      <c r="H425" s="130"/>
      <c r="I425" s="128"/>
      <c r="J425" s="129"/>
      <c r="K425" s="137">
        <f>SUM(I426,)</f>
        <v>0</v>
      </c>
    </row>
    <row r="426" spans="2:11" x14ac:dyDescent="0.25">
      <c r="B426" s="152"/>
      <c r="C426" s="153">
        <v>121</v>
      </c>
      <c r="D426" s="154"/>
      <c r="E426" s="155"/>
      <c r="F426" s="156" t="str">
        <f t="shared" si="7"/>
        <v>Facturas, Boletas y Otros Comprobantes por Cobrar</v>
      </c>
      <c r="G426" s="130"/>
      <c r="H426" s="130"/>
      <c r="I426" s="131">
        <f>SUM(H427)</f>
        <v>0</v>
      </c>
      <c r="J426" s="129"/>
      <c r="K426" s="137"/>
    </row>
    <row r="427" spans="2:11" x14ac:dyDescent="0.25">
      <c r="B427" s="152"/>
      <c r="C427" s="153"/>
      <c r="D427" s="154">
        <v>1212</v>
      </c>
      <c r="E427" s="155"/>
      <c r="F427" s="156" t="str">
        <f t="shared" si="7"/>
        <v>Facturas, Boletas y Otros Comprobantes por Cobrar - Emitidas en Cartera</v>
      </c>
      <c r="G427" s="130"/>
      <c r="H427" s="133">
        <f>'Hoja Trabajo - Divisionarias'!J18</f>
        <v>0</v>
      </c>
      <c r="I427" s="128"/>
      <c r="J427" s="129"/>
      <c r="K427" s="137"/>
    </row>
    <row r="428" spans="2:11" x14ac:dyDescent="0.25">
      <c r="B428" s="152">
        <v>16</v>
      </c>
      <c r="C428" s="153"/>
      <c r="D428" s="154"/>
      <c r="E428" s="155"/>
      <c r="F428" s="156" t="str">
        <f t="shared" si="7"/>
        <v>CUENTAS POR COBRAR DIVERSAS - TERCEROS</v>
      </c>
      <c r="G428" s="130"/>
      <c r="H428" s="130"/>
      <c r="I428" s="128"/>
      <c r="J428" s="129"/>
      <c r="K428" s="137">
        <f>SUM(I429,)</f>
        <v>0</v>
      </c>
    </row>
    <row r="429" spans="2:11" x14ac:dyDescent="0.25">
      <c r="B429" s="152"/>
      <c r="C429" s="153">
        <v>168</v>
      </c>
      <c r="D429" s="154"/>
      <c r="E429" s="155"/>
      <c r="F429" s="156" t="str">
        <f t="shared" si="7"/>
        <v>Otras Cuentas por Cobrar Diversas</v>
      </c>
      <c r="G429" s="130"/>
      <c r="H429" s="130"/>
      <c r="I429" s="131">
        <f>SUM(H430)</f>
        <v>0</v>
      </c>
      <c r="J429" s="129"/>
      <c r="K429" s="137"/>
    </row>
    <row r="430" spans="2:11" x14ac:dyDescent="0.25">
      <c r="B430" s="152"/>
      <c r="C430" s="153"/>
      <c r="D430" s="154">
        <v>1689</v>
      </c>
      <c r="E430" s="155"/>
      <c r="F430" s="156" t="str">
        <f t="shared" si="7"/>
        <v>Otras Cuentas por Cobrar Diversas - Otras</v>
      </c>
      <c r="G430" s="130"/>
      <c r="H430" s="133">
        <f>'Hoja Trabajo - Divisionarias'!J24</f>
        <v>0</v>
      </c>
      <c r="I430" s="128"/>
      <c r="J430" s="129"/>
      <c r="K430" s="137"/>
    </row>
    <row r="431" spans="2:11" x14ac:dyDescent="0.25">
      <c r="B431" s="152">
        <v>18</v>
      </c>
      <c r="C431" s="153"/>
      <c r="D431" s="154"/>
      <c r="E431" s="155"/>
      <c r="F431" s="156" t="str">
        <f t="shared" si="7"/>
        <v>SERVICIOS Y OTROS CONTRATADOS POR ANTICIPADO</v>
      </c>
      <c r="G431" s="130"/>
      <c r="H431" s="130"/>
      <c r="I431" s="128"/>
      <c r="J431" s="129"/>
      <c r="K431" s="137">
        <f>SUM(I432,I434,I436,I438,I440,I442)</f>
        <v>0</v>
      </c>
    </row>
    <row r="432" spans="2:11" x14ac:dyDescent="0.25">
      <c r="B432" s="152"/>
      <c r="C432" s="153">
        <v>181</v>
      </c>
      <c r="D432" s="154"/>
      <c r="E432" s="155"/>
      <c r="F432" s="156" t="str">
        <f t="shared" si="7"/>
        <v>Costos Financieros</v>
      </c>
      <c r="G432" s="130"/>
      <c r="H432" s="130"/>
      <c r="I432" s="128">
        <f>SUM(H433)</f>
        <v>0</v>
      </c>
      <c r="J432" s="129"/>
      <c r="K432" s="137"/>
    </row>
    <row r="433" spans="2:11" x14ac:dyDescent="0.25">
      <c r="B433" s="152"/>
      <c r="C433" s="153"/>
      <c r="D433" s="154">
        <v>1811</v>
      </c>
      <c r="E433" s="155"/>
      <c r="F433" s="156" t="str">
        <f t="shared" si="7"/>
        <v>Servicios y Otros Contratados por Anticipado - Costos Financieros</v>
      </c>
      <c r="G433" s="130"/>
      <c r="H433" s="133">
        <f>'Hoja Trabajo - Divisionarias'!J25</f>
        <v>0</v>
      </c>
      <c r="I433" s="128"/>
      <c r="J433" s="129"/>
      <c r="K433" s="137"/>
    </row>
    <row r="434" spans="2:11" x14ac:dyDescent="0.25">
      <c r="B434" s="152"/>
      <c r="C434" s="153">
        <v>182</v>
      </c>
      <c r="D434" s="154"/>
      <c r="E434" s="155"/>
      <c r="F434" s="156" t="str">
        <f t="shared" si="7"/>
        <v>Seguros</v>
      </c>
      <c r="G434" s="130"/>
      <c r="H434" s="130"/>
      <c r="I434" s="128">
        <f>SUM(H435)</f>
        <v>0</v>
      </c>
      <c r="J434" s="129"/>
      <c r="K434" s="137"/>
    </row>
    <row r="435" spans="2:11" x14ac:dyDescent="0.25">
      <c r="B435" s="152"/>
      <c r="C435" s="153"/>
      <c r="D435" s="154">
        <v>1821</v>
      </c>
      <c r="E435" s="155"/>
      <c r="F435" s="156" t="str">
        <f t="shared" si="7"/>
        <v>Servicios y Otros Contratados por Anticipado - Seguros</v>
      </c>
      <c r="G435" s="130"/>
      <c r="H435" s="133">
        <f>'Hoja Trabajo - Divisionarias'!J26</f>
        <v>0</v>
      </c>
      <c r="I435" s="128"/>
      <c r="J435" s="129"/>
      <c r="K435" s="137"/>
    </row>
    <row r="436" spans="2:11" x14ac:dyDescent="0.25">
      <c r="B436" s="152"/>
      <c r="C436" s="153">
        <v>183</v>
      </c>
      <c r="D436" s="154"/>
      <c r="E436" s="155"/>
      <c r="F436" s="156" t="str">
        <f t="shared" si="7"/>
        <v>Alquileres</v>
      </c>
      <c r="G436" s="130"/>
      <c r="H436" s="130"/>
      <c r="I436" s="128">
        <f>SUM(H437)</f>
        <v>0</v>
      </c>
      <c r="J436" s="129"/>
      <c r="K436" s="137"/>
    </row>
    <row r="437" spans="2:11" x14ac:dyDescent="0.25">
      <c r="B437" s="152"/>
      <c r="C437" s="153"/>
      <c r="D437" s="154">
        <v>1831</v>
      </c>
      <c r="E437" s="155"/>
      <c r="F437" s="156" t="str">
        <f t="shared" si="7"/>
        <v>Servicios y Otros Contratados por Anticipado - Alquileres</v>
      </c>
      <c r="G437" s="130"/>
      <c r="H437" s="133">
        <f>'Hoja Trabajo - Divisionarias'!J27</f>
        <v>0</v>
      </c>
      <c r="I437" s="128"/>
      <c r="J437" s="129"/>
      <c r="K437" s="137"/>
    </row>
    <row r="438" spans="2:11" x14ac:dyDescent="0.25">
      <c r="B438" s="152"/>
      <c r="C438" s="153">
        <v>184</v>
      </c>
      <c r="D438" s="154"/>
      <c r="E438" s="155"/>
      <c r="F438" s="156" t="str">
        <f t="shared" si="7"/>
        <v>Primas Pagadas por Opciones</v>
      </c>
      <c r="G438" s="130"/>
      <c r="H438" s="130"/>
      <c r="I438" s="128">
        <f>SUM(H439)</f>
        <v>0</v>
      </c>
      <c r="J438" s="129"/>
      <c r="K438" s="137"/>
    </row>
    <row r="439" spans="2:11" x14ac:dyDescent="0.25">
      <c r="B439" s="152"/>
      <c r="C439" s="153"/>
      <c r="D439" s="154">
        <v>1841</v>
      </c>
      <c r="E439" s="155"/>
      <c r="F439" s="156" t="str">
        <f t="shared" si="7"/>
        <v>Servicios y Otros Contratados por Anticipado - Primas Pagadas por Opciones</v>
      </c>
      <c r="G439" s="130"/>
      <c r="H439" s="133">
        <f>'Hoja Trabajo - Divisionarias'!J28</f>
        <v>0</v>
      </c>
      <c r="I439" s="128"/>
      <c r="J439" s="129"/>
      <c r="K439" s="137"/>
    </row>
    <row r="440" spans="2:11" x14ac:dyDescent="0.25">
      <c r="B440" s="152"/>
      <c r="C440" s="153">
        <v>185</v>
      </c>
      <c r="D440" s="154"/>
      <c r="E440" s="155"/>
      <c r="F440" s="156" t="str">
        <f t="shared" si="7"/>
        <v>Mantenimiento de Activos Inmovilizados</v>
      </c>
      <c r="G440" s="130"/>
      <c r="H440" s="130"/>
      <c r="I440" s="128">
        <f>SUM(H441)</f>
        <v>0</v>
      </c>
      <c r="J440" s="129"/>
      <c r="K440" s="137"/>
    </row>
    <row r="441" spans="2:11" x14ac:dyDescent="0.25">
      <c r="B441" s="152"/>
      <c r="C441" s="153"/>
      <c r="D441" s="154">
        <v>1851</v>
      </c>
      <c r="E441" s="155"/>
      <c r="F441" s="156" t="str">
        <f t="shared" si="7"/>
        <v>Servicios y Otros Contratados por Anticipado - Mantenimiento de Activos Inmovilizados</v>
      </c>
      <c r="G441" s="130"/>
      <c r="H441" s="133">
        <f>'Hoja Trabajo - Divisionarias'!J29</f>
        <v>0</v>
      </c>
      <c r="I441" s="128"/>
      <c r="J441" s="129"/>
      <c r="K441" s="137"/>
    </row>
    <row r="442" spans="2:11" x14ac:dyDescent="0.25">
      <c r="B442" s="152"/>
      <c r="C442" s="153">
        <v>189</v>
      </c>
      <c r="D442" s="154"/>
      <c r="E442" s="155"/>
      <c r="F442" s="156" t="str">
        <f t="shared" si="7"/>
        <v>Otros Gastos Contratados por Anticipado</v>
      </c>
      <c r="G442" s="130"/>
      <c r="H442" s="130"/>
      <c r="I442" s="131">
        <f>SUM(H443:H444)</f>
        <v>0</v>
      </c>
      <c r="J442" s="129"/>
      <c r="K442" s="137"/>
    </row>
    <row r="443" spans="2:11" x14ac:dyDescent="0.25">
      <c r="B443" s="152"/>
      <c r="C443" s="153"/>
      <c r="D443" s="154">
        <v>1891</v>
      </c>
      <c r="E443" s="155"/>
      <c r="F443" s="156" t="str">
        <f t="shared" si="7"/>
        <v>Servicios y Otros Contratados por Anticipado - Otros Gastos Contratados por Anticipado</v>
      </c>
      <c r="G443" s="130"/>
      <c r="H443" s="130">
        <f>'Hoja Trabajo - Divisionarias'!J30</f>
        <v>0</v>
      </c>
      <c r="I443" s="128"/>
      <c r="J443" s="129"/>
      <c r="K443" s="137"/>
    </row>
    <row r="444" spans="2:11" x14ac:dyDescent="0.25">
      <c r="B444" s="152"/>
      <c r="C444" s="153"/>
      <c r="D444" s="154">
        <v>1899</v>
      </c>
      <c r="E444" s="155"/>
      <c r="F444" s="156" t="str">
        <f t="shared" si="7"/>
        <v>Servicios y Otros Contratados por Anticipado - Reclasificación de IGV al Gasto Anticipado</v>
      </c>
      <c r="G444" s="130"/>
      <c r="H444" s="133">
        <f>'Hoja Trabajo - Divisionarias'!J31</f>
        <v>0</v>
      </c>
      <c r="I444" s="128"/>
      <c r="J444" s="129"/>
      <c r="K444" s="137"/>
    </row>
    <row r="445" spans="2:11" x14ac:dyDescent="0.25">
      <c r="B445" s="152">
        <v>20</v>
      </c>
      <c r="C445" s="153"/>
      <c r="D445" s="154"/>
      <c r="E445" s="155"/>
      <c r="F445" s="156" t="str">
        <f t="shared" si="7"/>
        <v>MERCADERÍAS</v>
      </c>
      <c r="G445" s="130"/>
      <c r="H445" s="130"/>
      <c r="I445" s="128"/>
      <c r="J445" s="129"/>
      <c r="K445" s="137">
        <f>SUM(I446,I448,I450,I453,I455)</f>
        <v>0</v>
      </c>
    </row>
    <row r="446" spans="2:11" x14ac:dyDescent="0.25">
      <c r="B446" s="152"/>
      <c r="C446" s="153">
        <v>201</v>
      </c>
      <c r="D446" s="154"/>
      <c r="E446" s="155"/>
      <c r="F446" s="156" t="str">
        <f t="shared" si="7"/>
        <v>Mercaderías Manufacturadas</v>
      </c>
      <c r="G446" s="130"/>
      <c r="H446" s="130"/>
      <c r="I446" s="128">
        <f>SUM(H447)</f>
        <v>0</v>
      </c>
      <c r="J446" s="129"/>
      <c r="K446" s="137"/>
    </row>
    <row r="447" spans="2:11" x14ac:dyDescent="0.25">
      <c r="B447" s="152"/>
      <c r="C447" s="153"/>
      <c r="D447" s="154">
        <v>2011</v>
      </c>
      <c r="E447" s="155"/>
      <c r="F447" s="156" t="str">
        <f t="shared" si="7"/>
        <v>Mercaderías Manufacturadas</v>
      </c>
      <c r="G447" s="130"/>
      <c r="H447" s="133">
        <f>'Hoja Trabajo - Divisionarias'!J32</f>
        <v>0</v>
      </c>
      <c r="I447" s="128"/>
      <c r="J447" s="129"/>
      <c r="K447" s="137"/>
    </row>
    <row r="448" spans="2:11" x14ac:dyDescent="0.25">
      <c r="B448" s="152"/>
      <c r="C448" s="153">
        <v>202</v>
      </c>
      <c r="D448" s="154"/>
      <c r="E448" s="155"/>
      <c r="F448" s="156" t="str">
        <f t="shared" si="7"/>
        <v>Mercaderías de Extracción</v>
      </c>
      <c r="G448" s="130"/>
      <c r="H448" s="130"/>
      <c r="I448" s="128">
        <f>SUM(H449)</f>
        <v>0</v>
      </c>
      <c r="J448" s="129"/>
      <c r="K448" s="137"/>
    </row>
    <row r="449" spans="2:11" x14ac:dyDescent="0.25">
      <c r="B449" s="152"/>
      <c r="C449" s="153"/>
      <c r="D449" s="154">
        <v>2021</v>
      </c>
      <c r="E449" s="155"/>
      <c r="F449" s="156" t="str">
        <f t="shared" si="7"/>
        <v>Mercaderías de Extracción</v>
      </c>
      <c r="G449" s="130"/>
      <c r="H449" s="133">
        <f>'Hoja Trabajo - Divisionarias'!J33</f>
        <v>0</v>
      </c>
      <c r="I449" s="128"/>
      <c r="J449" s="129"/>
      <c r="K449" s="137"/>
    </row>
    <row r="450" spans="2:11" x14ac:dyDescent="0.25">
      <c r="B450" s="152"/>
      <c r="C450" s="153">
        <v>203</v>
      </c>
      <c r="D450" s="154"/>
      <c r="E450" s="155"/>
      <c r="F450" s="156" t="str">
        <f t="shared" si="7"/>
        <v>Mercaderías Agropecuarias y Piscícolas</v>
      </c>
      <c r="G450" s="130"/>
      <c r="H450" s="130"/>
      <c r="I450" s="128">
        <f>SUM(H451:H452)</f>
        <v>0</v>
      </c>
      <c r="J450" s="129"/>
      <c r="K450" s="137"/>
    </row>
    <row r="451" spans="2:11" x14ac:dyDescent="0.25">
      <c r="B451" s="152"/>
      <c r="C451" s="153"/>
      <c r="D451" s="154">
        <v>2031</v>
      </c>
      <c r="E451" s="155"/>
      <c r="F451" s="156" t="str">
        <f t="shared" si="7"/>
        <v>De Origen Animal</v>
      </c>
      <c r="G451" s="130"/>
      <c r="H451" s="130">
        <f>'Hoja Trabajo - Divisionarias'!J34</f>
        <v>0</v>
      </c>
      <c r="I451" s="128"/>
      <c r="J451" s="129"/>
      <c r="K451" s="137"/>
    </row>
    <row r="452" spans="2:11" x14ac:dyDescent="0.25">
      <c r="B452" s="152"/>
      <c r="C452" s="153"/>
      <c r="D452" s="154">
        <v>2032</v>
      </c>
      <c r="E452" s="155"/>
      <c r="F452" s="156" t="str">
        <f t="shared" si="7"/>
        <v>De Origen Vegetal</v>
      </c>
      <c r="G452" s="130"/>
      <c r="H452" s="133">
        <f>'Hoja Trabajo - Divisionarias'!J35</f>
        <v>0</v>
      </c>
      <c r="I452" s="128"/>
      <c r="J452" s="129"/>
      <c r="K452" s="137"/>
    </row>
    <row r="453" spans="2:11" x14ac:dyDescent="0.25">
      <c r="B453" s="152"/>
      <c r="C453" s="153">
        <v>204</v>
      </c>
      <c r="D453" s="154"/>
      <c r="E453" s="155"/>
      <c r="F453" s="156" t="str">
        <f t="shared" si="7"/>
        <v>Mercaderías Inmuebles</v>
      </c>
      <c r="G453" s="130"/>
      <c r="H453" s="130"/>
      <c r="I453" s="128">
        <f>SUM(H454)</f>
        <v>0</v>
      </c>
      <c r="J453" s="129"/>
      <c r="K453" s="137"/>
    </row>
    <row r="454" spans="2:11" x14ac:dyDescent="0.25">
      <c r="B454" s="152"/>
      <c r="C454" s="153"/>
      <c r="D454" s="154">
        <v>2041</v>
      </c>
      <c r="E454" s="155"/>
      <c r="F454" s="156" t="str">
        <f t="shared" si="7"/>
        <v>Mercaderías Inmuebles</v>
      </c>
      <c r="G454" s="130"/>
      <c r="H454" s="133">
        <f>'Hoja Trabajo - Divisionarias'!J36</f>
        <v>0</v>
      </c>
      <c r="I454" s="128"/>
      <c r="J454" s="129"/>
      <c r="K454" s="137"/>
    </row>
    <row r="455" spans="2:11" x14ac:dyDescent="0.25">
      <c r="B455" s="152"/>
      <c r="C455" s="153">
        <v>208</v>
      </c>
      <c r="D455" s="154"/>
      <c r="E455" s="155"/>
      <c r="F455" s="156" t="str">
        <f t="shared" si="7"/>
        <v>Otras Mercaderías</v>
      </c>
      <c r="G455" s="130"/>
      <c r="H455" s="130"/>
      <c r="I455" s="131">
        <f>SUM(H456)</f>
        <v>0</v>
      </c>
      <c r="J455" s="129"/>
      <c r="K455" s="137"/>
    </row>
    <row r="456" spans="2:11" x14ac:dyDescent="0.25">
      <c r="B456" s="152"/>
      <c r="C456" s="153"/>
      <c r="D456" s="154">
        <v>2081</v>
      </c>
      <c r="E456" s="155"/>
      <c r="F456" s="156" t="str">
        <f t="shared" si="7"/>
        <v>Otras Mercaderías</v>
      </c>
      <c r="G456" s="130"/>
      <c r="H456" s="133">
        <f>'Hoja Trabajo - Divisionarias'!J37</f>
        <v>0</v>
      </c>
      <c r="I456" s="128"/>
      <c r="J456" s="129"/>
      <c r="K456" s="137"/>
    </row>
    <row r="457" spans="2:11" x14ac:dyDescent="0.25">
      <c r="B457" s="152">
        <v>21</v>
      </c>
      <c r="C457" s="153"/>
      <c r="D457" s="154"/>
      <c r="E457" s="155"/>
      <c r="F457" s="156" t="str">
        <f t="shared" si="7"/>
        <v>PRODUCTOS TERMINADOS</v>
      </c>
      <c r="G457" s="130"/>
      <c r="H457" s="130"/>
      <c r="I457" s="128"/>
      <c r="J457" s="129"/>
      <c r="K457" s="137">
        <f>SUM(I458)</f>
        <v>0</v>
      </c>
    </row>
    <row r="458" spans="2:11" x14ac:dyDescent="0.25">
      <c r="B458" s="152"/>
      <c r="C458" s="153">
        <v>211</v>
      </c>
      <c r="D458" s="154"/>
      <c r="E458" s="155"/>
      <c r="F458" s="156" t="str">
        <f t="shared" si="7"/>
        <v>Productos Manufacturados</v>
      </c>
      <c r="G458" s="130"/>
      <c r="H458" s="130"/>
      <c r="I458" s="131">
        <f>SUM(H459)</f>
        <v>0</v>
      </c>
      <c r="J458" s="129"/>
      <c r="K458" s="137"/>
    </row>
    <row r="459" spans="2:11" x14ac:dyDescent="0.25">
      <c r="B459" s="152"/>
      <c r="C459" s="153"/>
      <c r="D459" s="154">
        <v>2111</v>
      </c>
      <c r="E459" s="155"/>
      <c r="F459" s="156" t="str">
        <f t="shared" si="7"/>
        <v>Productos Manufacturados</v>
      </c>
      <c r="G459" s="130"/>
      <c r="H459" s="133">
        <f>'Hoja Trabajo - Divisionarias'!J38</f>
        <v>0</v>
      </c>
      <c r="I459" s="128"/>
      <c r="J459" s="129"/>
      <c r="K459" s="137"/>
    </row>
    <row r="460" spans="2:11" x14ac:dyDescent="0.25">
      <c r="B460" s="152">
        <v>24</v>
      </c>
      <c r="C460" s="153"/>
      <c r="D460" s="154"/>
      <c r="E460" s="155"/>
      <c r="F460" s="156" t="str">
        <f t="shared" si="7"/>
        <v>MATERIAS PRIMAS</v>
      </c>
      <c r="G460" s="130"/>
      <c r="H460" s="130"/>
      <c r="I460" s="128"/>
      <c r="J460" s="129"/>
      <c r="K460" s="137">
        <f>SUM(I461,I463,I465,I467)</f>
        <v>0</v>
      </c>
    </row>
    <row r="461" spans="2:11" x14ac:dyDescent="0.25">
      <c r="B461" s="152"/>
      <c r="C461" s="153">
        <v>241</v>
      </c>
      <c r="D461" s="154"/>
      <c r="E461" s="155"/>
      <c r="F461" s="156" t="str">
        <f t="shared" ref="F461:F524" si="9">IF(AND(B461="",C461="",D461="",E461=""),"",IF(AND(B461&gt;0,C461&gt;0,D461&gt;0,E461&gt;0),"",IF(B461&gt;0,VLOOKUP(B461,CuentasContables,5,FALSE),IF(C461&gt;0,VLOOKUP(C461,SubCuentasContables,4,FALSE),IF(D461&gt;0,VLOOKUP(D461,DivisionariasContables,3,FALSE),IF(E461&gt;0,VLOOKUP(E461,SubDivisionariasContables,2,FALSE)))))))</f>
        <v>Materias Primas para Productos Manufacturados</v>
      </c>
      <c r="G461" s="130"/>
      <c r="H461" s="130"/>
      <c r="I461" s="131">
        <f>SUM(H462)</f>
        <v>0</v>
      </c>
      <c r="J461" s="129"/>
      <c r="K461" s="137"/>
    </row>
    <row r="462" spans="2:11" x14ac:dyDescent="0.25">
      <c r="B462" s="152"/>
      <c r="C462" s="153"/>
      <c r="D462" s="154">
        <v>2411</v>
      </c>
      <c r="E462" s="155"/>
      <c r="F462" s="156" t="str">
        <f t="shared" si="9"/>
        <v>Materias Primas para Productos Manufacturados</v>
      </c>
      <c r="G462" s="130"/>
      <c r="H462" s="133">
        <f>'Hoja Trabajo - Divisionarias'!J39</f>
        <v>0</v>
      </c>
      <c r="I462" s="128"/>
      <c r="J462" s="129"/>
      <c r="K462" s="137"/>
    </row>
    <row r="463" spans="2:11" x14ac:dyDescent="0.25">
      <c r="B463" s="152"/>
      <c r="C463" s="153">
        <v>242</v>
      </c>
      <c r="D463" s="154"/>
      <c r="E463" s="155"/>
      <c r="F463" s="156" t="str">
        <f t="shared" si="9"/>
        <v>Materias Primas para Productos de Extracción</v>
      </c>
      <c r="G463" s="130"/>
      <c r="H463" s="130"/>
      <c r="I463" s="131">
        <f>SUM(H464)</f>
        <v>0</v>
      </c>
      <c r="J463" s="129"/>
      <c r="K463" s="137"/>
    </row>
    <row r="464" spans="2:11" x14ac:dyDescent="0.25">
      <c r="B464" s="152"/>
      <c r="C464" s="153"/>
      <c r="D464" s="154">
        <v>2421</v>
      </c>
      <c r="E464" s="155"/>
      <c r="F464" s="156" t="str">
        <f t="shared" si="9"/>
        <v>Materias Primas para Productos de Extracción</v>
      </c>
      <c r="G464" s="130"/>
      <c r="H464" s="133">
        <f>'Hoja Trabajo - Divisionarias'!J40</f>
        <v>0</v>
      </c>
      <c r="I464" s="128"/>
      <c r="J464" s="129"/>
      <c r="K464" s="137"/>
    </row>
    <row r="465" spans="2:11" x14ac:dyDescent="0.25">
      <c r="B465" s="152"/>
      <c r="C465" s="153">
        <v>243</v>
      </c>
      <c r="D465" s="154"/>
      <c r="E465" s="155"/>
      <c r="F465" s="156" t="str">
        <f t="shared" si="9"/>
        <v>Materias Primas para Productos Agropecuarios y Piscícolas</v>
      </c>
      <c r="G465" s="130"/>
      <c r="H465" s="130"/>
      <c r="I465" s="131">
        <f>SUM(H466)</f>
        <v>0</v>
      </c>
      <c r="J465" s="129"/>
      <c r="K465" s="137"/>
    </row>
    <row r="466" spans="2:11" x14ac:dyDescent="0.25">
      <c r="B466" s="152"/>
      <c r="C466" s="153"/>
      <c r="D466" s="154">
        <v>2431</v>
      </c>
      <c r="E466" s="155"/>
      <c r="F466" s="156" t="str">
        <f t="shared" si="9"/>
        <v>Materias Primas para Productos Agropecuarios y Piscícolas</v>
      </c>
      <c r="G466" s="130"/>
      <c r="H466" s="133">
        <f>'Hoja Trabajo - Divisionarias'!J41</f>
        <v>0</v>
      </c>
      <c r="I466" s="128"/>
      <c r="J466" s="129"/>
      <c r="K466" s="137"/>
    </row>
    <row r="467" spans="2:11" x14ac:dyDescent="0.25">
      <c r="B467" s="152"/>
      <c r="C467" s="153">
        <v>244</v>
      </c>
      <c r="D467" s="154"/>
      <c r="E467" s="155"/>
      <c r="F467" s="156" t="str">
        <f t="shared" si="9"/>
        <v>Materias Primas para Productos Inmuebles</v>
      </c>
      <c r="G467" s="130"/>
      <c r="H467" s="130"/>
      <c r="I467" s="131">
        <f>SUM(H468)</f>
        <v>0</v>
      </c>
      <c r="J467" s="129"/>
      <c r="K467" s="137"/>
    </row>
    <row r="468" spans="2:11" x14ac:dyDescent="0.25">
      <c r="B468" s="152"/>
      <c r="C468" s="153"/>
      <c r="D468" s="154">
        <v>2441</v>
      </c>
      <c r="E468" s="155"/>
      <c r="F468" s="156" t="str">
        <f t="shared" si="9"/>
        <v>Materias Primas para Productos Inmuebles</v>
      </c>
      <c r="G468" s="130"/>
      <c r="H468" s="133">
        <f>'Hoja Trabajo - Divisionarias'!J42</f>
        <v>0</v>
      </c>
      <c r="I468" s="128"/>
      <c r="J468" s="129"/>
      <c r="K468" s="137"/>
    </row>
    <row r="469" spans="2:11" x14ac:dyDescent="0.25">
      <c r="B469" s="152">
        <v>25</v>
      </c>
      <c r="C469" s="153"/>
      <c r="D469" s="154"/>
      <c r="E469" s="155"/>
      <c r="F469" s="156" t="str">
        <f t="shared" si="9"/>
        <v>MATERIALES AUXILIARES, SUMINISTROS Y REPUESTOS</v>
      </c>
      <c r="G469" s="130"/>
      <c r="H469" s="130"/>
      <c r="I469" s="128"/>
      <c r="J469" s="129"/>
      <c r="K469" s="137">
        <f>SUM(I470,I472,I477)</f>
        <v>0</v>
      </c>
    </row>
    <row r="470" spans="2:11" x14ac:dyDescent="0.25">
      <c r="B470" s="152"/>
      <c r="C470" s="153">
        <v>251</v>
      </c>
      <c r="D470" s="154"/>
      <c r="E470" s="155"/>
      <c r="F470" s="156" t="str">
        <f t="shared" si="9"/>
        <v>Materiales Auxiliares</v>
      </c>
      <c r="G470" s="130"/>
      <c r="H470" s="130"/>
      <c r="I470" s="128">
        <f>SUM(H471)</f>
        <v>0</v>
      </c>
      <c r="J470" s="129"/>
      <c r="K470" s="137"/>
    </row>
    <row r="471" spans="2:11" x14ac:dyDescent="0.25">
      <c r="B471" s="152"/>
      <c r="C471" s="153"/>
      <c r="D471" s="154">
        <v>2511</v>
      </c>
      <c r="E471" s="155"/>
      <c r="F471" s="156" t="str">
        <f t="shared" si="9"/>
        <v>Materiales Auxiliares</v>
      </c>
      <c r="G471" s="130"/>
      <c r="H471" s="133">
        <f>'Hoja Trabajo - Divisionarias'!J43</f>
        <v>0</v>
      </c>
      <c r="I471" s="128"/>
      <c r="J471" s="129"/>
      <c r="K471" s="137"/>
    </row>
    <row r="472" spans="2:11" x14ac:dyDescent="0.25">
      <c r="B472" s="152"/>
      <c r="C472" s="153">
        <v>252</v>
      </c>
      <c r="D472" s="154"/>
      <c r="E472" s="155"/>
      <c r="F472" s="156" t="str">
        <f t="shared" si="9"/>
        <v>Suministros</v>
      </c>
      <c r="G472" s="130"/>
      <c r="H472" s="130"/>
      <c r="I472" s="128">
        <f>SUM(H473:H476)</f>
        <v>0</v>
      </c>
      <c r="J472" s="129"/>
      <c r="K472" s="137"/>
    </row>
    <row r="473" spans="2:11" x14ac:dyDescent="0.25">
      <c r="B473" s="152"/>
      <c r="C473" s="153"/>
      <c r="D473" s="154">
        <v>2521</v>
      </c>
      <c r="E473" s="155"/>
      <c r="F473" s="156" t="str">
        <f t="shared" si="9"/>
        <v>Combustibles</v>
      </c>
      <c r="G473" s="130"/>
      <c r="H473" s="130">
        <f>'Hoja Trabajo - Divisionarias'!J44</f>
        <v>0</v>
      </c>
      <c r="I473" s="128"/>
      <c r="J473" s="129"/>
      <c r="K473" s="137"/>
    </row>
    <row r="474" spans="2:11" x14ac:dyDescent="0.25">
      <c r="B474" s="152"/>
      <c r="C474" s="153"/>
      <c r="D474" s="154">
        <v>2522</v>
      </c>
      <c r="E474" s="155"/>
      <c r="F474" s="156" t="str">
        <f t="shared" si="9"/>
        <v>Lubricantes</v>
      </c>
      <c r="G474" s="130"/>
      <c r="H474" s="130">
        <f>'Hoja Trabajo - Divisionarias'!J45</f>
        <v>0</v>
      </c>
      <c r="I474" s="128"/>
      <c r="J474" s="129"/>
      <c r="K474" s="137"/>
    </row>
    <row r="475" spans="2:11" x14ac:dyDescent="0.25">
      <c r="B475" s="152"/>
      <c r="C475" s="153"/>
      <c r="D475" s="154">
        <v>2523</v>
      </c>
      <c r="E475" s="155"/>
      <c r="F475" s="156" t="str">
        <f t="shared" si="9"/>
        <v>Energía</v>
      </c>
      <c r="G475" s="130"/>
      <c r="H475" s="130">
        <f>'Hoja Trabajo - Divisionarias'!J46</f>
        <v>0</v>
      </c>
      <c r="I475" s="128"/>
      <c r="J475" s="129"/>
      <c r="K475" s="137"/>
    </row>
    <row r="476" spans="2:11" x14ac:dyDescent="0.25">
      <c r="B476" s="152"/>
      <c r="C476" s="153"/>
      <c r="D476" s="154">
        <v>2524</v>
      </c>
      <c r="E476" s="155"/>
      <c r="F476" s="156" t="str">
        <f t="shared" si="9"/>
        <v>Otros Suministros</v>
      </c>
      <c r="G476" s="130"/>
      <c r="H476" s="133">
        <f>'Hoja Trabajo - Divisionarias'!J47</f>
        <v>0</v>
      </c>
      <c r="I476" s="128"/>
      <c r="J476" s="129"/>
      <c r="K476" s="137"/>
    </row>
    <row r="477" spans="2:11" x14ac:dyDescent="0.25">
      <c r="B477" s="152"/>
      <c r="C477" s="153">
        <v>253</v>
      </c>
      <c r="D477" s="154"/>
      <c r="E477" s="155"/>
      <c r="F477" s="156" t="str">
        <f t="shared" si="9"/>
        <v>Repuestos</v>
      </c>
      <c r="G477" s="130"/>
      <c r="H477" s="130"/>
      <c r="I477" s="131">
        <f>SUM(H478)</f>
        <v>0</v>
      </c>
      <c r="J477" s="129"/>
      <c r="K477" s="137"/>
    </row>
    <row r="478" spans="2:11" x14ac:dyDescent="0.25">
      <c r="B478" s="152"/>
      <c r="C478" s="153"/>
      <c r="D478" s="154">
        <v>2531</v>
      </c>
      <c r="E478" s="155"/>
      <c r="F478" s="156" t="str">
        <f t="shared" si="9"/>
        <v>Repuestos</v>
      </c>
      <c r="G478" s="130"/>
      <c r="H478" s="133">
        <f>'Hoja Trabajo - Divisionarias'!J48</f>
        <v>0</v>
      </c>
      <c r="I478" s="128"/>
      <c r="J478" s="129"/>
      <c r="K478" s="137"/>
    </row>
    <row r="479" spans="2:11" x14ac:dyDescent="0.25">
      <c r="B479" s="152">
        <v>26</v>
      </c>
      <c r="C479" s="153"/>
      <c r="D479" s="154"/>
      <c r="E479" s="155"/>
      <c r="F479" s="156" t="str">
        <f t="shared" si="9"/>
        <v>ENVASES Y EMBALAJES</v>
      </c>
      <c r="G479" s="130"/>
      <c r="H479" s="130"/>
      <c r="I479" s="128"/>
      <c r="J479" s="129"/>
      <c r="K479" s="137">
        <f>SUM(I480,I482)</f>
        <v>0</v>
      </c>
    </row>
    <row r="480" spans="2:11" x14ac:dyDescent="0.25">
      <c r="B480" s="152"/>
      <c r="C480" s="153">
        <v>261</v>
      </c>
      <c r="D480" s="154"/>
      <c r="E480" s="155"/>
      <c r="F480" s="156" t="str">
        <f t="shared" si="9"/>
        <v>Envases</v>
      </c>
      <c r="G480" s="130"/>
      <c r="H480" s="130"/>
      <c r="I480" s="128">
        <f>SUM(H481)</f>
        <v>0</v>
      </c>
      <c r="J480" s="129"/>
      <c r="K480" s="137"/>
    </row>
    <row r="481" spans="2:11" x14ac:dyDescent="0.25">
      <c r="B481" s="152"/>
      <c r="C481" s="153"/>
      <c r="D481" s="154">
        <v>2611</v>
      </c>
      <c r="E481" s="155"/>
      <c r="F481" s="156" t="str">
        <f t="shared" si="9"/>
        <v>Envases</v>
      </c>
      <c r="G481" s="130"/>
      <c r="H481" s="133">
        <f>'Hoja Trabajo - Divisionarias'!J49</f>
        <v>0</v>
      </c>
      <c r="I481" s="128"/>
      <c r="J481" s="129"/>
      <c r="K481" s="137"/>
    </row>
    <row r="482" spans="2:11" x14ac:dyDescent="0.25">
      <c r="B482" s="152"/>
      <c r="C482" s="153">
        <v>262</v>
      </c>
      <c r="D482" s="154"/>
      <c r="E482" s="155"/>
      <c r="F482" s="156" t="str">
        <f t="shared" si="9"/>
        <v>Embalajes</v>
      </c>
      <c r="G482" s="130"/>
      <c r="H482" s="130"/>
      <c r="I482" s="131">
        <f>SUM(H483)</f>
        <v>0</v>
      </c>
      <c r="J482" s="129"/>
      <c r="K482" s="137"/>
    </row>
    <row r="483" spans="2:11" x14ac:dyDescent="0.25">
      <c r="B483" s="152"/>
      <c r="C483" s="153"/>
      <c r="D483" s="154">
        <v>2621</v>
      </c>
      <c r="E483" s="155"/>
      <c r="F483" s="156" t="str">
        <f t="shared" si="9"/>
        <v>Embalajes</v>
      </c>
      <c r="G483" s="130"/>
      <c r="H483" s="133">
        <f>'Hoja Trabajo - Divisionarias'!J50</f>
        <v>0</v>
      </c>
      <c r="I483" s="128"/>
      <c r="J483" s="129"/>
      <c r="K483" s="137"/>
    </row>
    <row r="484" spans="2:11" x14ac:dyDescent="0.25">
      <c r="B484" s="152">
        <v>33</v>
      </c>
      <c r="C484" s="153"/>
      <c r="D484" s="154"/>
      <c r="E484" s="155"/>
      <c r="F484" s="156" t="str">
        <f t="shared" si="9"/>
        <v>INMUEBLES, MAQUINARIA Y EQUIPO</v>
      </c>
      <c r="G484" s="130"/>
      <c r="H484" s="130"/>
      <c r="I484" s="128"/>
      <c r="J484" s="129"/>
      <c r="K484" s="137">
        <f>SUM(I485,I488,I493,I496,I501,I506,I515,I518,I524)</f>
        <v>188450</v>
      </c>
    </row>
    <row r="485" spans="2:11" x14ac:dyDescent="0.25">
      <c r="B485" s="152"/>
      <c r="C485" s="153">
        <v>331</v>
      </c>
      <c r="D485" s="154"/>
      <c r="E485" s="155"/>
      <c r="F485" s="156" t="str">
        <f t="shared" si="9"/>
        <v>Terrenos</v>
      </c>
      <c r="G485" s="130"/>
      <c r="H485" s="130"/>
      <c r="I485" s="128">
        <f>SUM(H486)</f>
        <v>0</v>
      </c>
      <c r="J485" s="129"/>
      <c r="K485" s="137"/>
    </row>
    <row r="486" spans="2:11" x14ac:dyDescent="0.25">
      <c r="B486" s="152"/>
      <c r="C486" s="153"/>
      <c r="D486" s="154">
        <v>3311</v>
      </c>
      <c r="E486" s="155"/>
      <c r="F486" s="156" t="str">
        <f t="shared" si="9"/>
        <v>Terrenos</v>
      </c>
      <c r="G486" s="130"/>
      <c r="H486" s="133">
        <f>'Hoja Trabajo - Divisionarias'!J62</f>
        <v>0</v>
      </c>
      <c r="I486" s="128"/>
      <c r="J486" s="129"/>
      <c r="K486" s="137"/>
    </row>
    <row r="487" spans="2:11" x14ac:dyDescent="0.25">
      <c r="B487" s="152"/>
      <c r="C487" s="153"/>
      <c r="D487" s="154"/>
      <c r="E487" s="155">
        <v>33111</v>
      </c>
      <c r="F487" s="156" t="str">
        <f t="shared" si="9"/>
        <v>Costo</v>
      </c>
      <c r="G487" s="130"/>
      <c r="H487" s="130"/>
      <c r="I487" s="128"/>
      <c r="J487" s="129"/>
      <c r="K487" s="137"/>
    </row>
    <row r="488" spans="2:11" x14ac:dyDescent="0.25">
      <c r="B488" s="152"/>
      <c r="C488" s="153">
        <v>332</v>
      </c>
      <c r="D488" s="154"/>
      <c r="E488" s="155"/>
      <c r="F488" s="156" t="str">
        <f t="shared" si="9"/>
        <v>Edificaciones</v>
      </c>
      <c r="G488" s="130"/>
      <c r="H488" s="130"/>
      <c r="I488" s="128">
        <f>SUM(H489:H492)</f>
        <v>0</v>
      </c>
      <c r="J488" s="129"/>
      <c r="K488" s="137"/>
    </row>
    <row r="489" spans="2:11" x14ac:dyDescent="0.25">
      <c r="B489" s="152"/>
      <c r="C489" s="153"/>
      <c r="D489" s="154">
        <v>3321</v>
      </c>
      <c r="E489" s="155"/>
      <c r="F489" s="156" t="str">
        <f t="shared" si="9"/>
        <v>Edificaciones - Edificaciones Administrativas</v>
      </c>
      <c r="G489" s="130"/>
      <c r="H489" s="130">
        <f>'Hoja Trabajo - Divisionarias'!J63</f>
        <v>0</v>
      </c>
      <c r="I489" s="128"/>
      <c r="J489" s="129"/>
      <c r="K489" s="137"/>
    </row>
    <row r="490" spans="2:11" x14ac:dyDescent="0.25">
      <c r="B490" s="152"/>
      <c r="C490" s="153"/>
      <c r="D490" s="154">
        <v>3322</v>
      </c>
      <c r="E490" s="155"/>
      <c r="F490" s="156" t="str">
        <f t="shared" si="9"/>
        <v>Edificaciones - Almacenes</v>
      </c>
      <c r="G490" s="130"/>
      <c r="H490" s="130">
        <f>'Hoja Trabajo - Divisionarias'!J64</f>
        <v>0</v>
      </c>
      <c r="I490" s="128"/>
      <c r="J490" s="129"/>
      <c r="K490" s="137"/>
    </row>
    <row r="491" spans="2:11" x14ac:dyDescent="0.25">
      <c r="B491" s="152"/>
      <c r="C491" s="153"/>
      <c r="D491" s="154">
        <v>3323</v>
      </c>
      <c r="E491" s="155"/>
      <c r="F491" s="156" t="str">
        <f t="shared" si="9"/>
        <v>Edificaciones - Edificaciones para Producción</v>
      </c>
      <c r="G491" s="130"/>
      <c r="H491" s="130">
        <f>'Hoja Trabajo - Divisionarias'!J65</f>
        <v>0</v>
      </c>
      <c r="I491" s="128"/>
      <c r="J491" s="129"/>
      <c r="K491" s="137"/>
    </row>
    <row r="492" spans="2:11" x14ac:dyDescent="0.25">
      <c r="B492" s="152"/>
      <c r="C492" s="153"/>
      <c r="D492" s="154">
        <v>3324</v>
      </c>
      <c r="E492" s="155"/>
      <c r="F492" s="156" t="str">
        <f t="shared" si="9"/>
        <v>Edificaciones - Instalaciones</v>
      </c>
      <c r="G492" s="130"/>
      <c r="H492" s="133">
        <f>'Hoja Trabajo - Divisionarias'!J66</f>
        <v>0</v>
      </c>
      <c r="I492" s="128"/>
      <c r="J492" s="129"/>
      <c r="K492" s="137"/>
    </row>
    <row r="493" spans="2:11" x14ac:dyDescent="0.25">
      <c r="B493" s="152"/>
      <c r="C493" s="153">
        <v>333</v>
      </c>
      <c r="D493" s="154"/>
      <c r="E493" s="155"/>
      <c r="F493" s="156" t="str">
        <f t="shared" si="9"/>
        <v>Maquinarias y Equipos de Explotación</v>
      </c>
      <c r="G493" s="130"/>
      <c r="H493" s="130"/>
      <c r="I493" s="128">
        <f>SUM(H494)</f>
        <v>0</v>
      </c>
      <c r="J493" s="129"/>
      <c r="K493" s="137"/>
    </row>
    <row r="494" spans="2:11" x14ac:dyDescent="0.25">
      <c r="B494" s="152"/>
      <c r="C494" s="153"/>
      <c r="D494" s="154">
        <v>3331</v>
      </c>
      <c r="E494" s="155"/>
      <c r="F494" s="156" t="str">
        <f t="shared" si="9"/>
        <v>Maquinarias y Equipos de Explotación</v>
      </c>
      <c r="G494" s="130"/>
      <c r="H494" s="133">
        <f>'Hoja Trabajo - Divisionarias'!J67</f>
        <v>0</v>
      </c>
      <c r="I494" s="128"/>
      <c r="J494" s="129"/>
      <c r="K494" s="137"/>
    </row>
    <row r="495" spans="2:11" x14ac:dyDescent="0.25">
      <c r="B495" s="152"/>
      <c r="C495" s="153"/>
      <c r="D495" s="154"/>
      <c r="E495" s="155">
        <v>33311</v>
      </c>
      <c r="F495" s="156" t="str">
        <f t="shared" si="9"/>
        <v>Costo de Adquisición o Construcción</v>
      </c>
      <c r="G495" s="130"/>
      <c r="H495" s="130"/>
      <c r="I495" s="128"/>
      <c r="J495" s="129"/>
      <c r="K495" s="137"/>
    </row>
    <row r="496" spans="2:11" x14ac:dyDescent="0.25">
      <c r="B496" s="152"/>
      <c r="C496" s="153">
        <v>334</v>
      </c>
      <c r="D496" s="154"/>
      <c r="E496" s="155"/>
      <c r="F496" s="156" t="str">
        <f t="shared" si="9"/>
        <v>Equipo de Transporte</v>
      </c>
      <c r="G496" s="130"/>
      <c r="H496" s="130"/>
      <c r="I496" s="128">
        <f>SUM(H497:H499)</f>
        <v>0</v>
      </c>
      <c r="J496" s="129"/>
      <c r="K496" s="137"/>
    </row>
    <row r="497" spans="2:11" x14ac:dyDescent="0.25">
      <c r="B497" s="152"/>
      <c r="C497" s="153"/>
      <c r="D497" s="154">
        <v>3341</v>
      </c>
      <c r="E497" s="155"/>
      <c r="F497" s="156" t="str">
        <f t="shared" si="9"/>
        <v>Equipo de Transporte - Vehículos Motorizados</v>
      </c>
      <c r="G497" s="130"/>
      <c r="H497" s="130">
        <f>'Hoja Trabajo - Divisionarias'!J68</f>
        <v>0</v>
      </c>
      <c r="I497" s="128"/>
      <c r="J497" s="129"/>
      <c r="K497" s="137"/>
    </row>
    <row r="498" spans="2:11" x14ac:dyDescent="0.25">
      <c r="B498" s="152"/>
      <c r="C498" s="153"/>
      <c r="D498" s="154"/>
      <c r="E498" s="155">
        <v>33411</v>
      </c>
      <c r="F498" s="156" t="str">
        <f t="shared" si="9"/>
        <v>Costo</v>
      </c>
      <c r="G498" s="130"/>
      <c r="H498" s="130"/>
      <c r="I498" s="128"/>
      <c r="J498" s="129"/>
      <c r="K498" s="137"/>
    </row>
    <row r="499" spans="2:11" x14ac:dyDescent="0.25">
      <c r="B499" s="152"/>
      <c r="C499" s="153"/>
      <c r="D499" s="154">
        <v>3342</v>
      </c>
      <c r="E499" s="155"/>
      <c r="F499" s="156" t="str">
        <f t="shared" si="9"/>
        <v>Equipo de Transporte - Vehículos No Motorizados</v>
      </c>
      <c r="G499" s="130"/>
      <c r="H499" s="133">
        <f>'Hoja Trabajo - Divisionarias'!J69</f>
        <v>0</v>
      </c>
      <c r="I499" s="128"/>
      <c r="J499" s="129"/>
      <c r="K499" s="137"/>
    </row>
    <row r="500" spans="2:11" x14ac:dyDescent="0.25">
      <c r="B500" s="152"/>
      <c r="C500" s="153"/>
      <c r="D500" s="154"/>
      <c r="E500" s="155">
        <v>34421</v>
      </c>
      <c r="F500" s="156" t="str">
        <f t="shared" si="9"/>
        <v>Costo</v>
      </c>
      <c r="G500" s="130"/>
      <c r="H500" s="130"/>
      <c r="I500" s="128"/>
      <c r="J500" s="129"/>
      <c r="K500" s="137"/>
    </row>
    <row r="501" spans="2:11" x14ac:dyDescent="0.25">
      <c r="B501" s="152"/>
      <c r="C501" s="153">
        <v>335</v>
      </c>
      <c r="D501" s="154"/>
      <c r="E501" s="155"/>
      <c r="F501" s="156" t="str">
        <f t="shared" si="9"/>
        <v>Muebles y Enseres</v>
      </c>
      <c r="G501" s="130"/>
      <c r="H501" s="130"/>
      <c r="I501" s="128">
        <f>SUM(H502:H504)</f>
        <v>103800</v>
      </c>
      <c r="J501" s="129"/>
      <c r="K501" s="137"/>
    </row>
    <row r="502" spans="2:11" x14ac:dyDescent="0.25">
      <c r="B502" s="152"/>
      <c r="C502" s="153"/>
      <c r="D502" s="154">
        <v>3351</v>
      </c>
      <c r="E502" s="155"/>
      <c r="F502" s="156" t="str">
        <f t="shared" si="9"/>
        <v>Muebles y Enseres - Muebles</v>
      </c>
      <c r="G502" s="130"/>
      <c r="H502" s="130">
        <f>'Hoja Trabajo - Divisionarias'!J70</f>
        <v>103800</v>
      </c>
      <c r="I502" s="128"/>
      <c r="J502" s="129"/>
      <c r="K502" s="137"/>
    </row>
    <row r="503" spans="2:11" x14ac:dyDescent="0.25">
      <c r="B503" s="152"/>
      <c r="C503" s="153"/>
      <c r="D503" s="154"/>
      <c r="E503" s="155">
        <v>33511</v>
      </c>
      <c r="F503" s="156" t="str">
        <f t="shared" si="9"/>
        <v>Costo</v>
      </c>
      <c r="G503" s="130"/>
      <c r="H503" s="130"/>
      <c r="I503" s="128"/>
      <c r="J503" s="129"/>
      <c r="K503" s="137"/>
    </row>
    <row r="504" spans="2:11" x14ac:dyDescent="0.25">
      <c r="B504" s="152"/>
      <c r="C504" s="153"/>
      <c r="D504" s="154">
        <v>3352</v>
      </c>
      <c r="E504" s="155"/>
      <c r="F504" s="156" t="str">
        <f t="shared" si="9"/>
        <v>Muebles y Enseres - Enseres</v>
      </c>
      <c r="G504" s="130"/>
      <c r="H504" s="133">
        <f>'Hoja Trabajo - Divisionarias'!J71</f>
        <v>0</v>
      </c>
      <c r="I504" s="128"/>
      <c r="J504" s="129"/>
      <c r="K504" s="137"/>
    </row>
    <row r="505" spans="2:11" x14ac:dyDescent="0.25">
      <c r="B505" s="152"/>
      <c r="C505" s="153"/>
      <c r="D505" s="154"/>
      <c r="E505" s="155">
        <v>33521</v>
      </c>
      <c r="F505" s="156" t="str">
        <f t="shared" si="9"/>
        <v>Costo</v>
      </c>
      <c r="G505" s="130"/>
      <c r="H505" s="130"/>
      <c r="I505" s="128"/>
      <c r="J505" s="129"/>
      <c r="K505" s="137"/>
    </row>
    <row r="506" spans="2:11" x14ac:dyDescent="0.25">
      <c r="B506" s="152"/>
      <c r="C506" s="153">
        <v>336</v>
      </c>
      <c r="D506" s="154"/>
      <c r="E506" s="155"/>
      <c r="F506" s="156" t="str">
        <f t="shared" si="9"/>
        <v>Equipos Diversos</v>
      </c>
      <c r="G506" s="130"/>
      <c r="H506" s="130"/>
      <c r="I506" s="128">
        <f>SUM(H507:H513)</f>
        <v>84650</v>
      </c>
      <c r="J506" s="129"/>
      <c r="K506" s="137"/>
    </row>
    <row r="507" spans="2:11" x14ac:dyDescent="0.25">
      <c r="B507" s="152"/>
      <c r="C507" s="153"/>
      <c r="D507" s="154">
        <v>3361</v>
      </c>
      <c r="E507" s="155"/>
      <c r="F507" s="156" t="str">
        <f t="shared" si="9"/>
        <v>Equipo para Procesamiento de Información (de Cómputo)</v>
      </c>
      <c r="G507" s="130"/>
      <c r="H507" s="130">
        <f>'Hoja Trabajo - Divisionarias'!J72</f>
        <v>84650</v>
      </c>
      <c r="I507" s="128"/>
      <c r="J507" s="129"/>
      <c r="K507" s="137"/>
    </row>
    <row r="508" spans="2:11" x14ac:dyDescent="0.25">
      <c r="B508" s="152"/>
      <c r="C508" s="153"/>
      <c r="D508" s="154"/>
      <c r="E508" s="155">
        <v>33611</v>
      </c>
      <c r="F508" s="156" t="str">
        <f t="shared" si="9"/>
        <v>Costo</v>
      </c>
      <c r="G508" s="130"/>
      <c r="H508" s="130"/>
      <c r="I508" s="128"/>
      <c r="J508" s="129"/>
      <c r="K508" s="137"/>
    </row>
    <row r="509" spans="2:11" x14ac:dyDescent="0.25">
      <c r="B509" s="152"/>
      <c r="C509" s="153"/>
      <c r="D509" s="154">
        <v>3362</v>
      </c>
      <c r="E509" s="155"/>
      <c r="F509" s="156" t="str">
        <f t="shared" si="9"/>
        <v>Equipo de Comunicación</v>
      </c>
      <c r="G509" s="130"/>
      <c r="H509" s="130">
        <f>'Hoja Trabajo - Divisionarias'!J73</f>
        <v>0</v>
      </c>
      <c r="I509" s="128"/>
      <c r="J509" s="129"/>
      <c r="K509" s="137"/>
    </row>
    <row r="510" spans="2:11" x14ac:dyDescent="0.25">
      <c r="B510" s="152"/>
      <c r="C510" s="153"/>
      <c r="D510" s="154"/>
      <c r="E510" s="155">
        <v>33621</v>
      </c>
      <c r="F510" s="156" t="str">
        <f t="shared" si="9"/>
        <v>Costo</v>
      </c>
      <c r="G510" s="130"/>
      <c r="H510" s="130"/>
      <c r="I510" s="128"/>
      <c r="J510" s="129"/>
      <c r="K510" s="137"/>
    </row>
    <row r="511" spans="2:11" x14ac:dyDescent="0.25">
      <c r="B511" s="152"/>
      <c r="C511" s="153"/>
      <c r="D511" s="154">
        <v>3363</v>
      </c>
      <c r="E511" s="155"/>
      <c r="F511" s="156" t="str">
        <f t="shared" si="9"/>
        <v>Equipo de Seguridad</v>
      </c>
      <c r="G511" s="130"/>
      <c r="H511" s="130">
        <f>'Hoja Trabajo - Divisionarias'!J74</f>
        <v>0</v>
      </c>
      <c r="I511" s="128"/>
      <c r="J511" s="129"/>
      <c r="K511" s="137"/>
    </row>
    <row r="512" spans="2:11" x14ac:dyDescent="0.25">
      <c r="B512" s="152"/>
      <c r="C512" s="153"/>
      <c r="D512" s="154"/>
      <c r="E512" s="155">
        <v>33631</v>
      </c>
      <c r="F512" s="156" t="str">
        <f t="shared" si="9"/>
        <v>Costo</v>
      </c>
      <c r="G512" s="130"/>
      <c r="H512" s="130"/>
      <c r="I512" s="128"/>
      <c r="J512" s="129"/>
      <c r="K512" s="137"/>
    </row>
    <row r="513" spans="2:11" x14ac:dyDescent="0.25">
      <c r="B513" s="152"/>
      <c r="C513" s="153"/>
      <c r="D513" s="154">
        <v>3369</v>
      </c>
      <c r="E513" s="155"/>
      <c r="F513" s="156" t="str">
        <f t="shared" si="9"/>
        <v>Otros Equipos</v>
      </c>
      <c r="G513" s="130"/>
      <c r="H513" s="133">
        <f>'Hoja Trabajo - Divisionarias'!J75</f>
        <v>0</v>
      </c>
      <c r="I513" s="128"/>
      <c r="J513" s="129"/>
      <c r="K513" s="137"/>
    </row>
    <row r="514" spans="2:11" x14ac:dyDescent="0.25">
      <c r="B514" s="152"/>
      <c r="C514" s="153"/>
      <c r="D514" s="154"/>
      <c r="E514" s="155">
        <v>33691</v>
      </c>
      <c r="F514" s="156" t="str">
        <f t="shared" si="9"/>
        <v>Costo</v>
      </c>
      <c r="G514" s="130"/>
      <c r="H514" s="130"/>
      <c r="I514" s="128"/>
      <c r="J514" s="129"/>
      <c r="K514" s="137"/>
    </row>
    <row r="515" spans="2:11" x14ac:dyDescent="0.25">
      <c r="B515" s="152"/>
      <c r="C515" s="153">
        <v>337</v>
      </c>
      <c r="D515" s="154"/>
      <c r="E515" s="155"/>
      <c r="F515" s="156" t="str">
        <f t="shared" si="9"/>
        <v>Herramientas y Unidades de Reemplazo</v>
      </c>
      <c r="G515" s="130"/>
      <c r="H515" s="130"/>
      <c r="I515" s="128">
        <f>SUM(H516:H517)</f>
        <v>0</v>
      </c>
      <c r="J515" s="129"/>
      <c r="K515" s="137"/>
    </row>
    <row r="516" spans="2:11" x14ac:dyDescent="0.25">
      <c r="B516" s="152"/>
      <c r="C516" s="153"/>
      <c r="D516" s="154">
        <v>3371</v>
      </c>
      <c r="E516" s="155"/>
      <c r="F516" s="156" t="str">
        <f t="shared" si="9"/>
        <v>Herramientas y Unidades de Reemplazo - Herramientas</v>
      </c>
      <c r="G516" s="130"/>
      <c r="H516" s="130">
        <f>'Hoja Trabajo - Divisionarias'!J76</f>
        <v>0</v>
      </c>
      <c r="I516" s="128"/>
      <c r="J516" s="129"/>
      <c r="K516" s="137"/>
    </row>
    <row r="517" spans="2:11" x14ac:dyDescent="0.25">
      <c r="B517" s="152"/>
      <c r="C517" s="153"/>
      <c r="D517" s="154">
        <v>3372</v>
      </c>
      <c r="E517" s="155"/>
      <c r="F517" s="156" t="str">
        <f t="shared" si="9"/>
        <v>Herramientas y Unidades de Reemplazo - Unidades de Reemplazo</v>
      </c>
      <c r="G517" s="130"/>
      <c r="H517" s="133">
        <f>'Hoja Trabajo - Divisionarias'!J77</f>
        <v>0</v>
      </c>
      <c r="I517" s="128"/>
      <c r="J517" s="129"/>
      <c r="K517" s="137"/>
    </row>
    <row r="518" spans="2:11" x14ac:dyDescent="0.25">
      <c r="B518" s="152"/>
      <c r="C518" s="153">
        <v>338</v>
      </c>
      <c r="D518" s="154"/>
      <c r="E518" s="155"/>
      <c r="F518" s="156" t="str">
        <f t="shared" si="9"/>
        <v>Unidades por Recibir</v>
      </c>
      <c r="G518" s="130"/>
      <c r="H518" s="130"/>
      <c r="I518" s="128">
        <f>SUM(H519:H523)</f>
        <v>0</v>
      </c>
      <c r="J518" s="129"/>
      <c r="K518" s="137"/>
    </row>
    <row r="519" spans="2:11" x14ac:dyDescent="0.25">
      <c r="B519" s="152"/>
      <c r="C519" s="153"/>
      <c r="D519" s="154">
        <v>3381</v>
      </c>
      <c r="E519" s="155"/>
      <c r="F519" s="156" t="str">
        <f t="shared" si="9"/>
        <v>Unidades por Recibir - Maquinaria y Equipos de Explotación</v>
      </c>
      <c r="G519" s="130"/>
      <c r="H519" s="130">
        <f>'Hoja Trabajo - Divisionarias'!J78</f>
        <v>0</v>
      </c>
      <c r="I519" s="128"/>
      <c r="J519" s="129"/>
      <c r="K519" s="137"/>
    </row>
    <row r="520" spans="2:11" x14ac:dyDescent="0.25">
      <c r="B520" s="152"/>
      <c r="C520" s="153"/>
      <c r="D520" s="154">
        <v>3382</v>
      </c>
      <c r="E520" s="155"/>
      <c r="F520" s="156" t="str">
        <f t="shared" si="9"/>
        <v>Unidades por Recibir - Equipo de Transporte</v>
      </c>
      <c r="G520" s="130"/>
      <c r="H520" s="130">
        <f>'Hoja Trabajo - Divisionarias'!J79</f>
        <v>0</v>
      </c>
      <c r="I520" s="128"/>
      <c r="J520" s="129"/>
      <c r="K520" s="137"/>
    </row>
    <row r="521" spans="2:11" x14ac:dyDescent="0.25">
      <c r="B521" s="152"/>
      <c r="C521" s="153"/>
      <c r="D521" s="154">
        <v>3383</v>
      </c>
      <c r="E521" s="155"/>
      <c r="F521" s="156" t="str">
        <f t="shared" si="9"/>
        <v>Unidades por Recibir - Muebles y Enseres</v>
      </c>
      <c r="G521" s="130"/>
      <c r="H521" s="130">
        <f>'Hoja Trabajo - Divisionarias'!J80</f>
        <v>0</v>
      </c>
      <c r="I521" s="128"/>
      <c r="J521" s="129"/>
      <c r="K521" s="137"/>
    </row>
    <row r="522" spans="2:11" x14ac:dyDescent="0.25">
      <c r="B522" s="152"/>
      <c r="C522" s="153"/>
      <c r="D522" s="154">
        <v>3386</v>
      </c>
      <c r="E522" s="155"/>
      <c r="F522" s="156" t="str">
        <f t="shared" si="9"/>
        <v>Unidades por Recibir - Equipos Diversos</v>
      </c>
      <c r="G522" s="130"/>
      <c r="H522" s="130">
        <f>'Hoja Trabajo - Divisionarias'!J81</f>
        <v>0</v>
      </c>
      <c r="I522" s="128"/>
      <c r="J522" s="129"/>
      <c r="K522" s="137"/>
    </row>
    <row r="523" spans="2:11" x14ac:dyDescent="0.25">
      <c r="B523" s="152"/>
      <c r="C523" s="153"/>
      <c r="D523" s="154">
        <v>3387</v>
      </c>
      <c r="E523" s="155"/>
      <c r="F523" s="156" t="str">
        <f t="shared" si="9"/>
        <v>Unidades por Recibir - Herramientas y Unidades de Reemplazo</v>
      </c>
      <c r="G523" s="130"/>
      <c r="H523" s="133">
        <f>'Hoja Trabajo - Divisionarias'!J82</f>
        <v>0</v>
      </c>
      <c r="I523" s="128"/>
      <c r="J523" s="129"/>
      <c r="K523" s="137"/>
    </row>
    <row r="524" spans="2:11" x14ac:dyDescent="0.25">
      <c r="B524" s="152"/>
      <c r="C524" s="153">
        <v>339</v>
      </c>
      <c r="D524" s="154"/>
      <c r="E524" s="155"/>
      <c r="F524" s="156" t="str">
        <f t="shared" si="9"/>
        <v>Construcciones y Obras en Curso</v>
      </c>
      <c r="G524" s="130"/>
      <c r="H524" s="130"/>
      <c r="I524" s="131">
        <f>SUM(H525:H531)</f>
        <v>0</v>
      </c>
      <c r="J524" s="129"/>
      <c r="K524" s="137"/>
    </row>
    <row r="525" spans="2:11" x14ac:dyDescent="0.25">
      <c r="B525" s="152"/>
      <c r="C525" s="153"/>
      <c r="D525" s="154">
        <v>3391</v>
      </c>
      <c r="E525" s="155"/>
      <c r="F525" s="156" t="str">
        <f t="shared" ref="F525:F546" si="10">IF(AND(B525="",C525="",D525="",E525=""),"",IF(AND(B525&gt;0,C525&gt;0,D525&gt;0,E525&gt;0),"",IF(B525&gt;0,VLOOKUP(B525,CuentasContables,5,FALSE),IF(C525&gt;0,VLOOKUP(C525,SubCuentasContables,4,FALSE),IF(D525&gt;0,VLOOKUP(D525,DivisionariasContables,3,FALSE),IF(E525&gt;0,VLOOKUP(E525,SubDivisionariasContables,2,FALSE)))))))</f>
        <v>Adaptación de Terrenos</v>
      </c>
      <c r="G525" s="130"/>
      <c r="H525" s="130">
        <f>'Hoja Trabajo - Divisionarias'!J83</f>
        <v>0</v>
      </c>
      <c r="I525" s="128"/>
      <c r="J525" s="129"/>
      <c r="K525" s="137"/>
    </row>
    <row r="526" spans="2:11" x14ac:dyDescent="0.25">
      <c r="B526" s="152"/>
      <c r="C526" s="153"/>
      <c r="D526" s="154">
        <v>3392</v>
      </c>
      <c r="E526" s="155"/>
      <c r="F526" s="156" t="str">
        <f t="shared" si="10"/>
        <v>Construcciones en Curso</v>
      </c>
      <c r="G526" s="130"/>
      <c r="H526" s="130">
        <f>'Hoja Trabajo - Divisionarias'!J84</f>
        <v>0</v>
      </c>
      <c r="I526" s="128"/>
      <c r="J526" s="129"/>
      <c r="K526" s="137"/>
    </row>
    <row r="527" spans="2:11" x14ac:dyDescent="0.25">
      <c r="B527" s="152"/>
      <c r="C527" s="153"/>
      <c r="D527" s="154">
        <v>3393</v>
      </c>
      <c r="E527" s="155"/>
      <c r="F527" s="156" t="str">
        <f t="shared" si="10"/>
        <v>Maquinaria en Montaje</v>
      </c>
      <c r="G527" s="130"/>
      <c r="H527" s="130">
        <f>'Hoja Trabajo - Divisionarias'!J85</f>
        <v>0</v>
      </c>
      <c r="I527" s="128"/>
      <c r="J527" s="129"/>
      <c r="K527" s="137"/>
    </row>
    <row r="528" spans="2:11" x14ac:dyDescent="0.25">
      <c r="B528" s="152"/>
      <c r="C528" s="153"/>
      <c r="D528" s="154">
        <v>3394</v>
      </c>
      <c r="E528" s="155"/>
      <c r="F528" s="156" t="str">
        <f t="shared" si="10"/>
        <v>Inversión Inmobiliaria en Curso</v>
      </c>
      <c r="G528" s="130"/>
      <c r="H528" s="130">
        <f>'Hoja Trabajo - Divisionarias'!J86</f>
        <v>0</v>
      </c>
      <c r="I528" s="128"/>
      <c r="J528" s="129"/>
      <c r="K528" s="137"/>
    </row>
    <row r="529" spans="2:11" x14ac:dyDescent="0.25">
      <c r="B529" s="152"/>
      <c r="C529" s="153"/>
      <c r="D529" s="154">
        <v>3397</v>
      </c>
      <c r="E529" s="155"/>
      <c r="F529" s="156" t="str">
        <f t="shared" si="10"/>
        <v>Costo de Financiación - Inversiones Inmobiliarias</v>
      </c>
      <c r="G529" s="130"/>
      <c r="H529" s="130">
        <f>'Hoja Trabajo - Divisionarias'!J87</f>
        <v>0</v>
      </c>
      <c r="I529" s="128"/>
      <c r="J529" s="129"/>
      <c r="K529" s="137"/>
    </row>
    <row r="530" spans="2:11" x14ac:dyDescent="0.25">
      <c r="B530" s="152"/>
      <c r="C530" s="153"/>
      <c r="D530" s="154">
        <v>3398</v>
      </c>
      <c r="E530" s="155"/>
      <c r="F530" s="156" t="str">
        <f t="shared" si="10"/>
        <v>Costo de Financiación - Inmuebles, Maquinaria y Equipo</v>
      </c>
      <c r="G530" s="130"/>
      <c r="H530" s="130">
        <f>'Hoja Trabajo - Divisionarias'!J88</f>
        <v>0</v>
      </c>
      <c r="I530" s="128"/>
      <c r="J530" s="129"/>
      <c r="K530" s="137"/>
    </row>
    <row r="531" spans="2:11" x14ac:dyDescent="0.25">
      <c r="B531" s="152"/>
      <c r="C531" s="153"/>
      <c r="D531" s="154">
        <v>3399</v>
      </c>
      <c r="E531" s="155"/>
      <c r="F531" s="156" t="str">
        <f t="shared" si="10"/>
        <v>Otros Activos en Curso - Reclasificación de IGV al Costo</v>
      </c>
      <c r="G531" s="130"/>
      <c r="H531" s="133">
        <f>'Hoja Trabajo - Divisionarias'!J89</f>
        <v>0</v>
      </c>
      <c r="I531" s="128"/>
      <c r="J531" s="129"/>
      <c r="K531" s="137"/>
    </row>
    <row r="532" spans="2:11" x14ac:dyDescent="0.25">
      <c r="B532" s="152">
        <v>34</v>
      </c>
      <c r="C532" s="153"/>
      <c r="D532" s="154"/>
      <c r="E532" s="155"/>
      <c r="F532" s="156" t="str">
        <f t="shared" si="10"/>
        <v>INTANGIBLES</v>
      </c>
      <c r="G532" s="130"/>
      <c r="H532" s="130"/>
      <c r="I532" s="128"/>
      <c r="J532" s="129"/>
      <c r="K532" s="137">
        <f>SUM(I533)</f>
        <v>0</v>
      </c>
    </row>
    <row r="533" spans="2:11" x14ac:dyDescent="0.25">
      <c r="B533" s="152"/>
      <c r="C533" s="153">
        <v>349</v>
      </c>
      <c r="D533" s="154"/>
      <c r="E533" s="155"/>
      <c r="F533" s="156" t="str">
        <f t="shared" si="10"/>
        <v>Otros Activos Intangibles</v>
      </c>
      <c r="G533" s="130"/>
      <c r="H533" s="130"/>
      <c r="I533" s="131">
        <f>SUM(H534)</f>
        <v>0</v>
      </c>
      <c r="J533" s="129"/>
      <c r="K533" s="137"/>
    </row>
    <row r="534" spans="2:11" x14ac:dyDescent="0.25">
      <c r="B534" s="152"/>
      <c r="C534" s="153"/>
      <c r="D534" s="154">
        <v>3491</v>
      </c>
      <c r="E534" s="155"/>
      <c r="F534" s="156" t="str">
        <f t="shared" si="10"/>
        <v>Otros Activos Intangibles</v>
      </c>
      <c r="G534" s="130"/>
      <c r="H534" s="133">
        <f>'Hoja Trabajo - Divisionarias'!J105</f>
        <v>0</v>
      </c>
      <c r="I534" s="128"/>
      <c r="J534" s="129"/>
      <c r="K534" s="137"/>
    </row>
    <row r="535" spans="2:11" x14ac:dyDescent="0.25">
      <c r="B535" s="152">
        <v>37</v>
      </c>
      <c r="C535" s="153"/>
      <c r="D535" s="154"/>
      <c r="E535" s="155"/>
      <c r="F535" s="156" t="str">
        <f t="shared" si="10"/>
        <v>ACTIVO DIFERIDO</v>
      </c>
      <c r="G535" s="130"/>
      <c r="H535" s="130"/>
      <c r="I535" s="128"/>
      <c r="J535" s="129"/>
      <c r="K535" s="137">
        <f>SUM(I536)</f>
        <v>0</v>
      </c>
    </row>
    <row r="536" spans="2:11" x14ac:dyDescent="0.25">
      <c r="B536" s="152"/>
      <c r="C536" s="153">
        <v>371</v>
      </c>
      <c r="D536" s="154"/>
      <c r="E536" s="155"/>
      <c r="F536" s="156" t="str">
        <f t="shared" si="10"/>
        <v>Impuesto a la Renta Diferido</v>
      </c>
      <c r="G536" s="130"/>
      <c r="H536" s="130"/>
      <c r="I536" s="131">
        <f>SUM(H537)</f>
        <v>0</v>
      </c>
      <c r="J536" s="129"/>
      <c r="K536" s="137"/>
    </row>
    <row r="537" spans="2:11" x14ac:dyDescent="0.25">
      <c r="B537" s="152"/>
      <c r="C537" s="153"/>
      <c r="D537" s="154">
        <v>3711</v>
      </c>
      <c r="E537" s="155"/>
      <c r="F537" s="156" t="str">
        <f t="shared" si="10"/>
        <v>Impuesto a la Renta Diferido – Patrimonio</v>
      </c>
      <c r="G537" s="130"/>
      <c r="H537" s="133">
        <f>'Hoja Trabajo - Divisionarias'!J112</f>
        <v>0</v>
      </c>
      <c r="I537" s="128"/>
      <c r="J537" s="129"/>
      <c r="K537" s="137"/>
    </row>
    <row r="538" spans="2:11" x14ac:dyDescent="0.25">
      <c r="B538" s="152">
        <v>40</v>
      </c>
      <c r="C538" s="153"/>
      <c r="D538" s="154"/>
      <c r="E538" s="155"/>
      <c r="F538" s="156" t="str">
        <f t="shared" si="10"/>
        <v>TRIBUTOS, CONTRAPRESTACIONES Y APORTES AL SISTEMA DE PENSIONES Y DE SALUD POR PAGAR</v>
      </c>
      <c r="G538" s="130"/>
      <c r="H538" s="130"/>
      <c r="I538" s="128"/>
      <c r="J538" s="129"/>
      <c r="K538" s="137">
        <f>SUM(I539)</f>
        <v>3058.6271186440677</v>
      </c>
    </row>
    <row r="539" spans="2:11" x14ac:dyDescent="0.25">
      <c r="B539" s="152"/>
      <c r="C539" s="153">
        <v>401</v>
      </c>
      <c r="D539" s="154"/>
      <c r="E539" s="155"/>
      <c r="F539" s="156" t="str">
        <f t="shared" si="10"/>
        <v>Gobierno Central</v>
      </c>
      <c r="G539" s="130"/>
      <c r="H539" s="130"/>
      <c r="I539" s="131">
        <f>SUM(H540,H542)</f>
        <v>3058.6271186440677</v>
      </c>
      <c r="J539" s="129"/>
      <c r="K539" s="137"/>
    </row>
    <row r="540" spans="2:11" x14ac:dyDescent="0.25">
      <c r="B540" s="152"/>
      <c r="C540" s="153"/>
      <c r="D540" s="154">
        <v>4011</v>
      </c>
      <c r="E540" s="155"/>
      <c r="F540" s="156" t="str">
        <f t="shared" si="10"/>
        <v>Impuesto General a las Ventas</v>
      </c>
      <c r="G540" s="130"/>
      <c r="H540" s="133">
        <f>'Hoja Trabajo - Divisionarias'!J122</f>
        <v>3058.6271186440677</v>
      </c>
      <c r="I540" s="128"/>
      <c r="J540" s="129"/>
      <c r="K540" s="137"/>
    </row>
    <row r="541" spans="2:11" x14ac:dyDescent="0.25">
      <c r="B541" s="152"/>
      <c r="C541" s="153"/>
      <c r="D541" s="154"/>
      <c r="E541" s="155">
        <v>40111</v>
      </c>
      <c r="F541" s="156" t="str">
        <f t="shared" si="10"/>
        <v>IGV - Cuenta Propia</v>
      </c>
      <c r="G541" s="130"/>
      <c r="H541" s="130"/>
      <c r="I541" s="128"/>
      <c r="J541" s="129"/>
      <c r="K541" s="137"/>
    </row>
    <row r="542" spans="2:11" x14ac:dyDescent="0.25">
      <c r="B542" s="152"/>
      <c r="C542" s="153"/>
      <c r="D542" s="154">
        <v>4017</v>
      </c>
      <c r="E542" s="155"/>
      <c r="F542" s="156" t="str">
        <f t="shared" si="10"/>
        <v>Impuesto a la Renta</v>
      </c>
      <c r="G542" s="130"/>
      <c r="H542" s="133">
        <f>'Hoja Trabajo - Divisionarias'!J124</f>
        <v>0</v>
      </c>
      <c r="I542" s="128"/>
      <c r="J542" s="129"/>
      <c r="K542" s="137"/>
    </row>
    <row r="543" spans="2:11" x14ac:dyDescent="0.25">
      <c r="B543" s="152"/>
      <c r="C543" s="153"/>
      <c r="D543" s="154"/>
      <c r="E543" s="155">
        <v>40171</v>
      </c>
      <c r="F543" s="156" t="str">
        <f t="shared" si="10"/>
        <v>Renta de Tercera Categoría</v>
      </c>
      <c r="G543" s="130"/>
      <c r="H543" s="130"/>
      <c r="I543" s="128"/>
      <c r="J543" s="129"/>
      <c r="K543" s="137"/>
    </row>
    <row r="544" spans="2:11" x14ac:dyDescent="0.25">
      <c r="B544" s="152">
        <v>59</v>
      </c>
      <c r="C544" s="153"/>
      <c r="D544" s="154"/>
      <c r="E544" s="155"/>
      <c r="F544" s="156" t="str">
        <f t="shared" si="10"/>
        <v>RESULTADOS  ACUMULADOS</v>
      </c>
      <c r="G544" s="130"/>
      <c r="H544" s="130"/>
      <c r="I544" s="128"/>
      <c r="J544" s="129"/>
      <c r="K544" s="137">
        <f>SUM(I545)</f>
        <v>0</v>
      </c>
    </row>
    <row r="545" spans="2:11" x14ac:dyDescent="0.25">
      <c r="B545" s="152"/>
      <c r="C545" s="153">
        <v>592</v>
      </c>
      <c r="D545" s="154"/>
      <c r="E545" s="155"/>
      <c r="F545" s="156" t="str">
        <f t="shared" si="10"/>
        <v>Pérdidas Acumuladas</v>
      </c>
      <c r="G545" s="130"/>
      <c r="H545" s="130"/>
      <c r="I545" s="131">
        <f>SUM(H546)</f>
        <v>0</v>
      </c>
      <c r="J545" s="129"/>
      <c r="K545" s="137"/>
    </row>
    <row r="546" spans="2:11" x14ac:dyDescent="0.25">
      <c r="B546" s="143"/>
      <c r="C546" s="144"/>
      <c r="D546" s="145">
        <v>5921</v>
      </c>
      <c r="E546" s="146"/>
      <c r="F546" s="147" t="str">
        <f t="shared" si="10"/>
        <v>Pérdidas Acumuladas</v>
      </c>
      <c r="G546" s="148"/>
      <c r="H546" s="148">
        <f>'Hoja Trabajo - Divisionarias'!J141</f>
        <v>0</v>
      </c>
      <c r="I546" s="148"/>
      <c r="J546" s="149"/>
      <c r="K546" s="150"/>
    </row>
    <row r="547" spans="2:11" x14ac:dyDescent="0.25">
      <c r="B547" s="152"/>
      <c r="C547" s="153"/>
      <c r="D547" s="154"/>
      <c r="E547" s="155"/>
      <c r="F547" s="156"/>
      <c r="G547" s="130"/>
      <c r="H547" s="130"/>
      <c r="I547" s="128"/>
      <c r="J547" s="129"/>
      <c r="K547" s="137"/>
    </row>
    <row r="548" spans="2:11" x14ac:dyDescent="0.25">
      <c r="B548" s="152"/>
      <c r="C548" s="153"/>
      <c r="D548" s="154"/>
      <c r="E548" s="155"/>
      <c r="F548" s="156"/>
      <c r="G548" s="130"/>
      <c r="H548" s="130"/>
      <c r="I548" s="128"/>
      <c r="J548" s="129"/>
      <c r="K548" s="137"/>
    </row>
    <row r="549" spans="2:11" ht="16.2" thickBot="1" x14ac:dyDescent="0.3">
      <c r="B549" s="183"/>
      <c r="C549" s="184"/>
      <c r="D549" s="185"/>
      <c r="E549" s="186"/>
      <c r="F549" s="187"/>
      <c r="G549" s="188"/>
      <c r="H549" s="188"/>
      <c r="I549" s="151"/>
      <c r="J549" s="138"/>
      <c r="K549" s="140"/>
    </row>
    <row r="550" spans="2:11" ht="16.2" thickBot="1" x14ac:dyDescent="0.3">
      <c r="B550" s="183"/>
      <c r="C550" s="184"/>
      <c r="D550" s="185"/>
      <c r="E550" s="186"/>
      <c r="F550" s="189" t="s">
        <v>389</v>
      </c>
      <c r="G550" s="141">
        <f>SUM(G6:G549)</f>
        <v>2535224.4915254237</v>
      </c>
      <c r="H550" s="141">
        <f>SUM(H6:H549)</f>
        <v>2155370.6186440676</v>
      </c>
      <c r="I550" s="139"/>
      <c r="J550" s="141">
        <f>SUM(J6:J549)</f>
        <v>2535224.4915254237</v>
      </c>
      <c r="K550" s="142">
        <f>SUM(K6:K549)</f>
        <v>2155370.6186440676</v>
      </c>
    </row>
    <row r="551" spans="2:11" ht="16.2" thickBot="1" x14ac:dyDescent="0.3">
      <c r="G551" s="141">
        <f>IF(G550&lt;H550,H550-G550,0)</f>
        <v>0</v>
      </c>
      <c r="H551" s="141">
        <f>IF(G550&gt;H550,G550-H550,0)</f>
        <v>379853.87288135616</v>
      </c>
      <c r="I551" s="7"/>
      <c r="J551" s="141">
        <f>IF(J550&lt;K550,K550-J550,0)</f>
        <v>0</v>
      </c>
      <c r="K551" s="142">
        <f>IF(J550&gt;K550,J550-K550,0)</f>
        <v>379853.87288135616</v>
      </c>
    </row>
    <row r="552" spans="2:11" ht="16.2" thickBot="1" x14ac:dyDescent="0.3"/>
    <row r="553" spans="2:11" ht="16.2" thickBot="1" x14ac:dyDescent="0.3">
      <c r="J553" s="10">
        <f>SUM('Libro Diario Convencional'!I168,J550)</f>
        <v>5903679.8644067794</v>
      </c>
      <c r="K553" s="11">
        <f>SUM('Libro Diario Convencional'!J168,K550)</f>
        <v>5523825.9915254237</v>
      </c>
    </row>
  </sheetData>
  <mergeCells count="9">
    <mergeCell ref="B2:K2"/>
    <mergeCell ref="B3:K3"/>
    <mergeCell ref="B5:K5"/>
    <mergeCell ref="B6:F6"/>
    <mergeCell ref="G6:G7"/>
    <mergeCell ref="H6:H7"/>
    <mergeCell ref="I6:I7"/>
    <mergeCell ref="J6:J7"/>
    <mergeCell ref="K6:K7"/>
  </mergeCells>
  <phoneticPr fontId="0" type="noConversion"/>
  <conditionalFormatting sqref="J550">
    <cfRule type="cellIs" dxfId="114" priority="108" stopIfTrue="1" operator="notEqual">
      <formula>K550</formula>
    </cfRule>
  </conditionalFormatting>
  <conditionalFormatting sqref="K550">
    <cfRule type="cellIs" dxfId="113" priority="109" stopIfTrue="1" operator="notEqual">
      <formula>J550</formula>
    </cfRule>
  </conditionalFormatting>
  <conditionalFormatting sqref="F8:F343 F349:F400 F403:F549">
    <cfRule type="expression" dxfId="112" priority="110" stopIfTrue="1">
      <formula>B8&gt;0</formula>
    </cfRule>
    <cfRule type="expression" dxfId="111" priority="111" stopIfTrue="1">
      <formula>ISERROR(F8)</formula>
    </cfRule>
  </conditionalFormatting>
  <conditionalFormatting sqref="G550">
    <cfRule type="cellIs" dxfId="110" priority="112" stopIfTrue="1" operator="notEqual">
      <formula>H550</formula>
    </cfRule>
  </conditionalFormatting>
  <conditionalFormatting sqref="H550">
    <cfRule type="cellIs" dxfId="109" priority="113" stopIfTrue="1" operator="notEqual">
      <formula>G550</formula>
    </cfRule>
  </conditionalFormatting>
  <conditionalFormatting sqref="J551:K551 G551:H551">
    <cfRule type="cellIs" dxfId="108" priority="114" stopIfTrue="1" operator="greaterThan">
      <formula>0</formula>
    </cfRule>
  </conditionalFormatting>
  <conditionalFormatting sqref="J551">
    <cfRule type="cellIs" dxfId="107" priority="104" stopIfTrue="1" operator="notEqual">
      <formula>K551</formula>
    </cfRule>
  </conditionalFormatting>
  <conditionalFormatting sqref="K551">
    <cfRule type="cellIs" dxfId="106" priority="103" stopIfTrue="1" operator="notEqual">
      <formula>J551</formula>
    </cfRule>
  </conditionalFormatting>
  <conditionalFormatting sqref="J551">
    <cfRule type="cellIs" dxfId="105" priority="102" stopIfTrue="1" operator="notEqual">
      <formula>K551</formula>
    </cfRule>
  </conditionalFormatting>
  <conditionalFormatting sqref="K551">
    <cfRule type="cellIs" dxfId="104" priority="101" stopIfTrue="1" operator="notEqual">
      <formula>J551</formula>
    </cfRule>
  </conditionalFormatting>
  <conditionalFormatting sqref="G551">
    <cfRule type="cellIs" dxfId="103" priority="100" stopIfTrue="1" operator="notEqual">
      <formula>H551</formula>
    </cfRule>
  </conditionalFormatting>
  <conditionalFormatting sqref="H551">
    <cfRule type="cellIs" dxfId="102" priority="99" stopIfTrue="1" operator="notEqual">
      <formula>G551</formula>
    </cfRule>
  </conditionalFormatting>
  <conditionalFormatting sqref="F19">
    <cfRule type="expression" dxfId="101" priority="97" stopIfTrue="1">
      <formula>B19&gt;0</formula>
    </cfRule>
    <cfRule type="expression" dxfId="100" priority="98" stopIfTrue="1">
      <formula>ISERROR(F19)</formula>
    </cfRule>
  </conditionalFormatting>
  <conditionalFormatting sqref="F19">
    <cfRule type="expression" dxfId="99" priority="95" stopIfTrue="1">
      <formula>B19&gt;0</formula>
    </cfRule>
    <cfRule type="expression" dxfId="98" priority="96" stopIfTrue="1">
      <formula>ISERROR(F19)</formula>
    </cfRule>
  </conditionalFormatting>
  <conditionalFormatting sqref="F25">
    <cfRule type="expression" dxfId="97" priority="93" stopIfTrue="1">
      <formula>B25&gt;0</formula>
    </cfRule>
    <cfRule type="expression" dxfId="96" priority="94" stopIfTrue="1">
      <formula>ISERROR(F25)</formula>
    </cfRule>
  </conditionalFormatting>
  <conditionalFormatting sqref="F25">
    <cfRule type="expression" dxfId="95" priority="91" stopIfTrue="1">
      <formula>B25&gt;0</formula>
    </cfRule>
    <cfRule type="expression" dxfId="94" priority="92" stopIfTrue="1">
      <formula>ISERROR(F25)</formula>
    </cfRule>
  </conditionalFormatting>
  <conditionalFormatting sqref="F31">
    <cfRule type="expression" dxfId="93" priority="89" stopIfTrue="1">
      <formula>B31&gt;0</formula>
    </cfRule>
    <cfRule type="expression" dxfId="92" priority="90" stopIfTrue="1">
      <formula>ISERROR(F31)</formula>
    </cfRule>
  </conditionalFormatting>
  <conditionalFormatting sqref="F31">
    <cfRule type="expression" dxfId="91" priority="87" stopIfTrue="1">
      <formula>B31&gt;0</formula>
    </cfRule>
    <cfRule type="expression" dxfId="90" priority="88" stopIfTrue="1">
      <formula>ISERROR(F31)</formula>
    </cfRule>
  </conditionalFormatting>
  <conditionalFormatting sqref="F43">
    <cfRule type="expression" dxfId="89" priority="85" stopIfTrue="1">
      <formula>B43&gt;0</formula>
    </cfRule>
    <cfRule type="expression" dxfId="88" priority="86" stopIfTrue="1">
      <formula>ISERROR(F43)</formula>
    </cfRule>
  </conditionalFormatting>
  <conditionalFormatting sqref="F43">
    <cfRule type="expression" dxfId="87" priority="83" stopIfTrue="1">
      <formula>B43&gt;0</formula>
    </cfRule>
    <cfRule type="expression" dxfId="86" priority="84" stopIfTrue="1">
      <formula>ISERROR(F43)</formula>
    </cfRule>
  </conditionalFormatting>
  <conditionalFormatting sqref="F63">
    <cfRule type="expression" dxfId="85" priority="81" stopIfTrue="1">
      <formula>B63&gt;0</formula>
    </cfRule>
    <cfRule type="expression" dxfId="84" priority="82" stopIfTrue="1">
      <formula>ISERROR(F63)</formula>
    </cfRule>
  </conditionalFormatting>
  <conditionalFormatting sqref="F63">
    <cfRule type="expression" dxfId="83" priority="79" stopIfTrue="1">
      <formula>B63&gt;0</formula>
    </cfRule>
    <cfRule type="expression" dxfId="82" priority="80" stopIfTrue="1">
      <formula>ISERROR(F63)</formula>
    </cfRule>
  </conditionalFormatting>
  <conditionalFormatting sqref="F81">
    <cfRule type="expression" dxfId="81" priority="77" stopIfTrue="1">
      <formula>B81&gt;0</formula>
    </cfRule>
    <cfRule type="expression" dxfId="80" priority="78" stopIfTrue="1">
      <formula>ISERROR(F81)</formula>
    </cfRule>
  </conditionalFormatting>
  <conditionalFormatting sqref="F81">
    <cfRule type="expression" dxfId="79" priority="75" stopIfTrue="1">
      <formula>B81&gt;0</formula>
    </cfRule>
    <cfRule type="expression" dxfId="78" priority="76" stopIfTrue="1">
      <formula>ISERROR(F81)</formula>
    </cfRule>
  </conditionalFormatting>
  <conditionalFormatting sqref="F86">
    <cfRule type="expression" dxfId="77" priority="73" stopIfTrue="1">
      <formula>B86&gt;0</formula>
    </cfRule>
    <cfRule type="expression" dxfId="76" priority="74" stopIfTrue="1">
      <formula>ISERROR(F86)</formula>
    </cfRule>
  </conditionalFormatting>
  <conditionalFormatting sqref="F86">
    <cfRule type="expression" dxfId="75" priority="71" stopIfTrue="1">
      <formula>B86&gt;0</formula>
    </cfRule>
    <cfRule type="expression" dxfId="74" priority="72" stopIfTrue="1">
      <formula>ISERROR(F86)</formula>
    </cfRule>
  </conditionalFormatting>
  <conditionalFormatting sqref="F98">
    <cfRule type="expression" dxfId="73" priority="69" stopIfTrue="1">
      <formula>B98&gt;0</formula>
    </cfRule>
    <cfRule type="expression" dxfId="72" priority="70" stopIfTrue="1">
      <formula>ISERROR(F98)</formula>
    </cfRule>
  </conditionalFormatting>
  <conditionalFormatting sqref="F98">
    <cfRule type="expression" dxfId="71" priority="67" stopIfTrue="1">
      <formula>B98&gt;0</formula>
    </cfRule>
    <cfRule type="expression" dxfId="70" priority="68" stopIfTrue="1">
      <formula>ISERROR(F98)</formula>
    </cfRule>
  </conditionalFormatting>
  <conditionalFormatting sqref="F110">
    <cfRule type="expression" dxfId="69" priority="65" stopIfTrue="1">
      <formula>B110&gt;0</formula>
    </cfRule>
    <cfRule type="expression" dxfId="68" priority="66" stopIfTrue="1">
      <formula>ISERROR(F110)</formula>
    </cfRule>
  </conditionalFormatting>
  <conditionalFormatting sqref="F110">
    <cfRule type="expression" dxfId="67" priority="63" stopIfTrue="1">
      <formula>B110&gt;0</formula>
    </cfRule>
    <cfRule type="expression" dxfId="66" priority="64" stopIfTrue="1">
      <formula>ISERROR(F110)</formula>
    </cfRule>
  </conditionalFormatting>
  <conditionalFormatting sqref="F177">
    <cfRule type="expression" dxfId="65" priority="61" stopIfTrue="1">
      <formula>B177&gt;0</formula>
    </cfRule>
    <cfRule type="expression" dxfId="64" priority="62" stopIfTrue="1">
      <formula>ISERROR(F177)</formula>
    </cfRule>
  </conditionalFormatting>
  <conditionalFormatting sqref="F177">
    <cfRule type="expression" dxfId="63" priority="59" stopIfTrue="1">
      <formula>B177&gt;0</formula>
    </cfRule>
    <cfRule type="expression" dxfId="62" priority="60" stopIfTrue="1">
      <formula>ISERROR(F177)</formula>
    </cfRule>
  </conditionalFormatting>
  <conditionalFormatting sqref="F185">
    <cfRule type="expression" dxfId="61" priority="57" stopIfTrue="1">
      <formula>B185&gt;0</formula>
    </cfRule>
    <cfRule type="expression" dxfId="60" priority="58" stopIfTrue="1">
      <formula>ISERROR(F185)</formula>
    </cfRule>
  </conditionalFormatting>
  <conditionalFormatting sqref="F185">
    <cfRule type="expression" dxfId="59" priority="55" stopIfTrue="1">
      <formula>B185&gt;0</formula>
    </cfRule>
    <cfRule type="expression" dxfId="58" priority="56" stopIfTrue="1">
      <formula>ISERROR(F185)</formula>
    </cfRule>
  </conditionalFormatting>
  <conditionalFormatting sqref="F201">
    <cfRule type="expression" dxfId="57" priority="53" stopIfTrue="1">
      <formula>B201&gt;0</formula>
    </cfRule>
    <cfRule type="expression" dxfId="56" priority="54" stopIfTrue="1">
      <formula>ISERROR(F201)</formula>
    </cfRule>
  </conditionalFormatting>
  <conditionalFormatting sqref="F201">
    <cfRule type="expression" dxfId="55" priority="51" stopIfTrue="1">
      <formula>B201&gt;0</formula>
    </cfRule>
    <cfRule type="expression" dxfId="54" priority="52" stopIfTrue="1">
      <formula>ISERROR(F201)</formula>
    </cfRule>
  </conditionalFormatting>
  <conditionalFormatting sqref="F209">
    <cfRule type="expression" dxfId="53" priority="49" stopIfTrue="1">
      <formula>B209&gt;0</formula>
    </cfRule>
    <cfRule type="expression" dxfId="52" priority="50" stopIfTrue="1">
      <formula>ISERROR(F209)</formula>
    </cfRule>
  </conditionalFormatting>
  <conditionalFormatting sqref="F209">
    <cfRule type="expression" dxfId="51" priority="47" stopIfTrue="1">
      <formula>B209&gt;0</formula>
    </cfRule>
    <cfRule type="expression" dxfId="50" priority="48" stopIfTrue="1">
      <formula>ISERROR(F209)</formula>
    </cfRule>
  </conditionalFormatting>
  <conditionalFormatting sqref="F237">
    <cfRule type="expression" dxfId="49" priority="45" stopIfTrue="1">
      <formula>B237&gt;0</formula>
    </cfRule>
    <cfRule type="expression" dxfId="48" priority="46" stopIfTrue="1">
      <formula>ISERROR(F237)</formula>
    </cfRule>
  </conditionalFormatting>
  <conditionalFormatting sqref="F237">
    <cfRule type="expression" dxfId="47" priority="43" stopIfTrue="1">
      <formula>B237&gt;0</formula>
    </cfRule>
    <cfRule type="expression" dxfId="46" priority="44" stopIfTrue="1">
      <formula>ISERROR(F237)</formula>
    </cfRule>
  </conditionalFormatting>
  <conditionalFormatting sqref="F274">
    <cfRule type="expression" dxfId="45" priority="41" stopIfTrue="1">
      <formula>B274&gt;0</formula>
    </cfRule>
    <cfRule type="expression" dxfId="44" priority="42" stopIfTrue="1">
      <formula>ISERROR(F274)</formula>
    </cfRule>
  </conditionalFormatting>
  <conditionalFormatting sqref="F274">
    <cfRule type="expression" dxfId="43" priority="39" stopIfTrue="1">
      <formula>B274&gt;0</formula>
    </cfRule>
    <cfRule type="expression" dxfId="42" priority="40" stopIfTrue="1">
      <formula>ISERROR(F274)</formula>
    </cfRule>
  </conditionalFormatting>
  <conditionalFormatting sqref="F282">
    <cfRule type="expression" dxfId="41" priority="37" stopIfTrue="1">
      <formula>B282&gt;0</formula>
    </cfRule>
    <cfRule type="expression" dxfId="40" priority="38" stopIfTrue="1">
      <formula>ISERROR(F282)</formula>
    </cfRule>
  </conditionalFormatting>
  <conditionalFormatting sqref="F282">
    <cfRule type="expression" dxfId="39" priority="35" stopIfTrue="1">
      <formula>B282&gt;0</formula>
    </cfRule>
    <cfRule type="expression" dxfId="38" priority="36" stopIfTrue="1">
      <formula>ISERROR(F282)</formula>
    </cfRule>
  </conditionalFormatting>
  <conditionalFormatting sqref="F314">
    <cfRule type="expression" dxfId="37" priority="33" stopIfTrue="1">
      <formula>B314&gt;0</formula>
    </cfRule>
    <cfRule type="expression" dxfId="36" priority="34" stopIfTrue="1">
      <formula>ISERROR(F314)</formula>
    </cfRule>
  </conditionalFormatting>
  <conditionalFormatting sqref="F314">
    <cfRule type="expression" dxfId="35" priority="31" stopIfTrue="1">
      <formula>B314&gt;0</formula>
    </cfRule>
    <cfRule type="expression" dxfId="34" priority="32" stopIfTrue="1">
      <formula>ISERROR(F314)</formula>
    </cfRule>
  </conditionalFormatting>
  <conditionalFormatting sqref="F335">
    <cfRule type="expression" dxfId="33" priority="29" stopIfTrue="1">
      <formula>B335&gt;0</formula>
    </cfRule>
    <cfRule type="expression" dxfId="32" priority="30" stopIfTrue="1">
      <formula>ISERROR(F335)</formula>
    </cfRule>
  </conditionalFormatting>
  <conditionalFormatting sqref="F335">
    <cfRule type="expression" dxfId="31" priority="27" stopIfTrue="1">
      <formula>B335&gt;0</formula>
    </cfRule>
    <cfRule type="expression" dxfId="30" priority="28" stopIfTrue="1">
      <formula>ISERROR(F335)</formula>
    </cfRule>
  </conditionalFormatting>
  <conditionalFormatting sqref="F343">
    <cfRule type="expression" dxfId="29" priority="25" stopIfTrue="1">
      <formula>B343&gt;0</formula>
    </cfRule>
    <cfRule type="expression" dxfId="28" priority="26" stopIfTrue="1">
      <formula>ISERROR(F343)</formula>
    </cfRule>
  </conditionalFormatting>
  <conditionalFormatting sqref="F343">
    <cfRule type="expression" dxfId="27" priority="23" stopIfTrue="1">
      <formula>B343&gt;0</formula>
    </cfRule>
    <cfRule type="expression" dxfId="26" priority="24" stopIfTrue="1">
      <formula>ISERROR(F343)</formula>
    </cfRule>
  </conditionalFormatting>
  <conditionalFormatting sqref="F357">
    <cfRule type="expression" dxfId="25" priority="21" stopIfTrue="1">
      <formula>B357&gt;0</formula>
    </cfRule>
    <cfRule type="expression" dxfId="24" priority="22" stopIfTrue="1">
      <formula>ISERROR(F357)</formula>
    </cfRule>
  </conditionalFormatting>
  <conditionalFormatting sqref="F357">
    <cfRule type="expression" dxfId="23" priority="19" stopIfTrue="1">
      <formula>B357&gt;0</formula>
    </cfRule>
    <cfRule type="expression" dxfId="22" priority="20" stopIfTrue="1">
      <formula>ISERROR(F357)</formula>
    </cfRule>
  </conditionalFormatting>
  <conditionalFormatting sqref="F361">
    <cfRule type="expression" dxfId="21" priority="17" stopIfTrue="1">
      <formula>B361&gt;0</formula>
    </cfRule>
    <cfRule type="expression" dxfId="20" priority="18" stopIfTrue="1">
      <formula>ISERROR(F361)</formula>
    </cfRule>
  </conditionalFormatting>
  <conditionalFormatting sqref="F361">
    <cfRule type="expression" dxfId="19" priority="15" stopIfTrue="1">
      <formula>B361&gt;0</formula>
    </cfRule>
    <cfRule type="expression" dxfId="18" priority="16" stopIfTrue="1">
      <formula>ISERROR(F361)</formula>
    </cfRule>
  </conditionalFormatting>
  <conditionalFormatting sqref="F371">
    <cfRule type="expression" dxfId="17" priority="13" stopIfTrue="1">
      <formula>B371&gt;0</formula>
    </cfRule>
    <cfRule type="expression" dxfId="16" priority="14" stopIfTrue="1">
      <formula>ISERROR(F371)</formula>
    </cfRule>
  </conditionalFormatting>
  <conditionalFormatting sqref="F371">
    <cfRule type="expression" dxfId="15" priority="11" stopIfTrue="1">
      <formula>B371&gt;0</formula>
    </cfRule>
    <cfRule type="expression" dxfId="14" priority="12" stopIfTrue="1">
      <formula>ISERROR(F371)</formula>
    </cfRule>
  </conditionalFormatting>
  <conditionalFormatting sqref="F546">
    <cfRule type="expression" dxfId="13" priority="9" stopIfTrue="1">
      <formula>B546&gt;0</formula>
    </cfRule>
    <cfRule type="expression" dxfId="12" priority="10" stopIfTrue="1">
      <formula>ISERROR(F546)</formula>
    </cfRule>
  </conditionalFormatting>
  <conditionalFormatting sqref="F546">
    <cfRule type="expression" dxfId="11" priority="7" stopIfTrue="1">
      <formula>B546&gt;0</formula>
    </cfRule>
    <cfRule type="expression" dxfId="10" priority="8" stopIfTrue="1">
      <formula>ISERROR(F546)</formula>
    </cfRule>
  </conditionalFormatting>
  <conditionalFormatting sqref="F344:F348">
    <cfRule type="expression" dxfId="9" priority="5" stopIfTrue="1">
      <formula>B344&gt;0</formula>
    </cfRule>
    <cfRule type="expression" dxfId="8" priority="6" stopIfTrue="1">
      <formula>ISERROR(F344)</formula>
    </cfRule>
  </conditionalFormatting>
  <conditionalFormatting sqref="J553">
    <cfRule type="cellIs" dxfId="7" priority="4" stopIfTrue="1" operator="notEqual">
      <formula>K553</formula>
    </cfRule>
  </conditionalFormatting>
  <conditionalFormatting sqref="K553">
    <cfRule type="cellIs" dxfId="6" priority="3" stopIfTrue="1" operator="notEqual">
      <formula>J553</formula>
    </cfRule>
  </conditionalFormatting>
  <conditionalFormatting sqref="F401:F402">
    <cfRule type="expression" dxfId="5" priority="1" stopIfTrue="1">
      <formula>B401&gt;0</formula>
    </cfRule>
    <cfRule type="expression" dxfId="4" priority="2" stopIfTrue="1">
      <formula>ISERROR(F401)</formula>
    </cfRule>
  </conditionalFormatting>
  <dataValidations count="4">
    <dataValidation type="whole" allowBlank="1" showErrorMessage="1" errorTitle="ERROR EN LA CUENTA PRINCIPAL" error="La cuenta contable que acabas de ingresar es incorrecta, sólo es permitido ingresar cuentas principales._x000a__x000a_Atte._x000a__x000a_Alex Tejada" sqref="B8:B550">
      <formula1>10</formula1>
      <formula2>99</formula2>
    </dataValidation>
    <dataValidation type="whole" allowBlank="1" showInputMessage="1" showErrorMessage="1" errorTitle="ERROR EN LA CUENTA DE 3 DÍGITOS" error="La subcuenta contable que acabas de ingresar es incorrecta, sólo es permitido ingresar subcuentas de tres dígitos._x000a__x000a_Atte._x000a__x000a_Alex Tejada" sqref="C8:C550">
      <formula1>101</formula1>
      <formula2>999</formula2>
    </dataValidation>
    <dataValidation type="whole" allowBlank="1" showInputMessage="1" showErrorMessage="1" errorTitle="ERROR EN LA CUENTA DE 4 DÍGITOS" error="La subcuenta contable que acabas de ingresar es incorrecta, sólo es permitido ingresar subcuentas de cuatro dígitos._x000a__x000a_Atte._x000a__x000a_Alex Tejada" sqref="D8:D550">
      <formula1>1011</formula1>
      <formula2>9999</formula2>
    </dataValidation>
    <dataValidation type="whole" allowBlank="1" showInputMessage="1" showErrorMessage="1" errorTitle="ERROR EN LA CUENTA DE 5 DÍGITOS" error="La subcuenta contable que acabas de ingresar es incorrecta, sólo es permitido ingresar subcuentas de cinco dígitos._x000a__x000a_Atte._x000a__x000a_Alex Tejada" sqref="E8:E550">
      <formula1>10111</formula1>
      <formula2>99999</formula2>
    </dataValidation>
  </dataValidations>
  <printOptions horizontalCentered="1"/>
  <pageMargins left="0.19685039370078741" right="0.19685039370078741" top="0.39370078740157483" bottom="0.39370078740157483" header="0" footer="0"/>
  <pageSetup paperSize="9" scale="41" fitToHeight="30" orientation="landscape" verticalDpi="72" r:id="rId1"/>
  <headerFooter alignWithMargins="0">
    <oddFooter>&amp;C&amp;A&amp;R&amp;P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8"/>
  </sheetPr>
  <dimension ref="B1:BK215"/>
  <sheetViews>
    <sheetView showGridLines="0" tabSelected="1" topLeftCell="G44" zoomScale="85" zoomScaleNormal="85" zoomScaleSheetLayoutView="25" workbookViewId="0">
      <selection activeCell="A63" sqref="A63"/>
    </sheetView>
  </sheetViews>
  <sheetFormatPr baseColWidth="10" defaultColWidth="11.44140625" defaultRowHeight="13.8" x14ac:dyDescent="0.25"/>
  <cols>
    <col min="1" max="1" width="3.6640625" style="1" customWidth="1"/>
    <col min="2" max="3" width="12.6640625" style="1" customWidth="1"/>
    <col min="4" max="4" width="25.6640625" style="1" customWidth="1"/>
    <col min="5" max="5" width="14.44140625" style="1" customWidth="1"/>
    <col min="6" max="6" width="15.109375" style="1" customWidth="1"/>
    <col min="7" max="7" width="3" style="1" customWidth="1"/>
    <col min="8" max="9" width="12.6640625" style="1" customWidth="1"/>
    <col min="10" max="10" width="25.6640625" style="1" customWidth="1"/>
    <col min="11" max="11" width="14.44140625" style="1" customWidth="1"/>
    <col min="12" max="12" width="15.109375" style="1" customWidth="1"/>
    <col min="13" max="13" width="3" style="1" customWidth="1"/>
    <col min="14" max="15" width="12.6640625" style="1" customWidth="1"/>
    <col min="16" max="16" width="25.6640625" style="1" customWidth="1"/>
    <col min="17" max="17" width="14.44140625" style="1" customWidth="1"/>
    <col min="18" max="18" width="15.109375" style="1" customWidth="1"/>
    <col min="19" max="19" width="3" style="1" customWidth="1"/>
    <col min="20" max="21" width="12.6640625" style="1" customWidth="1"/>
    <col min="22" max="22" width="25.6640625" style="1" customWidth="1"/>
    <col min="23" max="23" width="14.44140625" style="1" customWidth="1"/>
    <col min="24" max="24" width="15.109375" style="1" customWidth="1"/>
    <col min="25" max="25" width="3" style="1" customWidth="1"/>
    <col min="26" max="27" width="12.6640625" style="1" customWidth="1"/>
    <col min="28" max="28" width="25.6640625" style="1" customWidth="1"/>
    <col min="29" max="29" width="14.44140625" style="1" customWidth="1"/>
    <col min="30" max="30" width="15.109375" style="1" customWidth="1"/>
    <col min="31" max="31" width="3" style="1" customWidth="1"/>
    <col min="32" max="33" width="12.6640625" style="1" customWidth="1"/>
    <col min="34" max="34" width="25.6640625" style="1" customWidth="1"/>
    <col min="35" max="35" width="14.44140625" style="1" customWidth="1"/>
    <col min="36" max="36" width="15.109375" style="1" customWidth="1"/>
    <col min="37" max="37" width="3" style="1" customWidth="1"/>
    <col min="38" max="39" width="12.6640625" style="1" customWidth="1"/>
    <col min="40" max="40" width="25.6640625" style="1" customWidth="1"/>
    <col min="41" max="41" width="14.44140625" style="1" customWidth="1"/>
    <col min="42" max="42" width="15.109375" style="1" customWidth="1"/>
    <col min="43" max="43" width="3" style="1" customWidth="1"/>
    <col min="44" max="45" width="12.6640625" style="1" customWidth="1"/>
    <col min="46" max="46" width="25.6640625" style="1" customWidth="1"/>
    <col min="47" max="47" width="14.44140625" style="1" customWidth="1"/>
    <col min="48" max="48" width="15.109375" style="1" customWidth="1"/>
    <col min="49" max="49" width="3" style="1" customWidth="1"/>
    <col min="50" max="51" width="12.6640625" style="1" customWidth="1"/>
    <col min="52" max="52" width="25.6640625" style="1" customWidth="1"/>
    <col min="53" max="53" width="14.44140625" style="1" customWidth="1"/>
    <col min="54" max="54" width="15.109375" style="1" customWidth="1"/>
    <col min="55" max="55" width="3" style="1" customWidth="1"/>
    <col min="56" max="57" width="12.6640625" style="1" customWidth="1"/>
    <col min="58" max="58" width="25.6640625" style="1" customWidth="1"/>
    <col min="59" max="59" width="14.44140625" style="1" customWidth="1"/>
    <col min="60" max="60" width="15.109375" style="1" customWidth="1"/>
    <col min="61" max="61" width="3" style="1" customWidth="1"/>
    <col min="62" max="63" width="16.88671875" style="1" customWidth="1"/>
    <col min="64" max="64" width="3.6640625" style="1" customWidth="1"/>
    <col min="65" max="16384" width="11.44140625" style="1"/>
  </cols>
  <sheetData>
    <row r="1" spans="2:54" x14ac:dyDescent="0.25">
      <c r="C1" s="2"/>
      <c r="D1" s="2"/>
      <c r="E1" s="2"/>
    </row>
    <row r="2" spans="2:54" ht="15.6" x14ac:dyDescent="0.25">
      <c r="B2" s="324" t="s">
        <v>321</v>
      </c>
      <c r="C2" s="324"/>
      <c r="D2" s="233" t="str">
        <f>'Base de Datos'!$C$756</f>
        <v>LIBRO MAYOR</v>
      </c>
      <c r="H2" s="324" t="s">
        <v>321</v>
      </c>
      <c r="I2" s="324"/>
      <c r="J2" s="233" t="str">
        <f>'Base de Datos'!$C$756</f>
        <v>LIBRO MAYOR</v>
      </c>
      <c r="N2" s="324" t="s">
        <v>321</v>
      </c>
      <c r="O2" s="324"/>
      <c r="P2" s="233" t="str">
        <f>'Base de Datos'!$C$756</f>
        <v>LIBRO MAYOR</v>
      </c>
      <c r="T2" s="324" t="s">
        <v>321</v>
      </c>
      <c r="U2" s="324"/>
      <c r="V2" s="233" t="str">
        <f>'Base de Datos'!$C$756</f>
        <v>LIBRO MAYOR</v>
      </c>
      <c r="Z2" s="324" t="s">
        <v>321</v>
      </c>
      <c r="AA2" s="324"/>
      <c r="AB2" s="233" t="str">
        <f>'Base de Datos'!$C$756</f>
        <v>LIBRO MAYOR</v>
      </c>
      <c r="AF2" s="324" t="s">
        <v>321</v>
      </c>
      <c r="AG2" s="324"/>
      <c r="AH2" s="233" t="str">
        <f>'Base de Datos'!$C$756</f>
        <v>LIBRO MAYOR</v>
      </c>
      <c r="AL2" s="324" t="s">
        <v>321</v>
      </c>
      <c r="AM2" s="324"/>
      <c r="AN2" s="233" t="str">
        <f>'Base de Datos'!$C$756</f>
        <v>LIBRO MAYOR</v>
      </c>
      <c r="AR2" s="324" t="s">
        <v>321</v>
      </c>
      <c r="AS2" s="324"/>
      <c r="AT2" s="233" t="str">
        <f>'Base de Datos'!$C$756</f>
        <v>LIBRO MAYOR</v>
      </c>
      <c r="AX2" s="324" t="s">
        <v>321</v>
      </c>
      <c r="AY2" s="324"/>
      <c r="AZ2" s="233" t="str">
        <f>'Base de Datos'!$C$756</f>
        <v>LIBRO MAYOR</v>
      </c>
    </row>
    <row r="3" spans="2:54" x14ac:dyDescent="0.25">
      <c r="C3" s="2"/>
      <c r="D3" s="2"/>
      <c r="E3" s="2"/>
      <c r="I3" s="2"/>
      <c r="J3" s="2"/>
      <c r="K3" s="2"/>
      <c r="O3" s="2"/>
      <c r="P3" s="2"/>
      <c r="Q3" s="2"/>
      <c r="U3" s="2"/>
      <c r="V3" s="2"/>
      <c r="W3" s="2"/>
      <c r="AA3" s="2"/>
      <c r="AB3" s="2"/>
      <c r="AC3" s="2"/>
      <c r="AG3" s="2"/>
      <c r="AH3" s="2"/>
      <c r="AI3" s="2"/>
      <c r="AM3" s="2"/>
      <c r="AN3" s="2"/>
      <c r="AO3" s="2"/>
      <c r="AS3" s="2"/>
      <c r="AT3" s="2"/>
      <c r="AU3" s="2"/>
      <c r="AY3" s="2"/>
      <c r="AZ3" s="2"/>
      <c r="BA3" s="2"/>
    </row>
    <row r="4" spans="2:54" ht="15.6" x14ac:dyDescent="0.25">
      <c r="B4" s="324" t="s">
        <v>322</v>
      </c>
      <c r="C4" s="324"/>
      <c r="D4" s="234" t="str">
        <f>'Base de Datos'!$C$8</f>
        <v>MARZO</v>
      </c>
      <c r="E4" s="160"/>
      <c r="H4" s="324" t="s">
        <v>322</v>
      </c>
      <c r="I4" s="324"/>
      <c r="J4" s="234" t="str">
        <f>'Base de Datos'!$C$8</f>
        <v>MARZO</v>
      </c>
      <c r="K4" s="160"/>
      <c r="N4" s="324" t="s">
        <v>322</v>
      </c>
      <c r="O4" s="324"/>
      <c r="P4" s="234" t="str">
        <f>'Base de Datos'!$C$8</f>
        <v>MARZO</v>
      </c>
      <c r="Q4" s="160"/>
      <c r="T4" s="324" t="s">
        <v>322</v>
      </c>
      <c r="U4" s="324"/>
      <c r="V4" s="234" t="str">
        <f>'Base de Datos'!$C$8</f>
        <v>MARZO</v>
      </c>
      <c r="W4" s="160"/>
      <c r="Z4" s="324" t="s">
        <v>322</v>
      </c>
      <c r="AA4" s="324"/>
      <c r="AB4" s="234" t="str">
        <f>'Base de Datos'!$C$8</f>
        <v>MARZO</v>
      </c>
      <c r="AC4" s="160"/>
      <c r="AF4" s="324" t="s">
        <v>322</v>
      </c>
      <c r="AG4" s="324"/>
      <c r="AH4" s="234" t="str">
        <f>'Base de Datos'!$C$8</f>
        <v>MARZO</v>
      </c>
      <c r="AI4" s="160"/>
      <c r="AL4" s="324" t="s">
        <v>322</v>
      </c>
      <c r="AM4" s="324"/>
      <c r="AN4" s="234" t="str">
        <f>'Base de Datos'!$C$8</f>
        <v>MARZO</v>
      </c>
      <c r="AO4" s="160"/>
      <c r="AR4" s="324" t="s">
        <v>322</v>
      </c>
      <c r="AS4" s="324"/>
      <c r="AT4" s="234" t="str">
        <f>'Base de Datos'!$C$8</f>
        <v>MARZO</v>
      </c>
      <c r="AU4" s="160"/>
      <c r="AX4" s="324" t="s">
        <v>322</v>
      </c>
      <c r="AY4" s="324"/>
      <c r="AZ4" s="234" t="str">
        <f>'Base de Datos'!$C$8</f>
        <v>MARZO</v>
      </c>
      <c r="BA4" s="160"/>
    </row>
    <row r="5" spans="2:54" x14ac:dyDescent="0.25">
      <c r="C5" s="2"/>
      <c r="D5" s="2"/>
      <c r="E5" s="2"/>
      <c r="I5" s="2"/>
      <c r="J5" s="2"/>
      <c r="K5" s="2"/>
      <c r="O5" s="2"/>
      <c r="P5" s="2"/>
      <c r="Q5" s="2"/>
      <c r="U5" s="2"/>
      <c r="V5" s="2"/>
      <c r="W5" s="2"/>
      <c r="AA5" s="2"/>
      <c r="AB5" s="2"/>
      <c r="AC5" s="2"/>
      <c r="AG5" s="2"/>
      <c r="AH5" s="2"/>
      <c r="AI5" s="2"/>
      <c r="AM5" s="2"/>
      <c r="AN5" s="2"/>
      <c r="AO5" s="2"/>
      <c r="AS5" s="2"/>
      <c r="AT5" s="2"/>
      <c r="AU5" s="2"/>
      <c r="AY5" s="2"/>
      <c r="AZ5" s="2"/>
      <c r="BA5" s="2"/>
    </row>
    <row r="6" spans="2:54" ht="15.6" x14ac:dyDescent="0.25">
      <c r="B6" s="324" t="s">
        <v>323</v>
      </c>
      <c r="C6" s="324"/>
      <c r="D6" s="231">
        <f>'Base de Datos'!$C$9</f>
        <v>2015</v>
      </c>
      <c r="E6" s="2"/>
      <c r="H6" s="324" t="s">
        <v>323</v>
      </c>
      <c r="I6" s="324"/>
      <c r="J6" s="231">
        <f>'Base de Datos'!$C$9</f>
        <v>2015</v>
      </c>
      <c r="K6" s="2"/>
      <c r="N6" s="324" t="s">
        <v>323</v>
      </c>
      <c r="O6" s="324"/>
      <c r="P6" s="231">
        <f>'Base de Datos'!$C$9</f>
        <v>2015</v>
      </c>
      <c r="Q6" s="2"/>
      <c r="T6" s="324" t="s">
        <v>323</v>
      </c>
      <c r="U6" s="324"/>
      <c r="V6" s="231">
        <f>'Base de Datos'!$C$9</f>
        <v>2015</v>
      </c>
      <c r="W6" s="2"/>
      <c r="Z6" s="324" t="s">
        <v>323</v>
      </c>
      <c r="AA6" s="324"/>
      <c r="AB6" s="231">
        <f>'Base de Datos'!$C$9</f>
        <v>2015</v>
      </c>
      <c r="AC6" s="2"/>
      <c r="AF6" s="324" t="s">
        <v>323</v>
      </c>
      <c r="AG6" s="324"/>
      <c r="AH6" s="231">
        <f>'Base de Datos'!$C$9</f>
        <v>2015</v>
      </c>
      <c r="AI6" s="2"/>
      <c r="AL6" s="324" t="s">
        <v>323</v>
      </c>
      <c r="AM6" s="324"/>
      <c r="AN6" s="231">
        <f>'Base de Datos'!$C$9</f>
        <v>2015</v>
      </c>
      <c r="AO6" s="2"/>
      <c r="AR6" s="324" t="s">
        <v>323</v>
      </c>
      <c r="AS6" s="324"/>
      <c r="AT6" s="231">
        <f>'Base de Datos'!$C$9</f>
        <v>2015</v>
      </c>
      <c r="AU6" s="2"/>
      <c r="AX6" s="324" t="s">
        <v>323</v>
      </c>
      <c r="AY6" s="324"/>
      <c r="AZ6" s="231">
        <f>'Base de Datos'!$C$9</f>
        <v>2015</v>
      </c>
      <c r="BA6" s="2"/>
    </row>
    <row r="7" spans="2:54" x14ac:dyDescent="0.25">
      <c r="C7" s="2"/>
      <c r="D7" s="2"/>
      <c r="E7" s="2"/>
      <c r="I7" s="2"/>
      <c r="J7" s="2"/>
      <c r="K7" s="2"/>
      <c r="O7" s="2"/>
      <c r="P7" s="2"/>
      <c r="Q7" s="2"/>
      <c r="U7" s="2"/>
      <c r="V7" s="2"/>
      <c r="W7" s="2"/>
      <c r="AA7" s="2"/>
      <c r="AB7" s="2"/>
      <c r="AC7" s="2"/>
      <c r="AG7" s="2"/>
      <c r="AH7" s="2"/>
      <c r="AI7" s="2"/>
      <c r="AM7" s="2"/>
      <c r="AN7" s="2"/>
      <c r="AO7" s="2"/>
      <c r="AS7" s="2"/>
      <c r="AT7" s="2"/>
      <c r="AU7" s="2"/>
      <c r="AY7" s="2"/>
      <c r="AZ7" s="2"/>
      <c r="BA7" s="2"/>
    </row>
    <row r="8" spans="2:54" ht="15.6" x14ac:dyDescent="0.25">
      <c r="B8" s="324" t="s">
        <v>324</v>
      </c>
      <c r="C8" s="324"/>
      <c r="D8" s="316">
        <f>'Base de Datos'!$C$6</f>
        <v>20411074561</v>
      </c>
      <c r="E8" s="316"/>
      <c r="H8" s="324" t="s">
        <v>324</v>
      </c>
      <c r="I8" s="324"/>
      <c r="J8" s="316">
        <f>'Base de Datos'!$C$6</f>
        <v>20411074561</v>
      </c>
      <c r="K8" s="316"/>
      <c r="N8" s="324" t="s">
        <v>324</v>
      </c>
      <c r="O8" s="324"/>
      <c r="P8" s="316">
        <f>'Base de Datos'!$C$6</f>
        <v>20411074561</v>
      </c>
      <c r="Q8" s="316"/>
      <c r="T8" s="324" t="s">
        <v>324</v>
      </c>
      <c r="U8" s="324"/>
      <c r="V8" s="316">
        <f>'Base de Datos'!$C$6</f>
        <v>20411074561</v>
      </c>
      <c r="W8" s="316"/>
      <c r="Z8" s="324" t="s">
        <v>324</v>
      </c>
      <c r="AA8" s="324"/>
      <c r="AB8" s="316">
        <f>'Base de Datos'!$C$6</f>
        <v>20411074561</v>
      </c>
      <c r="AC8" s="316"/>
      <c r="AF8" s="324" t="s">
        <v>324</v>
      </c>
      <c r="AG8" s="324"/>
      <c r="AH8" s="316">
        <f>'Base de Datos'!$C$6</f>
        <v>20411074561</v>
      </c>
      <c r="AI8" s="316"/>
      <c r="AL8" s="324" t="s">
        <v>324</v>
      </c>
      <c r="AM8" s="324"/>
      <c r="AN8" s="316">
        <f>'Base de Datos'!$C$6</f>
        <v>20411074561</v>
      </c>
      <c r="AO8" s="316"/>
      <c r="AR8" s="324" t="s">
        <v>324</v>
      </c>
      <c r="AS8" s="324"/>
      <c r="AT8" s="316">
        <f>'Base de Datos'!$C$6</f>
        <v>20411074561</v>
      </c>
      <c r="AU8" s="316"/>
      <c r="AX8" s="324" t="s">
        <v>324</v>
      </c>
      <c r="AY8" s="324"/>
      <c r="AZ8" s="316">
        <f>'Base de Datos'!$C$6</f>
        <v>20411074561</v>
      </c>
      <c r="BA8" s="316"/>
    </row>
    <row r="9" spans="2:54" x14ac:dyDescent="0.25">
      <c r="C9" s="2"/>
      <c r="D9" s="2"/>
      <c r="E9" s="2"/>
      <c r="I9" s="2"/>
      <c r="J9" s="2"/>
      <c r="K9" s="2"/>
      <c r="O9" s="2"/>
      <c r="P9" s="2"/>
      <c r="Q9" s="2"/>
      <c r="U9" s="2"/>
      <c r="V9" s="2"/>
      <c r="W9" s="2"/>
      <c r="AA9" s="2"/>
      <c r="AB9" s="2"/>
      <c r="AC9" s="2"/>
      <c r="AG9" s="2"/>
      <c r="AH9" s="2"/>
      <c r="AI9" s="2"/>
      <c r="AM9" s="2"/>
      <c r="AN9" s="2"/>
      <c r="AO9" s="2"/>
      <c r="AS9" s="2"/>
      <c r="AT9" s="2"/>
      <c r="AU9" s="2"/>
      <c r="AY9" s="2"/>
      <c r="AZ9" s="2"/>
      <c r="BA9" s="2"/>
    </row>
    <row r="10" spans="2:54" ht="15.6" x14ac:dyDescent="0.25">
      <c r="B10" s="324" t="s">
        <v>325</v>
      </c>
      <c r="C10" s="324"/>
      <c r="D10" s="234" t="str">
        <f>'Base de Datos'!$C$5</f>
        <v>LOS BAILARINES SRL</v>
      </c>
      <c r="E10" s="2"/>
      <c r="H10" s="324" t="s">
        <v>325</v>
      </c>
      <c r="I10" s="324"/>
      <c r="J10" s="234" t="str">
        <f>'Base de Datos'!$C$5</f>
        <v>LOS BAILARINES SRL</v>
      </c>
      <c r="K10" s="2"/>
      <c r="N10" s="324" t="s">
        <v>325</v>
      </c>
      <c r="O10" s="324"/>
      <c r="P10" s="234" t="str">
        <f>'Base de Datos'!$C$5</f>
        <v>LOS BAILARINES SRL</v>
      </c>
      <c r="Q10" s="2"/>
      <c r="T10" s="324" t="s">
        <v>325</v>
      </c>
      <c r="U10" s="324"/>
      <c r="V10" s="234" t="str">
        <f>'Base de Datos'!$C$5</f>
        <v>LOS BAILARINES SRL</v>
      </c>
      <c r="W10" s="2"/>
      <c r="Z10" s="324" t="s">
        <v>325</v>
      </c>
      <c r="AA10" s="324"/>
      <c r="AB10" s="234" t="str">
        <f>'Base de Datos'!$C$5</f>
        <v>LOS BAILARINES SRL</v>
      </c>
      <c r="AC10" s="2"/>
      <c r="AF10" s="324" t="s">
        <v>325</v>
      </c>
      <c r="AG10" s="324"/>
      <c r="AH10" s="234" t="str">
        <f>'Base de Datos'!$C$5</f>
        <v>LOS BAILARINES SRL</v>
      </c>
      <c r="AI10" s="2"/>
      <c r="AL10" s="324" t="s">
        <v>325</v>
      </c>
      <c r="AM10" s="324"/>
      <c r="AN10" s="234" t="str">
        <f>'Base de Datos'!$C$5</f>
        <v>LOS BAILARINES SRL</v>
      </c>
      <c r="AO10" s="2"/>
      <c r="AR10" s="324" t="s">
        <v>325</v>
      </c>
      <c r="AS10" s="324"/>
      <c r="AT10" s="234" t="str">
        <f>'Base de Datos'!$C$5</f>
        <v>LOS BAILARINES SRL</v>
      </c>
      <c r="AU10" s="2"/>
      <c r="AX10" s="324" t="s">
        <v>325</v>
      </c>
      <c r="AY10" s="324"/>
      <c r="AZ10" s="234" t="str">
        <f>'Base de Datos'!$C$5</f>
        <v>LOS BAILARINES SRL</v>
      </c>
      <c r="BA10" s="2"/>
    </row>
    <row r="11" spans="2:54" x14ac:dyDescent="0.25">
      <c r="B11" s="160"/>
      <c r="C11" s="160"/>
      <c r="D11" s="160"/>
      <c r="E11" s="160"/>
      <c r="H11" s="160"/>
      <c r="I11" s="160"/>
      <c r="J11" s="160"/>
      <c r="K11" s="160"/>
      <c r="N11" s="160"/>
      <c r="O11" s="160"/>
      <c r="P11" s="160"/>
      <c r="Q11" s="160"/>
      <c r="T11" s="160"/>
      <c r="U11" s="160"/>
      <c r="V11" s="160"/>
      <c r="W11" s="160"/>
      <c r="Z11" s="160"/>
      <c r="AA11" s="160"/>
      <c r="AB11" s="160"/>
      <c r="AC11" s="160"/>
      <c r="AF11" s="160"/>
      <c r="AG11" s="160"/>
      <c r="AH11" s="160"/>
      <c r="AI11" s="160"/>
      <c r="AL11" s="160"/>
      <c r="AM11" s="160"/>
      <c r="AN11" s="160"/>
      <c r="AO11" s="160"/>
      <c r="AR11" s="160"/>
      <c r="AS11" s="160"/>
      <c r="AT11" s="160"/>
      <c r="AU11" s="160"/>
      <c r="AX11" s="160"/>
      <c r="AY11" s="160"/>
      <c r="AZ11" s="160"/>
      <c r="BA11" s="160"/>
    </row>
    <row r="12" spans="2:54" ht="15.6" x14ac:dyDescent="0.25">
      <c r="B12" s="324" t="s">
        <v>472</v>
      </c>
      <c r="C12" s="324"/>
      <c r="D12" s="175">
        <v>10</v>
      </c>
      <c r="H12" s="324" t="s">
        <v>472</v>
      </c>
      <c r="I12" s="324"/>
      <c r="J12" s="175">
        <v>11</v>
      </c>
      <c r="K12" s="160"/>
      <c r="N12" s="324" t="s">
        <v>472</v>
      </c>
      <c r="O12" s="324"/>
      <c r="P12" s="175">
        <v>12</v>
      </c>
      <c r="Q12" s="160"/>
      <c r="T12" s="324" t="s">
        <v>472</v>
      </c>
      <c r="U12" s="324"/>
      <c r="V12" s="175">
        <v>13</v>
      </c>
      <c r="W12" s="160"/>
      <c r="Z12" s="324" t="s">
        <v>472</v>
      </c>
      <c r="AA12" s="324"/>
      <c r="AB12" s="175">
        <v>14</v>
      </c>
      <c r="AC12" s="160"/>
      <c r="AF12" s="324" t="s">
        <v>472</v>
      </c>
      <c r="AG12" s="324"/>
      <c r="AH12" s="175">
        <v>16</v>
      </c>
      <c r="AI12" s="160"/>
      <c r="AL12" s="324" t="s">
        <v>472</v>
      </c>
      <c r="AM12" s="324"/>
      <c r="AN12" s="175">
        <v>17</v>
      </c>
      <c r="AO12" s="160"/>
      <c r="AR12" s="324" t="s">
        <v>472</v>
      </c>
      <c r="AS12" s="324"/>
      <c r="AT12" s="175">
        <v>18</v>
      </c>
      <c r="AU12" s="160"/>
      <c r="AX12" s="324" t="s">
        <v>472</v>
      </c>
      <c r="AY12" s="324"/>
      <c r="AZ12" s="175">
        <v>19</v>
      </c>
      <c r="BA12" s="160"/>
    </row>
    <row r="13" spans="2:54" x14ac:dyDescent="0.25">
      <c r="B13" s="160"/>
      <c r="C13" s="160"/>
      <c r="D13" s="160"/>
      <c r="E13" s="160"/>
      <c r="H13" s="160"/>
      <c r="I13" s="160"/>
      <c r="J13" s="160"/>
      <c r="K13" s="160"/>
      <c r="N13" s="160"/>
      <c r="O13" s="160"/>
      <c r="P13" s="160"/>
      <c r="Q13" s="160"/>
      <c r="T13" s="160"/>
      <c r="U13" s="160"/>
      <c r="V13" s="160"/>
      <c r="W13" s="160"/>
      <c r="Z13" s="160"/>
      <c r="AA13" s="160"/>
      <c r="AB13" s="160"/>
      <c r="AC13" s="160"/>
      <c r="AF13" s="160"/>
      <c r="AG13" s="160"/>
      <c r="AH13" s="160"/>
      <c r="AI13" s="160"/>
      <c r="AL13" s="160"/>
      <c r="AM13" s="160"/>
      <c r="AN13" s="160"/>
      <c r="AO13" s="160"/>
      <c r="AR13" s="160"/>
      <c r="AS13" s="160"/>
      <c r="AT13" s="160"/>
      <c r="AU13" s="160"/>
      <c r="AX13" s="160"/>
      <c r="AY13" s="160"/>
      <c r="AZ13" s="160"/>
      <c r="BA13" s="160"/>
    </row>
    <row r="14" spans="2:54" ht="15.6" x14ac:dyDescent="0.25">
      <c r="B14" s="324" t="s">
        <v>473</v>
      </c>
      <c r="C14" s="324"/>
      <c r="D14" s="234" t="str">
        <f>VLOOKUP(D12,CuentasContables,5,FALSE)</f>
        <v>EFECTIVO Y EQUIVALENTES DE EFECTIVO</v>
      </c>
      <c r="E14" s="160"/>
      <c r="H14" s="324" t="s">
        <v>473</v>
      </c>
      <c r="I14" s="324"/>
      <c r="J14" s="234" t="str">
        <f>VLOOKUP(J12,CuentasContables,5,FALSE)</f>
        <v>INVERSIONES FINANCIERAS</v>
      </c>
      <c r="K14" s="160"/>
      <c r="N14" s="324" t="s">
        <v>473</v>
      </c>
      <c r="O14" s="324"/>
      <c r="P14" s="234" t="str">
        <f>VLOOKUP(P12,CuentasContables,5,FALSE)</f>
        <v>CUENTAS POR COBRAR COMERCIALES - TERCEROS</v>
      </c>
      <c r="Q14" s="160"/>
      <c r="T14" s="324" t="s">
        <v>473</v>
      </c>
      <c r="U14" s="324"/>
      <c r="V14" s="234" t="str">
        <f>VLOOKUP(V12,CuentasContables,5,FALSE)</f>
        <v>CUENTAS POR COBRAR COMERCIALES - RELACIONADAS</v>
      </c>
      <c r="W14" s="160"/>
      <c r="Z14" s="324" t="s">
        <v>473</v>
      </c>
      <c r="AA14" s="324"/>
      <c r="AB14" s="234" t="str">
        <f>VLOOKUP(AB12,CuentasContables,5,FALSE)</f>
        <v>CUENTAS POR COBRAR AL PERSONAL, A LOS ACCIONISTAS (SOCIOS), DIRECTORES Y GERENTES</v>
      </c>
      <c r="AC14" s="160"/>
      <c r="AF14" s="324" t="s">
        <v>473</v>
      </c>
      <c r="AG14" s="324"/>
      <c r="AH14" s="234" t="str">
        <f>VLOOKUP(AH12,CuentasContables,5,FALSE)</f>
        <v>CUENTAS POR COBRAR DIVERSAS - TERCEROS</v>
      </c>
      <c r="AI14" s="160"/>
      <c r="AL14" s="324" t="s">
        <v>473</v>
      </c>
      <c r="AM14" s="324"/>
      <c r="AN14" s="234" t="str">
        <f>VLOOKUP(AN12,CuentasContables,5,FALSE)</f>
        <v>CUENTAS POR COBRAR DIVERSAS - RELACIONADAS</v>
      </c>
      <c r="AO14" s="160"/>
      <c r="AR14" s="324" t="s">
        <v>473</v>
      </c>
      <c r="AS14" s="324"/>
      <c r="AT14" s="234" t="str">
        <f>VLOOKUP(AT12,CuentasContables,5,FALSE)</f>
        <v>SERVICIOS Y OTROS CONTRATADOS POR ANTICIPADO</v>
      </c>
      <c r="AU14" s="160"/>
      <c r="AX14" s="324" t="s">
        <v>473</v>
      </c>
      <c r="AY14" s="324"/>
      <c r="AZ14" s="234" t="str">
        <f>VLOOKUP(AZ12,CuentasContables,5,FALSE)</f>
        <v>ESTIMACIÓN DE CUENTAS DE COBRANZA DUDOSA</v>
      </c>
      <c r="BA14" s="160"/>
    </row>
    <row r="15" spans="2:54" ht="14.4" thickBot="1" x14ac:dyDescent="0.3">
      <c r="B15" s="160"/>
      <c r="C15" s="160"/>
      <c r="D15" s="160"/>
      <c r="E15" s="160"/>
      <c r="H15" s="160"/>
      <c r="I15" s="160"/>
      <c r="J15" s="160"/>
      <c r="K15" s="160"/>
      <c r="N15" s="160"/>
      <c r="O15" s="160"/>
      <c r="P15" s="160"/>
      <c r="Q15" s="160"/>
      <c r="T15" s="160"/>
      <c r="U15" s="160"/>
      <c r="V15" s="160"/>
      <c r="W15" s="160"/>
      <c r="Z15" s="160"/>
      <c r="AA15" s="160"/>
      <c r="AB15" s="160"/>
      <c r="AC15" s="160"/>
      <c r="AF15" s="160"/>
      <c r="AG15" s="160"/>
      <c r="AH15" s="160"/>
      <c r="AI15" s="160"/>
      <c r="AL15" s="160"/>
      <c r="AM15" s="160"/>
      <c r="AN15" s="160"/>
      <c r="AO15" s="160"/>
      <c r="AR15" s="160"/>
      <c r="AS15" s="160"/>
      <c r="AT15" s="160"/>
      <c r="AU15" s="160"/>
      <c r="AX15" s="160"/>
      <c r="AY15" s="160"/>
      <c r="AZ15" s="160"/>
      <c r="BA15" s="160"/>
    </row>
    <row r="16" spans="2:54" x14ac:dyDescent="0.25">
      <c r="B16" s="331" t="s">
        <v>466</v>
      </c>
      <c r="C16" s="333" t="s">
        <v>467</v>
      </c>
      <c r="D16" s="333" t="s">
        <v>468</v>
      </c>
      <c r="E16" s="333" t="s">
        <v>469</v>
      </c>
      <c r="F16" s="335"/>
      <c r="H16" s="331" t="s">
        <v>466</v>
      </c>
      <c r="I16" s="333" t="s">
        <v>467</v>
      </c>
      <c r="J16" s="333" t="s">
        <v>468</v>
      </c>
      <c r="K16" s="333" t="s">
        <v>469</v>
      </c>
      <c r="L16" s="335"/>
      <c r="N16" s="331" t="s">
        <v>466</v>
      </c>
      <c r="O16" s="333" t="s">
        <v>467</v>
      </c>
      <c r="P16" s="333" t="s">
        <v>468</v>
      </c>
      <c r="Q16" s="333" t="s">
        <v>469</v>
      </c>
      <c r="R16" s="335"/>
      <c r="T16" s="331" t="s">
        <v>466</v>
      </c>
      <c r="U16" s="333" t="s">
        <v>467</v>
      </c>
      <c r="V16" s="333" t="s">
        <v>468</v>
      </c>
      <c r="W16" s="333" t="s">
        <v>469</v>
      </c>
      <c r="X16" s="335"/>
      <c r="Z16" s="331" t="s">
        <v>466</v>
      </c>
      <c r="AA16" s="333" t="s">
        <v>467</v>
      </c>
      <c r="AB16" s="333" t="s">
        <v>468</v>
      </c>
      <c r="AC16" s="333" t="s">
        <v>469</v>
      </c>
      <c r="AD16" s="335"/>
      <c r="AF16" s="331" t="s">
        <v>466</v>
      </c>
      <c r="AG16" s="333" t="s">
        <v>467</v>
      </c>
      <c r="AH16" s="333" t="s">
        <v>468</v>
      </c>
      <c r="AI16" s="333" t="s">
        <v>469</v>
      </c>
      <c r="AJ16" s="335"/>
      <c r="AL16" s="331" t="s">
        <v>466</v>
      </c>
      <c r="AM16" s="333" t="s">
        <v>467</v>
      </c>
      <c r="AN16" s="333" t="s">
        <v>468</v>
      </c>
      <c r="AO16" s="333" t="s">
        <v>469</v>
      </c>
      <c r="AP16" s="335"/>
      <c r="AR16" s="331" t="s">
        <v>466</v>
      </c>
      <c r="AS16" s="333" t="s">
        <v>467</v>
      </c>
      <c r="AT16" s="333" t="s">
        <v>468</v>
      </c>
      <c r="AU16" s="333" t="s">
        <v>469</v>
      </c>
      <c r="AV16" s="335"/>
      <c r="AX16" s="331" t="s">
        <v>466</v>
      </c>
      <c r="AY16" s="333" t="s">
        <v>467</v>
      </c>
      <c r="AZ16" s="333" t="s">
        <v>468</v>
      </c>
      <c r="BA16" s="333" t="s">
        <v>469</v>
      </c>
      <c r="BB16" s="335"/>
    </row>
    <row r="17" spans="2:63" ht="14.4" thickBot="1" x14ac:dyDescent="0.3">
      <c r="B17" s="332"/>
      <c r="C17" s="334"/>
      <c r="D17" s="334"/>
      <c r="E17" s="232" t="s">
        <v>403</v>
      </c>
      <c r="F17" s="174" t="s">
        <v>402</v>
      </c>
      <c r="H17" s="332"/>
      <c r="I17" s="334"/>
      <c r="J17" s="334"/>
      <c r="K17" s="232" t="s">
        <v>403</v>
      </c>
      <c r="L17" s="174" t="s">
        <v>402</v>
      </c>
      <c r="N17" s="332"/>
      <c r="O17" s="334"/>
      <c r="P17" s="334"/>
      <c r="Q17" s="232" t="s">
        <v>403</v>
      </c>
      <c r="R17" s="174" t="s">
        <v>402</v>
      </c>
      <c r="T17" s="332"/>
      <c r="U17" s="334"/>
      <c r="V17" s="334"/>
      <c r="W17" s="232" t="s">
        <v>403</v>
      </c>
      <c r="X17" s="174" t="s">
        <v>402</v>
      </c>
      <c r="Z17" s="332"/>
      <c r="AA17" s="334"/>
      <c r="AB17" s="334"/>
      <c r="AC17" s="232" t="s">
        <v>403</v>
      </c>
      <c r="AD17" s="174" t="s">
        <v>402</v>
      </c>
      <c r="AF17" s="332"/>
      <c r="AG17" s="334"/>
      <c r="AH17" s="334"/>
      <c r="AI17" s="232" t="s">
        <v>403</v>
      </c>
      <c r="AJ17" s="174" t="s">
        <v>402</v>
      </c>
      <c r="AL17" s="332"/>
      <c r="AM17" s="334"/>
      <c r="AN17" s="334"/>
      <c r="AO17" s="232" t="s">
        <v>403</v>
      </c>
      <c r="AP17" s="174" t="s">
        <v>402</v>
      </c>
      <c r="AR17" s="332"/>
      <c r="AS17" s="334"/>
      <c r="AT17" s="334"/>
      <c r="AU17" s="232" t="s">
        <v>403</v>
      </c>
      <c r="AV17" s="174" t="s">
        <v>402</v>
      </c>
      <c r="AX17" s="332"/>
      <c r="AY17" s="334"/>
      <c r="AZ17" s="334"/>
      <c r="BA17" s="232" t="s">
        <v>403</v>
      </c>
      <c r="BB17" s="174" t="s">
        <v>402</v>
      </c>
    </row>
    <row r="18" spans="2:63" ht="14.4" thickTop="1" x14ac:dyDescent="0.25">
      <c r="B18" s="236">
        <v>41670</v>
      </c>
      <c r="C18" s="171"/>
      <c r="D18" s="166" t="s">
        <v>470</v>
      </c>
      <c r="E18" s="167">
        <f>SUMIF('Libro Diario Convencional'!$B$15:$B$167,D12,'Libro Diario Convencional'!$I$15:$I$167)</f>
        <v>1018450</v>
      </c>
      <c r="F18" s="168">
        <f>SUMIF('Libro Diario Convencional'!$B$15:$B$167,D12,'Libro Diario Convencional'!$J$15:$J$167)</f>
        <v>191809</v>
      </c>
      <c r="G18" s="9"/>
      <c r="H18" s="236">
        <v>41670</v>
      </c>
      <c r="I18" s="171"/>
      <c r="J18" s="166" t="s">
        <v>470</v>
      </c>
      <c r="K18" s="167">
        <f>SUMIF('Libro Diario Convencional'!$B$15:$B$167,J12,'Libro Diario Convencional'!$I$15:$I$167)</f>
        <v>0</v>
      </c>
      <c r="L18" s="168">
        <f>SUMIF('Libro Diario Convencional'!$B$15:$B$167,J12,'Libro Diario Convencional'!$J$15:$J$167)</f>
        <v>0</v>
      </c>
      <c r="M18" s="9"/>
      <c r="N18" s="236">
        <v>41670</v>
      </c>
      <c r="O18" s="171"/>
      <c r="P18" s="166" t="s">
        <v>470</v>
      </c>
      <c r="Q18" s="167">
        <f>SUMIF('Libro Diario Convencional'!$B$15:$B$167,P12,'Libro Diario Convencional'!$I$15:$I$167)</f>
        <v>726880</v>
      </c>
      <c r="R18" s="168">
        <f>SUMIF('Libro Diario Convencional'!$B$15:$B$167,P12,'Libro Diario Convencional'!$J$15:$J$167)</f>
        <v>0</v>
      </c>
      <c r="S18" s="9"/>
      <c r="T18" s="236">
        <v>41670</v>
      </c>
      <c r="U18" s="171"/>
      <c r="V18" s="166" t="s">
        <v>470</v>
      </c>
      <c r="W18" s="167">
        <f>SUMIF('Libro Diario Convencional'!$B$15:$B$167,V12,'Libro Diario Convencional'!$I$15:$I$167)</f>
        <v>0</v>
      </c>
      <c r="X18" s="168">
        <f>SUMIF('Libro Diario Convencional'!$B$15:$B$167,V12,'Libro Diario Convencional'!$J$15:$J$167)</f>
        <v>0</v>
      </c>
      <c r="Y18" s="9"/>
      <c r="Z18" s="236">
        <v>41670</v>
      </c>
      <c r="AA18" s="171"/>
      <c r="AB18" s="166" t="s">
        <v>470</v>
      </c>
      <c r="AC18" s="167">
        <f>SUMIF('Libro Diario Convencional'!$B$15:$B$167,AB12,'Libro Diario Convencional'!$I$15:$I$167)</f>
        <v>0</v>
      </c>
      <c r="AD18" s="168">
        <f>SUMIF('Libro Diario Convencional'!$B$15:$B$167,AB12,'Libro Diario Convencional'!$J$15:$J$167)</f>
        <v>0</v>
      </c>
      <c r="AE18" s="9"/>
      <c r="AF18" s="236">
        <v>41670</v>
      </c>
      <c r="AG18" s="171"/>
      <c r="AH18" s="166" t="s">
        <v>470</v>
      </c>
      <c r="AI18" s="167">
        <f>SUMIF('Libro Diario Convencional'!$B$15:$B$167,AH12,'Libro Diario Convencional'!$I$15:$I$167)</f>
        <v>0</v>
      </c>
      <c r="AJ18" s="168">
        <f>SUMIF('Libro Diario Convencional'!$B$15:$B$167,AH12,'Libro Diario Convencional'!$J$15:$J$167)</f>
        <v>0</v>
      </c>
      <c r="AK18" s="9"/>
      <c r="AL18" s="236">
        <v>41670</v>
      </c>
      <c r="AM18" s="171"/>
      <c r="AN18" s="166" t="s">
        <v>470</v>
      </c>
      <c r="AO18" s="167">
        <f>SUMIF('Libro Diario Convencional'!$B$15:$B$167,AN12,'Libro Diario Convencional'!$I$15:$I$167)</f>
        <v>0</v>
      </c>
      <c r="AP18" s="168">
        <f>SUMIF('Libro Diario Convencional'!$B$15:$B$167,AN12,'Libro Diario Convencional'!$J$15:$J$167)</f>
        <v>0</v>
      </c>
      <c r="AQ18" s="9"/>
      <c r="AR18" s="236">
        <v>41670</v>
      </c>
      <c r="AS18" s="171"/>
      <c r="AT18" s="166" t="s">
        <v>470</v>
      </c>
      <c r="AU18" s="167">
        <f>SUMIF('Libro Diario Convencional'!$B$15:$B$167,AT12,'Libro Diario Convencional'!$I$15:$I$167)</f>
        <v>0</v>
      </c>
      <c r="AV18" s="168">
        <f>SUMIF('Libro Diario Convencional'!$B$15:$B$167,AT12,'Libro Diario Convencional'!$J$15:$J$167)</f>
        <v>0</v>
      </c>
      <c r="AW18" s="9"/>
      <c r="AX18" s="236">
        <v>41670</v>
      </c>
      <c r="AY18" s="171"/>
      <c r="AZ18" s="166" t="s">
        <v>470</v>
      </c>
      <c r="BA18" s="167">
        <f>SUMIF('Libro Diario Convencional'!$B$15:$B$167,AZ12,'Libro Diario Convencional'!$I$15:$I$167)</f>
        <v>0</v>
      </c>
      <c r="BB18" s="168">
        <f>SUMIF('Libro Diario Convencional'!$B$15:$B$167,AZ12,'Libro Diario Convencional'!$J$15:$J$167)</f>
        <v>0</v>
      </c>
    </row>
    <row r="19" spans="2:63" x14ac:dyDescent="0.25">
      <c r="B19" s="169">
        <v>41670</v>
      </c>
      <c r="C19" s="172"/>
      <c r="D19" s="161" t="s">
        <v>474</v>
      </c>
      <c r="E19" s="162">
        <f>SUMIF('Asientos de Cierre'!$B$6:$B$549,D12,'Asientos de Cierre'!$J$6:$J$549)</f>
        <v>191809</v>
      </c>
      <c r="F19" s="163">
        <f>SUMIF('Asientos de Cierre'!$B$6:$B$549,D12,'Asientos de Cierre'!$K$6:$K$549)</f>
        <v>0</v>
      </c>
      <c r="G19" s="9"/>
      <c r="H19" s="169">
        <v>41670</v>
      </c>
      <c r="I19" s="172"/>
      <c r="J19" s="161" t="s">
        <v>474</v>
      </c>
      <c r="K19" s="162">
        <f>SUMIF('Asientos de Cierre'!$B$6:$B$549,J12,'Asientos de Cierre'!$J$6:$J$549)</f>
        <v>0</v>
      </c>
      <c r="L19" s="163">
        <f>SUMIF('Asientos de Cierre'!$B$6:$B$549,J12,'Asientos de Cierre'!$K$6:$K$549)</f>
        <v>0</v>
      </c>
      <c r="M19" s="9"/>
      <c r="N19" s="169">
        <v>41670</v>
      </c>
      <c r="O19" s="172"/>
      <c r="P19" s="161" t="s">
        <v>474</v>
      </c>
      <c r="Q19" s="162">
        <f>SUMIF('Asientos de Cierre'!$B$6:$B$549,P12,'Asientos de Cierre'!$J$6:$J$549)</f>
        <v>0</v>
      </c>
      <c r="R19" s="163">
        <f>SUMIF('Asientos de Cierre'!$B$6:$B$549,P12,'Asientos de Cierre'!$K$6:$K$549)</f>
        <v>0</v>
      </c>
      <c r="S19" s="9"/>
      <c r="T19" s="169">
        <v>41670</v>
      </c>
      <c r="U19" s="172"/>
      <c r="V19" s="161" t="s">
        <v>474</v>
      </c>
      <c r="W19" s="162">
        <f>SUMIF('Asientos de Cierre'!$B$6:$B$549,V12,'Asientos de Cierre'!$J$6:$J$549)</f>
        <v>0</v>
      </c>
      <c r="X19" s="163">
        <f>SUMIF('Asientos de Cierre'!$B$6:$B$549,V12,'Asientos de Cierre'!$K$6:$K$549)</f>
        <v>0</v>
      </c>
      <c r="Y19" s="9"/>
      <c r="Z19" s="169">
        <v>41670</v>
      </c>
      <c r="AA19" s="172"/>
      <c r="AB19" s="161" t="s">
        <v>474</v>
      </c>
      <c r="AC19" s="162">
        <f>SUMIF('Asientos de Cierre'!$B$6:$B$549,AB12,'Asientos de Cierre'!$J$6:$J$549)</f>
        <v>0</v>
      </c>
      <c r="AD19" s="163">
        <f>SUMIF('Asientos de Cierre'!$B$6:$B$549,AB12,'Asientos de Cierre'!$K$6:$K$549)</f>
        <v>0</v>
      </c>
      <c r="AE19" s="9"/>
      <c r="AF19" s="169">
        <v>41670</v>
      </c>
      <c r="AG19" s="172"/>
      <c r="AH19" s="161" t="s">
        <v>474</v>
      </c>
      <c r="AI19" s="162">
        <f>SUMIF('Asientos de Cierre'!$B$6:$B$549,AH12,'Asientos de Cierre'!$J$6:$J$549)</f>
        <v>0</v>
      </c>
      <c r="AJ19" s="163">
        <f>SUMIF('Asientos de Cierre'!$B$6:$B$549,AH12,'Asientos de Cierre'!$K$6:$K$549)</f>
        <v>0</v>
      </c>
      <c r="AK19" s="9"/>
      <c r="AL19" s="169">
        <v>41670</v>
      </c>
      <c r="AM19" s="172"/>
      <c r="AN19" s="161" t="s">
        <v>474</v>
      </c>
      <c r="AO19" s="162">
        <f>SUMIF('Asientos de Cierre'!$B$6:$B$549,AN12,'Asientos de Cierre'!$J$6:$J$549)</f>
        <v>0</v>
      </c>
      <c r="AP19" s="163">
        <f>SUMIF('Asientos de Cierre'!$B$6:$B$549,AN12,'Asientos de Cierre'!$K$6:$K$549)</f>
        <v>0</v>
      </c>
      <c r="AQ19" s="9"/>
      <c r="AR19" s="169">
        <v>41670</v>
      </c>
      <c r="AS19" s="172"/>
      <c r="AT19" s="161" t="s">
        <v>474</v>
      </c>
      <c r="AU19" s="162">
        <f>SUMIF('Asientos de Cierre'!$B$6:$B$549,AT12,'Asientos de Cierre'!$J$6:$J$549)</f>
        <v>0</v>
      </c>
      <c r="AV19" s="163">
        <f>SUMIF('Asientos de Cierre'!$B$6:$B$549,AT12,'Asientos de Cierre'!$K$6:$K$549)</f>
        <v>0</v>
      </c>
      <c r="AW19" s="9"/>
      <c r="AX19" s="169">
        <v>41670</v>
      </c>
      <c r="AY19" s="172"/>
      <c r="AZ19" s="161" t="s">
        <v>474</v>
      </c>
      <c r="BA19" s="162">
        <f>SUMIF('Asientos de Cierre'!$B$6:$B$549,AZ12,'Asientos de Cierre'!$J$6:$J$549)</f>
        <v>0</v>
      </c>
      <c r="BB19" s="163">
        <f>SUMIF('Asientos de Cierre'!$B$6:$B$549,AZ12,'Asientos de Cierre'!$K$6:$K$549)</f>
        <v>0</v>
      </c>
    </row>
    <row r="20" spans="2:63" x14ac:dyDescent="0.25">
      <c r="B20" s="169"/>
      <c r="C20" s="172"/>
      <c r="D20" s="161"/>
      <c r="E20" s="162"/>
      <c r="F20" s="163"/>
      <c r="G20" s="9"/>
      <c r="H20" s="169"/>
      <c r="I20" s="172"/>
      <c r="J20" s="161"/>
      <c r="K20" s="162"/>
      <c r="L20" s="163"/>
      <c r="M20" s="9"/>
      <c r="N20" s="169"/>
      <c r="O20" s="172"/>
      <c r="P20" s="161"/>
      <c r="Q20" s="162"/>
      <c r="R20" s="163"/>
      <c r="S20" s="9"/>
      <c r="T20" s="169"/>
      <c r="U20" s="172"/>
      <c r="V20" s="161"/>
      <c r="W20" s="162"/>
      <c r="X20" s="163"/>
      <c r="Y20" s="9"/>
      <c r="Z20" s="169"/>
      <c r="AA20" s="172"/>
      <c r="AB20" s="161"/>
      <c r="AC20" s="162"/>
      <c r="AD20" s="163"/>
      <c r="AE20" s="9"/>
      <c r="AF20" s="169"/>
      <c r="AG20" s="172"/>
      <c r="AH20" s="161"/>
      <c r="AI20" s="162"/>
      <c r="AJ20" s="163"/>
      <c r="AK20" s="9"/>
      <c r="AL20" s="169"/>
      <c r="AM20" s="172"/>
      <c r="AN20" s="161"/>
      <c r="AO20" s="162"/>
      <c r="AP20" s="163"/>
      <c r="AQ20" s="9"/>
      <c r="AR20" s="169"/>
      <c r="AS20" s="172"/>
      <c r="AT20" s="161"/>
      <c r="AU20" s="162"/>
      <c r="AV20" s="163"/>
      <c r="AW20" s="9"/>
      <c r="AX20" s="169"/>
      <c r="AY20" s="172"/>
      <c r="AZ20" s="161"/>
      <c r="BA20" s="162"/>
      <c r="BB20" s="163"/>
    </row>
    <row r="21" spans="2:63" ht="14.4" thickBot="1" x14ac:dyDescent="0.3">
      <c r="B21" s="169"/>
      <c r="C21" s="172"/>
      <c r="D21" s="161"/>
      <c r="E21" s="162"/>
      <c r="F21" s="163"/>
      <c r="G21" s="9"/>
      <c r="H21" s="169"/>
      <c r="I21" s="172"/>
      <c r="J21" s="161"/>
      <c r="K21" s="162"/>
      <c r="L21" s="163"/>
      <c r="M21" s="9"/>
      <c r="N21" s="169"/>
      <c r="O21" s="172"/>
      <c r="P21" s="161"/>
      <c r="Q21" s="162"/>
      <c r="R21" s="163"/>
      <c r="S21" s="9"/>
      <c r="T21" s="169"/>
      <c r="U21" s="172"/>
      <c r="V21" s="161"/>
      <c r="W21" s="162"/>
      <c r="X21" s="163"/>
      <c r="Y21" s="9"/>
      <c r="Z21" s="169"/>
      <c r="AA21" s="172"/>
      <c r="AB21" s="161"/>
      <c r="AC21" s="162"/>
      <c r="AD21" s="163"/>
      <c r="AE21" s="9"/>
      <c r="AF21" s="169"/>
      <c r="AG21" s="172"/>
      <c r="AH21" s="161"/>
      <c r="AI21" s="162"/>
      <c r="AJ21" s="163"/>
      <c r="AK21" s="9"/>
      <c r="AL21" s="169"/>
      <c r="AM21" s="172"/>
      <c r="AN21" s="161"/>
      <c r="AO21" s="162"/>
      <c r="AP21" s="163"/>
      <c r="AQ21" s="9"/>
      <c r="AR21" s="169"/>
      <c r="AS21" s="172"/>
      <c r="AT21" s="161"/>
      <c r="AU21" s="162"/>
      <c r="AV21" s="163"/>
      <c r="AW21" s="9"/>
      <c r="AX21" s="169"/>
      <c r="AY21" s="172"/>
      <c r="AZ21" s="161"/>
      <c r="BA21" s="162"/>
      <c r="BB21" s="163"/>
    </row>
    <row r="22" spans="2:63" ht="15" thickBot="1" x14ac:dyDescent="0.3">
      <c r="B22" s="169"/>
      <c r="C22" s="172"/>
      <c r="D22" s="161" t="s">
        <v>471</v>
      </c>
      <c r="E22" s="162">
        <f>SUM(E18:E21)</f>
        <v>1210259</v>
      </c>
      <c r="F22" s="163">
        <f>SUM(F18:F21)</f>
        <v>191809</v>
      </c>
      <c r="G22" s="9"/>
      <c r="H22" s="169"/>
      <c r="I22" s="172"/>
      <c r="J22" s="161" t="s">
        <v>471</v>
      </c>
      <c r="K22" s="162">
        <f>SUM(K18:K21)</f>
        <v>0</v>
      </c>
      <c r="L22" s="163">
        <f>SUM(L18:L21)</f>
        <v>0</v>
      </c>
      <c r="M22" s="9"/>
      <c r="N22" s="169"/>
      <c r="O22" s="172"/>
      <c r="P22" s="161" t="s">
        <v>471</v>
      </c>
      <c r="Q22" s="162">
        <f>SUM(Q18:Q21)</f>
        <v>726880</v>
      </c>
      <c r="R22" s="163">
        <f>SUM(R18:R21)</f>
        <v>0</v>
      </c>
      <c r="S22" s="9"/>
      <c r="T22" s="169"/>
      <c r="U22" s="172"/>
      <c r="V22" s="161" t="s">
        <v>471</v>
      </c>
      <c r="W22" s="162">
        <f>SUM(W18:W21)</f>
        <v>0</v>
      </c>
      <c r="X22" s="163">
        <f>SUM(X18:X21)</f>
        <v>0</v>
      </c>
      <c r="Y22" s="9"/>
      <c r="Z22" s="169"/>
      <c r="AA22" s="172"/>
      <c r="AB22" s="161" t="s">
        <v>471</v>
      </c>
      <c r="AC22" s="162">
        <f>SUM(AC18:AC21)</f>
        <v>0</v>
      </c>
      <c r="AD22" s="163">
        <f>SUM(AD18:AD21)</f>
        <v>0</v>
      </c>
      <c r="AE22" s="9"/>
      <c r="AF22" s="169"/>
      <c r="AG22" s="172"/>
      <c r="AH22" s="161" t="s">
        <v>471</v>
      </c>
      <c r="AI22" s="162">
        <f>SUM(AI18:AI21)</f>
        <v>0</v>
      </c>
      <c r="AJ22" s="163">
        <f>SUM(AJ18:AJ21)</f>
        <v>0</v>
      </c>
      <c r="AK22" s="9"/>
      <c r="AL22" s="169"/>
      <c r="AM22" s="172"/>
      <c r="AN22" s="161" t="s">
        <v>471</v>
      </c>
      <c r="AO22" s="162">
        <f>SUM(AO18:AO21)</f>
        <v>0</v>
      </c>
      <c r="AP22" s="163">
        <f>SUM(AP18:AP21)</f>
        <v>0</v>
      </c>
      <c r="AQ22" s="9"/>
      <c r="AR22" s="169"/>
      <c r="AS22" s="172"/>
      <c r="AT22" s="161" t="s">
        <v>471</v>
      </c>
      <c r="AU22" s="162">
        <f>SUM(AU18:AU21)</f>
        <v>0</v>
      </c>
      <c r="AV22" s="163">
        <f>SUM(AV18:AV21)</f>
        <v>0</v>
      </c>
      <c r="AW22" s="9"/>
      <c r="AX22" s="169"/>
      <c r="AY22" s="172"/>
      <c r="AZ22" s="161" t="s">
        <v>471</v>
      </c>
      <c r="BA22" s="162">
        <f>SUM(BA18:BA21)</f>
        <v>0</v>
      </c>
      <c r="BB22" s="163">
        <f>SUM(BB18:BB21)</f>
        <v>0</v>
      </c>
      <c r="BJ22" s="157">
        <f>SUM(E22,K22,Q22,W22,AC22,AI22,AO22,AU22,BA22,BG22)</f>
        <v>1937139</v>
      </c>
      <c r="BK22" s="158">
        <f>SUM(F22,L22,R22,X22,AD22,AJ22,AP22,AV22,BB22,BH22)</f>
        <v>191809</v>
      </c>
    </row>
    <row r="23" spans="2:63" ht="14.4" thickBot="1" x14ac:dyDescent="0.3">
      <c r="B23" s="170"/>
      <c r="C23" s="173"/>
      <c r="D23" s="164" t="str">
        <f>IF(E22=F22,"",IF(E22&gt;F22,"Saldo Deudor","Saldo Acreedor"))</f>
        <v>Saldo Deudor</v>
      </c>
      <c r="E23" s="165">
        <f>IF(E22&gt;F22,E22-F22,"")</f>
        <v>1018450</v>
      </c>
      <c r="F23" s="176" t="str">
        <f>IF(E22&lt;F22,F22-E22,"")</f>
        <v/>
      </c>
      <c r="H23" s="170"/>
      <c r="I23" s="173"/>
      <c r="J23" s="164" t="str">
        <f>IF(K22=L22,"",IF(K22&gt;L22,"Saldo Deudor","Saldo Acreedor"))</f>
        <v/>
      </c>
      <c r="K23" s="165" t="str">
        <f>IF(K22&gt;L22,K22-L22,"")</f>
        <v/>
      </c>
      <c r="L23" s="176" t="str">
        <f>IF(K22&lt;L22,L22-K22,"")</f>
        <v/>
      </c>
      <c r="N23" s="170"/>
      <c r="O23" s="173"/>
      <c r="P23" s="164" t="str">
        <f>IF(Q22=R22,"",IF(Q22&gt;R22,"Saldo Deudor","Saldo Acreedor"))</f>
        <v>Saldo Deudor</v>
      </c>
      <c r="Q23" s="165">
        <f>IF(Q22&gt;R22,Q22-R22,"")</f>
        <v>726880</v>
      </c>
      <c r="R23" s="176" t="str">
        <f>IF(Q22&lt;R22,R22-Q22,"")</f>
        <v/>
      </c>
      <c r="T23" s="170"/>
      <c r="U23" s="173"/>
      <c r="V23" s="164" t="str">
        <f>IF(W22=X22,"",IF(W22&gt;X22,"Saldo Deudor","Saldo Acreedor"))</f>
        <v/>
      </c>
      <c r="W23" s="165" t="str">
        <f>IF(W22&gt;X22,W22-X22,"")</f>
        <v/>
      </c>
      <c r="X23" s="176" t="str">
        <f>IF(W22&lt;X22,X22-W22,"")</f>
        <v/>
      </c>
      <c r="Z23" s="170"/>
      <c r="AA23" s="173"/>
      <c r="AB23" s="164" t="str">
        <f>IF(AC22=AD22,"",IF(AC22&gt;AD22,"Saldo Deudor","Saldo Acreedor"))</f>
        <v/>
      </c>
      <c r="AC23" s="165" t="str">
        <f>IF(AC22&gt;AD22,AC22-AD22,"")</f>
        <v/>
      </c>
      <c r="AD23" s="176" t="str">
        <f>IF(AC22&lt;AD22,AD22-AC22,"")</f>
        <v/>
      </c>
      <c r="AF23" s="170"/>
      <c r="AG23" s="173"/>
      <c r="AH23" s="164" t="str">
        <f>IF(AI22=AJ22,"",IF(AI22&gt;AJ22,"Saldo Deudor","Saldo Acreedor"))</f>
        <v/>
      </c>
      <c r="AI23" s="165" t="str">
        <f>IF(AI22&gt;AJ22,AI22-AJ22,"")</f>
        <v/>
      </c>
      <c r="AJ23" s="176" t="str">
        <f>IF(AI22&lt;AJ22,AJ22-AI22,"")</f>
        <v/>
      </c>
      <c r="AL23" s="170"/>
      <c r="AM23" s="173"/>
      <c r="AN23" s="164" t="str">
        <f>IF(AO22=AP22,"",IF(AO22&gt;AP22,"Saldo Deudor","Saldo Acreedor"))</f>
        <v/>
      </c>
      <c r="AO23" s="165" t="str">
        <f>IF(AO22&gt;AP22,AO22-AP22,"")</f>
        <v/>
      </c>
      <c r="AP23" s="176" t="str">
        <f>IF(AO22&lt;AP22,AP22-AO22,"")</f>
        <v/>
      </c>
      <c r="AR23" s="170"/>
      <c r="AS23" s="173"/>
      <c r="AT23" s="164" t="str">
        <f>IF(AU22=AV22,"",IF(AU22&gt;AV22,"Saldo Deudor","Saldo Acreedor"))</f>
        <v/>
      </c>
      <c r="AU23" s="165" t="str">
        <f>IF(AU22&gt;AV22,AU22-AV22,"")</f>
        <v/>
      </c>
      <c r="AV23" s="176" t="str">
        <f>IF(AU22&lt;AV22,AV22-AU22,"")</f>
        <v/>
      </c>
      <c r="AX23" s="170"/>
      <c r="AY23" s="173"/>
      <c r="AZ23" s="164" t="str">
        <f>IF(BA22=BB22,"",IF(BA22&gt;BB22,"Saldo Deudor","Saldo Acreedor"))</f>
        <v/>
      </c>
      <c r="BA23" s="165" t="str">
        <f>IF(BA22&gt;BB22,BA22-BB22,"")</f>
        <v/>
      </c>
      <c r="BB23" s="176" t="str">
        <f>IF(BA22&lt;BB22,BB22-BA22,"")</f>
        <v/>
      </c>
    </row>
    <row r="26" spans="2:63" ht="15.6" x14ac:dyDescent="0.25">
      <c r="B26" s="324" t="s">
        <v>321</v>
      </c>
      <c r="C26" s="324"/>
      <c r="D26" s="233" t="str">
        <f>'Base de Datos'!$C$756</f>
        <v>LIBRO MAYOR</v>
      </c>
      <c r="H26" s="324" t="s">
        <v>321</v>
      </c>
      <c r="I26" s="324"/>
      <c r="J26" s="233" t="str">
        <f>'Base de Datos'!$C$756</f>
        <v>LIBRO MAYOR</v>
      </c>
      <c r="N26" s="324" t="s">
        <v>321</v>
      </c>
      <c r="O26" s="324"/>
      <c r="P26" s="233" t="str">
        <f>'Base de Datos'!$C$756</f>
        <v>LIBRO MAYOR</v>
      </c>
      <c r="T26" s="324" t="s">
        <v>321</v>
      </c>
      <c r="U26" s="324"/>
      <c r="V26" s="233" t="str">
        <f>'Base de Datos'!$C$756</f>
        <v>LIBRO MAYOR</v>
      </c>
      <c r="Z26" s="324" t="s">
        <v>321</v>
      </c>
      <c r="AA26" s="324"/>
      <c r="AB26" s="233" t="str">
        <f>'Base de Datos'!$C$756</f>
        <v>LIBRO MAYOR</v>
      </c>
      <c r="AF26" s="324" t="s">
        <v>321</v>
      </c>
      <c r="AG26" s="324"/>
      <c r="AH26" s="233" t="str">
        <f>'Base de Datos'!$C$756</f>
        <v>LIBRO MAYOR</v>
      </c>
      <c r="AL26" s="324" t="s">
        <v>321</v>
      </c>
      <c r="AM26" s="324"/>
      <c r="AN26" s="233" t="str">
        <f>'Base de Datos'!$C$756</f>
        <v>LIBRO MAYOR</v>
      </c>
      <c r="AR26" s="324" t="s">
        <v>321</v>
      </c>
      <c r="AS26" s="324"/>
      <c r="AT26" s="233" t="str">
        <f>'Base de Datos'!$C$756</f>
        <v>LIBRO MAYOR</v>
      </c>
      <c r="AX26" s="324" t="s">
        <v>321</v>
      </c>
      <c r="AY26" s="324"/>
      <c r="AZ26" s="233" t="str">
        <f>'Base de Datos'!$C$756</f>
        <v>LIBRO MAYOR</v>
      </c>
      <c r="BD26" s="324" t="s">
        <v>321</v>
      </c>
      <c r="BE26" s="324"/>
      <c r="BF26" s="233" t="str">
        <f>'Base de Datos'!$C$756</f>
        <v>LIBRO MAYOR</v>
      </c>
    </row>
    <row r="27" spans="2:63" x14ac:dyDescent="0.25">
      <c r="C27" s="2"/>
      <c r="D27" s="2"/>
      <c r="E27" s="2"/>
      <c r="I27" s="2"/>
      <c r="J27" s="2"/>
      <c r="K27" s="2"/>
      <c r="O27" s="2"/>
      <c r="P27" s="2"/>
      <c r="Q27" s="2"/>
      <c r="U27" s="2"/>
      <c r="V27" s="2"/>
      <c r="W27" s="2"/>
      <c r="AA27" s="2"/>
      <c r="AB27" s="2"/>
      <c r="AC27" s="2"/>
      <c r="AG27" s="2"/>
      <c r="AH27" s="2"/>
      <c r="AI27" s="2"/>
      <c r="AM27" s="2"/>
      <c r="AN27" s="2"/>
      <c r="AO27" s="2"/>
      <c r="AS27" s="2"/>
      <c r="AT27" s="2"/>
      <c r="AU27" s="2"/>
      <c r="AY27" s="2"/>
      <c r="AZ27" s="2"/>
      <c r="BA27" s="2"/>
      <c r="BE27" s="2"/>
      <c r="BF27" s="2"/>
      <c r="BG27" s="2"/>
    </row>
    <row r="28" spans="2:63" ht="15.6" x14ac:dyDescent="0.25">
      <c r="B28" s="324" t="s">
        <v>322</v>
      </c>
      <c r="C28" s="324"/>
      <c r="D28" s="234" t="str">
        <f>'Base de Datos'!$C$8</f>
        <v>MARZO</v>
      </c>
      <c r="E28" s="160"/>
      <c r="H28" s="324" t="s">
        <v>322</v>
      </c>
      <c r="I28" s="324"/>
      <c r="J28" s="234" t="str">
        <f>'Base de Datos'!$C$8</f>
        <v>MARZO</v>
      </c>
      <c r="K28" s="160"/>
      <c r="N28" s="324" t="s">
        <v>322</v>
      </c>
      <c r="O28" s="324"/>
      <c r="P28" s="234" t="str">
        <f>'Base de Datos'!$C$8</f>
        <v>MARZO</v>
      </c>
      <c r="Q28" s="160"/>
      <c r="T28" s="324" t="s">
        <v>322</v>
      </c>
      <c r="U28" s="324"/>
      <c r="V28" s="234" t="str">
        <f>'Base de Datos'!$C$8</f>
        <v>MARZO</v>
      </c>
      <c r="W28" s="160"/>
      <c r="Z28" s="324" t="s">
        <v>322</v>
      </c>
      <c r="AA28" s="324"/>
      <c r="AB28" s="234" t="str">
        <f>'Base de Datos'!$C$8</f>
        <v>MARZO</v>
      </c>
      <c r="AC28" s="160"/>
      <c r="AF28" s="324" t="s">
        <v>322</v>
      </c>
      <c r="AG28" s="324"/>
      <c r="AH28" s="234" t="str">
        <f>'Base de Datos'!$C$8</f>
        <v>MARZO</v>
      </c>
      <c r="AI28" s="160"/>
      <c r="AL28" s="324" t="s">
        <v>322</v>
      </c>
      <c r="AM28" s="324"/>
      <c r="AN28" s="234" t="str">
        <f>'Base de Datos'!$C$8</f>
        <v>MARZO</v>
      </c>
      <c r="AO28" s="160"/>
      <c r="AR28" s="324" t="s">
        <v>322</v>
      </c>
      <c r="AS28" s="324"/>
      <c r="AT28" s="234" t="str">
        <f>'Base de Datos'!$C$8</f>
        <v>MARZO</v>
      </c>
      <c r="AU28" s="160"/>
      <c r="AX28" s="324" t="s">
        <v>322</v>
      </c>
      <c r="AY28" s="324"/>
      <c r="AZ28" s="234" t="str">
        <f>'Base de Datos'!$C$8</f>
        <v>MARZO</v>
      </c>
      <c r="BA28" s="160"/>
      <c r="BD28" s="324" t="s">
        <v>322</v>
      </c>
      <c r="BE28" s="324"/>
      <c r="BF28" s="234" t="str">
        <f>'Base de Datos'!$C$8</f>
        <v>MARZO</v>
      </c>
      <c r="BG28" s="160"/>
    </row>
    <row r="29" spans="2:63" x14ac:dyDescent="0.25">
      <c r="C29" s="2"/>
      <c r="D29" s="2"/>
      <c r="E29" s="2"/>
      <c r="I29" s="2"/>
      <c r="J29" s="2"/>
      <c r="K29" s="2"/>
      <c r="O29" s="2"/>
      <c r="P29" s="2"/>
      <c r="Q29" s="2"/>
      <c r="U29" s="2"/>
      <c r="V29" s="2"/>
      <c r="W29" s="2"/>
      <c r="AA29" s="2"/>
      <c r="AB29" s="2"/>
      <c r="AC29" s="2"/>
      <c r="AG29" s="2"/>
      <c r="AH29" s="2"/>
      <c r="AI29" s="2"/>
      <c r="AM29" s="2"/>
      <c r="AN29" s="2"/>
      <c r="AO29" s="2"/>
      <c r="AS29" s="2"/>
      <c r="AT29" s="2"/>
      <c r="AU29" s="2"/>
      <c r="AY29" s="2"/>
      <c r="AZ29" s="2"/>
      <c r="BA29" s="2"/>
      <c r="BE29" s="2"/>
      <c r="BF29" s="2"/>
      <c r="BG29" s="2"/>
    </row>
    <row r="30" spans="2:63" ht="15.6" x14ac:dyDescent="0.25">
      <c r="B30" s="324" t="s">
        <v>323</v>
      </c>
      <c r="C30" s="324"/>
      <c r="D30" s="231">
        <f>'Base de Datos'!$C$9</f>
        <v>2015</v>
      </c>
      <c r="E30" s="2"/>
      <c r="H30" s="324" t="s">
        <v>323</v>
      </c>
      <c r="I30" s="324"/>
      <c r="J30" s="231">
        <f>'Base de Datos'!$C$9</f>
        <v>2015</v>
      </c>
      <c r="K30" s="2"/>
      <c r="N30" s="324" t="s">
        <v>323</v>
      </c>
      <c r="O30" s="324"/>
      <c r="P30" s="231">
        <f>'Base de Datos'!$C$9</f>
        <v>2015</v>
      </c>
      <c r="Q30" s="2"/>
      <c r="T30" s="324" t="s">
        <v>323</v>
      </c>
      <c r="U30" s="324"/>
      <c r="V30" s="231">
        <f>'Base de Datos'!$C$9</f>
        <v>2015</v>
      </c>
      <c r="W30" s="2"/>
      <c r="Z30" s="324" t="s">
        <v>323</v>
      </c>
      <c r="AA30" s="324"/>
      <c r="AB30" s="231">
        <f>'Base de Datos'!$C$9</f>
        <v>2015</v>
      </c>
      <c r="AC30" s="2"/>
      <c r="AF30" s="324" t="s">
        <v>323</v>
      </c>
      <c r="AG30" s="324"/>
      <c r="AH30" s="231">
        <f>'Base de Datos'!$C$9</f>
        <v>2015</v>
      </c>
      <c r="AI30" s="2"/>
      <c r="AL30" s="324" t="s">
        <v>323</v>
      </c>
      <c r="AM30" s="324"/>
      <c r="AN30" s="231">
        <f>'Base de Datos'!$C$9</f>
        <v>2015</v>
      </c>
      <c r="AO30" s="2"/>
      <c r="AR30" s="324" t="s">
        <v>323</v>
      </c>
      <c r="AS30" s="324"/>
      <c r="AT30" s="231">
        <f>'Base de Datos'!$C$9</f>
        <v>2015</v>
      </c>
      <c r="AU30" s="2"/>
      <c r="AX30" s="324" t="s">
        <v>323</v>
      </c>
      <c r="AY30" s="324"/>
      <c r="AZ30" s="231">
        <f>'Base de Datos'!$C$9</f>
        <v>2015</v>
      </c>
      <c r="BA30" s="2"/>
      <c r="BD30" s="324" t="s">
        <v>323</v>
      </c>
      <c r="BE30" s="324"/>
      <c r="BF30" s="231">
        <f>'Base de Datos'!$C$9</f>
        <v>2015</v>
      </c>
      <c r="BG30" s="2"/>
    </row>
    <row r="31" spans="2:63" x14ac:dyDescent="0.25">
      <c r="C31" s="2"/>
      <c r="D31" s="2"/>
      <c r="E31" s="2"/>
      <c r="I31" s="2"/>
      <c r="J31" s="2"/>
      <c r="K31" s="2"/>
      <c r="O31" s="2"/>
      <c r="P31" s="2"/>
      <c r="Q31" s="2"/>
      <c r="U31" s="2"/>
      <c r="V31" s="2"/>
      <c r="W31" s="2"/>
      <c r="AA31" s="2"/>
      <c r="AB31" s="2"/>
      <c r="AC31" s="2"/>
      <c r="AG31" s="2"/>
      <c r="AH31" s="2"/>
      <c r="AI31" s="2"/>
      <c r="AM31" s="2"/>
      <c r="AN31" s="2"/>
      <c r="AO31" s="2"/>
      <c r="AS31" s="2"/>
      <c r="AT31" s="2"/>
      <c r="AU31" s="2"/>
      <c r="AY31" s="2"/>
      <c r="AZ31" s="2"/>
      <c r="BA31" s="2"/>
      <c r="BE31" s="2"/>
      <c r="BF31" s="2"/>
      <c r="BG31" s="2"/>
    </row>
    <row r="32" spans="2:63" ht="15.6" x14ac:dyDescent="0.25">
      <c r="B32" s="324" t="s">
        <v>324</v>
      </c>
      <c r="C32" s="324"/>
      <c r="D32" s="316">
        <f>'Base de Datos'!$C$6</f>
        <v>20411074561</v>
      </c>
      <c r="E32" s="316"/>
      <c r="H32" s="324" t="s">
        <v>324</v>
      </c>
      <c r="I32" s="324"/>
      <c r="J32" s="316">
        <f>'Base de Datos'!$C$6</f>
        <v>20411074561</v>
      </c>
      <c r="K32" s="316"/>
      <c r="N32" s="324" t="s">
        <v>324</v>
      </c>
      <c r="O32" s="324"/>
      <c r="P32" s="316">
        <f>'Base de Datos'!$C$6</f>
        <v>20411074561</v>
      </c>
      <c r="Q32" s="316"/>
      <c r="T32" s="324" t="s">
        <v>324</v>
      </c>
      <c r="U32" s="324"/>
      <c r="V32" s="316">
        <f>'Base de Datos'!$C$6</f>
        <v>20411074561</v>
      </c>
      <c r="W32" s="316"/>
      <c r="Z32" s="324" t="s">
        <v>324</v>
      </c>
      <c r="AA32" s="324"/>
      <c r="AB32" s="316">
        <f>'Base de Datos'!$C$6</f>
        <v>20411074561</v>
      </c>
      <c r="AC32" s="316"/>
      <c r="AF32" s="324" t="s">
        <v>324</v>
      </c>
      <c r="AG32" s="324"/>
      <c r="AH32" s="316">
        <f>'Base de Datos'!$C$6</f>
        <v>20411074561</v>
      </c>
      <c r="AI32" s="316"/>
      <c r="AL32" s="324" t="s">
        <v>324</v>
      </c>
      <c r="AM32" s="324"/>
      <c r="AN32" s="316">
        <f>'Base de Datos'!$C$6</f>
        <v>20411074561</v>
      </c>
      <c r="AO32" s="316"/>
      <c r="AR32" s="324" t="s">
        <v>324</v>
      </c>
      <c r="AS32" s="324"/>
      <c r="AT32" s="316">
        <f>'Base de Datos'!$C$6</f>
        <v>20411074561</v>
      </c>
      <c r="AU32" s="316"/>
      <c r="AX32" s="324" t="s">
        <v>324</v>
      </c>
      <c r="AY32" s="324"/>
      <c r="AZ32" s="316">
        <f>'Base de Datos'!$C$6</f>
        <v>20411074561</v>
      </c>
      <c r="BA32" s="316"/>
      <c r="BD32" s="324" t="s">
        <v>324</v>
      </c>
      <c r="BE32" s="324"/>
      <c r="BF32" s="316">
        <f>'Base de Datos'!$C$6</f>
        <v>20411074561</v>
      </c>
      <c r="BG32" s="316"/>
    </row>
    <row r="33" spans="2:63" x14ac:dyDescent="0.25">
      <c r="C33" s="2"/>
      <c r="D33" s="2"/>
      <c r="E33" s="2"/>
      <c r="I33" s="2"/>
      <c r="J33" s="2"/>
      <c r="K33" s="2"/>
      <c r="O33" s="2"/>
      <c r="P33" s="2"/>
      <c r="Q33" s="2"/>
      <c r="U33" s="2"/>
      <c r="V33" s="2"/>
      <c r="W33" s="2"/>
      <c r="AA33" s="2"/>
      <c r="AB33" s="2"/>
      <c r="AC33" s="2"/>
      <c r="AG33" s="2"/>
      <c r="AH33" s="2"/>
      <c r="AI33" s="2"/>
      <c r="AM33" s="2"/>
      <c r="AN33" s="2"/>
      <c r="AO33" s="2"/>
      <c r="AS33" s="2"/>
      <c r="AT33" s="2"/>
      <c r="AU33" s="2"/>
      <c r="AY33" s="2"/>
      <c r="AZ33" s="2"/>
      <c r="BA33" s="2"/>
      <c r="BE33" s="2"/>
      <c r="BF33" s="2"/>
      <c r="BG33" s="2"/>
    </row>
    <row r="34" spans="2:63" ht="15.6" x14ac:dyDescent="0.25">
      <c r="B34" s="324" t="s">
        <v>325</v>
      </c>
      <c r="C34" s="324"/>
      <c r="D34" s="234" t="str">
        <f>'Base de Datos'!$C$5</f>
        <v>LOS BAILARINES SRL</v>
      </c>
      <c r="E34" s="2"/>
      <c r="H34" s="324" t="s">
        <v>325</v>
      </c>
      <c r="I34" s="324"/>
      <c r="J34" s="234" t="str">
        <f>'Base de Datos'!$C$5</f>
        <v>LOS BAILARINES SRL</v>
      </c>
      <c r="K34" s="2"/>
      <c r="N34" s="324" t="s">
        <v>325</v>
      </c>
      <c r="O34" s="324"/>
      <c r="P34" s="234" t="str">
        <f>'Base de Datos'!$C$5</f>
        <v>LOS BAILARINES SRL</v>
      </c>
      <c r="Q34" s="2"/>
      <c r="T34" s="324" t="s">
        <v>325</v>
      </c>
      <c r="U34" s="324"/>
      <c r="V34" s="234" t="str">
        <f>'Base de Datos'!$C$5</f>
        <v>LOS BAILARINES SRL</v>
      </c>
      <c r="W34" s="2"/>
      <c r="Z34" s="324" t="s">
        <v>325</v>
      </c>
      <c r="AA34" s="324"/>
      <c r="AB34" s="234" t="str">
        <f>'Base de Datos'!$C$5</f>
        <v>LOS BAILARINES SRL</v>
      </c>
      <c r="AC34" s="2"/>
      <c r="AF34" s="324" t="s">
        <v>325</v>
      </c>
      <c r="AG34" s="324"/>
      <c r="AH34" s="234" t="str">
        <f>'Base de Datos'!$C$5</f>
        <v>LOS BAILARINES SRL</v>
      </c>
      <c r="AI34" s="2"/>
      <c r="AL34" s="324" t="s">
        <v>325</v>
      </c>
      <c r="AM34" s="324"/>
      <c r="AN34" s="234" t="str">
        <f>'Base de Datos'!$C$5</f>
        <v>LOS BAILARINES SRL</v>
      </c>
      <c r="AO34" s="2"/>
      <c r="AR34" s="324" t="s">
        <v>325</v>
      </c>
      <c r="AS34" s="324"/>
      <c r="AT34" s="234" t="str">
        <f>'Base de Datos'!$C$5</f>
        <v>LOS BAILARINES SRL</v>
      </c>
      <c r="AU34" s="2"/>
      <c r="AX34" s="324" t="s">
        <v>325</v>
      </c>
      <c r="AY34" s="324"/>
      <c r="AZ34" s="234" t="str">
        <f>'Base de Datos'!$C$5</f>
        <v>LOS BAILARINES SRL</v>
      </c>
      <c r="BA34" s="2"/>
      <c r="BD34" s="324" t="s">
        <v>325</v>
      </c>
      <c r="BE34" s="324"/>
      <c r="BF34" s="234" t="str">
        <f>'Base de Datos'!$C$5</f>
        <v>LOS BAILARINES SRL</v>
      </c>
      <c r="BG34" s="2"/>
    </row>
    <row r="35" spans="2:63" x14ac:dyDescent="0.25">
      <c r="B35" s="160"/>
      <c r="C35" s="160"/>
      <c r="D35" s="160"/>
      <c r="E35" s="160"/>
      <c r="H35" s="160"/>
      <c r="I35" s="160"/>
      <c r="J35" s="160"/>
      <c r="K35" s="160"/>
      <c r="N35" s="160"/>
      <c r="O35" s="160"/>
      <c r="P35" s="160"/>
      <c r="Q35" s="160"/>
      <c r="T35" s="160"/>
      <c r="U35" s="160"/>
      <c r="V35" s="160"/>
      <c r="W35" s="160"/>
      <c r="Z35" s="160"/>
      <c r="AA35" s="160"/>
      <c r="AB35" s="160"/>
      <c r="AC35" s="160"/>
      <c r="AF35" s="160"/>
      <c r="AG35" s="160"/>
      <c r="AH35" s="160"/>
      <c r="AI35" s="160"/>
      <c r="AL35" s="160"/>
      <c r="AM35" s="160"/>
      <c r="AN35" s="160"/>
      <c r="AO35" s="160"/>
      <c r="AR35" s="160"/>
      <c r="AS35" s="160"/>
      <c r="AT35" s="160"/>
      <c r="AU35" s="160"/>
      <c r="AX35" s="160"/>
      <c r="AY35" s="160"/>
      <c r="AZ35" s="160"/>
      <c r="BA35" s="160"/>
      <c r="BD35" s="160"/>
      <c r="BE35" s="160"/>
      <c r="BF35" s="160"/>
      <c r="BG35" s="160"/>
    </row>
    <row r="36" spans="2:63" ht="15.6" x14ac:dyDescent="0.25">
      <c r="B36" s="324" t="s">
        <v>472</v>
      </c>
      <c r="C36" s="324"/>
      <c r="D36" s="175">
        <v>20</v>
      </c>
      <c r="H36" s="324" t="s">
        <v>472</v>
      </c>
      <c r="I36" s="324"/>
      <c r="J36" s="175">
        <v>21</v>
      </c>
      <c r="N36" s="324" t="s">
        <v>472</v>
      </c>
      <c r="O36" s="324"/>
      <c r="P36" s="175">
        <v>22</v>
      </c>
      <c r="T36" s="324" t="s">
        <v>472</v>
      </c>
      <c r="U36" s="324"/>
      <c r="V36" s="175">
        <v>23</v>
      </c>
      <c r="Z36" s="324" t="s">
        <v>472</v>
      </c>
      <c r="AA36" s="324"/>
      <c r="AB36" s="175">
        <v>24</v>
      </c>
      <c r="AF36" s="324" t="s">
        <v>472</v>
      </c>
      <c r="AG36" s="324"/>
      <c r="AH36" s="175">
        <v>25</v>
      </c>
      <c r="AL36" s="324" t="s">
        <v>472</v>
      </c>
      <c r="AM36" s="324"/>
      <c r="AN36" s="175">
        <v>26</v>
      </c>
      <c r="AR36" s="324" t="s">
        <v>472</v>
      </c>
      <c r="AS36" s="324"/>
      <c r="AT36" s="175">
        <v>27</v>
      </c>
      <c r="AX36" s="324" t="s">
        <v>472</v>
      </c>
      <c r="AY36" s="324"/>
      <c r="AZ36" s="175">
        <v>28</v>
      </c>
      <c r="BD36" s="324" t="s">
        <v>472</v>
      </c>
      <c r="BE36" s="324"/>
      <c r="BF36" s="175">
        <v>29</v>
      </c>
    </row>
    <row r="37" spans="2:63" x14ac:dyDescent="0.25">
      <c r="B37" s="160"/>
      <c r="C37" s="160"/>
      <c r="D37" s="160"/>
      <c r="E37" s="160"/>
      <c r="H37" s="160"/>
      <c r="I37" s="160"/>
      <c r="J37" s="160"/>
      <c r="K37" s="160"/>
      <c r="N37" s="160"/>
      <c r="O37" s="160"/>
      <c r="P37" s="160"/>
      <c r="Q37" s="160"/>
      <c r="T37" s="160"/>
      <c r="U37" s="160"/>
      <c r="V37" s="160"/>
      <c r="W37" s="160"/>
      <c r="Z37" s="160"/>
      <c r="AA37" s="160"/>
      <c r="AB37" s="160"/>
      <c r="AC37" s="160"/>
      <c r="AF37" s="160"/>
      <c r="AG37" s="160"/>
      <c r="AH37" s="160"/>
      <c r="AI37" s="160"/>
      <c r="AL37" s="160"/>
      <c r="AM37" s="160"/>
      <c r="AN37" s="160"/>
      <c r="AO37" s="160"/>
      <c r="AR37" s="160"/>
      <c r="AS37" s="160"/>
      <c r="AT37" s="160"/>
      <c r="AU37" s="160"/>
      <c r="AX37" s="160"/>
      <c r="AY37" s="160"/>
      <c r="AZ37" s="160"/>
      <c r="BA37" s="160"/>
      <c r="BD37" s="160"/>
      <c r="BE37" s="160"/>
      <c r="BF37" s="160"/>
      <c r="BG37" s="160"/>
    </row>
    <row r="38" spans="2:63" ht="15.6" x14ac:dyDescent="0.25">
      <c r="B38" s="324" t="s">
        <v>473</v>
      </c>
      <c r="C38" s="324"/>
      <c r="D38" s="234" t="str">
        <f>VLOOKUP(D36,CuentasContables,5,FALSE)</f>
        <v>MERCADERÍAS</v>
      </c>
      <c r="E38" s="160"/>
      <c r="H38" s="324" t="s">
        <v>473</v>
      </c>
      <c r="I38" s="324"/>
      <c r="J38" s="234" t="str">
        <f>VLOOKUP(J36,CuentasContables,5,FALSE)</f>
        <v>PRODUCTOS TERMINADOS</v>
      </c>
      <c r="K38" s="160"/>
      <c r="N38" s="324" t="s">
        <v>473</v>
      </c>
      <c r="O38" s="324"/>
      <c r="P38" s="234" t="str">
        <f>VLOOKUP(P36,CuentasContables,5,FALSE)</f>
        <v>SUB-PRODUCTOS, DESECHOS Y DESPERDICIOS</v>
      </c>
      <c r="Q38" s="160"/>
      <c r="T38" s="324" t="s">
        <v>473</v>
      </c>
      <c r="U38" s="324"/>
      <c r="V38" s="234" t="str">
        <f>VLOOKUP(V36,CuentasContables,5,FALSE)</f>
        <v>PRODUCTOS EN PROCESO</v>
      </c>
      <c r="W38" s="160"/>
      <c r="Z38" s="324" t="s">
        <v>473</v>
      </c>
      <c r="AA38" s="324"/>
      <c r="AB38" s="234" t="str">
        <f>VLOOKUP(AB36,CuentasContables,5,FALSE)</f>
        <v>MATERIAS PRIMAS</v>
      </c>
      <c r="AC38" s="160"/>
      <c r="AF38" s="324" t="s">
        <v>473</v>
      </c>
      <c r="AG38" s="324"/>
      <c r="AH38" s="234" t="str">
        <f>VLOOKUP(AH36,CuentasContables,5,FALSE)</f>
        <v>MATERIALES AUXILIARES, SUMINISTROS Y REPUESTOS</v>
      </c>
      <c r="AI38" s="160"/>
      <c r="AL38" s="324" t="s">
        <v>473</v>
      </c>
      <c r="AM38" s="324"/>
      <c r="AN38" s="234" t="str">
        <f>VLOOKUP(AN36,CuentasContables,5,FALSE)</f>
        <v>ENVASES Y EMBALAJES</v>
      </c>
      <c r="AO38" s="160"/>
      <c r="AR38" s="324" t="s">
        <v>473</v>
      </c>
      <c r="AS38" s="324"/>
      <c r="AT38" s="234" t="str">
        <f>VLOOKUP(AT36,CuentasContables,5,FALSE)</f>
        <v>ACTIVOS NO CORRIENTES MANTENIDOS PARA LA VENTA</v>
      </c>
      <c r="AU38" s="160"/>
      <c r="AX38" s="324" t="s">
        <v>473</v>
      </c>
      <c r="AY38" s="324"/>
      <c r="AZ38" s="234" t="str">
        <f>VLOOKUP(AZ36,CuentasContables,5,FALSE)</f>
        <v>EXISTENCIAS POR RECIBIR</v>
      </c>
      <c r="BA38" s="160"/>
      <c r="BD38" s="324" t="s">
        <v>473</v>
      </c>
      <c r="BE38" s="324"/>
      <c r="BF38" s="234" t="str">
        <f>VLOOKUP(BF36,CuentasContables,5,FALSE)</f>
        <v>DESVALORIZACIÓN DE EXISTENCIAS</v>
      </c>
      <c r="BG38" s="160"/>
    </row>
    <row r="39" spans="2:63" ht="14.4" thickBot="1" x14ac:dyDescent="0.3">
      <c r="B39" s="160"/>
      <c r="C39" s="160"/>
      <c r="D39" s="160"/>
      <c r="E39" s="160"/>
      <c r="H39" s="160"/>
      <c r="I39" s="160"/>
      <c r="J39" s="160"/>
      <c r="K39" s="160"/>
      <c r="N39" s="160"/>
      <c r="O39" s="160"/>
      <c r="P39" s="160"/>
      <c r="Q39" s="160"/>
      <c r="T39" s="160"/>
      <c r="U39" s="160"/>
      <c r="V39" s="160"/>
      <c r="W39" s="160"/>
      <c r="Z39" s="160"/>
      <c r="AA39" s="160"/>
      <c r="AB39" s="160"/>
      <c r="AC39" s="160"/>
      <c r="AF39" s="160"/>
      <c r="AG39" s="160"/>
      <c r="AH39" s="160"/>
      <c r="AI39" s="160"/>
      <c r="AL39" s="160"/>
      <c r="AM39" s="160"/>
      <c r="AN39" s="160"/>
      <c r="AO39" s="160"/>
      <c r="AR39" s="160"/>
      <c r="AS39" s="160"/>
      <c r="AT39" s="160"/>
      <c r="AU39" s="160"/>
      <c r="AX39" s="160"/>
      <c r="AY39" s="160"/>
      <c r="AZ39" s="160"/>
      <c r="BA39" s="160"/>
      <c r="BD39" s="160"/>
      <c r="BE39" s="160"/>
      <c r="BF39" s="160"/>
      <c r="BG39" s="160"/>
    </row>
    <row r="40" spans="2:63" x14ac:dyDescent="0.25">
      <c r="B40" s="331" t="s">
        <v>466</v>
      </c>
      <c r="C40" s="333" t="s">
        <v>467</v>
      </c>
      <c r="D40" s="333" t="s">
        <v>468</v>
      </c>
      <c r="E40" s="333" t="s">
        <v>469</v>
      </c>
      <c r="F40" s="335"/>
      <c r="H40" s="331" t="s">
        <v>466</v>
      </c>
      <c r="I40" s="333" t="s">
        <v>467</v>
      </c>
      <c r="J40" s="333" t="s">
        <v>468</v>
      </c>
      <c r="K40" s="333" t="s">
        <v>469</v>
      </c>
      <c r="L40" s="335"/>
      <c r="N40" s="331" t="s">
        <v>466</v>
      </c>
      <c r="O40" s="333" t="s">
        <v>467</v>
      </c>
      <c r="P40" s="333" t="s">
        <v>468</v>
      </c>
      <c r="Q40" s="333" t="s">
        <v>469</v>
      </c>
      <c r="R40" s="335"/>
      <c r="T40" s="331" t="s">
        <v>466</v>
      </c>
      <c r="U40" s="333" t="s">
        <v>467</v>
      </c>
      <c r="V40" s="333" t="s">
        <v>468</v>
      </c>
      <c r="W40" s="333" t="s">
        <v>469</v>
      </c>
      <c r="X40" s="335"/>
      <c r="Z40" s="331" t="s">
        <v>466</v>
      </c>
      <c r="AA40" s="333" t="s">
        <v>467</v>
      </c>
      <c r="AB40" s="333" t="s">
        <v>468</v>
      </c>
      <c r="AC40" s="333" t="s">
        <v>469</v>
      </c>
      <c r="AD40" s="335"/>
      <c r="AF40" s="331" t="s">
        <v>466</v>
      </c>
      <c r="AG40" s="333" t="s">
        <v>467</v>
      </c>
      <c r="AH40" s="333" t="s">
        <v>468</v>
      </c>
      <c r="AI40" s="333" t="s">
        <v>469</v>
      </c>
      <c r="AJ40" s="335"/>
      <c r="AL40" s="331" t="s">
        <v>466</v>
      </c>
      <c r="AM40" s="333" t="s">
        <v>467</v>
      </c>
      <c r="AN40" s="333" t="s">
        <v>468</v>
      </c>
      <c r="AO40" s="333" t="s">
        <v>469</v>
      </c>
      <c r="AP40" s="335"/>
      <c r="AR40" s="331" t="s">
        <v>466</v>
      </c>
      <c r="AS40" s="333" t="s">
        <v>467</v>
      </c>
      <c r="AT40" s="333" t="s">
        <v>468</v>
      </c>
      <c r="AU40" s="333" t="s">
        <v>469</v>
      </c>
      <c r="AV40" s="335"/>
      <c r="AX40" s="331" t="s">
        <v>466</v>
      </c>
      <c r="AY40" s="333" t="s">
        <v>467</v>
      </c>
      <c r="AZ40" s="333" t="s">
        <v>468</v>
      </c>
      <c r="BA40" s="333" t="s">
        <v>469</v>
      </c>
      <c r="BB40" s="335"/>
      <c r="BD40" s="325" t="s">
        <v>466</v>
      </c>
      <c r="BE40" s="327" t="s">
        <v>467</v>
      </c>
      <c r="BF40" s="327" t="s">
        <v>468</v>
      </c>
      <c r="BG40" s="329" t="s">
        <v>469</v>
      </c>
      <c r="BH40" s="330"/>
    </row>
    <row r="41" spans="2:63" ht="14.4" thickBot="1" x14ac:dyDescent="0.3">
      <c r="B41" s="332"/>
      <c r="C41" s="334"/>
      <c r="D41" s="334"/>
      <c r="E41" s="232" t="s">
        <v>403</v>
      </c>
      <c r="F41" s="174" t="s">
        <v>402</v>
      </c>
      <c r="H41" s="332"/>
      <c r="I41" s="334"/>
      <c r="J41" s="334"/>
      <c r="K41" s="232" t="s">
        <v>403</v>
      </c>
      <c r="L41" s="174" t="s">
        <v>402</v>
      </c>
      <c r="N41" s="332"/>
      <c r="O41" s="334"/>
      <c r="P41" s="334"/>
      <c r="Q41" s="232" t="s">
        <v>403</v>
      </c>
      <c r="R41" s="174" t="s">
        <v>402</v>
      </c>
      <c r="T41" s="332"/>
      <c r="U41" s="334"/>
      <c r="V41" s="334"/>
      <c r="W41" s="232" t="s">
        <v>403</v>
      </c>
      <c r="X41" s="174" t="s">
        <v>402</v>
      </c>
      <c r="Z41" s="332"/>
      <c r="AA41" s="334"/>
      <c r="AB41" s="334"/>
      <c r="AC41" s="232" t="s">
        <v>403</v>
      </c>
      <c r="AD41" s="174" t="s">
        <v>402</v>
      </c>
      <c r="AF41" s="332"/>
      <c r="AG41" s="334"/>
      <c r="AH41" s="334"/>
      <c r="AI41" s="232" t="s">
        <v>403</v>
      </c>
      <c r="AJ41" s="174" t="s">
        <v>402</v>
      </c>
      <c r="AL41" s="332"/>
      <c r="AM41" s="334"/>
      <c r="AN41" s="334"/>
      <c r="AO41" s="232" t="s">
        <v>403</v>
      </c>
      <c r="AP41" s="174" t="s">
        <v>402</v>
      </c>
      <c r="AR41" s="332"/>
      <c r="AS41" s="334"/>
      <c r="AT41" s="334"/>
      <c r="AU41" s="232" t="s">
        <v>403</v>
      </c>
      <c r="AV41" s="174" t="s">
        <v>402</v>
      </c>
      <c r="AX41" s="332"/>
      <c r="AY41" s="334"/>
      <c r="AZ41" s="334"/>
      <c r="BA41" s="232" t="s">
        <v>403</v>
      </c>
      <c r="BB41" s="174" t="s">
        <v>402</v>
      </c>
      <c r="BD41" s="326"/>
      <c r="BE41" s="328"/>
      <c r="BF41" s="328"/>
      <c r="BG41" s="232" t="s">
        <v>403</v>
      </c>
      <c r="BH41" s="174" t="s">
        <v>402</v>
      </c>
    </row>
    <row r="42" spans="2:63" ht="14.4" thickTop="1" x14ac:dyDescent="0.25">
      <c r="B42" s="236">
        <v>41670</v>
      </c>
      <c r="C42" s="171"/>
      <c r="D42" s="166" t="s">
        <v>470</v>
      </c>
      <c r="E42" s="167">
        <f>SUMIF('Libro Diario Convencional'!$B$15:$B$167,D36,'Libro Diario Convencional'!$I$15:$I$167)</f>
        <v>154100</v>
      </c>
      <c r="F42" s="168">
        <f>SUMIF('Libro Diario Convencional'!$B$15:$B$167,D36,'Libro Diario Convencional'!$J$15:$J$167)</f>
        <v>128800</v>
      </c>
      <c r="G42" s="9"/>
      <c r="H42" s="236">
        <v>41670</v>
      </c>
      <c r="I42" s="171"/>
      <c r="J42" s="166" t="s">
        <v>470</v>
      </c>
      <c r="K42" s="167">
        <f>SUMIF('Libro Diario Convencional'!$B$15:$B$167,J36,'Libro Diario Convencional'!$I$15:$I$167)</f>
        <v>0</v>
      </c>
      <c r="L42" s="168">
        <f>SUMIF('Libro Diario Convencional'!$B$15:$B$167,J36,'Libro Diario Convencional'!$J$15:$J$167)</f>
        <v>0</v>
      </c>
      <c r="M42" s="9"/>
      <c r="N42" s="236">
        <v>41670</v>
      </c>
      <c r="O42" s="171"/>
      <c r="P42" s="166" t="s">
        <v>470</v>
      </c>
      <c r="Q42" s="167">
        <f>SUMIF('Libro Diario Convencional'!$B$15:$B$167,P36,'Libro Diario Convencional'!$I$15:$I$167)</f>
        <v>0</v>
      </c>
      <c r="R42" s="168">
        <f>SUMIF('Libro Diario Convencional'!$B$15:$B$167,P36,'Libro Diario Convencional'!$J$15:$J$167)</f>
        <v>0</v>
      </c>
      <c r="S42" s="9"/>
      <c r="T42" s="236">
        <v>41670</v>
      </c>
      <c r="U42" s="171"/>
      <c r="V42" s="166" t="s">
        <v>470</v>
      </c>
      <c r="W42" s="167">
        <f>SUMIF('Libro Diario Convencional'!$B$15:$B$167,V36,'Libro Diario Convencional'!$I$15:$I$167)</f>
        <v>0</v>
      </c>
      <c r="X42" s="168">
        <f>SUMIF('Libro Diario Convencional'!$B$15:$B$167,V36,'Libro Diario Convencional'!$J$15:$J$167)</f>
        <v>0</v>
      </c>
      <c r="Y42" s="9"/>
      <c r="Z42" s="236">
        <v>41670</v>
      </c>
      <c r="AA42" s="171"/>
      <c r="AB42" s="166" t="s">
        <v>470</v>
      </c>
      <c r="AC42" s="167">
        <f>SUMIF('Libro Diario Convencional'!$B$15:$B$167,AB36,'Libro Diario Convencional'!$I$15:$I$167)</f>
        <v>0</v>
      </c>
      <c r="AD42" s="168">
        <f>SUMIF('Libro Diario Convencional'!$B$15:$B$167,AB36,'Libro Diario Convencional'!$J$15:$J$167)</f>
        <v>0</v>
      </c>
      <c r="AE42" s="9"/>
      <c r="AF42" s="236">
        <v>41670</v>
      </c>
      <c r="AG42" s="171"/>
      <c r="AH42" s="166" t="s">
        <v>470</v>
      </c>
      <c r="AI42" s="167">
        <f>SUMIF('Libro Diario Convencional'!$B$15:$B$167,AH36,'Libro Diario Convencional'!$I$15:$I$167)</f>
        <v>0</v>
      </c>
      <c r="AJ42" s="168">
        <f>SUMIF('Libro Diario Convencional'!$B$15:$B$167,AH36,'Libro Diario Convencional'!$J$15:$J$167)</f>
        <v>0</v>
      </c>
      <c r="AK42" s="9"/>
      <c r="AL42" s="236">
        <v>41670</v>
      </c>
      <c r="AM42" s="171"/>
      <c r="AN42" s="166" t="s">
        <v>470</v>
      </c>
      <c r="AO42" s="167">
        <f>SUMIF('Libro Diario Convencional'!$B$15:$B$167,AN36,'Libro Diario Convencional'!$I$15:$I$167)</f>
        <v>0</v>
      </c>
      <c r="AP42" s="168">
        <f>SUMIF('Libro Diario Convencional'!$B$15:$B$167,AN36,'Libro Diario Convencional'!$J$15:$J$167)</f>
        <v>0</v>
      </c>
      <c r="AQ42" s="9"/>
      <c r="AR42" s="236">
        <v>41670</v>
      </c>
      <c r="AS42" s="171"/>
      <c r="AT42" s="166" t="s">
        <v>470</v>
      </c>
      <c r="AU42" s="167">
        <f>SUMIF('Libro Diario Convencional'!$B$15:$B$167,AT36,'Libro Diario Convencional'!$I$15:$I$167)</f>
        <v>0</v>
      </c>
      <c r="AV42" s="168">
        <f>SUMIF('Libro Diario Convencional'!$B$15:$B$167,AT36,'Libro Diario Convencional'!$J$15:$J$167)</f>
        <v>0</v>
      </c>
      <c r="AW42" s="9"/>
      <c r="AX42" s="236">
        <v>41670</v>
      </c>
      <c r="AY42" s="171"/>
      <c r="AZ42" s="166" t="s">
        <v>470</v>
      </c>
      <c r="BA42" s="167">
        <f>SUMIF('Libro Diario Convencional'!$B$15:$B$167,AZ36,'Libro Diario Convencional'!$I$15:$I$167)</f>
        <v>0</v>
      </c>
      <c r="BB42" s="168">
        <f>SUMIF('Libro Diario Convencional'!$B$15:$B$167,AZ36,'Libro Diario Convencional'!$J$15:$J$167)</f>
        <v>0</v>
      </c>
      <c r="BD42" s="236">
        <v>41670</v>
      </c>
      <c r="BE42" s="171"/>
      <c r="BF42" s="166" t="s">
        <v>470</v>
      </c>
      <c r="BG42" s="167">
        <f>SUMIF('Libro Diario Convencional'!$B$15:$B$167,BF36,'Libro Diario Convencional'!$I$15:$I$167)</f>
        <v>0</v>
      </c>
      <c r="BH42" s="168">
        <f>SUMIF('Libro Diario Convencional'!$B$15:$B$167,BF36,'Libro Diario Convencional'!$J$15:$J$167)</f>
        <v>0</v>
      </c>
    </row>
    <row r="43" spans="2:63" x14ac:dyDescent="0.25">
      <c r="B43" s="169">
        <v>41670</v>
      </c>
      <c r="C43" s="172"/>
      <c r="D43" s="161" t="s">
        <v>474</v>
      </c>
      <c r="E43" s="162">
        <f>SUMIF('Asientos de Cierre'!$B$6:$B$549,D36,'Asientos de Cierre'!$J$6:$J$549)</f>
        <v>0</v>
      </c>
      <c r="F43" s="163">
        <f>SUMIF('Asientos de Cierre'!$B$6:$B$549,D36,'Asientos de Cierre'!$K$6:$K$549)</f>
        <v>0</v>
      </c>
      <c r="G43" s="9"/>
      <c r="H43" s="169">
        <v>41670</v>
      </c>
      <c r="I43" s="172"/>
      <c r="J43" s="161" t="s">
        <v>474</v>
      </c>
      <c r="K43" s="162">
        <f>SUMIF('Asientos de Cierre'!$B$6:$B$549,J36,'Asientos de Cierre'!$J$6:$J$549)</f>
        <v>0</v>
      </c>
      <c r="L43" s="163">
        <f>SUMIF('Asientos de Cierre'!$B$6:$B$549,J36,'Asientos de Cierre'!$K$6:$K$549)</f>
        <v>0</v>
      </c>
      <c r="M43" s="9"/>
      <c r="N43" s="169">
        <v>41670</v>
      </c>
      <c r="O43" s="172"/>
      <c r="P43" s="161" t="s">
        <v>474</v>
      </c>
      <c r="Q43" s="162">
        <f>SUMIF('Asientos de Cierre'!$B$6:$B$549,P36,'Asientos de Cierre'!$J$6:$J$549)</f>
        <v>0</v>
      </c>
      <c r="R43" s="163">
        <f>SUMIF('Asientos de Cierre'!$B$6:$B$549,P36,'Asientos de Cierre'!$K$6:$K$549)</f>
        <v>0</v>
      </c>
      <c r="S43" s="9"/>
      <c r="T43" s="169">
        <v>41670</v>
      </c>
      <c r="U43" s="172"/>
      <c r="V43" s="161" t="s">
        <v>474</v>
      </c>
      <c r="W43" s="162">
        <f>SUMIF('Asientos de Cierre'!$B$6:$B$549,V36,'Asientos de Cierre'!$J$6:$J$549)</f>
        <v>0</v>
      </c>
      <c r="X43" s="163">
        <f>SUMIF('Asientos de Cierre'!$B$6:$B$549,V36,'Asientos de Cierre'!$K$6:$K$549)</f>
        <v>0</v>
      </c>
      <c r="Y43" s="9"/>
      <c r="Z43" s="169">
        <v>41670</v>
      </c>
      <c r="AA43" s="172"/>
      <c r="AB43" s="161" t="s">
        <v>474</v>
      </c>
      <c r="AC43" s="162">
        <f>SUMIF('Asientos de Cierre'!$B$6:$B$549,AB36,'Asientos de Cierre'!$J$6:$J$549)</f>
        <v>0</v>
      </c>
      <c r="AD43" s="163">
        <f>SUMIF('Asientos de Cierre'!$B$6:$B$549,AB36,'Asientos de Cierre'!$K$6:$K$549)</f>
        <v>0</v>
      </c>
      <c r="AE43" s="9"/>
      <c r="AF43" s="169">
        <v>41670</v>
      </c>
      <c r="AG43" s="172"/>
      <c r="AH43" s="161" t="s">
        <v>474</v>
      </c>
      <c r="AI43" s="162">
        <f>SUMIF('Asientos de Cierre'!$B$6:$B$549,AH36,'Asientos de Cierre'!$J$6:$J$549)</f>
        <v>0</v>
      </c>
      <c r="AJ43" s="163">
        <f>SUMIF('Asientos de Cierre'!$B$6:$B$549,AH36,'Asientos de Cierre'!$K$6:$K$549)</f>
        <v>0</v>
      </c>
      <c r="AK43" s="9"/>
      <c r="AL43" s="169">
        <v>41670</v>
      </c>
      <c r="AM43" s="172"/>
      <c r="AN43" s="161" t="s">
        <v>474</v>
      </c>
      <c r="AO43" s="162">
        <f>SUMIF('Asientos de Cierre'!$B$6:$B$549,AN36,'Asientos de Cierre'!$J$6:$J$549)</f>
        <v>0</v>
      </c>
      <c r="AP43" s="163">
        <f>SUMIF('Asientos de Cierre'!$B$6:$B$549,AN36,'Asientos de Cierre'!$K$6:$K$549)</f>
        <v>0</v>
      </c>
      <c r="AQ43" s="9"/>
      <c r="AR43" s="169">
        <v>41670</v>
      </c>
      <c r="AS43" s="172"/>
      <c r="AT43" s="161" t="s">
        <v>474</v>
      </c>
      <c r="AU43" s="162">
        <f>SUMIF('Asientos de Cierre'!$B$6:$B$549,AT36,'Asientos de Cierre'!$J$6:$J$549)</f>
        <v>0</v>
      </c>
      <c r="AV43" s="163">
        <f>SUMIF('Asientos de Cierre'!$B$6:$B$549,AT36,'Asientos de Cierre'!$K$6:$K$549)</f>
        <v>0</v>
      </c>
      <c r="AW43" s="9"/>
      <c r="AX43" s="169">
        <v>41670</v>
      </c>
      <c r="AY43" s="172"/>
      <c r="AZ43" s="161" t="s">
        <v>474</v>
      </c>
      <c r="BA43" s="162">
        <f>SUMIF('Asientos de Cierre'!$B$6:$B$549,AZ36,'Asientos de Cierre'!$J$6:$J$549)</f>
        <v>0</v>
      </c>
      <c r="BB43" s="163">
        <f>SUMIF('Asientos de Cierre'!$B$6:$B$549,AZ36,'Asientos de Cierre'!$K$6:$K$549)</f>
        <v>0</v>
      </c>
      <c r="BD43" s="169">
        <v>41670</v>
      </c>
      <c r="BE43" s="172"/>
      <c r="BF43" s="161" t="s">
        <v>474</v>
      </c>
      <c r="BG43" s="162">
        <f>SUMIF('Asientos de Cierre'!$B$6:$B$549,BF36,'Asientos de Cierre'!$J$6:$J$549)</f>
        <v>0</v>
      </c>
      <c r="BH43" s="163">
        <f>SUMIF('Asientos de Cierre'!$B$6:$B$549,BF36,'Asientos de Cierre'!$K$6:$K$549)</f>
        <v>0</v>
      </c>
    </row>
    <row r="44" spans="2:63" x14ac:dyDescent="0.25">
      <c r="B44" s="169"/>
      <c r="C44" s="172"/>
      <c r="D44" s="161"/>
      <c r="E44" s="162"/>
      <c r="F44" s="163"/>
      <c r="G44" s="9"/>
      <c r="H44" s="169"/>
      <c r="I44" s="172"/>
      <c r="J44" s="161"/>
      <c r="K44" s="162"/>
      <c r="L44" s="163"/>
      <c r="M44" s="9"/>
      <c r="N44" s="169"/>
      <c r="O44" s="172"/>
      <c r="P44" s="161"/>
      <c r="Q44" s="162"/>
      <c r="R44" s="163"/>
      <c r="S44" s="9"/>
      <c r="T44" s="169"/>
      <c r="U44" s="172"/>
      <c r="V44" s="161"/>
      <c r="W44" s="162"/>
      <c r="X44" s="163"/>
      <c r="Y44" s="9"/>
      <c r="Z44" s="169"/>
      <c r="AA44" s="172"/>
      <c r="AB44" s="161"/>
      <c r="AC44" s="162"/>
      <c r="AD44" s="163"/>
      <c r="AE44" s="9"/>
      <c r="AF44" s="169"/>
      <c r="AG44" s="172"/>
      <c r="AH44" s="161"/>
      <c r="AI44" s="162"/>
      <c r="AJ44" s="163"/>
      <c r="AK44" s="9"/>
      <c r="AL44" s="169"/>
      <c r="AM44" s="172"/>
      <c r="AN44" s="161"/>
      <c r="AO44" s="162"/>
      <c r="AP44" s="163"/>
      <c r="AQ44" s="9"/>
      <c r="AR44" s="169"/>
      <c r="AS44" s="172"/>
      <c r="AT44" s="161"/>
      <c r="AU44" s="162"/>
      <c r="AV44" s="163"/>
      <c r="AW44" s="9"/>
      <c r="AX44" s="169"/>
      <c r="AY44" s="172"/>
      <c r="AZ44" s="161"/>
      <c r="BA44" s="162"/>
      <c r="BB44" s="163"/>
      <c r="BD44" s="169"/>
      <c r="BE44" s="172"/>
      <c r="BF44" s="161"/>
      <c r="BG44" s="162"/>
      <c r="BH44" s="163"/>
    </row>
    <row r="45" spans="2:63" ht="14.4" thickBot="1" x14ac:dyDescent="0.3">
      <c r="B45" s="169"/>
      <c r="C45" s="172"/>
      <c r="D45" s="161"/>
      <c r="E45" s="162"/>
      <c r="F45" s="163"/>
      <c r="G45" s="9"/>
      <c r="H45" s="169"/>
      <c r="I45" s="172"/>
      <c r="J45" s="161"/>
      <c r="K45" s="162"/>
      <c r="L45" s="163"/>
      <c r="M45" s="9"/>
      <c r="N45" s="169"/>
      <c r="O45" s="172"/>
      <c r="P45" s="161"/>
      <c r="Q45" s="162"/>
      <c r="R45" s="163"/>
      <c r="S45" s="9"/>
      <c r="T45" s="169"/>
      <c r="U45" s="172"/>
      <c r="V45" s="161"/>
      <c r="W45" s="162"/>
      <c r="X45" s="163"/>
      <c r="Y45" s="9"/>
      <c r="Z45" s="169"/>
      <c r="AA45" s="172"/>
      <c r="AB45" s="161"/>
      <c r="AC45" s="162"/>
      <c r="AD45" s="163"/>
      <c r="AE45" s="9"/>
      <c r="AF45" s="169"/>
      <c r="AG45" s="172"/>
      <c r="AH45" s="161"/>
      <c r="AI45" s="162"/>
      <c r="AJ45" s="163"/>
      <c r="AK45" s="9"/>
      <c r="AL45" s="169"/>
      <c r="AM45" s="172"/>
      <c r="AN45" s="161"/>
      <c r="AO45" s="162"/>
      <c r="AP45" s="163"/>
      <c r="AQ45" s="9"/>
      <c r="AR45" s="169"/>
      <c r="AS45" s="172"/>
      <c r="AT45" s="161"/>
      <c r="AU45" s="162"/>
      <c r="AV45" s="163"/>
      <c r="AW45" s="9"/>
      <c r="AX45" s="169"/>
      <c r="AY45" s="172"/>
      <c r="AZ45" s="161"/>
      <c r="BA45" s="162"/>
      <c r="BB45" s="163"/>
      <c r="BD45" s="169"/>
      <c r="BE45" s="172"/>
      <c r="BF45" s="161"/>
      <c r="BG45" s="162"/>
      <c r="BH45" s="163"/>
    </row>
    <row r="46" spans="2:63" ht="15" thickBot="1" x14ac:dyDescent="0.3">
      <c r="B46" s="169"/>
      <c r="C46" s="172"/>
      <c r="D46" s="161" t="s">
        <v>471</v>
      </c>
      <c r="E46" s="162">
        <f>SUM(E42:E45)</f>
        <v>154100</v>
      </c>
      <c r="F46" s="163">
        <f>SUM(F42:F45)</f>
        <v>128800</v>
      </c>
      <c r="G46" s="9"/>
      <c r="H46" s="169"/>
      <c r="I46" s="172"/>
      <c r="J46" s="161" t="s">
        <v>471</v>
      </c>
      <c r="K46" s="162">
        <f>SUM(K42:K45)</f>
        <v>0</v>
      </c>
      <c r="L46" s="163">
        <f>SUM(L42:L45)</f>
        <v>0</v>
      </c>
      <c r="M46" s="9"/>
      <c r="N46" s="169"/>
      <c r="O46" s="172"/>
      <c r="P46" s="161" t="s">
        <v>471</v>
      </c>
      <c r="Q46" s="162">
        <f>SUM(Q42:Q45)</f>
        <v>0</v>
      </c>
      <c r="R46" s="163">
        <f>SUM(R42:R45)</f>
        <v>0</v>
      </c>
      <c r="S46" s="9"/>
      <c r="T46" s="169"/>
      <c r="U46" s="172"/>
      <c r="V46" s="161" t="s">
        <v>471</v>
      </c>
      <c r="W46" s="162">
        <f>SUM(W42:W45)</f>
        <v>0</v>
      </c>
      <c r="X46" s="163">
        <f>SUM(X42:X45)</f>
        <v>0</v>
      </c>
      <c r="Y46" s="9"/>
      <c r="Z46" s="169"/>
      <c r="AA46" s="172"/>
      <c r="AB46" s="161" t="s">
        <v>471</v>
      </c>
      <c r="AC46" s="162">
        <f>SUM(AC42:AC45)</f>
        <v>0</v>
      </c>
      <c r="AD46" s="163">
        <f>SUM(AD42:AD45)</f>
        <v>0</v>
      </c>
      <c r="AE46" s="9"/>
      <c r="AF46" s="169"/>
      <c r="AG46" s="172"/>
      <c r="AH46" s="161" t="s">
        <v>471</v>
      </c>
      <c r="AI46" s="162">
        <f>SUM(AI42:AI45)</f>
        <v>0</v>
      </c>
      <c r="AJ46" s="163">
        <f>SUM(AJ42:AJ45)</f>
        <v>0</v>
      </c>
      <c r="AK46" s="9"/>
      <c r="AL46" s="169"/>
      <c r="AM46" s="172"/>
      <c r="AN46" s="161" t="s">
        <v>471</v>
      </c>
      <c r="AO46" s="162">
        <f>SUM(AO42:AO45)</f>
        <v>0</v>
      </c>
      <c r="AP46" s="163">
        <f>SUM(AP42:AP45)</f>
        <v>0</v>
      </c>
      <c r="AQ46" s="9"/>
      <c r="AR46" s="169"/>
      <c r="AS46" s="172"/>
      <c r="AT46" s="161" t="s">
        <v>471</v>
      </c>
      <c r="AU46" s="162">
        <f>SUM(AU42:AU45)</f>
        <v>0</v>
      </c>
      <c r="AV46" s="163">
        <f>SUM(AV42:AV45)</f>
        <v>0</v>
      </c>
      <c r="AW46" s="9"/>
      <c r="AX46" s="169"/>
      <c r="AY46" s="172"/>
      <c r="AZ46" s="161" t="s">
        <v>471</v>
      </c>
      <c r="BA46" s="162">
        <f>SUM(BA42:BA45)</f>
        <v>0</v>
      </c>
      <c r="BB46" s="163">
        <f>SUM(BB42:BB45)</f>
        <v>0</v>
      </c>
      <c r="BD46" s="169"/>
      <c r="BE46" s="172"/>
      <c r="BF46" s="161" t="s">
        <v>471</v>
      </c>
      <c r="BG46" s="162">
        <f>SUM(BG42:BG45)</f>
        <v>0</v>
      </c>
      <c r="BH46" s="163">
        <f>SUM(BH42:BH45)</f>
        <v>0</v>
      </c>
      <c r="BJ46" s="157">
        <f>SUM(E46,K46,Q46,W46,AC46,AI46,AO46,AU46,BA46,BG46)</f>
        <v>154100</v>
      </c>
      <c r="BK46" s="158">
        <f>SUM(F46,L46,R46,X46,AD46,AJ46,AP46,AV46,BB46,BH46)</f>
        <v>128800</v>
      </c>
    </row>
    <row r="47" spans="2:63" ht="14.4" thickBot="1" x14ac:dyDescent="0.3">
      <c r="B47" s="170"/>
      <c r="C47" s="173"/>
      <c r="D47" s="164" t="str">
        <f>IF(E46=F46,"",IF(E46&gt;F46,"Saldo Deudor","Saldo Acreedor"))</f>
        <v>Saldo Deudor</v>
      </c>
      <c r="E47" s="165">
        <f>IF(E46&gt;F46,E46-F46,"")</f>
        <v>25300</v>
      </c>
      <c r="F47" s="176" t="str">
        <f>IF(E46&lt;F46,F46-E46,"")</f>
        <v/>
      </c>
      <c r="H47" s="170"/>
      <c r="I47" s="173"/>
      <c r="J47" s="164" t="str">
        <f>IF(K46=L46,"",IF(K46&gt;L46,"Saldo Deudor","Saldo Acreedor"))</f>
        <v/>
      </c>
      <c r="K47" s="165" t="str">
        <f>IF(K46&gt;L46,K46-L46,"")</f>
        <v/>
      </c>
      <c r="L47" s="176" t="str">
        <f>IF(K46&lt;L46,L46-K46,"")</f>
        <v/>
      </c>
      <c r="N47" s="170"/>
      <c r="O47" s="173"/>
      <c r="P47" s="164" t="str">
        <f>IF(Q46=R46,"",IF(Q46&gt;R46,"Saldo Deudor","Saldo Acreedor"))</f>
        <v/>
      </c>
      <c r="Q47" s="165" t="str">
        <f>IF(Q46&gt;R46,Q46-R46,"")</f>
        <v/>
      </c>
      <c r="R47" s="176" t="str">
        <f>IF(Q46&lt;R46,R46-Q46,"")</f>
        <v/>
      </c>
      <c r="T47" s="170"/>
      <c r="U47" s="173"/>
      <c r="V47" s="164" t="str">
        <f>IF(W46=X46,"",IF(W46&gt;X46,"Saldo Deudor","Saldo Acreedor"))</f>
        <v/>
      </c>
      <c r="W47" s="165" t="str">
        <f>IF(W46&gt;X46,W46-X46,"")</f>
        <v/>
      </c>
      <c r="X47" s="176" t="str">
        <f>IF(W46&lt;X46,X46-W46,"")</f>
        <v/>
      </c>
      <c r="Z47" s="170"/>
      <c r="AA47" s="173"/>
      <c r="AB47" s="164" t="str">
        <f>IF(AC46=AD46,"",IF(AC46&gt;AD46,"Saldo Deudor","Saldo Acreedor"))</f>
        <v/>
      </c>
      <c r="AC47" s="165" t="str">
        <f>IF(AC46&gt;AD46,AC46-AD46,"")</f>
        <v/>
      </c>
      <c r="AD47" s="176" t="str">
        <f>IF(AC46&lt;AD46,AD46-AC46,"")</f>
        <v/>
      </c>
      <c r="AF47" s="170"/>
      <c r="AG47" s="173"/>
      <c r="AH47" s="164" t="str">
        <f>IF(AI46=AJ46,"",IF(AI46&gt;AJ46,"Saldo Deudor","Saldo Acreedor"))</f>
        <v/>
      </c>
      <c r="AI47" s="165" t="str">
        <f>IF(AI46&gt;AJ46,AI46-AJ46,"")</f>
        <v/>
      </c>
      <c r="AJ47" s="176" t="str">
        <f>IF(AI46&lt;AJ46,AJ46-AI46,"")</f>
        <v/>
      </c>
      <c r="AL47" s="170"/>
      <c r="AM47" s="173"/>
      <c r="AN47" s="164" t="str">
        <f>IF(AO46=AP46,"",IF(AO46&gt;AP46,"Saldo Deudor","Saldo Acreedor"))</f>
        <v/>
      </c>
      <c r="AO47" s="165" t="str">
        <f>IF(AO46&gt;AP46,AO46-AP46,"")</f>
        <v/>
      </c>
      <c r="AP47" s="176" t="str">
        <f>IF(AO46&lt;AP46,AP46-AO46,"")</f>
        <v/>
      </c>
      <c r="AR47" s="170"/>
      <c r="AS47" s="173"/>
      <c r="AT47" s="164" t="str">
        <f>IF(AU46=AV46,"",IF(AU46&gt;AV46,"Saldo Deudor","Saldo Acreedor"))</f>
        <v/>
      </c>
      <c r="AU47" s="165" t="str">
        <f>IF(AU46&gt;AV46,AU46-AV46,"")</f>
        <v/>
      </c>
      <c r="AV47" s="176" t="str">
        <f>IF(AU46&lt;AV46,AV46-AU46,"")</f>
        <v/>
      </c>
      <c r="AX47" s="170"/>
      <c r="AY47" s="173"/>
      <c r="AZ47" s="164" t="str">
        <f>IF(BA46=BB46,"",IF(BA46&gt;BB46,"Saldo Deudor","Saldo Acreedor"))</f>
        <v/>
      </c>
      <c r="BA47" s="165" t="str">
        <f>IF(BA46&gt;BB46,BA46-BB46,"")</f>
        <v/>
      </c>
      <c r="BB47" s="176" t="str">
        <f>IF(BA46&lt;BB46,BB46-BA46,"")</f>
        <v/>
      </c>
      <c r="BD47" s="170"/>
      <c r="BE47" s="173"/>
      <c r="BF47" s="164" t="str">
        <f>IF(BG46=BH46,"",IF(BG46&gt;BH46,"Saldo Deudor","Saldo Acreedor"))</f>
        <v/>
      </c>
      <c r="BG47" s="165" t="str">
        <f>IF(BG46&gt;BH46,BG46-BH46,"")</f>
        <v/>
      </c>
      <c r="BH47" s="176" t="str">
        <f>IF(BG46&lt;BH46,BH46-BG46,"")</f>
        <v/>
      </c>
    </row>
    <row r="50" spans="2:60" ht="15.6" x14ac:dyDescent="0.25">
      <c r="B50" s="324" t="s">
        <v>321</v>
      </c>
      <c r="C50" s="324"/>
      <c r="D50" s="233" t="str">
        <f>'Base de Datos'!$C$756</f>
        <v>LIBRO MAYOR</v>
      </c>
      <c r="H50" s="324" t="s">
        <v>321</v>
      </c>
      <c r="I50" s="324"/>
      <c r="J50" s="233" t="str">
        <f>'Base de Datos'!$C$756</f>
        <v>LIBRO MAYOR</v>
      </c>
      <c r="N50" s="324" t="s">
        <v>321</v>
      </c>
      <c r="O50" s="324"/>
      <c r="P50" s="233" t="str">
        <f>'Base de Datos'!$C$756</f>
        <v>LIBRO MAYOR</v>
      </c>
      <c r="T50" s="324" t="s">
        <v>321</v>
      </c>
      <c r="U50" s="324"/>
      <c r="V50" s="233" t="str">
        <f>'Base de Datos'!$C$756</f>
        <v>LIBRO MAYOR</v>
      </c>
      <c r="Z50" s="324" t="s">
        <v>321</v>
      </c>
      <c r="AA50" s="324"/>
      <c r="AB50" s="233" t="str">
        <f>'Base de Datos'!$C$756</f>
        <v>LIBRO MAYOR</v>
      </c>
      <c r="AF50" s="324" t="s">
        <v>321</v>
      </c>
      <c r="AG50" s="324"/>
      <c r="AH50" s="233" t="str">
        <f>'Base de Datos'!$C$756</f>
        <v>LIBRO MAYOR</v>
      </c>
      <c r="AL50" s="324" t="s">
        <v>321</v>
      </c>
      <c r="AM50" s="324"/>
      <c r="AN50" s="233" t="str">
        <f>'Base de Datos'!$C$756</f>
        <v>LIBRO MAYOR</v>
      </c>
      <c r="AR50" s="324" t="s">
        <v>321</v>
      </c>
      <c r="AS50" s="324"/>
      <c r="AT50" s="233" t="str">
        <f>'Base de Datos'!$C$756</f>
        <v>LIBRO MAYOR</v>
      </c>
      <c r="AX50" s="324" t="s">
        <v>321</v>
      </c>
      <c r="AY50" s="324"/>
      <c r="AZ50" s="233" t="str">
        <f>'Base de Datos'!$C$756</f>
        <v>LIBRO MAYOR</v>
      </c>
      <c r="BD50" s="324" t="s">
        <v>321</v>
      </c>
      <c r="BE50" s="324"/>
      <c r="BF50" s="233" t="str">
        <f>'Base de Datos'!$C$756</f>
        <v>LIBRO MAYOR</v>
      </c>
    </row>
    <row r="51" spans="2:60" x14ac:dyDescent="0.25">
      <c r="C51" s="2"/>
      <c r="D51" s="2"/>
      <c r="E51" s="2"/>
      <c r="I51" s="2"/>
      <c r="J51" s="2"/>
      <c r="K51" s="2"/>
      <c r="O51" s="2"/>
      <c r="P51" s="2"/>
      <c r="Q51" s="2"/>
      <c r="U51" s="2"/>
      <c r="V51" s="2"/>
      <c r="W51" s="2"/>
      <c r="AA51" s="2"/>
      <c r="AB51" s="2"/>
      <c r="AC51" s="2"/>
      <c r="AG51" s="2"/>
      <c r="AH51" s="2"/>
      <c r="AI51" s="2"/>
      <c r="AM51" s="2"/>
      <c r="AN51" s="2"/>
      <c r="AO51" s="2"/>
      <c r="AS51" s="2"/>
      <c r="AT51" s="2"/>
      <c r="AU51" s="2"/>
      <c r="AY51" s="2"/>
      <c r="AZ51" s="2"/>
      <c r="BA51" s="2"/>
      <c r="BE51" s="2"/>
      <c r="BF51" s="2"/>
      <c r="BG51" s="2"/>
    </row>
    <row r="52" spans="2:60" ht="15.6" x14ac:dyDescent="0.25">
      <c r="B52" s="324" t="s">
        <v>322</v>
      </c>
      <c r="C52" s="324"/>
      <c r="D52" s="234" t="str">
        <f>'Base de Datos'!$C$8</f>
        <v>MARZO</v>
      </c>
      <c r="E52" s="160"/>
      <c r="H52" s="324" t="s">
        <v>322</v>
      </c>
      <c r="I52" s="324"/>
      <c r="J52" s="234" t="str">
        <f>'Base de Datos'!$C$8</f>
        <v>MARZO</v>
      </c>
      <c r="K52" s="160"/>
      <c r="N52" s="324" t="s">
        <v>322</v>
      </c>
      <c r="O52" s="324"/>
      <c r="P52" s="234" t="str">
        <f>'Base de Datos'!$C$8</f>
        <v>MARZO</v>
      </c>
      <c r="Q52" s="160"/>
      <c r="T52" s="324" t="s">
        <v>322</v>
      </c>
      <c r="U52" s="324"/>
      <c r="V52" s="234" t="str">
        <f>'Base de Datos'!$C$8</f>
        <v>MARZO</v>
      </c>
      <c r="W52" s="160"/>
      <c r="Z52" s="324" t="s">
        <v>322</v>
      </c>
      <c r="AA52" s="324"/>
      <c r="AB52" s="234" t="str">
        <f>'Base de Datos'!$C$8</f>
        <v>MARZO</v>
      </c>
      <c r="AC52" s="160"/>
      <c r="AF52" s="324" t="s">
        <v>322</v>
      </c>
      <c r="AG52" s="324"/>
      <c r="AH52" s="234" t="str">
        <f>'Base de Datos'!$C$8</f>
        <v>MARZO</v>
      </c>
      <c r="AI52" s="160"/>
      <c r="AL52" s="324" t="s">
        <v>322</v>
      </c>
      <c r="AM52" s="324"/>
      <c r="AN52" s="234" t="str">
        <f>'Base de Datos'!$C$8</f>
        <v>MARZO</v>
      </c>
      <c r="AO52" s="160"/>
      <c r="AR52" s="324" t="s">
        <v>322</v>
      </c>
      <c r="AS52" s="324"/>
      <c r="AT52" s="234" t="str">
        <f>'Base de Datos'!$C$8</f>
        <v>MARZO</v>
      </c>
      <c r="AU52" s="160"/>
      <c r="AX52" s="324" t="s">
        <v>322</v>
      </c>
      <c r="AY52" s="324"/>
      <c r="AZ52" s="234" t="str">
        <f>'Base de Datos'!$C$8</f>
        <v>MARZO</v>
      </c>
      <c r="BA52" s="160"/>
      <c r="BD52" s="324" t="s">
        <v>322</v>
      </c>
      <c r="BE52" s="324"/>
      <c r="BF52" s="234" t="str">
        <f>'Base de Datos'!$C$8</f>
        <v>MARZO</v>
      </c>
      <c r="BG52" s="160"/>
    </row>
    <row r="53" spans="2:60" x14ac:dyDescent="0.25">
      <c r="C53" s="2"/>
      <c r="D53" s="2"/>
      <c r="E53" s="2"/>
      <c r="I53" s="2"/>
      <c r="J53" s="2"/>
      <c r="K53" s="2"/>
      <c r="O53" s="2"/>
      <c r="P53" s="2"/>
      <c r="Q53" s="2"/>
      <c r="U53" s="2"/>
      <c r="V53" s="2"/>
      <c r="W53" s="2"/>
      <c r="AA53" s="2"/>
      <c r="AB53" s="2"/>
      <c r="AC53" s="2"/>
      <c r="AG53" s="2"/>
      <c r="AH53" s="2"/>
      <c r="AI53" s="2"/>
      <c r="AM53" s="2"/>
      <c r="AN53" s="2"/>
      <c r="AO53" s="2"/>
      <c r="AS53" s="2"/>
      <c r="AT53" s="2"/>
      <c r="AU53" s="2"/>
      <c r="AY53" s="2"/>
      <c r="AZ53" s="2"/>
      <c r="BA53" s="2"/>
      <c r="BE53" s="2"/>
      <c r="BF53" s="2"/>
      <c r="BG53" s="2"/>
    </row>
    <row r="54" spans="2:60" ht="15.6" x14ac:dyDescent="0.25">
      <c r="B54" s="324" t="s">
        <v>323</v>
      </c>
      <c r="C54" s="324"/>
      <c r="D54" s="231">
        <f>'Base de Datos'!$C$9</f>
        <v>2015</v>
      </c>
      <c r="E54" s="2"/>
      <c r="H54" s="324" t="s">
        <v>323</v>
      </c>
      <c r="I54" s="324"/>
      <c r="J54" s="231">
        <f>'Base de Datos'!$C$9</f>
        <v>2015</v>
      </c>
      <c r="K54" s="2"/>
      <c r="N54" s="324" t="s">
        <v>323</v>
      </c>
      <c r="O54" s="324"/>
      <c r="P54" s="231">
        <f>'Base de Datos'!$C$9</f>
        <v>2015</v>
      </c>
      <c r="Q54" s="2"/>
      <c r="T54" s="324" t="s">
        <v>323</v>
      </c>
      <c r="U54" s="324"/>
      <c r="V54" s="231">
        <f>'Base de Datos'!$C$9</f>
        <v>2015</v>
      </c>
      <c r="W54" s="2"/>
      <c r="Z54" s="324" t="s">
        <v>323</v>
      </c>
      <c r="AA54" s="324"/>
      <c r="AB54" s="231">
        <f>'Base de Datos'!$C$9</f>
        <v>2015</v>
      </c>
      <c r="AC54" s="2"/>
      <c r="AF54" s="324" t="s">
        <v>323</v>
      </c>
      <c r="AG54" s="324"/>
      <c r="AH54" s="231">
        <f>'Base de Datos'!$C$9</f>
        <v>2015</v>
      </c>
      <c r="AI54" s="2"/>
      <c r="AL54" s="324" t="s">
        <v>323</v>
      </c>
      <c r="AM54" s="324"/>
      <c r="AN54" s="231">
        <f>'Base de Datos'!$C$9</f>
        <v>2015</v>
      </c>
      <c r="AO54" s="2"/>
      <c r="AR54" s="324" t="s">
        <v>323</v>
      </c>
      <c r="AS54" s="324"/>
      <c r="AT54" s="231">
        <f>'Base de Datos'!$C$9</f>
        <v>2015</v>
      </c>
      <c r="AU54" s="2"/>
      <c r="AX54" s="324" t="s">
        <v>323</v>
      </c>
      <c r="AY54" s="324"/>
      <c r="AZ54" s="231">
        <f>'Base de Datos'!$C$9</f>
        <v>2015</v>
      </c>
      <c r="BA54" s="2"/>
      <c r="BD54" s="324" t="s">
        <v>323</v>
      </c>
      <c r="BE54" s="324"/>
      <c r="BF54" s="231">
        <f>'Base de Datos'!$C$9</f>
        <v>2015</v>
      </c>
      <c r="BG54" s="2"/>
    </row>
    <row r="55" spans="2:60" x14ac:dyDescent="0.25">
      <c r="C55" s="2"/>
      <c r="D55" s="2"/>
      <c r="E55" s="2"/>
      <c r="I55" s="2"/>
      <c r="J55" s="2"/>
      <c r="K55" s="2"/>
      <c r="O55" s="2"/>
      <c r="P55" s="2"/>
      <c r="Q55" s="2"/>
      <c r="U55" s="2"/>
      <c r="V55" s="2"/>
      <c r="W55" s="2"/>
      <c r="AA55" s="2"/>
      <c r="AB55" s="2"/>
      <c r="AC55" s="2"/>
      <c r="AG55" s="2"/>
      <c r="AH55" s="2"/>
      <c r="AI55" s="2"/>
      <c r="AM55" s="2"/>
      <c r="AN55" s="2"/>
      <c r="AO55" s="2"/>
      <c r="AS55" s="2"/>
      <c r="AT55" s="2"/>
      <c r="AU55" s="2"/>
      <c r="AY55" s="2"/>
      <c r="AZ55" s="2"/>
      <c r="BA55" s="2"/>
      <c r="BE55" s="2"/>
      <c r="BF55" s="2"/>
      <c r="BG55" s="2"/>
    </row>
    <row r="56" spans="2:60" ht="15.6" x14ac:dyDescent="0.25">
      <c r="B56" s="324" t="s">
        <v>324</v>
      </c>
      <c r="C56" s="324"/>
      <c r="D56" s="316">
        <f>'Base de Datos'!$C$6</f>
        <v>20411074561</v>
      </c>
      <c r="E56" s="316"/>
      <c r="H56" s="324" t="s">
        <v>324</v>
      </c>
      <c r="I56" s="324"/>
      <c r="J56" s="316">
        <f>'Base de Datos'!$C$6</f>
        <v>20411074561</v>
      </c>
      <c r="K56" s="316"/>
      <c r="N56" s="324" t="s">
        <v>324</v>
      </c>
      <c r="O56" s="324"/>
      <c r="P56" s="316">
        <f>'Base de Datos'!$C$6</f>
        <v>20411074561</v>
      </c>
      <c r="Q56" s="316"/>
      <c r="T56" s="324" t="s">
        <v>324</v>
      </c>
      <c r="U56" s="324"/>
      <c r="V56" s="316">
        <f>'Base de Datos'!$C$6</f>
        <v>20411074561</v>
      </c>
      <c r="W56" s="316"/>
      <c r="Z56" s="324" t="s">
        <v>324</v>
      </c>
      <c r="AA56" s="324"/>
      <c r="AB56" s="316">
        <f>'Base de Datos'!$C$6</f>
        <v>20411074561</v>
      </c>
      <c r="AC56" s="316"/>
      <c r="AF56" s="324" t="s">
        <v>324</v>
      </c>
      <c r="AG56" s="324"/>
      <c r="AH56" s="316">
        <f>'Base de Datos'!$C$6</f>
        <v>20411074561</v>
      </c>
      <c r="AI56" s="316"/>
      <c r="AL56" s="324" t="s">
        <v>324</v>
      </c>
      <c r="AM56" s="324"/>
      <c r="AN56" s="316">
        <f>'Base de Datos'!$C$6</f>
        <v>20411074561</v>
      </c>
      <c r="AO56" s="316"/>
      <c r="AR56" s="324" t="s">
        <v>324</v>
      </c>
      <c r="AS56" s="324"/>
      <c r="AT56" s="316">
        <f>'Base de Datos'!$C$6</f>
        <v>20411074561</v>
      </c>
      <c r="AU56" s="316"/>
      <c r="AX56" s="324" t="s">
        <v>324</v>
      </c>
      <c r="AY56" s="324"/>
      <c r="AZ56" s="316">
        <f>'Base de Datos'!$C$6</f>
        <v>20411074561</v>
      </c>
      <c r="BA56" s="316"/>
      <c r="BD56" s="324" t="s">
        <v>324</v>
      </c>
      <c r="BE56" s="324"/>
      <c r="BF56" s="316">
        <f>'Base de Datos'!$C$6</f>
        <v>20411074561</v>
      </c>
      <c r="BG56" s="316"/>
    </row>
    <row r="57" spans="2:60" x14ac:dyDescent="0.25">
      <c r="C57" s="2"/>
      <c r="D57" s="2"/>
      <c r="E57" s="2"/>
      <c r="I57" s="2"/>
      <c r="J57" s="2"/>
      <c r="K57" s="2"/>
      <c r="O57" s="2"/>
      <c r="P57" s="2"/>
      <c r="Q57" s="2"/>
      <c r="U57" s="2"/>
      <c r="V57" s="2"/>
      <c r="W57" s="2"/>
      <c r="AA57" s="2"/>
      <c r="AB57" s="2"/>
      <c r="AC57" s="2"/>
      <c r="AG57" s="2"/>
      <c r="AH57" s="2"/>
      <c r="AI57" s="2"/>
      <c r="AM57" s="2"/>
      <c r="AN57" s="2"/>
      <c r="AO57" s="2"/>
      <c r="AS57" s="2"/>
      <c r="AT57" s="2"/>
      <c r="AU57" s="2"/>
      <c r="AY57" s="2"/>
      <c r="AZ57" s="2"/>
      <c r="BA57" s="2"/>
      <c r="BE57" s="2"/>
      <c r="BF57" s="2"/>
      <c r="BG57" s="2"/>
    </row>
    <row r="58" spans="2:60" ht="15.6" x14ac:dyDescent="0.25">
      <c r="B58" s="324" t="s">
        <v>325</v>
      </c>
      <c r="C58" s="324"/>
      <c r="D58" s="234" t="str">
        <f>'Base de Datos'!$C$5</f>
        <v>LOS BAILARINES SRL</v>
      </c>
      <c r="E58" s="2"/>
      <c r="H58" s="324" t="s">
        <v>325</v>
      </c>
      <c r="I58" s="324"/>
      <c r="J58" s="234" t="str">
        <f>'Base de Datos'!$C$5</f>
        <v>LOS BAILARINES SRL</v>
      </c>
      <c r="K58" s="2"/>
      <c r="N58" s="324" t="s">
        <v>325</v>
      </c>
      <c r="O58" s="324"/>
      <c r="P58" s="234" t="str">
        <f>'Base de Datos'!$C$5</f>
        <v>LOS BAILARINES SRL</v>
      </c>
      <c r="Q58" s="2"/>
      <c r="T58" s="324" t="s">
        <v>325</v>
      </c>
      <c r="U58" s="324"/>
      <c r="V58" s="234" t="str">
        <f>'Base de Datos'!$C$5</f>
        <v>LOS BAILARINES SRL</v>
      </c>
      <c r="W58" s="2"/>
      <c r="Z58" s="324" t="s">
        <v>325</v>
      </c>
      <c r="AA58" s="324"/>
      <c r="AB58" s="234" t="str">
        <f>'Base de Datos'!$C$5</f>
        <v>LOS BAILARINES SRL</v>
      </c>
      <c r="AC58" s="2"/>
      <c r="AF58" s="324" t="s">
        <v>325</v>
      </c>
      <c r="AG58" s="324"/>
      <c r="AH58" s="234" t="str">
        <f>'Base de Datos'!$C$5</f>
        <v>LOS BAILARINES SRL</v>
      </c>
      <c r="AI58" s="2"/>
      <c r="AL58" s="324" t="s">
        <v>325</v>
      </c>
      <c r="AM58" s="324"/>
      <c r="AN58" s="234" t="str">
        <f>'Base de Datos'!$C$5</f>
        <v>LOS BAILARINES SRL</v>
      </c>
      <c r="AO58" s="2"/>
      <c r="AR58" s="324" t="s">
        <v>325</v>
      </c>
      <c r="AS58" s="324"/>
      <c r="AT58" s="234" t="str">
        <f>'Base de Datos'!$C$5</f>
        <v>LOS BAILARINES SRL</v>
      </c>
      <c r="AU58" s="2"/>
      <c r="AX58" s="324" t="s">
        <v>325</v>
      </c>
      <c r="AY58" s="324"/>
      <c r="AZ58" s="234" t="str">
        <f>'Base de Datos'!$C$5</f>
        <v>LOS BAILARINES SRL</v>
      </c>
      <c r="BA58" s="2"/>
      <c r="BD58" s="324" t="s">
        <v>325</v>
      </c>
      <c r="BE58" s="324"/>
      <c r="BF58" s="234" t="str">
        <f>'Base de Datos'!$C$5</f>
        <v>LOS BAILARINES SRL</v>
      </c>
      <c r="BG58" s="2"/>
    </row>
    <row r="59" spans="2:60" x14ac:dyDescent="0.25">
      <c r="B59" s="160"/>
      <c r="C59" s="160"/>
      <c r="D59" s="160"/>
      <c r="E59" s="160"/>
      <c r="H59" s="160"/>
      <c r="I59" s="160"/>
      <c r="J59" s="160"/>
      <c r="K59" s="160"/>
      <c r="N59" s="160"/>
      <c r="O59" s="160"/>
      <c r="P59" s="160"/>
      <c r="Q59" s="160"/>
      <c r="T59" s="160"/>
      <c r="U59" s="160"/>
      <c r="V59" s="160"/>
      <c r="W59" s="160"/>
      <c r="Z59" s="160"/>
      <c r="AA59" s="160"/>
      <c r="AB59" s="160"/>
      <c r="AC59" s="160"/>
      <c r="AF59" s="160"/>
      <c r="AG59" s="160"/>
      <c r="AH59" s="160"/>
      <c r="AI59" s="160"/>
      <c r="AL59" s="160"/>
      <c r="AM59" s="160"/>
      <c r="AN59" s="160"/>
      <c r="AO59" s="160"/>
      <c r="AR59" s="160"/>
      <c r="AS59" s="160"/>
      <c r="AT59" s="160"/>
      <c r="AU59" s="160"/>
      <c r="AX59" s="160"/>
      <c r="AY59" s="160"/>
      <c r="AZ59" s="160"/>
      <c r="BA59" s="160"/>
      <c r="BD59" s="160"/>
      <c r="BE59" s="160"/>
      <c r="BF59" s="160"/>
      <c r="BG59" s="160"/>
    </row>
    <row r="60" spans="2:60" ht="15.6" x14ac:dyDescent="0.25">
      <c r="B60" s="324" t="s">
        <v>472</v>
      </c>
      <c r="C60" s="324"/>
      <c r="D60" s="175">
        <v>30</v>
      </c>
      <c r="H60" s="324" t="s">
        <v>472</v>
      </c>
      <c r="I60" s="324"/>
      <c r="J60" s="175">
        <v>31</v>
      </c>
      <c r="N60" s="324" t="s">
        <v>472</v>
      </c>
      <c r="O60" s="324"/>
      <c r="P60" s="175">
        <v>32</v>
      </c>
      <c r="T60" s="324" t="s">
        <v>472</v>
      </c>
      <c r="U60" s="324"/>
      <c r="V60" s="175">
        <v>33</v>
      </c>
      <c r="Z60" s="324" t="s">
        <v>472</v>
      </c>
      <c r="AA60" s="324"/>
      <c r="AB60" s="175">
        <v>34</v>
      </c>
      <c r="AF60" s="324" t="s">
        <v>472</v>
      </c>
      <c r="AG60" s="324"/>
      <c r="AH60" s="175">
        <v>35</v>
      </c>
      <c r="AL60" s="324" t="s">
        <v>472</v>
      </c>
      <c r="AM60" s="324"/>
      <c r="AN60" s="175">
        <v>36</v>
      </c>
      <c r="AR60" s="324" t="s">
        <v>472</v>
      </c>
      <c r="AS60" s="324"/>
      <c r="AT60" s="175">
        <v>37</v>
      </c>
      <c r="AX60" s="324" t="s">
        <v>472</v>
      </c>
      <c r="AY60" s="324"/>
      <c r="AZ60" s="175">
        <v>38</v>
      </c>
      <c r="BD60" s="324" t="s">
        <v>472</v>
      </c>
      <c r="BE60" s="324"/>
      <c r="BF60" s="175">
        <v>39</v>
      </c>
    </row>
    <row r="61" spans="2:60" x14ac:dyDescent="0.25">
      <c r="B61" s="160"/>
      <c r="C61" s="160"/>
      <c r="D61" s="160"/>
      <c r="E61" s="160"/>
      <c r="H61" s="160"/>
      <c r="I61" s="160"/>
      <c r="J61" s="160"/>
      <c r="K61" s="160"/>
      <c r="N61" s="160"/>
      <c r="O61" s="160"/>
      <c r="P61" s="160"/>
      <c r="Q61" s="160"/>
      <c r="T61" s="160"/>
      <c r="U61" s="160"/>
      <c r="V61" s="160"/>
      <c r="W61" s="160"/>
      <c r="Z61" s="160"/>
      <c r="AA61" s="160"/>
      <c r="AB61" s="160"/>
      <c r="AC61" s="160"/>
      <c r="AF61" s="160"/>
      <c r="AG61" s="160"/>
      <c r="AH61" s="160"/>
      <c r="AI61" s="160"/>
      <c r="AL61" s="160"/>
      <c r="AM61" s="160"/>
      <c r="AN61" s="160"/>
      <c r="AO61" s="160"/>
      <c r="AR61" s="160"/>
      <c r="AS61" s="160"/>
      <c r="AT61" s="160"/>
      <c r="AU61" s="160"/>
      <c r="AX61" s="160"/>
      <c r="AY61" s="160"/>
      <c r="AZ61" s="160"/>
      <c r="BA61" s="160"/>
      <c r="BD61" s="160"/>
      <c r="BE61" s="160"/>
      <c r="BF61" s="160"/>
      <c r="BG61" s="160"/>
    </row>
    <row r="62" spans="2:60" ht="15.6" x14ac:dyDescent="0.25">
      <c r="B62" s="324" t="s">
        <v>473</v>
      </c>
      <c r="C62" s="324"/>
      <c r="D62" s="234" t="str">
        <f>VLOOKUP(D60,CuentasContables,5,FALSE)</f>
        <v>INVERSIONES MOBILIARIAS</v>
      </c>
      <c r="E62" s="160"/>
      <c r="H62" s="324" t="s">
        <v>473</v>
      </c>
      <c r="I62" s="324"/>
      <c r="J62" s="234" t="str">
        <f>VLOOKUP(J60,CuentasContables,5,FALSE)</f>
        <v>INVERSIONES INMOBILIARIAS</v>
      </c>
      <c r="K62" s="160"/>
      <c r="N62" s="324" t="s">
        <v>473</v>
      </c>
      <c r="O62" s="324"/>
      <c r="P62" s="234" t="str">
        <f>VLOOKUP(P60,CuentasContables,5,FALSE)</f>
        <v>ACTIVOS ADQUIRIDOS EN ARRENDAMIENTO FINANCIERO</v>
      </c>
      <c r="Q62" s="160"/>
      <c r="T62" s="324" t="s">
        <v>473</v>
      </c>
      <c r="U62" s="324"/>
      <c r="V62" s="234" t="str">
        <f>VLOOKUP(V60,CuentasContables,5,FALSE)</f>
        <v>INMUEBLES, MAQUINARIA Y EQUIPO</v>
      </c>
      <c r="W62" s="160"/>
      <c r="Z62" s="324" t="s">
        <v>473</v>
      </c>
      <c r="AA62" s="324"/>
      <c r="AB62" s="234" t="str">
        <f>VLOOKUP(AB60,CuentasContables,5,FALSE)</f>
        <v>INTANGIBLES</v>
      </c>
      <c r="AC62" s="160"/>
      <c r="AF62" s="324" t="s">
        <v>473</v>
      </c>
      <c r="AG62" s="324"/>
      <c r="AH62" s="234" t="str">
        <f>VLOOKUP(AH60,CuentasContables,5,FALSE)</f>
        <v>ACTIVOS BIOLÓGICOS</v>
      </c>
      <c r="AI62" s="160"/>
      <c r="AL62" s="324" t="s">
        <v>473</v>
      </c>
      <c r="AM62" s="324"/>
      <c r="AN62" s="234" t="str">
        <f>VLOOKUP(AN60,CuentasContables,5,FALSE)</f>
        <v>DESVALORIZACIÓN DE ACTIVO INMOVILIZADO</v>
      </c>
      <c r="AO62" s="160"/>
      <c r="AR62" s="324" t="s">
        <v>473</v>
      </c>
      <c r="AS62" s="324"/>
      <c r="AT62" s="234" t="str">
        <f>VLOOKUP(AT60,CuentasContables,5,FALSE)</f>
        <v>ACTIVO DIFERIDO</v>
      </c>
      <c r="AU62" s="160"/>
      <c r="AX62" s="324" t="s">
        <v>473</v>
      </c>
      <c r="AY62" s="324"/>
      <c r="AZ62" s="234" t="str">
        <f>VLOOKUP(AZ60,CuentasContables,5,FALSE)</f>
        <v>OTROS ACTIVOS</v>
      </c>
      <c r="BA62" s="160"/>
      <c r="BD62" s="324" t="s">
        <v>473</v>
      </c>
      <c r="BE62" s="324"/>
      <c r="BF62" s="234" t="str">
        <f>VLOOKUP(BF60,CuentasContables,5,FALSE)</f>
        <v>DEPRECIACIÓN, AMORTIZACIÓN Y AGOTAMIENTO ACUMULADOS</v>
      </c>
      <c r="BG62" s="160"/>
    </row>
    <row r="63" spans="2:60" ht="14.4" thickBot="1" x14ac:dyDescent="0.3">
      <c r="B63" s="160"/>
      <c r="C63" s="160"/>
      <c r="D63" s="160"/>
      <c r="E63" s="160"/>
      <c r="H63" s="160"/>
      <c r="I63" s="160"/>
      <c r="J63" s="160"/>
      <c r="K63" s="160"/>
      <c r="N63" s="160"/>
      <c r="O63" s="160"/>
      <c r="P63" s="160"/>
      <c r="Q63" s="160"/>
      <c r="T63" s="160"/>
      <c r="U63" s="160"/>
      <c r="V63" s="160"/>
      <c r="W63" s="160"/>
      <c r="Z63" s="160"/>
      <c r="AA63" s="160"/>
      <c r="AB63" s="160"/>
      <c r="AC63" s="160"/>
      <c r="AF63" s="160"/>
      <c r="AG63" s="160"/>
      <c r="AH63" s="160"/>
      <c r="AI63" s="160"/>
      <c r="AL63" s="160"/>
      <c r="AM63" s="160"/>
      <c r="AN63" s="160"/>
      <c r="AO63" s="160"/>
      <c r="AR63" s="160"/>
      <c r="AS63" s="160"/>
      <c r="AT63" s="160"/>
      <c r="AU63" s="160"/>
      <c r="AX63" s="160"/>
      <c r="AY63" s="160"/>
      <c r="AZ63" s="160"/>
      <c r="BA63" s="160"/>
      <c r="BD63" s="160"/>
      <c r="BE63" s="160"/>
      <c r="BF63" s="160"/>
      <c r="BG63" s="160"/>
    </row>
    <row r="64" spans="2:60" x14ac:dyDescent="0.25">
      <c r="B64" s="331" t="s">
        <v>466</v>
      </c>
      <c r="C64" s="333" t="s">
        <v>467</v>
      </c>
      <c r="D64" s="333" t="s">
        <v>468</v>
      </c>
      <c r="E64" s="333" t="s">
        <v>469</v>
      </c>
      <c r="F64" s="335"/>
      <c r="H64" s="331" t="s">
        <v>466</v>
      </c>
      <c r="I64" s="333" t="s">
        <v>467</v>
      </c>
      <c r="J64" s="333" t="s">
        <v>468</v>
      </c>
      <c r="K64" s="333" t="s">
        <v>469</v>
      </c>
      <c r="L64" s="335"/>
      <c r="N64" s="331" t="s">
        <v>466</v>
      </c>
      <c r="O64" s="333" t="s">
        <v>467</v>
      </c>
      <c r="P64" s="333" t="s">
        <v>468</v>
      </c>
      <c r="Q64" s="333" t="s">
        <v>469</v>
      </c>
      <c r="R64" s="335"/>
      <c r="T64" s="331" t="s">
        <v>466</v>
      </c>
      <c r="U64" s="333" t="s">
        <v>467</v>
      </c>
      <c r="V64" s="333" t="s">
        <v>468</v>
      </c>
      <c r="W64" s="333" t="s">
        <v>469</v>
      </c>
      <c r="X64" s="335"/>
      <c r="Z64" s="331" t="s">
        <v>466</v>
      </c>
      <c r="AA64" s="333" t="s">
        <v>467</v>
      </c>
      <c r="AB64" s="333" t="s">
        <v>468</v>
      </c>
      <c r="AC64" s="333" t="s">
        <v>469</v>
      </c>
      <c r="AD64" s="335"/>
      <c r="AF64" s="331" t="s">
        <v>466</v>
      </c>
      <c r="AG64" s="333" t="s">
        <v>467</v>
      </c>
      <c r="AH64" s="333" t="s">
        <v>468</v>
      </c>
      <c r="AI64" s="333" t="s">
        <v>469</v>
      </c>
      <c r="AJ64" s="335"/>
      <c r="AL64" s="331" t="s">
        <v>466</v>
      </c>
      <c r="AM64" s="333" t="s">
        <v>467</v>
      </c>
      <c r="AN64" s="333" t="s">
        <v>468</v>
      </c>
      <c r="AO64" s="333" t="s">
        <v>469</v>
      </c>
      <c r="AP64" s="335"/>
      <c r="AR64" s="331" t="s">
        <v>466</v>
      </c>
      <c r="AS64" s="333" t="s">
        <v>467</v>
      </c>
      <c r="AT64" s="333" t="s">
        <v>468</v>
      </c>
      <c r="AU64" s="333" t="s">
        <v>469</v>
      </c>
      <c r="AV64" s="335"/>
      <c r="AX64" s="331" t="s">
        <v>466</v>
      </c>
      <c r="AY64" s="333" t="s">
        <v>467</v>
      </c>
      <c r="AZ64" s="333" t="s">
        <v>468</v>
      </c>
      <c r="BA64" s="333" t="s">
        <v>469</v>
      </c>
      <c r="BB64" s="335"/>
      <c r="BD64" s="331" t="s">
        <v>466</v>
      </c>
      <c r="BE64" s="333" t="s">
        <v>467</v>
      </c>
      <c r="BF64" s="333" t="s">
        <v>468</v>
      </c>
      <c r="BG64" s="333" t="s">
        <v>469</v>
      </c>
      <c r="BH64" s="335"/>
    </row>
    <row r="65" spans="2:63" ht="14.4" thickBot="1" x14ac:dyDescent="0.3">
      <c r="B65" s="332"/>
      <c r="C65" s="334"/>
      <c r="D65" s="334"/>
      <c r="E65" s="232" t="s">
        <v>403</v>
      </c>
      <c r="F65" s="174" t="s">
        <v>402</v>
      </c>
      <c r="H65" s="332"/>
      <c r="I65" s="334"/>
      <c r="J65" s="334"/>
      <c r="K65" s="232" t="s">
        <v>403</v>
      </c>
      <c r="L65" s="174" t="s">
        <v>402</v>
      </c>
      <c r="N65" s="332"/>
      <c r="O65" s="334"/>
      <c r="P65" s="334"/>
      <c r="Q65" s="232" t="s">
        <v>403</v>
      </c>
      <c r="R65" s="174" t="s">
        <v>402</v>
      </c>
      <c r="T65" s="332"/>
      <c r="U65" s="334"/>
      <c r="V65" s="334"/>
      <c r="W65" s="232" t="s">
        <v>403</v>
      </c>
      <c r="X65" s="174" t="s">
        <v>402</v>
      </c>
      <c r="Z65" s="332"/>
      <c r="AA65" s="334"/>
      <c r="AB65" s="334"/>
      <c r="AC65" s="232" t="s">
        <v>403</v>
      </c>
      <c r="AD65" s="174" t="s">
        <v>402</v>
      </c>
      <c r="AF65" s="332"/>
      <c r="AG65" s="334"/>
      <c r="AH65" s="334"/>
      <c r="AI65" s="232" t="s">
        <v>403</v>
      </c>
      <c r="AJ65" s="174" t="s">
        <v>402</v>
      </c>
      <c r="AL65" s="332"/>
      <c r="AM65" s="334"/>
      <c r="AN65" s="334"/>
      <c r="AO65" s="232" t="s">
        <v>403</v>
      </c>
      <c r="AP65" s="174" t="s">
        <v>402</v>
      </c>
      <c r="AR65" s="332"/>
      <c r="AS65" s="334"/>
      <c r="AT65" s="334"/>
      <c r="AU65" s="232" t="s">
        <v>403</v>
      </c>
      <c r="AV65" s="174" t="s">
        <v>402</v>
      </c>
      <c r="AX65" s="332"/>
      <c r="AY65" s="334"/>
      <c r="AZ65" s="334"/>
      <c r="BA65" s="232" t="s">
        <v>403</v>
      </c>
      <c r="BB65" s="174" t="s">
        <v>402</v>
      </c>
      <c r="BD65" s="332"/>
      <c r="BE65" s="334"/>
      <c r="BF65" s="334"/>
      <c r="BG65" s="232" t="s">
        <v>403</v>
      </c>
      <c r="BH65" s="174" t="s">
        <v>402</v>
      </c>
    </row>
    <row r="66" spans="2:63" ht="14.4" thickTop="1" x14ac:dyDescent="0.25">
      <c r="B66" s="236">
        <v>41670</v>
      </c>
      <c r="C66" s="171"/>
      <c r="D66" s="166" t="s">
        <v>470</v>
      </c>
      <c r="E66" s="167">
        <f>SUMIF('Libro Diario Convencional'!$B$15:$B$167,D60,'Libro Diario Convencional'!$I$15:$I$167)</f>
        <v>0</v>
      </c>
      <c r="F66" s="168">
        <f>SUMIF('Libro Diario Convencional'!$B$15:$B$167,D60,'Libro Diario Convencional'!$J$15:$J$167)</f>
        <v>0</v>
      </c>
      <c r="G66" s="9"/>
      <c r="H66" s="236">
        <v>41670</v>
      </c>
      <c r="I66" s="171"/>
      <c r="J66" s="166" t="s">
        <v>470</v>
      </c>
      <c r="K66" s="167">
        <f>SUMIF('Libro Diario Convencional'!$B$15:$B$167,J60,'Libro Diario Convencional'!$I$15:$I$167)</f>
        <v>0</v>
      </c>
      <c r="L66" s="168">
        <f>SUMIF('Libro Diario Convencional'!$B$15:$B$167,J60,'Libro Diario Convencional'!$J$15:$J$167)</f>
        <v>0</v>
      </c>
      <c r="M66" s="9"/>
      <c r="N66" s="236">
        <v>41670</v>
      </c>
      <c r="O66" s="171"/>
      <c r="P66" s="166" t="s">
        <v>470</v>
      </c>
      <c r="Q66" s="167">
        <f>SUMIF('Libro Diario Convencional'!$B$15:$B$167,P60,'Libro Diario Convencional'!$I$15:$I$167)</f>
        <v>0</v>
      </c>
      <c r="R66" s="168">
        <f>SUMIF('Libro Diario Convencional'!$B$15:$B$167,P60,'Libro Diario Convencional'!$J$15:$J$167)</f>
        <v>0</v>
      </c>
      <c r="S66" s="9"/>
      <c r="T66" s="236">
        <v>41670</v>
      </c>
      <c r="U66" s="171"/>
      <c r="V66" s="166" t="s">
        <v>470</v>
      </c>
      <c r="W66" s="167">
        <f>SUMIF('Libro Diario Convencional'!$B$15:$B$167,V60,'Libro Diario Convencional'!$I$15:$I$167)</f>
        <v>188450</v>
      </c>
      <c r="X66" s="168">
        <f>SUMIF('Libro Diario Convencional'!$B$15:$B$167,V60,'Libro Diario Convencional'!$J$15:$J$167)</f>
        <v>0</v>
      </c>
      <c r="Y66" s="9"/>
      <c r="Z66" s="236">
        <v>41670</v>
      </c>
      <c r="AA66" s="171"/>
      <c r="AB66" s="166" t="s">
        <v>470</v>
      </c>
      <c r="AC66" s="167">
        <f>SUMIF('Libro Diario Convencional'!$B$15:$B$167,AB60,'Libro Diario Convencional'!$I$15:$I$167)</f>
        <v>0</v>
      </c>
      <c r="AD66" s="168">
        <f>SUMIF('Libro Diario Convencional'!$B$15:$B$167,AB60,'Libro Diario Convencional'!$J$15:$J$167)</f>
        <v>0</v>
      </c>
      <c r="AE66" s="9"/>
      <c r="AF66" s="236">
        <v>41670</v>
      </c>
      <c r="AG66" s="171"/>
      <c r="AH66" s="166" t="s">
        <v>470</v>
      </c>
      <c r="AI66" s="167">
        <f>SUMIF('Libro Diario Convencional'!$B$15:$B$167,AH60,'Libro Diario Convencional'!$I$15:$I$167)</f>
        <v>0</v>
      </c>
      <c r="AJ66" s="168">
        <f>SUMIF('Libro Diario Convencional'!$B$15:$B$167,AH60,'Libro Diario Convencional'!$J$15:$J$167)</f>
        <v>0</v>
      </c>
      <c r="AK66" s="9"/>
      <c r="AL66" s="236">
        <v>41670</v>
      </c>
      <c r="AM66" s="171"/>
      <c r="AN66" s="166" t="s">
        <v>470</v>
      </c>
      <c r="AO66" s="167">
        <f>SUMIF('Libro Diario Convencional'!$B$15:$B$167,AN60,'Libro Diario Convencional'!$I$15:$I$167)</f>
        <v>0</v>
      </c>
      <c r="AP66" s="168">
        <f>SUMIF('Libro Diario Convencional'!$B$15:$B$167,AN60,'Libro Diario Convencional'!$J$15:$J$167)</f>
        <v>0</v>
      </c>
      <c r="AQ66" s="9"/>
      <c r="AR66" s="236">
        <v>41670</v>
      </c>
      <c r="AS66" s="171"/>
      <c r="AT66" s="166" t="s">
        <v>470</v>
      </c>
      <c r="AU66" s="167">
        <f>SUMIF('Libro Diario Convencional'!$B$15:$B$167,AT60,'Libro Diario Convencional'!$I$15:$I$167)</f>
        <v>0</v>
      </c>
      <c r="AV66" s="168">
        <f>SUMIF('Libro Diario Convencional'!$B$15:$B$167,AT60,'Libro Diario Convencional'!$J$15:$J$167)</f>
        <v>0</v>
      </c>
      <c r="AW66" s="9"/>
      <c r="AX66" s="236">
        <v>41670</v>
      </c>
      <c r="AY66" s="171"/>
      <c r="AZ66" s="166" t="s">
        <v>470</v>
      </c>
      <c r="BA66" s="167">
        <f>SUMIF('Libro Diario Convencional'!$B$15:$B$167,AZ60,'Libro Diario Convencional'!$I$15:$I$167)</f>
        <v>0</v>
      </c>
      <c r="BB66" s="168">
        <f>SUMIF('Libro Diario Convencional'!$B$15:$B$167,AZ60,'Libro Diario Convencional'!$J$15:$J$167)</f>
        <v>0</v>
      </c>
      <c r="BD66" s="236">
        <v>41670</v>
      </c>
      <c r="BE66" s="171"/>
      <c r="BF66" s="166" t="s">
        <v>470</v>
      </c>
      <c r="BG66" s="167">
        <f>SUMIF('Libro Diario Convencional'!$B$15:$B$167,BF60,'Libro Diario Convencional'!$I$15:$I$167)</f>
        <v>0</v>
      </c>
      <c r="BH66" s="168">
        <f>SUMIF('Libro Diario Convencional'!$B$15:$B$167,BF60,'Libro Diario Convencional'!$J$15:$J$167)</f>
        <v>31542.5</v>
      </c>
    </row>
    <row r="67" spans="2:63" x14ac:dyDescent="0.25">
      <c r="B67" s="169">
        <v>41670</v>
      </c>
      <c r="C67" s="172"/>
      <c r="D67" s="161" t="s">
        <v>474</v>
      </c>
      <c r="E67" s="162">
        <f>SUMIF('Asientos de Cierre'!$B$6:$B$549,D60,'Asientos de Cierre'!$J$6:$J$549)</f>
        <v>0</v>
      </c>
      <c r="F67" s="163">
        <f>SUMIF('Asientos de Cierre'!$B$6:$B$549,D60,'Asientos de Cierre'!$K$6:$K$549)</f>
        <v>0</v>
      </c>
      <c r="G67" s="9"/>
      <c r="H67" s="169">
        <v>41670</v>
      </c>
      <c r="I67" s="172"/>
      <c r="J67" s="161" t="s">
        <v>474</v>
      </c>
      <c r="K67" s="162">
        <f>SUMIF('Asientos de Cierre'!$B$6:$B$549,J60,'Asientos de Cierre'!$J$6:$J$549)</f>
        <v>0</v>
      </c>
      <c r="L67" s="163">
        <f>SUMIF('Asientos de Cierre'!$B$6:$B$549,J60,'Asientos de Cierre'!$K$6:$K$549)</f>
        <v>0</v>
      </c>
      <c r="M67" s="9"/>
      <c r="N67" s="169">
        <v>41670</v>
      </c>
      <c r="O67" s="172"/>
      <c r="P67" s="161" t="s">
        <v>474</v>
      </c>
      <c r="Q67" s="162">
        <f>SUMIF('Asientos de Cierre'!$B$6:$B$549,P60,'Asientos de Cierre'!$J$6:$J$549)</f>
        <v>0</v>
      </c>
      <c r="R67" s="163">
        <f>SUMIF('Asientos de Cierre'!$B$6:$B$549,P60,'Asientos de Cierre'!$K$6:$K$549)</f>
        <v>0</v>
      </c>
      <c r="S67" s="9"/>
      <c r="T67" s="169">
        <v>41670</v>
      </c>
      <c r="U67" s="172"/>
      <c r="V67" s="161" t="s">
        <v>474</v>
      </c>
      <c r="W67" s="162">
        <f>SUMIF('Asientos de Cierre'!$B$6:$B$549,V60,'Asientos de Cierre'!$J$6:$J$549)</f>
        <v>0</v>
      </c>
      <c r="X67" s="163">
        <f>SUMIF('Asientos de Cierre'!$B$6:$B$549,V60,'Asientos de Cierre'!$K$6:$K$549)</f>
        <v>188450</v>
      </c>
      <c r="Y67" s="9"/>
      <c r="Z67" s="169">
        <v>41670</v>
      </c>
      <c r="AA67" s="172"/>
      <c r="AB67" s="161" t="s">
        <v>474</v>
      </c>
      <c r="AC67" s="162">
        <f>SUMIF('Asientos de Cierre'!$B$6:$B$549,AB60,'Asientos de Cierre'!$J$6:$J$549)</f>
        <v>0</v>
      </c>
      <c r="AD67" s="163">
        <f>SUMIF('Asientos de Cierre'!$B$6:$B$549,AB60,'Asientos de Cierre'!$K$6:$K$549)</f>
        <v>0</v>
      </c>
      <c r="AE67" s="9"/>
      <c r="AF67" s="169">
        <v>41670</v>
      </c>
      <c r="AG67" s="172"/>
      <c r="AH67" s="161" t="s">
        <v>474</v>
      </c>
      <c r="AI67" s="162">
        <f>SUMIF('Asientos de Cierre'!$B$6:$B$549,AH60,'Asientos de Cierre'!$J$6:$J$549)</f>
        <v>0</v>
      </c>
      <c r="AJ67" s="163">
        <f>SUMIF('Asientos de Cierre'!$B$6:$B$549,AH60,'Asientos de Cierre'!$K$6:$K$549)</f>
        <v>0</v>
      </c>
      <c r="AK67" s="9"/>
      <c r="AL67" s="169">
        <v>41670</v>
      </c>
      <c r="AM67" s="172"/>
      <c r="AN67" s="161" t="s">
        <v>474</v>
      </c>
      <c r="AO67" s="162">
        <f>SUMIF('Asientos de Cierre'!$B$6:$B$549,AN60,'Asientos de Cierre'!$J$6:$J$549)</f>
        <v>0</v>
      </c>
      <c r="AP67" s="163">
        <f>SUMIF('Asientos de Cierre'!$B$6:$B$549,AN60,'Asientos de Cierre'!$K$6:$K$549)</f>
        <v>0</v>
      </c>
      <c r="AQ67" s="9"/>
      <c r="AR67" s="169">
        <v>41670</v>
      </c>
      <c r="AS67" s="172"/>
      <c r="AT67" s="161" t="s">
        <v>474</v>
      </c>
      <c r="AU67" s="162">
        <f>SUMIF('Asientos de Cierre'!$B$6:$B$549,AT60,'Asientos de Cierre'!$J$6:$J$549)</f>
        <v>0</v>
      </c>
      <c r="AV67" s="163">
        <f>SUMIF('Asientos de Cierre'!$B$6:$B$549,AT60,'Asientos de Cierre'!$K$6:$K$549)</f>
        <v>0</v>
      </c>
      <c r="AW67" s="9"/>
      <c r="AX67" s="169">
        <v>41670</v>
      </c>
      <c r="AY67" s="172"/>
      <c r="AZ67" s="161" t="s">
        <v>474</v>
      </c>
      <c r="BA67" s="162">
        <f>SUMIF('Asientos de Cierre'!$B$6:$B$549,AZ60,'Asientos de Cierre'!$J$6:$J$549)</f>
        <v>0</v>
      </c>
      <c r="BB67" s="163">
        <f>SUMIF('Asientos de Cierre'!$B$6:$B$549,AZ60,'Asientos de Cierre'!$K$6:$K$549)</f>
        <v>0</v>
      </c>
      <c r="BD67" s="169">
        <v>41670</v>
      </c>
      <c r="BE67" s="172"/>
      <c r="BF67" s="161" t="s">
        <v>474</v>
      </c>
      <c r="BG67" s="162">
        <f>SUMIF('Asientos de Cierre'!$B$6:$B$549,BF60,'Asientos de Cierre'!$J$6:$J$549)</f>
        <v>31542.5</v>
      </c>
      <c r="BH67" s="163">
        <f>SUMIF('Asientos de Cierre'!$B$6:$B$549,BF60,'Asientos de Cierre'!$K$6:$K$549)</f>
        <v>0</v>
      </c>
    </row>
    <row r="68" spans="2:63" x14ac:dyDescent="0.25">
      <c r="B68" s="169"/>
      <c r="C68" s="172"/>
      <c r="D68" s="161"/>
      <c r="E68" s="162"/>
      <c r="F68" s="163"/>
      <c r="G68" s="9"/>
      <c r="H68" s="169"/>
      <c r="I68" s="172"/>
      <c r="J68" s="161"/>
      <c r="K68" s="162"/>
      <c r="L68" s="163"/>
      <c r="M68" s="9"/>
      <c r="N68" s="169"/>
      <c r="O68" s="172"/>
      <c r="P68" s="161"/>
      <c r="Q68" s="162"/>
      <c r="R68" s="163"/>
      <c r="S68" s="9"/>
      <c r="T68" s="169"/>
      <c r="U68" s="172"/>
      <c r="V68" s="161"/>
      <c r="W68" s="162"/>
      <c r="X68" s="163"/>
      <c r="Y68" s="9"/>
      <c r="Z68" s="169"/>
      <c r="AA68" s="172"/>
      <c r="AB68" s="161"/>
      <c r="AC68" s="162"/>
      <c r="AD68" s="163"/>
      <c r="AE68" s="9"/>
      <c r="AF68" s="169"/>
      <c r="AG68" s="172"/>
      <c r="AH68" s="161"/>
      <c r="AI68" s="162"/>
      <c r="AJ68" s="163"/>
      <c r="AK68" s="9"/>
      <c r="AL68" s="169"/>
      <c r="AM68" s="172"/>
      <c r="AN68" s="161"/>
      <c r="AO68" s="162"/>
      <c r="AP68" s="163"/>
      <c r="AQ68" s="9"/>
      <c r="AR68" s="169"/>
      <c r="AS68" s="172"/>
      <c r="AT68" s="161"/>
      <c r="AU68" s="162"/>
      <c r="AV68" s="163"/>
      <c r="AW68" s="9"/>
      <c r="AX68" s="169"/>
      <c r="AY68" s="172"/>
      <c r="AZ68" s="161"/>
      <c r="BA68" s="162"/>
      <c r="BB68" s="163"/>
      <c r="BD68" s="169"/>
      <c r="BE68" s="172"/>
      <c r="BF68" s="161"/>
      <c r="BG68" s="162"/>
      <c r="BH68" s="163"/>
    </row>
    <row r="69" spans="2:63" ht="14.4" thickBot="1" x14ac:dyDescent="0.3">
      <c r="B69" s="169"/>
      <c r="C69" s="172"/>
      <c r="D69" s="161"/>
      <c r="E69" s="162"/>
      <c r="F69" s="163"/>
      <c r="G69" s="9"/>
      <c r="H69" s="169"/>
      <c r="I69" s="172"/>
      <c r="J69" s="161"/>
      <c r="K69" s="162"/>
      <c r="L69" s="163"/>
      <c r="M69" s="9"/>
      <c r="N69" s="169"/>
      <c r="O69" s="172"/>
      <c r="P69" s="161"/>
      <c r="Q69" s="162"/>
      <c r="R69" s="163"/>
      <c r="S69" s="9"/>
      <c r="T69" s="169"/>
      <c r="U69" s="172"/>
      <c r="V69" s="161"/>
      <c r="W69" s="162"/>
      <c r="X69" s="163"/>
      <c r="Y69" s="9"/>
      <c r="Z69" s="169"/>
      <c r="AA69" s="172"/>
      <c r="AB69" s="161"/>
      <c r="AC69" s="162"/>
      <c r="AD69" s="163"/>
      <c r="AE69" s="9"/>
      <c r="AF69" s="169"/>
      <c r="AG69" s="172"/>
      <c r="AH69" s="161"/>
      <c r="AI69" s="162"/>
      <c r="AJ69" s="163"/>
      <c r="AK69" s="9"/>
      <c r="AL69" s="169"/>
      <c r="AM69" s="172"/>
      <c r="AN69" s="161"/>
      <c r="AO69" s="162"/>
      <c r="AP69" s="163"/>
      <c r="AQ69" s="9"/>
      <c r="AR69" s="169"/>
      <c r="AS69" s="172"/>
      <c r="AT69" s="161"/>
      <c r="AU69" s="162"/>
      <c r="AV69" s="163"/>
      <c r="AW69" s="9"/>
      <c r="AX69" s="169"/>
      <c r="AY69" s="172"/>
      <c r="AZ69" s="161"/>
      <c r="BA69" s="162"/>
      <c r="BB69" s="163"/>
      <c r="BD69" s="169"/>
      <c r="BE69" s="172"/>
      <c r="BF69" s="161"/>
      <c r="BG69" s="162"/>
      <c r="BH69" s="163"/>
    </row>
    <row r="70" spans="2:63" ht="15" thickBot="1" x14ac:dyDescent="0.3">
      <c r="B70" s="169"/>
      <c r="C70" s="172"/>
      <c r="D70" s="161" t="s">
        <v>471</v>
      </c>
      <c r="E70" s="162">
        <f>SUM(E66:E69)</f>
        <v>0</v>
      </c>
      <c r="F70" s="163">
        <f>SUM(F66:F69)</f>
        <v>0</v>
      </c>
      <c r="G70" s="9"/>
      <c r="H70" s="169"/>
      <c r="I70" s="172"/>
      <c r="J70" s="161" t="s">
        <v>471</v>
      </c>
      <c r="K70" s="162">
        <f>SUM(K66:K69)</f>
        <v>0</v>
      </c>
      <c r="L70" s="163">
        <f>SUM(L66:L69)</f>
        <v>0</v>
      </c>
      <c r="M70" s="9"/>
      <c r="N70" s="169"/>
      <c r="O70" s="172"/>
      <c r="P70" s="161" t="s">
        <v>471</v>
      </c>
      <c r="Q70" s="162">
        <f>SUM(Q66:Q69)</f>
        <v>0</v>
      </c>
      <c r="R70" s="163">
        <f>SUM(R66:R69)</f>
        <v>0</v>
      </c>
      <c r="S70" s="9"/>
      <c r="T70" s="169"/>
      <c r="U70" s="172"/>
      <c r="V70" s="161" t="s">
        <v>471</v>
      </c>
      <c r="W70" s="162">
        <f>SUM(W66:W69)</f>
        <v>188450</v>
      </c>
      <c r="X70" s="163">
        <f>SUM(X66:X69)</f>
        <v>188450</v>
      </c>
      <c r="Y70" s="9"/>
      <c r="Z70" s="169"/>
      <c r="AA70" s="172"/>
      <c r="AB70" s="161" t="s">
        <v>471</v>
      </c>
      <c r="AC70" s="162">
        <f>SUM(AC66:AC69)</f>
        <v>0</v>
      </c>
      <c r="AD70" s="163">
        <f>SUM(AD66:AD69)</f>
        <v>0</v>
      </c>
      <c r="AE70" s="9"/>
      <c r="AF70" s="169"/>
      <c r="AG70" s="172"/>
      <c r="AH70" s="161" t="s">
        <v>471</v>
      </c>
      <c r="AI70" s="162">
        <f>SUM(AI66:AI69)</f>
        <v>0</v>
      </c>
      <c r="AJ70" s="163">
        <f>SUM(AJ66:AJ69)</f>
        <v>0</v>
      </c>
      <c r="AK70" s="9"/>
      <c r="AL70" s="169"/>
      <c r="AM70" s="172"/>
      <c r="AN70" s="161" t="s">
        <v>471</v>
      </c>
      <c r="AO70" s="162">
        <f>SUM(AO66:AO69)</f>
        <v>0</v>
      </c>
      <c r="AP70" s="163">
        <f>SUM(AP66:AP69)</f>
        <v>0</v>
      </c>
      <c r="AQ70" s="9"/>
      <c r="AR70" s="169"/>
      <c r="AS70" s="172"/>
      <c r="AT70" s="161" t="s">
        <v>471</v>
      </c>
      <c r="AU70" s="162">
        <f>SUM(AU66:AU69)</f>
        <v>0</v>
      </c>
      <c r="AV70" s="163">
        <f>SUM(AV66:AV69)</f>
        <v>0</v>
      </c>
      <c r="AW70" s="9"/>
      <c r="AX70" s="169"/>
      <c r="AY70" s="172"/>
      <c r="AZ70" s="161" t="s">
        <v>471</v>
      </c>
      <c r="BA70" s="162">
        <f>SUM(BA66:BA69)</f>
        <v>0</v>
      </c>
      <c r="BB70" s="163">
        <f>SUM(BB66:BB69)</f>
        <v>0</v>
      </c>
      <c r="BD70" s="169"/>
      <c r="BE70" s="172"/>
      <c r="BF70" s="161" t="s">
        <v>471</v>
      </c>
      <c r="BG70" s="162">
        <f>SUM(BG66:BG69)</f>
        <v>31542.5</v>
      </c>
      <c r="BH70" s="163">
        <f>SUM(BH66:BH69)</f>
        <v>31542.5</v>
      </c>
      <c r="BJ70" s="157">
        <f>SUM(E70,K70,Q70,W70,AC70,AI70,AO70,AU70,BA70,BG70)</f>
        <v>219992.5</v>
      </c>
      <c r="BK70" s="158">
        <f>SUM(F70,L70,R70,X70,AD70,AJ70,AP70,AV70,BB70,BH70)</f>
        <v>219992.5</v>
      </c>
    </row>
    <row r="71" spans="2:63" ht="14.4" thickBot="1" x14ac:dyDescent="0.3">
      <c r="B71" s="170"/>
      <c r="C71" s="173"/>
      <c r="D71" s="164" t="str">
        <f>IF(E70=F70,"",IF(E70&gt;F70,"Saldo Deudor","Saldo Acreedor"))</f>
        <v/>
      </c>
      <c r="E71" s="165" t="str">
        <f>IF(E70&gt;F70,E70-F70,"")</f>
        <v/>
      </c>
      <c r="F71" s="176" t="str">
        <f>IF(E70&lt;F70,F70-E70,"")</f>
        <v/>
      </c>
      <c r="H71" s="170"/>
      <c r="I71" s="173"/>
      <c r="J71" s="164" t="str">
        <f>IF(K70=L70,"",IF(K70&gt;L70,"Saldo Deudor","Saldo Acreedor"))</f>
        <v/>
      </c>
      <c r="K71" s="165" t="str">
        <f>IF(K70&gt;L70,K70-L70,"")</f>
        <v/>
      </c>
      <c r="L71" s="176" t="str">
        <f>IF(K70&lt;L70,L70-K70,"")</f>
        <v/>
      </c>
      <c r="N71" s="170"/>
      <c r="O71" s="173"/>
      <c r="P71" s="164" t="str">
        <f>IF(Q70=R70,"",IF(Q70&gt;R70,"Saldo Deudor","Saldo Acreedor"))</f>
        <v/>
      </c>
      <c r="Q71" s="165" t="str">
        <f>IF(Q70&gt;R70,Q70-R70,"")</f>
        <v/>
      </c>
      <c r="R71" s="176" t="str">
        <f>IF(Q70&lt;R70,R70-Q70,"")</f>
        <v/>
      </c>
      <c r="T71" s="170"/>
      <c r="U71" s="173"/>
      <c r="V71" s="164" t="str">
        <f>IF(W70=X70,"",IF(W70&gt;X70,"Saldo Deudor","Saldo Acreedor"))</f>
        <v/>
      </c>
      <c r="W71" s="165" t="str">
        <f>IF(W70&gt;X70,W70-X70,"")</f>
        <v/>
      </c>
      <c r="X71" s="176" t="str">
        <f>IF(W70&lt;X70,X70-W70,"")</f>
        <v/>
      </c>
      <c r="Z71" s="170"/>
      <c r="AA71" s="173"/>
      <c r="AB71" s="164" t="str">
        <f>IF(AC70=AD70,"",IF(AC70&gt;AD70,"Saldo Deudor","Saldo Acreedor"))</f>
        <v/>
      </c>
      <c r="AC71" s="165" t="str">
        <f>IF(AC70&gt;AD70,AC70-AD70,"")</f>
        <v/>
      </c>
      <c r="AD71" s="176" t="str">
        <f>IF(AC70&lt;AD70,AD70-AC70,"")</f>
        <v/>
      </c>
      <c r="AF71" s="170"/>
      <c r="AG71" s="173"/>
      <c r="AH71" s="164" t="str">
        <f>IF(AI70=AJ70,"",IF(AI70&gt;AJ70,"Saldo Deudor","Saldo Acreedor"))</f>
        <v/>
      </c>
      <c r="AI71" s="165" t="str">
        <f>IF(AI70&gt;AJ70,AI70-AJ70,"")</f>
        <v/>
      </c>
      <c r="AJ71" s="176" t="str">
        <f>IF(AI70&lt;AJ70,AJ70-AI70,"")</f>
        <v/>
      </c>
      <c r="AL71" s="170"/>
      <c r="AM71" s="173"/>
      <c r="AN71" s="164" t="str">
        <f>IF(AO70=AP70,"",IF(AO70&gt;AP70,"Saldo Deudor","Saldo Acreedor"))</f>
        <v/>
      </c>
      <c r="AO71" s="165" t="str">
        <f>IF(AO70&gt;AP70,AO70-AP70,"")</f>
        <v/>
      </c>
      <c r="AP71" s="176" t="str">
        <f>IF(AO70&lt;AP70,AP70-AO70,"")</f>
        <v/>
      </c>
      <c r="AR71" s="170"/>
      <c r="AS71" s="173"/>
      <c r="AT71" s="164" t="str">
        <f>IF(AU70=AV70,"",IF(AU70&gt;AV70,"Saldo Deudor","Saldo Acreedor"))</f>
        <v/>
      </c>
      <c r="AU71" s="165" t="str">
        <f>IF(AU70&gt;AV70,AU70-AV70,"")</f>
        <v/>
      </c>
      <c r="AV71" s="176" t="str">
        <f>IF(AU70&lt;AV70,AV70-AU70,"")</f>
        <v/>
      </c>
      <c r="AX71" s="170"/>
      <c r="AY71" s="173"/>
      <c r="AZ71" s="164" t="str">
        <f>IF(BA70=BB70,"",IF(BA70&gt;BB70,"Saldo Deudor","Saldo Acreedor"))</f>
        <v/>
      </c>
      <c r="BA71" s="165" t="str">
        <f>IF(BA70&gt;BB70,BA70-BB70,"")</f>
        <v/>
      </c>
      <c r="BB71" s="176" t="str">
        <f>IF(BA70&lt;BB70,BB70-BA70,"")</f>
        <v/>
      </c>
      <c r="BD71" s="170"/>
      <c r="BE71" s="173"/>
      <c r="BF71" s="164" t="str">
        <f>IF(BG70=BH70,"",IF(BG70&gt;BH70,"Saldo Deudor","Saldo Acreedor"))</f>
        <v/>
      </c>
      <c r="BG71" s="165" t="str">
        <f>IF(BG70&gt;BH70,BG70-BH70,"")</f>
        <v/>
      </c>
      <c r="BH71" s="176" t="str">
        <f>IF(BG70&lt;BH70,BH70-BG70,"")</f>
        <v/>
      </c>
    </row>
    <row r="74" spans="2:63" ht="15.6" x14ac:dyDescent="0.25">
      <c r="B74" s="324" t="s">
        <v>321</v>
      </c>
      <c r="C74" s="324"/>
      <c r="D74" s="233" t="str">
        <f>'Base de Datos'!$C$756</f>
        <v>LIBRO MAYOR</v>
      </c>
      <c r="H74" s="324" t="s">
        <v>321</v>
      </c>
      <c r="I74" s="324"/>
      <c r="J74" s="233" t="str">
        <f>'Base de Datos'!$C$756</f>
        <v>LIBRO MAYOR</v>
      </c>
      <c r="N74" s="324" t="s">
        <v>321</v>
      </c>
      <c r="O74" s="324"/>
      <c r="P74" s="233" t="str">
        <f>'Base de Datos'!$C$756</f>
        <v>LIBRO MAYOR</v>
      </c>
      <c r="T74" s="324" t="s">
        <v>321</v>
      </c>
      <c r="U74" s="324"/>
      <c r="V74" s="233" t="str">
        <f>'Base de Datos'!$C$756</f>
        <v>LIBRO MAYOR</v>
      </c>
      <c r="Z74" s="324" t="s">
        <v>321</v>
      </c>
      <c r="AA74" s="324"/>
      <c r="AB74" s="233" t="str">
        <f>'Base de Datos'!$C$756</f>
        <v>LIBRO MAYOR</v>
      </c>
      <c r="AF74" s="324" t="s">
        <v>321</v>
      </c>
      <c r="AG74" s="324"/>
      <c r="AH74" s="233" t="str">
        <f>'Base de Datos'!$C$756</f>
        <v>LIBRO MAYOR</v>
      </c>
      <c r="AL74" s="324" t="s">
        <v>321</v>
      </c>
      <c r="AM74" s="324"/>
      <c r="AN74" s="233" t="str">
        <f>'Base de Datos'!$C$756</f>
        <v>LIBRO MAYOR</v>
      </c>
      <c r="AR74" s="324" t="s">
        <v>321</v>
      </c>
      <c r="AS74" s="324"/>
      <c r="AT74" s="233" t="str">
        <f>'Base de Datos'!$C$756</f>
        <v>LIBRO MAYOR</v>
      </c>
      <c r="AX74" s="324" t="s">
        <v>321</v>
      </c>
      <c r="AY74" s="324"/>
      <c r="AZ74" s="233" t="str">
        <f>'Base de Datos'!$C$756</f>
        <v>LIBRO MAYOR</v>
      </c>
      <c r="BD74" s="324" t="s">
        <v>321</v>
      </c>
      <c r="BE74" s="324"/>
      <c r="BF74" s="233" t="str">
        <f>'Base de Datos'!$C$756</f>
        <v>LIBRO MAYOR</v>
      </c>
    </row>
    <row r="75" spans="2:63" x14ac:dyDescent="0.25">
      <c r="C75" s="2"/>
      <c r="D75" s="2"/>
      <c r="E75" s="2"/>
      <c r="I75" s="2"/>
      <c r="J75" s="2"/>
      <c r="K75" s="2"/>
      <c r="O75" s="2"/>
      <c r="P75" s="2"/>
      <c r="Q75" s="2"/>
      <c r="U75" s="2"/>
      <c r="V75" s="2"/>
      <c r="W75" s="2"/>
      <c r="AA75" s="2"/>
      <c r="AB75" s="2"/>
      <c r="AC75" s="2"/>
      <c r="AG75" s="2"/>
      <c r="AH75" s="2"/>
      <c r="AI75" s="2"/>
      <c r="AM75" s="2"/>
      <c r="AN75" s="2"/>
      <c r="AO75" s="2"/>
      <c r="AS75" s="2"/>
      <c r="AT75" s="2"/>
      <c r="AU75" s="2"/>
      <c r="AY75" s="2"/>
      <c r="AZ75" s="2"/>
      <c r="BA75" s="2"/>
      <c r="BE75" s="2"/>
      <c r="BF75" s="2"/>
      <c r="BG75" s="2"/>
    </row>
    <row r="76" spans="2:63" ht="15.6" x14ac:dyDescent="0.25">
      <c r="B76" s="324" t="s">
        <v>322</v>
      </c>
      <c r="C76" s="324"/>
      <c r="D76" s="234" t="str">
        <f>'Base de Datos'!$C$8</f>
        <v>MARZO</v>
      </c>
      <c r="E76" s="160"/>
      <c r="H76" s="324" t="s">
        <v>322</v>
      </c>
      <c r="I76" s="324"/>
      <c r="J76" s="234" t="str">
        <f>'Base de Datos'!$C$8</f>
        <v>MARZO</v>
      </c>
      <c r="K76" s="160"/>
      <c r="N76" s="324" t="s">
        <v>322</v>
      </c>
      <c r="O76" s="324"/>
      <c r="P76" s="234" t="str">
        <f>'Base de Datos'!$C$8</f>
        <v>MARZO</v>
      </c>
      <c r="Q76" s="160"/>
      <c r="T76" s="324" t="s">
        <v>322</v>
      </c>
      <c r="U76" s="324"/>
      <c r="V76" s="234" t="str">
        <f>'Base de Datos'!$C$8</f>
        <v>MARZO</v>
      </c>
      <c r="W76" s="160"/>
      <c r="Z76" s="324" t="s">
        <v>322</v>
      </c>
      <c r="AA76" s="324"/>
      <c r="AB76" s="234" t="str">
        <f>'Base de Datos'!$C$8</f>
        <v>MARZO</v>
      </c>
      <c r="AC76" s="160"/>
      <c r="AF76" s="324" t="s">
        <v>322</v>
      </c>
      <c r="AG76" s="324"/>
      <c r="AH76" s="234" t="str">
        <f>'Base de Datos'!$C$8</f>
        <v>MARZO</v>
      </c>
      <c r="AI76" s="160"/>
      <c r="AL76" s="324" t="s">
        <v>322</v>
      </c>
      <c r="AM76" s="324"/>
      <c r="AN76" s="234" t="str">
        <f>'Base de Datos'!$C$8</f>
        <v>MARZO</v>
      </c>
      <c r="AO76" s="160"/>
      <c r="AR76" s="324" t="s">
        <v>322</v>
      </c>
      <c r="AS76" s="324"/>
      <c r="AT76" s="234" t="str">
        <f>'Base de Datos'!$C$8</f>
        <v>MARZO</v>
      </c>
      <c r="AU76" s="160"/>
      <c r="AX76" s="324" t="s">
        <v>322</v>
      </c>
      <c r="AY76" s="324"/>
      <c r="AZ76" s="234" t="str">
        <f>'Base de Datos'!$C$8</f>
        <v>MARZO</v>
      </c>
      <c r="BA76" s="160"/>
      <c r="BD76" s="324" t="s">
        <v>322</v>
      </c>
      <c r="BE76" s="324"/>
      <c r="BF76" s="234" t="str">
        <f>'Base de Datos'!$C$8</f>
        <v>MARZO</v>
      </c>
      <c r="BG76" s="160"/>
    </row>
    <row r="77" spans="2:63" x14ac:dyDescent="0.25">
      <c r="C77" s="2"/>
      <c r="D77" s="2"/>
      <c r="E77" s="2"/>
      <c r="I77" s="2"/>
      <c r="J77" s="2"/>
      <c r="K77" s="2"/>
      <c r="O77" s="2"/>
      <c r="P77" s="2"/>
      <c r="Q77" s="2"/>
      <c r="U77" s="2"/>
      <c r="V77" s="2"/>
      <c r="W77" s="2"/>
      <c r="AA77" s="2"/>
      <c r="AB77" s="2"/>
      <c r="AC77" s="2"/>
      <c r="AG77" s="2"/>
      <c r="AH77" s="2"/>
      <c r="AI77" s="2"/>
      <c r="AM77" s="2"/>
      <c r="AN77" s="2"/>
      <c r="AO77" s="2"/>
      <c r="AS77" s="2"/>
      <c r="AT77" s="2"/>
      <c r="AU77" s="2"/>
      <c r="AY77" s="2"/>
      <c r="AZ77" s="2"/>
      <c r="BA77" s="2"/>
      <c r="BE77" s="2"/>
      <c r="BF77" s="2"/>
      <c r="BG77" s="2"/>
    </row>
    <row r="78" spans="2:63" ht="15.6" x14ac:dyDescent="0.25">
      <c r="B78" s="324" t="s">
        <v>323</v>
      </c>
      <c r="C78" s="324"/>
      <c r="D78" s="231">
        <f>'Base de Datos'!$C$9</f>
        <v>2015</v>
      </c>
      <c r="E78" s="2"/>
      <c r="H78" s="324" t="s">
        <v>323</v>
      </c>
      <c r="I78" s="324"/>
      <c r="J78" s="231">
        <f>'Base de Datos'!$C$9</f>
        <v>2015</v>
      </c>
      <c r="K78" s="2"/>
      <c r="N78" s="324" t="s">
        <v>323</v>
      </c>
      <c r="O78" s="324"/>
      <c r="P78" s="231">
        <f>'Base de Datos'!$C$9</f>
        <v>2015</v>
      </c>
      <c r="Q78" s="2"/>
      <c r="T78" s="324" t="s">
        <v>323</v>
      </c>
      <c r="U78" s="324"/>
      <c r="V78" s="231">
        <f>'Base de Datos'!$C$9</f>
        <v>2015</v>
      </c>
      <c r="W78" s="2"/>
      <c r="Z78" s="324" t="s">
        <v>323</v>
      </c>
      <c r="AA78" s="324"/>
      <c r="AB78" s="231">
        <f>'Base de Datos'!$C$9</f>
        <v>2015</v>
      </c>
      <c r="AC78" s="2"/>
      <c r="AF78" s="324" t="s">
        <v>323</v>
      </c>
      <c r="AG78" s="324"/>
      <c r="AH78" s="231">
        <f>'Base de Datos'!$C$9</f>
        <v>2015</v>
      </c>
      <c r="AI78" s="2"/>
      <c r="AL78" s="324" t="s">
        <v>323</v>
      </c>
      <c r="AM78" s="324"/>
      <c r="AN78" s="231">
        <f>'Base de Datos'!$C$9</f>
        <v>2015</v>
      </c>
      <c r="AO78" s="2"/>
      <c r="AR78" s="324" t="s">
        <v>323</v>
      </c>
      <c r="AS78" s="324"/>
      <c r="AT78" s="231">
        <f>'Base de Datos'!$C$9</f>
        <v>2015</v>
      </c>
      <c r="AU78" s="2"/>
      <c r="AX78" s="324" t="s">
        <v>323</v>
      </c>
      <c r="AY78" s="324"/>
      <c r="AZ78" s="231">
        <f>'Base de Datos'!$C$9</f>
        <v>2015</v>
      </c>
      <c r="BA78" s="2"/>
      <c r="BD78" s="324" t="s">
        <v>323</v>
      </c>
      <c r="BE78" s="324"/>
      <c r="BF78" s="231">
        <f>'Base de Datos'!$C$9</f>
        <v>2015</v>
      </c>
      <c r="BG78" s="2"/>
    </row>
    <row r="79" spans="2:63" x14ac:dyDescent="0.25">
      <c r="C79" s="2"/>
      <c r="D79" s="2"/>
      <c r="E79" s="2"/>
      <c r="I79" s="2"/>
      <c r="J79" s="2"/>
      <c r="K79" s="2"/>
      <c r="O79" s="2"/>
      <c r="P79" s="2"/>
      <c r="Q79" s="2"/>
      <c r="U79" s="2"/>
      <c r="V79" s="2"/>
      <c r="W79" s="2"/>
      <c r="AA79" s="2"/>
      <c r="AB79" s="2"/>
      <c r="AC79" s="2"/>
      <c r="AG79" s="2"/>
      <c r="AH79" s="2"/>
      <c r="AI79" s="2"/>
      <c r="AM79" s="2"/>
      <c r="AN79" s="2"/>
      <c r="AO79" s="2"/>
      <c r="AS79" s="2"/>
      <c r="AT79" s="2"/>
      <c r="AU79" s="2"/>
      <c r="AY79" s="2"/>
      <c r="AZ79" s="2"/>
      <c r="BA79" s="2"/>
      <c r="BE79" s="2"/>
      <c r="BF79" s="2"/>
      <c r="BG79" s="2"/>
    </row>
    <row r="80" spans="2:63" ht="15.6" x14ac:dyDescent="0.25">
      <c r="B80" s="324" t="s">
        <v>324</v>
      </c>
      <c r="C80" s="324"/>
      <c r="D80" s="316">
        <f>'Base de Datos'!$C$6</f>
        <v>20411074561</v>
      </c>
      <c r="E80" s="316"/>
      <c r="H80" s="324" t="s">
        <v>324</v>
      </c>
      <c r="I80" s="324"/>
      <c r="J80" s="316">
        <f>'Base de Datos'!$C$6</f>
        <v>20411074561</v>
      </c>
      <c r="K80" s="316"/>
      <c r="N80" s="324" t="s">
        <v>324</v>
      </c>
      <c r="O80" s="324"/>
      <c r="P80" s="316">
        <f>'Base de Datos'!$C$6</f>
        <v>20411074561</v>
      </c>
      <c r="Q80" s="316"/>
      <c r="T80" s="324" t="s">
        <v>324</v>
      </c>
      <c r="U80" s="324"/>
      <c r="V80" s="316">
        <f>'Base de Datos'!$C$6</f>
        <v>20411074561</v>
      </c>
      <c r="W80" s="316"/>
      <c r="Z80" s="324" t="s">
        <v>324</v>
      </c>
      <c r="AA80" s="324"/>
      <c r="AB80" s="316">
        <f>'Base de Datos'!$C$6</f>
        <v>20411074561</v>
      </c>
      <c r="AC80" s="316"/>
      <c r="AF80" s="324" t="s">
        <v>324</v>
      </c>
      <c r="AG80" s="324"/>
      <c r="AH80" s="316">
        <f>'Base de Datos'!$C$6</f>
        <v>20411074561</v>
      </c>
      <c r="AI80" s="316"/>
      <c r="AL80" s="324" t="s">
        <v>324</v>
      </c>
      <c r="AM80" s="324"/>
      <c r="AN80" s="316">
        <f>'Base de Datos'!$C$6</f>
        <v>20411074561</v>
      </c>
      <c r="AO80" s="316"/>
      <c r="AR80" s="324" t="s">
        <v>324</v>
      </c>
      <c r="AS80" s="324"/>
      <c r="AT80" s="316">
        <f>'Base de Datos'!$C$6</f>
        <v>20411074561</v>
      </c>
      <c r="AU80" s="316"/>
      <c r="AX80" s="324" t="s">
        <v>324</v>
      </c>
      <c r="AY80" s="324"/>
      <c r="AZ80" s="316">
        <f>'Base de Datos'!$C$6</f>
        <v>20411074561</v>
      </c>
      <c r="BA80" s="316"/>
      <c r="BD80" s="324" t="s">
        <v>324</v>
      </c>
      <c r="BE80" s="324"/>
      <c r="BF80" s="316">
        <f>'Base de Datos'!$C$6</f>
        <v>20411074561</v>
      </c>
      <c r="BG80" s="316"/>
    </row>
    <row r="81" spans="2:63" x14ac:dyDescent="0.25">
      <c r="C81" s="2"/>
      <c r="D81" s="2"/>
      <c r="E81" s="2"/>
      <c r="I81" s="2"/>
      <c r="J81" s="2"/>
      <c r="K81" s="2"/>
      <c r="O81" s="2"/>
      <c r="P81" s="2"/>
      <c r="Q81" s="2"/>
      <c r="U81" s="2"/>
      <c r="V81" s="2"/>
      <c r="W81" s="2"/>
      <c r="AA81" s="2"/>
      <c r="AB81" s="2"/>
      <c r="AC81" s="2"/>
      <c r="AG81" s="2"/>
      <c r="AH81" s="2"/>
      <c r="AI81" s="2"/>
      <c r="AM81" s="2"/>
      <c r="AN81" s="2"/>
      <c r="AO81" s="2"/>
      <c r="AS81" s="2"/>
      <c r="AT81" s="2"/>
      <c r="AU81" s="2"/>
      <c r="AY81" s="2"/>
      <c r="AZ81" s="2"/>
      <c r="BA81" s="2"/>
      <c r="BE81" s="2"/>
      <c r="BF81" s="2"/>
      <c r="BG81" s="2"/>
    </row>
    <row r="82" spans="2:63" ht="15.6" x14ac:dyDescent="0.25">
      <c r="B82" s="324" t="s">
        <v>325</v>
      </c>
      <c r="C82" s="324"/>
      <c r="D82" s="234" t="str">
        <f>'Base de Datos'!$C$5</f>
        <v>LOS BAILARINES SRL</v>
      </c>
      <c r="E82" s="2"/>
      <c r="H82" s="324" t="s">
        <v>325</v>
      </c>
      <c r="I82" s="324"/>
      <c r="J82" s="234" t="str">
        <f>'Base de Datos'!$C$5</f>
        <v>LOS BAILARINES SRL</v>
      </c>
      <c r="K82" s="2"/>
      <c r="N82" s="324" t="s">
        <v>325</v>
      </c>
      <c r="O82" s="324"/>
      <c r="P82" s="234" t="str">
        <f>'Base de Datos'!$C$5</f>
        <v>LOS BAILARINES SRL</v>
      </c>
      <c r="Q82" s="2"/>
      <c r="T82" s="324" t="s">
        <v>325</v>
      </c>
      <c r="U82" s="324"/>
      <c r="V82" s="234" t="str">
        <f>'Base de Datos'!$C$5</f>
        <v>LOS BAILARINES SRL</v>
      </c>
      <c r="W82" s="2"/>
      <c r="Z82" s="324" t="s">
        <v>325</v>
      </c>
      <c r="AA82" s="324"/>
      <c r="AB82" s="234" t="str">
        <f>'Base de Datos'!$C$5</f>
        <v>LOS BAILARINES SRL</v>
      </c>
      <c r="AC82" s="2"/>
      <c r="AF82" s="324" t="s">
        <v>325</v>
      </c>
      <c r="AG82" s="324"/>
      <c r="AH82" s="234" t="str">
        <f>'Base de Datos'!$C$5</f>
        <v>LOS BAILARINES SRL</v>
      </c>
      <c r="AI82" s="2"/>
      <c r="AL82" s="324" t="s">
        <v>325</v>
      </c>
      <c r="AM82" s="324"/>
      <c r="AN82" s="234" t="str">
        <f>'Base de Datos'!$C$5</f>
        <v>LOS BAILARINES SRL</v>
      </c>
      <c r="AO82" s="2"/>
      <c r="AR82" s="324" t="s">
        <v>325</v>
      </c>
      <c r="AS82" s="324"/>
      <c r="AT82" s="234" t="str">
        <f>'Base de Datos'!$C$5</f>
        <v>LOS BAILARINES SRL</v>
      </c>
      <c r="AU82" s="2"/>
      <c r="AX82" s="324" t="s">
        <v>325</v>
      </c>
      <c r="AY82" s="324"/>
      <c r="AZ82" s="234" t="str">
        <f>'Base de Datos'!$C$5</f>
        <v>LOS BAILARINES SRL</v>
      </c>
      <c r="BA82" s="2"/>
      <c r="BD82" s="324" t="s">
        <v>325</v>
      </c>
      <c r="BE82" s="324"/>
      <c r="BF82" s="234" t="str">
        <f>'Base de Datos'!$C$5</f>
        <v>LOS BAILARINES SRL</v>
      </c>
      <c r="BG82" s="2"/>
    </row>
    <row r="83" spans="2:63" x14ac:dyDescent="0.25">
      <c r="B83" s="160"/>
      <c r="C83" s="160"/>
      <c r="D83" s="160"/>
      <c r="E83" s="160"/>
      <c r="H83" s="160"/>
      <c r="I83" s="160"/>
      <c r="J83" s="160"/>
      <c r="K83" s="160"/>
      <c r="N83" s="160"/>
      <c r="O83" s="160"/>
      <c r="P83" s="160"/>
      <c r="Q83" s="160"/>
      <c r="T83" s="160"/>
      <c r="U83" s="160"/>
      <c r="V83" s="160"/>
      <c r="W83" s="160"/>
      <c r="Z83" s="160"/>
      <c r="AA83" s="160"/>
      <c r="AB83" s="160"/>
      <c r="AC83" s="160"/>
      <c r="AF83" s="160"/>
      <c r="AG83" s="160"/>
      <c r="AH83" s="160"/>
      <c r="AI83" s="160"/>
      <c r="AL83" s="160"/>
      <c r="AM83" s="160"/>
      <c r="AN83" s="160"/>
      <c r="AO83" s="160"/>
      <c r="AR83" s="160"/>
      <c r="AS83" s="160"/>
      <c r="AT83" s="160"/>
      <c r="AU83" s="160"/>
      <c r="AX83" s="160"/>
      <c r="AY83" s="160"/>
      <c r="AZ83" s="160"/>
      <c r="BA83" s="160"/>
      <c r="BD83" s="160"/>
      <c r="BE83" s="160"/>
      <c r="BF83" s="160"/>
      <c r="BG83" s="160"/>
    </row>
    <row r="84" spans="2:63" ht="15.6" x14ac:dyDescent="0.25">
      <c r="B84" s="324" t="s">
        <v>472</v>
      </c>
      <c r="C84" s="324"/>
      <c r="D84" s="175">
        <v>40</v>
      </c>
      <c r="H84" s="324" t="s">
        <v>472</v>
      </c>
      <c r="I84" s="324"/>
      <c r="J84" s="175">
        <v>41</v>
      </c>
      <c r="N84" s="324" t="s">
        <v>472</v>
      </c>
      <c r="O84" s="324"/>
      <c r="P84" s="175">
        <v>42</v>
      </c>
      <c r="T84" s="324" t="s">
        <v>472</v>
      </c>
      <c r="U84" s="324"/>
      <c r="V84" s="175">
        <v>43</v>
      </c>
      <c r="Z84" s="324" t="s">
        <v>472</v>
      </c>
      <c r="AA84" s="324"/>
      <c r="AB84" s="175">
        <v>44</v>
      </c>
      <c r="AF84" s="324" t="s">
        <v>472</v>
      </c>
      <c r="AG84" s="324"/>
      <c r="AH84" s="175">
        <v>45</v>
      </c>
      <c r="AL84" s="324" t="s">
        <v>472</v>
      </c>
      <c r="AM84" s="324"/>
      <c r="AN84" s="175">
        <v>46</v>
      </c>
      <c r="AR84" s="324" t="s">
        <v>472</v>
      </c>
      <c r="AS84" s="324"/>
      <c r="AT84" s="175">
        <v>47</v>
      </c>
      <c r="AX84" s="324" t="s">
        <v>472</v>
      </c>
      <c r="AY84" s="324"/>
      <c r="AZ84" s="175">
        <v>48</v>
      </c>
      <c r="BD84" s="324" t="s">
        <v>472</v>
      </c>
      <c r="BE84" s="324"/>
      <c r="BF84" s="175">
        <v>49</v>
      </c>
    </row>
    <row r="85" spans="2:63" x14ac:dyDescent="0.25">
      <c r="B85" s="160"/>
      <c r="C85" s="160"/>
      <c r="D85" s="160"/>
      <c r="E85" s="160"/>
      <c r="H85" s="160"/>
      <c r="I85" s="160"/>
      <c r="J85" s="160"/>
      <c r="K85" s="160"/>
      <c r="N85" s="160"/>
      <c r="O85" s="160"/>
      <c r="P85" s="160"/>
      <c r="Q85" s="160"/>
      <c r="T85" s="160"/>
      <c r="U85" s="160"/>
      <c r="V85" s="160"/>
      <c r="W85" s="160"/>
      <c r="Z85" s="160"/>
      <c r="AA85" s="160"/>
      <c r="AB85" s="160"/>
      <c r="AC85" s="160"/>
      <c r="AF85" s="160"/>
      <c r="AG85" s="160"/>
      <c r="AH85" s="160"/>
      <c r="AI85" s="160"/>
      <c r="AL85" s="160"/>
      <c r="AM85" s="160"/>
      <c r="AN85" s="160"/>
      <c r="AO85" s="160"/>
      <c r="AR85" s="160"/>
      <c r="AS85" s="160"/>
      <c r="AT85" s="160"/>
      <c r="AU85" s="160"/>
      <c r="AX85" s="160"/>
      <c r="AY85" s="160"/>
      <c r="AZ85" s="160"/>
      <c r="BA85" s="160"/>
      <c r="BD85" s="160"/>
      <c r="BE85" s="160"/>
      <c r="BF85" s="160"/>
      <c r="BG85" s="160"/>
    </row>
    <row r="86" spans="2:63" ht="15.6" x14ac:dyDescent="0.25">
      <c r="B86" s="324" t="s">
        <v>473</v>
      </c>
      <c r="C86" s="324"/>
      <c r="D86" s="234" t="str">
        <f>VLOOKUP(D84,CuentasContables,5,FALSE)</f>
        <v>TRIBUTOS, CONTRAPRESTACIONES Y APORTES AL SISTEMA DE PENSIONES Y DE SALUD POR PAGAR</v>
      </c>
      <c r="E86" s="160"/>
      <c r="H86" s="324" t="s">
        <v>473</v>
      </c>
      <c r="I86" s="324"/>
      <c r="J86" s="234" t="str">
        <f>VLOOKUP(J84,CuentasContables,5,FALSE)</f>
        <v>REMUNERACIONES Y PARTICIPACIONES POR PAGAR</v>
      </c>
      <c r="K86" s="160"/>
      <c r="N86" s="324" t="s">
        <v>473</v>
      </c>
      <c r="O86" s="324"/>
      <c r="P86" s="234" t="str">
        <f>VLOOKUP(P84,CuentasContables,5,FALSE)</f>
        <v>CUENTAS POR PAGAR COMERCIALES - TERCEROS</v>
      </c>
      <c r="Q86" s="160"/>
      <c r="T86" s="324" t="s">
        <v>473</v>
      </c>
      <c r="U86" s="324"/>
      <c r="V86" s="234" t="str">
        <f>VLOOKUP(V84,CuentasContables,5,FALSE)</f>
        <v>CUENTAS POR PAGAR COMERCIALES - RELACIONADAS</v>
      </c>
      <c r="W86" s="160"/>
      <c r="Z86" s="324" t="s">
        <v>473</v>
      </c>
      <c r="AA86" s="324"/>
      <c r="AB86" s="234" t="str">
        <f>VLOOKUP(AB84,CuentasContables,5,FALSE)</f>
        <v>CUENTAS POR PAGAR A LOS ACCIONISTAS (SOCIOS), DIRECTORES Y GERENTES</v>
      </c>
      <c r="AC86" s="160"/>
      <c r="AF86" s="324" t="s">
        <v>473</v>
      </c>
      <c r="AG86" s="324"/>
      <c r="AH86" s="234" t="str">
        <f>VLOOKUP(AH84,CuentasContables,5,FALSE)</f>
        <v>OBLIGACIONES FINANCIERAS</v>
      </c>
      <c r="AI86" s="160"/>
      <c r="AL86" s="324" t="s">
        <v>473</v>
      </c>
      <c r="AM86" s="324"/>
      <c r="AN86" s="234" t="str">
        <f>VLOOKUP(AN84,CuentasContables,5,FALSE)</f>
        <v>CUENTAS POR PAGAR DIVERSAS - TERCEROS</v>
      </c>
      <c r="AO86" s="160"/>
      <c r="AR86" s="324" t="s">
        <v>473</v>
      </c>
      <c r="AS86" s="324"/>
      <c r="AT86" s="234" t="str">
        <f>VLOOKUP(AT84,CuentasContables,5,FALSE)</f>
        <v>CUENTAS POR PAGAR DIVERSAS - RELACIONADAS</v>
      </c>
      <c r="AU86" s="160"/>
      <c r="AX86" s="324" t="s">
        <v>473</v>
      </c>
      <c r="AY86" s="324"/>
      <c r="AZ86" s="234" t="str">
        <f>VLOOKUP(AZ84,CuentasContables,5,FALSE)</f>
        <v>PROVISIONES</v>
      </c>
      <c r="BA86" s="160"/>
      <c r="BD86" s="324" t="s">
        <v>473</v>
      </c>
      <c r="BE86" s="324"/>
      <c r="BF86" s="234" t="str">
        <f>VLOOKUP(BF84,CuentasContables,5,FALSE)</f>
        <v>PASIVO DIFERIDO</v>
      </c>
      <c r="BG86" s="160"/>
    </row>
    <row r="87" spans="2:63" ht="14.4" thickBot="1" x14ac:dyDescent="0.3">
      <c r="B87" s="160"/>
      <c r="C87" s="160"/>
      <c r="D87" s="160"/>
      <c r="E87" s="160"/>
      <c r="H87" s="160"/>
      <c r="I87" s="160"/>
      <c r="J87" s="160"/>
      <c r="K87" s="160"/>
      <c r="N87" s="160"/>
      <c r="O87" s="160"/>
      <c r="P87" s="160"/>
      <c r="Q87" s="160"/>
      <c r="T87" s="160"/>
      <c r="U87" s="160"/>
      <c r="V87" s="160"/>
      <c r="W87" s="160"/>
      <c r="Z87" s="160"/>
      <c r="AA87" s="160"/>
      <c r="AB87" s="160"/>
      <c r="AC87" s="160"/>
      <c r="AF87" s="160"/>
      <c r="AG87" s="160"/>
      <c r="AH87" s="160"/>
      <c r="AI87" s="160"/>
      <c r="AL87" s="160"/>
      <c r="AM87" s="160"/>
      <c r="AN87" s="160"/>
      <c r="AO87" s="160"/>
      <c r="AR87" s="160"/>
      <c r="AS87" s="160"/>
      <c r="AT87" s="160"/>
      <c r="AU87" s="160"/>
      <c r="AX87" s="160"/>
      <c r="AY87" s="160"/>
      <c r="AZ87" s="160"/>
      <c r="BA87" s="160"/>
      <c r="BD87" s="160"/>
      <c r="BE87" s="160"/>
      <c r="BF87" s="160"/>
      <c r="BG87" s="160"/>
    </row>
    <row r="88" spans="2:63" x14ac:dyDescent="0.25">
      <c r="B88" s="325" t="s">
        <v>466</v>
      </c>
      <c r="C88" s="327" t="s">
        <v>467</v>
      </c>
      <c r="D88" s="327" t="s">
        <v>468</v>
      </c>
      <c r="E88" s="329" t="s">
        <v>469</v>
      </c>
      <c r="F88" s="330"/>
      <c r="H88" s="331" t="s">
        <v>466</v>
      </c>
      <c r="I88" s="333" t="s">
        <v>467</v>
      </c>
      <c r="J88" s="333" t="s">
        <v>468</v>
      </c>
      <c r="K88" s="333" t="s">
        <v>469</v>
      </c>
      <c r="L88" s="335"/>
      <c r="N88" s="331" t="s">
        <v>466</v>
      </c>
      <c r="O88" s="333" t="s">
        <v>467</v>
      </c>
      <c r="P88" s="333" t="s">
        <v>468</v>
      </c>
      <c r="Q88" s="333" t="s">
        <v>469</v>
      </c>
      <c r="R88" s="335"/>
      <c r="T88" s="331" t="s">
        <v>466</v>
      </c>
      <c r="U88" s="333" t="s">
        <v>467</v>
      </c>
      <c r="V88" s="333" t="s">
        <v>468</v>
      </c>
      <c r="W88" s="333" t="s">
        <v>469</v>
      </c>
      <c r="X88" s="335"/>
      <c r="Z88" s="331" t="s">
        <v>466</v>
      </c>
      <c r="AA88" s="333" t="s">
        <v>467</v>
      </c>
      <c r="AB88" s="333" t="s">
        <v>468</v>
      </c>
      <c r="AC88" s="333" t="s">
        <v>469</v>
      </c>
      <c r="AD88" s="335"/>
      <c r="AF88" s="331" t="s">
        <v>466</v>
      </c>
      <c r="AG88" s="333" t="s">
        <v>467</v>
      </c>
      <c r="AH88" s="333" t="s">
        <v>468</v>
      </c>
      <c r="AI88" s="333" t="s">
        <v>469</v>
      </c>
      <c r="AJ88" s="335"/>
      <c r="AL88" s="331" t="s">
        <v>466</v>
      </c>
      <c r="AM88" s="333" t="s">
        <v>467</v>
      </c>
      <c r="AN88" s="333" t="s">
        <v>468</v>
      </c>
      <c r="AO88" s="333" t="s">
        <v>469</v>
      </c>
      <c r="AP88" s="335"/>
      <c r="AR88" s="331" t="s">
        <v>466</v>
      </c>
      <c r="AS88" s="333" t="s">
        <v>467</v>
      </c>
      <c r="AT88" s="333" t="s">
        <v>468</v>
      </c>
      <c r="AU88" s="333" t="s">
        <v>469</v>
      </c>
      <c r="AV88" s="335"/>
      <c r="AX88" s="331" t="s">
        <v>466</v>
      </c>
      <c r="AY88" s="333" t="s">
        <v>467</v>
      </c>
      <c r="AZ88" s="333" t="s">
        <v>468</v>
      </c>
      <c r="BA88" s="333" t="s">
        <v>469</v>
      </c>
      <c r="BB88" s="335"/>
      <c r="BD88" s="331" t="s">
        <v>466</v>
      </c>
      <c r="BE88" s="333" t="s">
        <v>467</v>
      </c>
      <c r="BF88" s="333" t="s">
        <v>468</v>
      </c>
      <c r="BG88" s="333" t="s">
        <v>469</v>
      </c>
      <c r="BH88" s="335"/>
    </row>
    <row r="89" spans="2:63" ht="14.4" thickBot="1" x14ac:dyDescent="0.3">
      <c r="B89" s="326"/>
      <c r="C89" s="328"/>
      <c r="D89" s="328"/>
      <c r="E89" s="232" t="s">
        <v>403</v>
      </c>
      <c r="F89" s="174" t="s">
        <v>402</v>
      </c>
      <c r="H89" s="332"/>
      <c r="I89" s="334"/>
      <c r="J89" s="334"/>
      <c r="K89" s="232" t="s">
        <v>403</v>
      </c>
      <c r="L89" s="174" t="s">
        <v>402</v>
      </c>
      <c r="N89" s="332"/>
      <c r="O89" s="334"/>
      <c r="P89" s="334"/>
      <c r="Q89" s="232" t="s">
        <v>403</v>
      </c>
      <c r="R89" s="174" t="s">
        <v>402</v>
      </c>
      <c r="T89" s="332"/>
      <c r="U89" s="334"/>
      <c r="V89" s="334"/>
      <c r="W89" s="232" t="s">
        <v>403</v>
      </c>
      <c r="X89" s="174" t="s">
        <v>402</v>
      </c>
      <c r="Z89" s="332"/>
      <c r="AA89" s="334"/>
      <c r="AB89" s="334"/>
      <c r="AC89" s="232" t="s">
        <v>403</v>
      </c>
      <c r="AD89" s="174" t="s">
        <v>402</v>
      </c>
      <c r="AF89" s="332"/>
      <c r="AG89" s="334"/>
      <c r="AH89" s="334"/>
      <c r="AI89" s="232" t="s">
        <v>403</v>
      </c>
      <c r="AJ89" s="174" t="s">
        <v>402</v>
      </c>
      <c r="AL89" s="332"/>
      <c r="AM89" s="334"/>
      <c r="AN89" s="334"/>
      <c r="AO89" s="232" t="s">
        <v>403</v>
      </c>
      <c r="AP89" s="174" t="s">
        <v>402</v>
      </c>
      <c r="AR89" s="332"/>
      <c r="AS89" s="334"/>
      <c r="AT89" s="334"/>
      <c r="AU89" s="232" t="s">
        <v>403</v>
      </c>
      <c r="AV89" s="174" t="s">
        <v>402</v>
      </c>
      <c r="AX89" s="332"/>
      <c r="AY89" s="334"/>
      <c r="AZ89" s="334"/>
      <c r="BA89" s="232" t="s">
        <v>403</v>
      </c>
      <c r="BB89" s="174" t="s">
        <v>402</v>
      </c>
      <c r="BD89" s="332"/>
      <c r="BE89" s="334"/>
      <c r="BF89" s="334"/>
      <c r="BG89" s="232" t="s">
        <v>403</v>
      </c>
      <c r="BH89" s="174" t="s">
        <v>402</v>
      </c>
    </row>
    <row r="90" spans="2:63" ht="14.4" thickTop="1" x14ac:dyDescent="0.25">
      <c r="B90" s="236">
        <v>41670</v>
      </c>
      <c r="C90" s="171"/>
      <c r="D90" s="166" t="s">
        <v>470</v>
      </c>
      <c r="E90" s="167">
        <f>SUMIF('Libro Diario Convencional'!$B$15:$B$167,D84,'Libro Diario Convencional'!$I$15:$I$167)</f>
        <v>30796.627118644068</v>
      </c>
      <c r="F90" s="168">
        <f>SUMIF('Libro Diario Convencional'!$B$15:$B$167,D84,'Libro Diario Convencional'!$J$15:$J$167)</f>
        <v>176982</v>
      </c>
      <c r="G90" s="9"/>
      <c r="H90" s="236">
        <v>41670</v>
      </c>
      <c r="I90" s="171"/>
      <c r="J90" s="166" t="s">
        <v>470</v>
      </c>
      <c r="K90" s="167">
        <f>SUMIF('Libro Diario Convencional'!$B$15:$B$167,J84,'Libro Diario Convencional'!$I$15:$I$167)</f>
        <v>0</v>
      </c>
      <c r="L90" s="168">
        <f>SUMIF('Libro Diario Convencional'!$B$15:$B$167,J84,'Libro Diario Convencional'!$J$15:$J$167)</f>
        <v>261858</v>
      </c>
      <c r="M90" s="9"/>
      <c r="N90" s="236">
        <v>41670</v>
      </c>
      <c r="O90" s="171"/>
      <c r="P90" s="166" t="s">
        <v>470</v>
      </c>
      <c r="Q90" s="167">
        <f>SUMIF('Libro Diario Convencional'!$B$15:$B$167,P84,'Libro Diario Convencional'!$I$15:$I$167)</f>
        <v>181838</v>
      </c>
      <c r="R90" s="168">
        <f>SUMIF('Libro Diario Convencional'!$B$15:$B$167,P84,'Libro Diario Convencional'!$J$15:$J$167)</f>
        <v>192878</v>
      </c>
      <c r="S90" s="9"/>
      <c r="T90" s="236">
        <v>41670</v>
      </c>
      <c r="U90" s="171"/>
      <c r="V90" s="166" t="s">
        <v>470</v>
      </c>
      <c r="W90" s="167">
        <f>SUMIF('Libro Diario Convencional'!$B$15:$B$167,V84,'Libro Diario Convencional'!$I$15:$I$167)</f>
        <v>0</v>
      </c>
      <c r="X90" s="168">
        <f>SUMIF('Libro Diario Convencional'!$B$15:$B$167,V84,'Libro Diario Convencional'!$J$15:$J$167)</f>
        <v>0</v>
      </c>
      <c r="Y90" s="9"/>
      <c r="Z90" s="236">
        <v>41670</v>
      </c>
      <c r="AA90" s="171"/>
      <c r="AB90" s="166" t="s">
        <v>470</v>
      </c>
      <c r="AC90" s="167">
        <f>SUMIF('Libro Diario Convencional'!$B$15:$B$167,AB84,'Libro Diario Convencional'!$I$15:$I$167)</f>
        <v>0</v>
      </c>
      <c r="AD90" s="168">
        <f>SUMIF('Libro Diario Convencional'!$B$15:$B$167,AB84,'Libro Diario Convencional'!$J$15:$J$167)</f>
        <v>0</v>
      </c>
      <c r="AE90" s="9"/>
      <c r="AF90" s="236">
        <v>41670</v>
      </c>
      <c r="AG90" s="171"/>
      <c r="AH90" s="166" t="s">
        <v>470</v>
      </c>
      <c r="AI90" s="167">
        <f>SUMIF('Libro Diario Convencional'!$B$15:$B$167,AH84,'Libro Diario Convencional'!$I$15:$I$167)</f>
        <v>0</v>
      </c>
      <c r="AJ90" s="168">
        <f>SUMIF('Libro Diario Convencional'!$B$15:$B$167,AH84,'Libro Diario Convencional'!$J$15:$J$167)</f>
        <v>0</v>
      </c>
      <c r="AK90" s="9"/>
      <c r="AL90" s="236">
        <v>41670</v>
      </c>
      <c r="AM90" s="171"/>
      <c r="AN90" s="166" t="s">
        <v>470</v>
      </c>
      <c r="AO90" s="167">
        <f>SUMIF('Libro Diario Convencional'!$B$15:$B$167,AN84,'Libro Diario Convencional'!$I$15:$I$167)</f>
        <v>9971</v>
      </c>
      <c r="AP90" s="168">
        <f>SUMIF('Libro Diario Convencional'!$B$15:$B$167,AN84,'Libro Diario Convencional'!$J$15:$J$167)</f>
        <v>20051</v>
      </c>
      <c r="AQ90" s="9"/>
      <c r="AR90" s="236">
        <v>41670</v>
      </c>
      <c r="AS90" s="171"/>
      <c r="AT90" s="166" t="s">
        <v>470</v>
      </c>
      <c r="AU90" s="167">
        <f>SUMIF('Libro Diario Convencional'!$B$15:$B$167,AT84,'Libro Diario Convencional'!$I$15:$I$167)</f>
        <v>0</v>
      </c>
      <c r="AV90" s="168">
        <f>SUMIF('Libro Diario Convencional'!$B$15:$B$167,AT84,'Libro Diario Convencional'!$J$15:$J$167)</f>
        <v>0</v>
      </c>
      <c r="AW90" s="9"/>
      <c r="AX90" s="236">
        <v>41670</v>
      </c>
      <c r="AY90" s="171"/>
      <c r="AZ90" s="166" t="s">
        <v>470</v>
      </c>
      <c r="BA90" s="167">
        <f>SUMIF('Libro Diario Convencional'!$B$15:$B$167,AZ84,'Libro Diario Convencional'!$I$15:$I$167)</f>
        <v>0</v>
      </c>
      <c r="BB90" s="168">
        <f>SUMIF('Libro Diario Convencional'!$B$15:$B$167,AZ84,'Libro Diario Convencional'!$J$15:$J$167)</f>
        <v>0</v>
      </c>
      <c r="BD90" s="236">
        <v>41670</v>
      </c>
      <c r="BE90" s="171"/>
      <c r="BF90" s="166" t="s">
        <v>470</v>
      </c>
      <c r="BG90" s="167">
        <f>SUMIF('Libro Diario Convencional'!$B$15:$B$167,BF84,'Libro Diario Convencional'!$I$15:$I$167)</f>
        <v>0</v>
      </c>
      <c r="BH90" s="168">
        <f>SUMIF('Libro Diario Convencional'!$B$15:$B$167,BF84,'Libro Diario Convencional'!$J$15:$J$167)</f>
        <v>0</v>
      </c>
    </row>
    <row r="91" spans="2:63" x14ac:dyDescent="0.25">
      <c r="B91" s="169">
        <v>41670</v>
      </c>
      <c r="C91" s="172"/>
      <c r="D91" s="161" t="s">
        <v>474</v>
      </c>
      <c r="E91" s="162">
        <f>SUMIF('Asientos de Cierre'!$B$6:$B$549,D84,'Asientos de Cierre'!$J$6:$J$549)</f>
        <v>65142</v>
      </c>
      <c r="F91" s="163">
        <f>SUMIF('Asientos de Cierre'!$B$6:$B$549,D84,'Asientos de Cierre'!$K$6:$K$549)</f>
        <v>3058.6271186440677</v>
      </c>
      <c r="G91" s="9"/>
      <c r="H91" s="169">
        <v>41670</v>
      </c>
      <c r="I91" s="172"/>
      <c r="J91" s="161" t="s">
        <v>474</v>
      </c>
      <c r="K91" s="162">
        <f>SUMIF('Asientos de Cierre'!$B$6:$B$549,J84,'Asientos de Cierre'!$J$6:$J$549)</f>
        <v>261858</v>
      </c>
      <c r="L91" s="163">
        <f>SUMIF('Asientos de Cierre'!$B$6:$B$549,J84,'Asientos de Cierre'!$K$6:$K$549)</f>
        <v>0</v>
      </c>
      <c r="M91" s="9"/>
      <c r="N91" s="169">
        <v>41670</v>
      </c>
      <c r="O91" s="172"/>
      <c r="P91" s="161" t="s">
        <v>474</v>
      </c>
      <c r="Q91" s="162">
        <f>SUMIF('Asientos de Cierre'!$B$6:$B$549,P84,'Asientos de Cierre'!$J$6:$J$549)</f>
        <v>11040</v>
      </c>
      <c r="R91" s="163">
        <f>SUMIF('Asientos de Cierre'!$B$6:$B$549,P84,'Asientos de Cierre'!$K$6:$K$549)</f>
        <v>0</v>
      </c>
      <c r="S91" s="9"/>
      <c r="T91" s="169">
        <v>41670</v>
      </c>
      <c r="U91" s="172"/>
      <c r="V91" s="161" t="s">
        <v>474</v>
      </c>
      <c r="W91" s="162">
        <f>SUMIF('Asientos de Cierre'!$B$6:$B$549,V84,'Asientos de Cierre'!$J$6:$J$549)</f>
        <v>0</v>
      </c>
      <c r="X91" s="163">
        <f>SUMIF('Asientos de Cierre'!$B$6:$B$549,V84,'Asientos de Cierre'!$K$6:$K$549)</f>
        <v>0</v>
      </c>
      <c r="Y91" s="9"/>
      <c r="Z91" s="169">
        <v>41670</v>
      </c>
      <c r="AA91" s="172"/>
      <c r="AB91" s="161" t="s">
        <v>474</v>
      </c>
      <c r="AC91" s="162">
        <f>SUMIF('Asientos de Cierre'!$B$6:$B$549,AB84,'Asientos de Cierre'!$J$6:$J$549)</f>
        <v>0</v>
      </c>
      <c r="AD91" s="163">
        <f>SUMIF('Asientos de Cierre'!$B$6:$B$549,AB84,'Asientos de Cierre'!$K$6:$K$549)</f>
        <v>0</v>
      </c>
      <c r="AE91" s="9"/>
      <c r="AF91" s="169">
        <v>41670</v>
      </c>
      <c r="AG91" s="172"/>
      <c r="AH91" s="161" t="s">
        <v>474</v>
      </c>
      <c r="AI91" s="162">
        <f>SUMIF('Asientos de Cierre'!$B$6:$B$549,AH84,'Asientos de Cierre'!$J$6:$J$549)</f>
        <v>0</v>
      </c>
      <c r="AJ91" s="163">
        <f>SUMIF('Asientos de Cierre'!$B$6:$B$549,AH84,'Asientos de Cierre'!$K$6:$K$549)</f>
        <v>0</v>
      </c>
      <c r="AK91" s="9"/>
      <c r="AL91" s="169">
        <v>41670</v>
      </c>
      <c r="AM91" s="172"/>
      <c r="AN91" s="161" t="s">
        <v>474</v>
      </c>
      <c r="AO91" s="162">
        <f>SUMIF('Asientos de Cierre'!$B$6:$B$549,AN84,'Asientos de Cierre'!$J$6:$J$549)</f>
        <v>9971</v>
      </c>
      <c r="AP91" s="163">
        <f>SUMIF('Asientos de Cierre'!$B$6:$B$549,AN84,'Asientos de Cierre'!$K$6:$K$549)</f>
        <v>0</v>
      </c>
      <c r="AQ91" s="9"/>
      <c r="AR91" s="169">
        <v>41670</v>
      </c>
      <c r="AS91" s="172"/>
      <c r="AT91" s="161" t="s">
        <v>474</v>
      </c>
      <c r="AU91" s="162">
        <f>SUMIF('Asientos de Cierre'!$B$6:$B$549,AT84,'Asientos de Cierre'!$J$6:$J$549)</f>
        <v>0</v>
      </c>
      <c r="AV91" s="163">
        <f>SUMIF('Asientos de Cierre'!$B$6:$B$549,AT84,'Asientos de Cierre'!$K$6:$K$549)</f>
        <v>0</v>
      </c>
      <c r="AW91" s="9"/>
      <c r="AX91" s="169">
        <v>41670</v>
      </c>
      <c r="AY91" s="172"/>
      <c r="AZ91" s="161" t="s">
        <v>474</v>
      </c>
      <c r="BA91" s="162">
        <f>SUMIF('Asientos de Cierre'!$B$6:$B$549,AZ84,'Asientos de Cierre'!$J$6:$J$549)</f>
        <v>0</v>
      </c>
      <c r="BB91" s="163">
        <f>SUMIF('Asientos de Cierre'!$B$6:$B$549,AZ84,'Asientos de Cierre'!$K$6:$K$549)</f>
        <v>0</v>
      </c>
      <c r="BD91" s="169">
        <v>41670</v>
      </c>
      <c r="BE91" s="172"/>
      <c r="BF91" s="161" t="s">
        <v>474</v>
      </c>
      <c r="BG91" s="162">
        <f>SUMIF('Asientos de Cierre'!$B$6:$B$549,BF84,'Asientos de Cierre'!$J$6:$J$549)</f>
        <v>0</v>
      </c>
      <c r="BH91" s="163">
        <f>SUMIF('Asientos de Cierre'!$B$6:$B$549,BF84,'Asientos de Cierre'!$K$6:$K$549)</f>
        <v>0</v>
      </c>
    </row>
    <row r="92" spans="2:63" x14ac:dyDescent="0.25">
      <c r="B92" s="169"/>
      <c r="C92" s="172"/>
      <c r="D92" s="161"/>
      <c r="E92" s="162"/>
      <c r="F92" s="163"/>
      <c r="G92" s="9"/>
      <c r="H92" s="169"/>
      <c r="I92" s="172"/>
      <c r="J92" s="161"/>
      <c r="K92" s="162"/>
      <c r="L92" s="163"/>
      <c r="M92" s="9"/>
      <c r="N92" s="169"/>
      <c r="O92" s="172"/>
      <c r="P92" s="161"/>
      <c r="Q92" s="162"/>
      <c r="R92" s="163"/>
      <c r="S92" s="9"/>
      <c r="T92" s="169"/>
      <c r="U92" s="172"/>
      <c r="V92" s="161"/>
      <c r="W92" s="162"/>
      <c r="X92" s="163"/>
      <c r="Y92" s="9"/>
      <c r="Z92" s="169"/>
      <c r="AA92" s="172"/>
      <c r="AB92" s="161"/>
      <c r="AC92" s="162"/>
      <c r="AD92" s="163"/>
      <c r="AE92" s="9"/>
      <c r="AF92" s="169"/>
      <c r="AG92" s="172"/>
      <c r="AH92" s="161"/>
      <c r="AI92" s="162"/>
      <c r="AJ92" s="163"/>
      <c r="AK92" s="9"/>
      <c r="AL92" s="169"/>
      <c r="AM92" s="172"/>
      <c r="AN92" s="161"/>
      <c r="AO92" s="162"/>
      <c r="AP92" s="163"/>
      <c r="AQ92" s="9"/>
      <c r="AR92" s="169"/>
      <c r="AS92" s="172"/>
      <c r="AT92" s="161"/>
      <c r="AU92" s="162"/>
      <c r="AV92" s="163"/>
      <c r="AW92" s="9"/>
      <c r="AX92" s="169"/>
      <c r="AY92" s="172"/>
      <c r="AZ92" s="161"/>
      <c r="BA92" s="162"/>
      <c r="BB92" s="163"/>
      <c r="BD92" s="169"/>
      <c r="BE92" s="172"/>
      <c r="BF92" s="161"/>
      <c r="BG92" s="162"/>
      <c r="BH92" s="163"/>
    </row>
    <row r="93" spans="2:63" ht="14.4" thickBot="1" x14ac:dyDescent="0.3">
      <c r="B93" s="169"/>
      <c r="C93" s="172"/>
      <c r="D93" s="161"/>
      <c r="E93" s="162"/>
      <c r="F93" s="163"/>
      <c r="G93" s="9"/>
      <c r="H93" s="169"/>
      <c r="I93" s="172"/>
      <c r="J93" s="161"/>
      <c r="K93" s="162"/>
      <c r="L93" s="163"/>
      <c r="M93" s="9"/>
      <c r="N93" s="169"/>
      <c r="O93" s="172"/>
      <c r="P93" s="161"/>
      <c r="Q93" s="162"/>
      <c r="R93" s="163"/>
      <c r="S93" s="9"/>
      <c r="T93" s="169"/>
      <c r="U93" s="172"/>
      <c r="V93" s="161"/>
      <c r="W93" s="162"/>
      <c r="X93" s="163"/>
      <c r="Y93" s="9"/>
      <c r="Z93" s="169"/>
      <c r="AA93" s="172"/>
      <c r="AB93" s="161"/>
      <c r="AC93" s="162"/>
      <c r="AD93" s="163"/>
      <c r="AE93" s="9"/>
      <c r="AF93" s="169"/>
      <c r="AG93" s="172"/>
      <c r="AH93" s="161"/>
      <c r="AI93" s="162"/>
      <c r="AJ93" s="163"/>
      <c r="AK93" s="9"/>
      <c r="AL93" s="169"/>
      <c r="AM93" s="172"/>
      <c r="AN93" s="161"/>
      <c r="AO93" s="162"/>
      <c r="AP93" s="163"/>
      <c r="AQ93" s="9"/>
      <c r="AR93" s="169"/>
      <c r="AS93" s="172"/>
      <c r="AT93" s="161"/>
      <c r="AU93" s="162"/>
      <c r="AV93" s="163"/>
      <c r="AW93" s="9"/>
      <c r="AX93" s="169"/>
      <c r="AY93" s="172"/>
      <c r="AZ93" s="161"/>
      <c r="BA93" s="162"/>
      <c r="BB93" s="163"/>
      <c r="BD93" s="169"/>
      <c r="BE93" s="172"/>
      <c r="BF93" s="161"/>
      <c r="BG93" s="162"/>
      <c r="BH93" s="163"/>
    </row>
    <row r="94" spans="2:63" ht="15" thickBot="1" x14ac:dyDescent="0.3">
      <c r="B94" s="169"/>
      <c r="C94" s="172"/>
      <c r="D94" s="161" t="s">
        <v>471</v>
      </c>
      <c r="E94" s="162">
        <f>SUM(E90:E93)</f>
        <v>95938.627118644072</v>
      </c>
      <c r="F94" s="163">
        <f>SUM(F90:F93)</f>
        <v>180040.62711864407</v>
      </c>
      <c r="G94" s="9"/>
      <c r="H94" s="169"/>
      <c r="I94" s="172"/>
      <c r="J94" s="161" t="s">
        <v>471</v>
      </c>
      <c r="K94" s="162">
        <f>SUM(K90:K93)</f>
        <v>261858</v>
      </c>
      <c r="L94" s="163">
        <f>SUM(L90:L93)</f>
        <v>261858</v>
      </c>
      <c r="M94" s="9"/>
      <c r="N94" s="169"/>
      <c r="O94" s="172"/>
      <c r="P94" s="161" t="s">
        <v>471</v>
      </c>
      <c r="Q94" s="162">
        <f>SUM(Q90:Q93)</f>
        <v>192878</v>
      </c>
      <c r="R94" s="163">
        <f>SUM(R90:R93)</f>
        <v>192878</v>
      </c>
      <c r="S94" s="9"/>
      <c r="T94" s="169"/>
      <c r="U94" s="172"/>
      <c r="V94" s="161" t="s">
        <v>471</v>
      </c>
      <c r="W94" s="162">
        <f>SUM(W90:W93)</f>
        <v>0</v>
      </c>
      <c r="X94" s="163">
        <f>SUM(X90:X93)</f>
        <v>0</v>
      </c>
      <c r="Y94" s="9"/>
      <c r="Z94" s="169"/>
      <c r="AA94" s="172"/>
      <c r="AB94" s="161" t="s">
        <v>471</v>
      </c>
      <c r="AC94" s="162">
        <f>SUM(AC90:AC93)</f>
        <v>0</v>
      </c>
      <c r="AD94" s="163">
        <f>SUM(AD90:AD93)</f>
        <v>0</v>
      </c>
      <c r="AE94" s="9"/>
      <c r="AF94" s="169"/>
      <c r="AG94" s="172"/>
      <c r="AH94" s="161" t="s">
        <v>471</v>
      </c>
      <c r="AI94" s="162">
        <f>SUM(AI90:AI93)</f>
        <v>0</v>
      </c>
      <c r="AJ94" s="163">
        <f>SUM(AJ90:AJ93)</f>
        <v>0</v>
      </c>
      <c r="AK94" s="9"/>
      <c r="AL94" s="169"/>
      <c r="AM94" s="172"/>
      <c r="AN94" s="161" t="s">
        <v>471</v>
      </c>
      <c r="AO94" s="162">
        <f>SUM(AO90:AO93)</f>
        <v>19942</v>
      </c>
      <c r="AP94" s="163">
        <f>SUM(AP90:AP93)</f>
        <v>20051</v>
      </c>
      <c r="AQ94" s="9"/>
      <c r="AR94" s="169"/>
      <c r="AS94" s="172"/>
      <c r="AT94" s="161" t="s">
        <v>471</v>
      </c>
      <c r="AU94" s="162">
        <f>SUM(AU90:AU93)</f>
        <v>0</v>
      </c>
      <c r="AV94" s="163">
        <f>SUM(AV90:AV93)</f>
        <v>0</v>
      </c>
      <c r="AW94" s="9"/>
      <c r="AX94" s="169"/>
      <c r="AY94" s="172"/>
      <c r="AZ94" s="161" t="s">
        <v>471</v>
      </c>
      <c r="BA94" s="162">
        <f>SUM(BA90:BA93)</f>
        <v>0</v>
      </c>
      <c r="BB94" s="163">
        <f>SUM(BB90:BB93)</f>
        <v>0</v>
      </c>
      <c r="BD94" s="169"/>
      <c r="BE94" s="172"/>
      <c r="BF94" s="161" t="s">
        <v>471</v>
      </c>
      <c r="BG94" s="162">
        <f>SUM(BG90:BG93)</f>
        <v>0</v>
      </c>
      <c r="BH94" s="163">
        <f>SUM(BH90:BH93)</f>
        <v>0</v>
      </c>
      <c r="BJ94" s="157">
        <f>SUM(E94,K94,Q94,W94,AC94,AI94,AO94,AU94,BA94,BG94)</f>
        <v>570616.62711864407</v>
      </c>
      <c r="BK94" s="158">
        <f>SUM(F94,L94,R94,X94,AD94,AJ94,AP94,AV94,BB94,BH94)</f>
        <v>654827.62711864407</v>
      </c>
    </row>
    <row r="95" spans="2:63" ht="14.4" thickBot="1" x14ac:dyDescent="0.3">
      <c r="B95" s="170"/>
      <c r="C95" s="173"/>
      <c r="D95" s="164" t="str">
        <f>IF(E94=F94,"",IF(E94&gt;F94,"Saldo Deudor","Saldo Acreedor"))</f>
        <v>Saldo Acreedor</v>
      </c>
      <c r="E95" s="165" t="str">
        <f>IF(E94&gt;F94,E94-F94,"")</f>
        <v/>
      </c>
      <c r="F95" s="176">
        <f>IF(E94&lt;F94,F94-E94,"")</f>
        <v>84102</v>
      </c>
      <c r="H95" s="170"/>
      <c r="I95" s="173"/>
      <c r="J95" s="164" t="str">
        <f>IF(K94=L94,"",IF(K94&gt;L94,"Saldo Deudor","Saldo Acreedor"))</f>
        <v/>
      </c>
      <c r="K95" s="165" t="str">
        <f>IF(K94&gt;L94,K94-L94,"")</f>
        <v/>
      </c>
      <c r="L95" s="176" t="str">
        <f>IF(K94&lt;L94,L94-K94,"")</f>
        <v/>
      </c>
      <c r="N95" s="170"/>
      <c r="O95" s="173"/>
      <c r="P95" s="164" t="str">
        <f>IF(Q94=R94,"",IF(Q94&gt;R94,"Saldo Deudor","Saldo Acreedor"))</f>
        <v/>
      </c>
      <c r="Q95" s="165" t="str">
        <f>IF(Q94&gt;R94,Q94-R94,"")</f>
        <v/>
      </c>
      <c r="R95" s="176" t="str">
        <f>IF(Q94&lt;R94,R94-Q94,"")</f>
        <v/>
      </c>
      <c r="T95" s="170"/>
      <c r="U95" s="173"/>
      <c r="V95" s="164" t="str">
        <f>IF(W94=X94,"",IF(W94&gt;X94,"Saldo Deudor","Saldo Acreedor"))</f>
        <v/>
      </c>
      <c r="W95" s="165" t="str">
        <f>IF(W94&gt;X94,W94-X94,"")</f>
        <v/>
      </c>
      <c r="X95" s="176" t="str">
        <f>IF(W94&lt;X94,X94-W94,"")</f>
        <v/>
      </c>
      <c r="Z95" s="170"/>
      <c r="AA95" s="173"/>
      <c r="AB95" s="164" t="str">
        <f>IF(AC94=AD94,"",IF(AC94&gt;AD94,"Saldo Deudor","Saldo Acreedor"))</f>
        <v/>
      </c>
      <c r="AC95" s="165" t="str">
        <f>IF(AC94&gt;AD94,AC94-AD94,"")</f>
        <v/>
      </c>
      <c r="AD95" s="176" t="str">
        <f>IF(AC94&lt;AD94,AD94-AC94,"")</f>
        <v/>
      </c>
      <c r="AF95" s="170"/>
      <c r="AG95" s="173"/>
      <c r="AH95" s="164" t="str">
        <f>IF(AI94=AJ94,"",IF(AI94&gt;AJ94,"Saldo Deudor","Saldo Acreedor"))</f>
        <v/>
      </c>
      <c r="AI95" s="165" t="str">
        <f>IF(AI94&gt;AJ94,AI94-AJ94,"")</f>
        <v/>
      </c>
      <c r="AJ95" s="176" t="str">
        <f>IF(AI94&lt;AJ94,AJ94-AI94,"")</f>
        <v/>
      </c>
      <c r="AL95" s="170"/>
      <c r="AM95" s="173"/>
      <c r="AN95" s="164" t="str">
        <f>IF(AO94=AP94,"",IF(AO94&gt;AP94,"Saldo Deudor","Saldo Acreedor"))</f>
        <v>Saldo Acreedor</v>
      </c>
      <c r="AO95" s="165" t="str">
        <f>IF(AO94&gt;AP94,AO94-AP94,"")</f>
        <v/>
      </c>
      <c r="AP95" s="176">
        <f>IF(AO94&lt;AP94,AP94-AO94,"")</f>
        <v>109</v>
      </c>
      <c r="AR95" s="170"/>
      <c r="AS95" s="173"/>
      <c r="AT95" s="164" t="str">
        <f>IF(AU94=AV94,"",IF(AU94&gt;AV94,"Saldo Deudor","Saldo Acreedor"))</f>
        <v/>
      </c>
      <c r="AU95" s="165" t="str">
        <f>IF(AU94&gt;AV94,AU94-AV94,"")</f>
        <v/>
      </c>
      <c r="AV95" s="176" t="str">
        <f>IF(AU94&lt;AV94,AV94-AU94,"")</f>
        <v/>
      </c>
      <c r="AX95" s="170"/>
      <c r="AY95" s="173"/>
      <c r="AZ95" s="164" t="str">
        <f>IF(BA94=BB94,"",IF(BA94&gt;BB94,"Saldo Deudor","Saldo Acreedor"))</f>
        <v/>
      </c>
      <c r="BA95" s="165" t="str">
        <f>IF(BA94&gt;BB94,BA94-BB94,"")</f>
        <v/>
      </c>
      <c r="BB95" s="176" t="str">
        <f>IF(BA94&lt;BB94,BB94-BA94,"")</f>
        <v/>
      </c>
      <c r="BD95" s="170"/>
      <c r="BE95" s="173"/>
      <c r="BF95" s="164" t="str">
        <f>IF(BG94=BH94,"",IF(BG94&gt;BH94,"Saldo Deudor","Saldo Acreedor"))</f>
        <v/>
      </c>
      <c r="BG95" s="165" t="str">
        <f>IF(BG94&gt;BH94,BG94-BH94,"")</f>
        <v/>
      </c>
      <c r="BH95" s="176" t="str">
        <f>IF(BG94&lt;BH94,BH94-BG94,"")</f>
        <v/>
      </c>
    </row>
    <row r="98" spans="2:42" ht="15.6" x14ac:dyDescent="0.25">
      <c r="B98" s="324" t="s">
        <v>321</v>
      </c>
      <c r="C98" s="324"/>
      <c r="D98" s="233" t="str">
        <f>'Base de Datos'!$C$756</f>
        <v>LIBRO MAYOR</v>
      </c>
      <c r="H98" s="324" t="s">
        <v>321</v>
      </c>
      <c r="I98" s="324"/>
      <c r="J98" s="233" t="str">
        <f>'Base de Datos'!$C$756</f>
        <v>LIBRO MAYOR</v>
      </c>
      <c r="N98" s="324" t="s">
        <v>321</v>
      </c>
      <c r="O98" s="324"/>
      <c r="P98" s="233" t="str">
        <f>'Base de Datos'!$C$756</f>
        <v>LIBRO MAYOR</v>
      </c>
      <c r="T98" s="324" t="s">
        <v>321</v>
      </c>
      <c r="U98" s="324"/>
      <c r="V98" s="233" t="str">
        <f>'Base de Datos'!$C$756</f>
        <v>LIBRO MAYOR</v>
      </c>
      <c r="Z98" s="324" t="s">
        <v>321</v>
      </c>
      <c r="AA98" s="324"/>
      <c r="AB98" s="233" t="str">
        <f>'Base de Datos'!$C$756</f>
        <v>LIBRO MAYOR</v>
      </c>
      <c r="AF98" s="324" t="s">
        <v>321</v>
      </c>
      <c r="AG98" s="324"/>
      <c r="AH98" s="233" t="str">
        <f>'Base de Datos'!$C$756</f>
        <v>LIBRO MAYOR</v>
      </c>
      <c r="AL98" s="324" t="s">
        <v>321</v>
      </c>
      <c r="AM98" s="324"/>
      <c r="AN98" s="233" t="str">
        <f>'Base de Datos'!$C$756</f>
        <v>LIBRO MAYOR</v>
      </c>
    </row>
    <row r="99" spans="2:42" x14ac:dyDescent="0.25">
      <c r="C99" s="2"/>
      <c r="D99" s="2"/>
      <c r="E99" s="2"/>
      <c r="I99" s="2"/>
      <c r="J99" s="2"/>
      <c r="K99" s="2"/>
      <c r="O99" s="2"/>
      <c r="P99" s="2"/>
      <c r="Q99" s="2"/>
      <c r="U99" s="2"/>
      <c r="V99" s="2"/>
      <c r="W99" s="2"/>
      <c r="AA99" s="2"/>
      <c r="AB99" s="2"/>
      <c r="AC99" s="2"/>
      <c r="AG99" s="2"/>
      <c r="AH99" s="2"/>
      <c r="AI99" s="2"/>
      <c r="AM99" s="2"/>
      <c r="AN99" s="2"/>
      <c r="AO99" s="2"/>
    </row>
    <row r="100" spans="2:42" ht="15.6" x14ac:dyDescent="0.25">
      <c r="B100" s="324" t="s">
        <v>322</v>
      </c>
      <c r="C100" s="324"/>
      <c r="D100" s="234" t="str">
        <f>'Base de Datos'!$C$8</f>
        <v>MARZO</v>
      </c>
      <c r="E100" s="160"/>
      <c r="H100" s="324" t="s">
        <v>322</v>
      </c>
      <c r="I100" s="324"/>
      <c r="J100" s="234" t="str">
        <f>'Base de Datos'!$C$8</f>
        <v>MARZO</v>
      </c>
      <c r="K100" s="160"/>
      <c r="N100" s="324" t="s">
        <v>322</v>
      </c>
      <c r="O100" s="324"/>
      <c r="P100" s="234" t="str">
        <f>'Base de Datos'!$C$8</f>
        <v>MARZO</v>
      </c>
      <c r="Q100" s="160"/>
      <c r="T100" s="324" t="s">
        <v>322</v>
      </c>
      <c r="U100" s="324"/>
      <c r="V100" s="234" t="str">
        <f>'Base de Datos'!$C$8</f>
        <v>MARZO</v>
      </c>
      <c r="W100" s="160"/>
      <c r="Z100" s="324" t="s">
        <v>322</v>
      </c>
      <c r="AA100" s="324"/>
      <c r="AB100" s="234" t="str">
        <f>'Base de Datos'!$C$8</f>
        <v>MARZO</v>
      </c>
      <c r="AC100" s="160"/>
      <c r="AF100" s="324" t="s">
        <v>322</v>
      </c>
      <c r="AG100" s="324"/>
      <c r="AH100" s="234" t="str">
        <f>'Base de Datos'!$C$8</f>
        <v>MARZO</v>
      </c>
      <c r="AI100" s="160"/>
      <c r="AL100" s="324" t="s">
        <v>322</v>
      </c>
      <c r="AM100" s="324"/>
      <c r="AN100" s="234" t="str">
        <f>'Base de Datos'!$C$8</f>
        <v>MARZO</v>
      </c>
      <c r="AO100" s="160"/>
    </row>
    <row r="101" spans="2:42" x14ac:dyDescent="0.25">
      <c r="C101" s="2"/>
      <c r="D101" s="2"/>
      <c r="E101" s="2"/>
      <c r="I101" s="2"/>
      <c r="J101" s="2"/>
      <c r="K101" s="2"/>
      <c r="O101" s="2"/>
      <c r="P101" s="2"/>
      <c r="Q101" s="2"/>
      <c r="U101" s="2"/>
      <c r="V101" s="2"/>
      <c r="W101" s="2"/>
      <c r="AA101" s="2"/>
      <c r="AB101" s="2"/>
      <c r="AC101" s="2"/>
      <c r="AG101" s="2"/>
      <c r="AH101" s="2"/>
      <c r="AI101" s="2"/>
      <c r="AM101" s="2"/>
      <c r="AN101" s="2"/>
      <c r="AO101" s="2"/>
    </row>
    <row r="102" spans="2:42" ht="15.6" x14ac:dyDescent="0.25">
      <c r="B102" s="324" t="s">
        <v>323</v>
      </c>
      <c r="C102" s="324"/>
      <c r="D102" s="231">
        <f>'Base de Datos'!$C$9</f>
        <v>2015</v>
      </c>
      <c r="E102" s="2"/>
      <c r="H102" s="324" t="s">
        <v>323</v>
      </c>
      <c r="I102" s="324"/>
      <c r="J102" s="231">
        <f>'Base de Datos'!$C$9</f>
        <v>2015</v>
      </c>
      <c r="K102" s="2"/>
      <c r="N102" s="324" t="s">
        <v>323</v>
      </c>
      <c r="O102" s="324"/>
      <c r="P102" s="231">
        <f>'Base de Datos'!$C$9</f>
        <v>2015</v>
      </c>
      <c r="Q102" s="2"/>
      <c r="T102" s="324" t="s">
        <v>323</v>
      </c>
      <c r="U102" s="324"/>
      <c r="V102" s="231">
        <f>'Base de Datos'!$C$9</f>
        <v>2015</v>
      </c>
      <c r="W102" s="2"/>
      <c r="Z102" s="324" t="s">
        <v>323</v>
      </c>
      <c r="AA102" s="324"/>
      <c r="AB102" s="231">
        <f>'Base de Datos'!$C$9</f>
        <v>2015</v>
      </c>
      <c r="AC102" s="2"/>
      <c r="AF102" s="324" t="s">
        <v>323</v>
      </c>
      <c r="AG102" s="324"/>
      <c r="AH102" s="231">
        <f>'Base de Datos'!$C$9</f>
        <v>2015</v>
      </c>
      <c r="AI102" s="2"/>
      <c r="AL102" s="324" t="s">
        <v>323</v>
      </c>
      <c r="AM102" s="324"/>
      <c r="AN102" s="231">
        <f>'Base de Datos'!$C$9</f>
        <v>2015</v>
      </c>
      <c r="AO102" s="2"/>
    </row>
    <row r="103" spans="2:42" x14ac:dyDescent="0.25">
      <c r="C103" s="2"/>
      <c r="D103" s="2"/>
      <c r="E103" s="2"/>
      <c r="I103" s="2"/>
      <c r="J103" s="2"/>
      <c r="K103" s="2"/>
      <c r="O103" s="2"/>
      <c r="P103" s="2"/>
      <c r="Q103" s="2"/>
      <c r="U103" s="2"/>
      <c r="V103" s="2"/>
      <c r="W103" s="2"/>
      <c r="AA103" s="2"/>
      <c r="AB103" s="2"/>
      <c r="AC103" s="2"/>
      <c r="AG103" s="2"/>
      <c r="AH103" s="2"/>
      <c r="AI103" s="2"/>
      <c r="AM103" s="2"/>
      <c r="AN103" s="2"/>
      <c r="AO103" s="2"/>
    </row>
    <row r="104" spans="2:42" ht="15.6" x14ac:dyDescent="0.25">
      <c r="B104" s="324" t="s">
        <v>324</v>
      </c>
      <c r="C104" s="324"/>
      <c r="D104" s="316">
        <f>'Base de Datos'!$C$6</f>
        <v>20411074561</v>
      </c>
      <c r="E104" s="316"/>
      <c r="H104" s="324" t="s">
        <v>324</v>
      </c>
      <c r="I104" s="324"/>
      <c r="J104" s="316">
        <f>'Base de Datos'!$C$6</f>
        <v>20411074561</v>
      </c>
      <c r="K104" s="316"/>
      <c r="N104" s="324" t="s">
        <v>324</v>
      </c>
      <c r="O104" s="324"/>
      <c r="P104" s="316">
        <f>'Base de Datos'!$C$6</f>
        <v>20411074561</v>
      </c>
      <c r="Q104" s="316"/>
      <c r="T104" s="324" t="s">
        <v>324</v>
      </c>
      <c r="U104" s="324"/>
      <c r="V104" s="316">
        <f>'Base de Datos'!$C$6</f>
        <v>20411074561</v>
      </c>
      <c r="W104" s="316"/>
      <c r="Z104" s="324" t="s">
        <v>324</v>
      </c>
      <c r="AA104" s="324"/>
      <c r="AB104" s="316">
        <f>'Base de Datos'!$C$6</f>
        <v>20411074561</v>
      </c>
      <c r="AC104" s="316"/>
      <c r="AF104" s="324" t="s">
        <v>324</v>
      </c>
      <c r="AG104" s="324"/>
      <c r="AH104" s="316">
        <f>'Base de Datos'!$C$6</f>
        <v>20411074561</v>
      </c>
      <c r="AI104" s="316"/>
      <c r="AL104" s="324" t="s">
        <v>324</v>
      </c>
      <c r="AM104" s="324"/>
      <c r="AN104" s="316">
        <f>'Base de Datos'!$C$6</f>
        <v>20411074561</v>
      </c>
      <c r="AO104" s="316"/>
    </row>
    <row r="105" spans="2:42" x14ac:dyDescent="0.25">
      <c r="C105" s="2"/>
      <c r="D105" s="2"/>
      <c r="E105" s="2"/>
      <c r="I105" s="2"/>
      <c r="J105" s="2"/>
      <c r="K105" s="2"/>
      <c r="O105" s="2"/>
      <c r="P105" s="2"/>
      <c r="Q105" s="2"/>
      <c r="U105" s="2"/>
      <c r="V105" s="2"/>
      <c r="W105" s="2"/>
      <c r="AA105" s="2"/>
      <c r="AB105" s="2"/>
      <c r="AC105" s="2"/>
      <c r="AG105" s="2"/>
      <c r="AH105" s="2"/>
      <c r="AI105" s="2"/>
      <c r="AM105" s="2"/>
      <c r="AN105" s="2"/>
      <c r="AO105" s="2"/>
    </row>
    <row r="106" spans="2:42" ht="15.6" x14ac:dyDescent="0.25">
      <c r="B106" s="324" t="s">
        <v>325</v>
      </c>
      <c r="C106" s="324"/>
      <c r="D106" s="234" t="str">
        <f>'Base de Datos'!$C$5</f>
        <v>LOS BAILARINES SRL</v>
      </c>
      <c r="E106" s="2"/>
      <c r="H106" s="324" t="s">
        <v>325</v>
      </c>
      <c r="I106" s="324"/>
      <c r="J106" s="234" t="str">
        <f>'Base de Datos'!$C$5</f>
        <v>LOS BAILARINES SRL</v>
      </c>
      <c r="K106" s="2"/>
      <c r="N106" s="324" t="s">
        <v>325</v>
      </c>
      <c r="O106" s="324"/>
      <c r="P106" s="234" t="str">
        <f>'Base de Datos'!$C$5</f>
        <v>LOS BAILARINES SRL</v>
      </c>
      <c r="Q106" s="2"/>
      <c r="T106" s="324" t="s">
        <v>325</v>
      </c>
      <c r="U106" s="324"/>
      <c r="V106" s="234" t="str">
        <f>'Base de Datos'!$C$5</f>
        <v>LOS BAILARINES SRL</v>
      </c>
      <c r="W106" s="2"/>
      <c r="Z106" s="324" t="s">
        <v>325</v>
      </c>
      <c r="AA106" s="324"/>
      <c r="AB106" s="234" t="str">
        <f>'Base de Datos'!$C$5</f>
        <v>LOS BAILARINES SRL</v>
      </c>
      <c r="AC106" s="2"/>
      <c r="AF106" s="324" t="s">
        <v>325</v>
      </c>
      <c r="AG106" s="324"/>
      <c r="AH106" s="234" t="str">
        <f>'Base de Datos'!$C$5</f>
        <v>LOS BAILARINES SRL</v>
      </c>
      <c r="AI106" s="2"/>
      <c r="AL106" s="324" t="s">
        <v>325</v>
      </c>
      <c r="AM106" s="324"/>
      <c r="AN106" s="234" t="str">
        <f>'Base de Datos'!$C$5</f>
        <v>LOS BAILARINES SRL</v>
      </c>
      <c r="AO106" s="2"/>
    </row>
    <row r="107" spans="2:42" x14ac:dyDescent="0.25">
      <c r="B107" s="160"/>
      <c r="C107" s="160"/>
      <c r="D107" s="160"/>
      <c r="E107" s="160"/>
      <c r="H107" s="160"/>
      <c r="I107" s="160"/>
      <c r="J107" s="160"/>
      <c r="K107" s="160"/>
      <c r="N107" s="160"/>
      <c r="O107" s="160"/>
      <c r="P107" s="160"/>
      <c r="Q107" s="160"/>
      <c r="T107" s="160"/>
      <c r="U107" s="160"/>
      <c r="V107" s="160"/>
      <c r="W107" s="160"/>
      <c r="Z107" s="160"/>
      <c r="AA107" s="160"/>
      <c r="AB107" s="160"/>
      <c r="AC107" s="160"/>
      <c r="AF107" s="160"/>
      <c r="AG107" s="160"/>
      <c r="AH107" s="160"/>
      <c r="AI107" s="160"/>
      <c r="AL107" s="160"/>
      <c r="AM107" s="160"/>
      <c r="AN107" s="160"/>
      <c r="AO107" s="160"/>
    </row>
    <row r="108" spans="2:42" ht="15.6" x14ac:dyDescent="0.25">
      <c r="B108" s="324" t="s">
        <v>472</v>
      </c>
      <c r="C108" s="324"/>
      <c r="D108" s="175">
        <v>50</v>
      </c>
      <c r="H108" s="324" t="s">
        <v>472</v>
      </c>
      <c r="I108" s="324"/>
      <c r="J108" s="175">
        <v>51</v>
      </c>
      <c r="N108" s="324" t="s">
        <v>472</v>
      </c>
      <c r="O108" s="324"/>
      <c r="P108" s="175">
        <v>52</v>
      </c>
      <c r="T108" s="324" t="s">
        <v>472</v>
      </c>
      <c r="U108" s="324"/>
      <c r="V108" s="175">
        <v>56</v>
      </c>
      <c r="Z108" s="324" t="s">
        <v>472</v>
      </c>
      <c r="AA108" s="324"/>
      <c r="AB108" s="175">
        <v>57</v>
      </c>
      <c r="AF108" s="324" t="s">
        <v>472</v>
      </c>
      <c r="AG108" s="324"/>
      <c r="AH108" s="175">
        <v>58</v>
      </c>
      <c r="AL108" s="324" t="s">
        <v>472</v>
      </c>
      <c r="AM108" s="324"/>
      <c r="AN108" s="175">
        <v>59</v>
      </c>
    </row>
    <row r="109" spans="2:42" x14ac:dyDescent="0.25">
      <c r="B109" s="160"/>
      <c r="C109" s="160"/>
      <c r="D109" s="160"/>
      <c r="E109" s="160"/>
      <c r="H109" s="160"/>
      <c r="I109" s="160"/>
      <c r="J109" s="160"/>
      <c r="K109" s="160"/>
      <c r="N109" s="160"/>
      <c r="O109" s="160"/>
      <c r="P109" s="160"/>
      <c r="Q109" s="160"/>
      <c r="T109" s="160"/>
      <c r="U109" s="160"/>
      <c r="V109" s="160"/>
      <c r="W109" s="160"/>
      <c r="Z109" s="160"/>
      <c r="AA109" s="160"/>
      <c r="AB109" s="160"/>
      <c r="AC109" s="160"/>
      <c r="AF109" s="160"/>
      <c r="AG109" s="160"/>
      <c r="AH109" s="160"/>
      <c r="AI109" s="160"/>
      <c r="AL109" s="160"/>
      <c r="AM109" s="160"/>
      <c r="AN109" s="160"/>
      <c r="AO109" s="160"/>
    </row>
    <row r="110" spans="2:42" ht="15.6" x14ac:dyDescent="0.25">
      <c r="B110" s="324" t="s">
        <v>473</v>
      </c>
      <c r="C110" s="324"/>
      <c r="D110" s="234" t="str">
        <f>VLOOKUP(D108,CuentasContables,5,FALSE)</f>
        <v>CAPITAL</v>
      </c>
      <c r="E110" s="160"/>
      <c r="H110" s="324" t="s">
        <v>473</v>
      </c>
      <c r="I110" s="324"/>
      <c r="J110" s="234" t="str">
        <f>VLOOKUP(J108,CuentasContables,5,FALSE)</f>
        <v>ACCIONES DE INVERSIÓN</v>
      </c>
      <c r="K110" s="160"/>
      <c r="N110" s="324" t="s">
        <v>473</v>
      </c>
      <c r="O110" s="324"/>
      <c r="P110" s="234" t="str">
        <f>VLOOKUP(P108,CuentasContables,5,FALSE)</f>
        <v>CAPITAL ADICIONAL</v>
      </c>
      <c r="Q110" s="160"/>
      <c r="T110" s="324" t="s">
        <v>473</v>
      </c>
      <c r="U110" s="324"/>
      <c r="V110" s="234" t="str">
        <f>VLOOKUP(V108,CuentasContables,5,FALSE)</f>
        <v>RESULTADOS NO REALIZADOS</v>
      </c>
      <c r="W110" s="160"/>
      <c r="Z110" s="324" t="s">
        <v>473</v>
      </c>
      <c r="AA110" s="324"/>
      <c r="AB110" s="234" t="str">
        <f>VLOOKUP(AB108,CuentasContables,5,FALSE)</f>
        <v>EXCEDENTE DE REVALUACIÓN</v>
      </c>
      <c r="AC110" s="160"/>
      <c r="AF110" s="324" t="s">
        <v>473</v>
      </c>
      <c r="AG110" s="324"/>
      <c r="AH110" s="234" t="str">
        <f>VLOOKUP(AH108,CuentasContables,5,FALSE)</f>
        <v>RESERVAS</v>
      </c>
      <c r="AI110" s="160"/>
      <c r="AL110" s="324" t="s">
        <v>473</v>
      </c>
      <c r="AM110" s="324"/>
      <c r="AN110" s="234" t="str">
        <f>VLOOKUP(AN108,CuentasContables,5,FALSE)</f>
        <v>RESULTADOS  ACUMULADOS</v>
      </c>
      <c r="AO110" s="160"/>
    </row>
    <row r="111" spans="2:42" ht="14.4" thickBot="1" x14ac:dyDescent="0.3">
      <c r="B111" s="160"/>
      <c r="C111" s="160"/>
      <c r="D111" s="160"/>
      <c r="E111" s="160"/>
      <c r="H111" s="160"/>
      <c r="I111" s="160"/>
      <c r="J111" s="160"/>
      <c r="K111" s="160"/>
      <c r="N111" s="160"/>
      <c r="O111" s="160"/>
      <c r="P111" s="160"/>
      <c r="Q111" s="160"/>
      <c r="T111" s="160"/>
      <c r="U111" s="160"/>
      <c r="V111" s="160"/>
      <c r="W111" s="160"/>
      <c r="Z111" s="160"/>
      <c r="AA111" s="160"/>
      <c r="AB111" s="160"/>
      <c r="AC111" s="160"/>
      <c r="AF111" s="160"/>
      <c r="AG111" s="160"/>
      <c r="AH111" s="160"/>
      <c r="AI111" s="160"/>
      <c r="AL111" s="160"/>
      <c r="AM111" s="160"/>
      <c r="AN111" s="160"/>
      <c r="AO111" s="160"/>
    </row>
    <row r="112" spans="2:42" x14ac:dyDescent="0.25">
      <c r="B112" s="325" t="s">
        <v>466</v>
      </c>
      <c r="C112" s="327" t="s">
        <v>467</v>
      </c>
      <c r="D112" s="327" t="s">
        <v>468</v>
      </c>
      <c r="E112" s="329" t="s">
        <v>469</v>
      </c>
      <c r="F112" s="330"/>
      <c r="H112" s="325" t="s">
        <v>466</v>
      </c>
      <c r="I112" s="327" t="s">
        <v>467</v>
      </c>
      <c r="J112" s="327" t="s">
        <v>468</v>
      </c>
      <c r="K112" s="329" t="s">
        <v>469</v>
      </c>
      <c r="L112" s="330"/>
      <c r="N112" s="325" t="s">
        <v>466</v>
      </c>
      <c r="O112" s="327" t="s">
        <v>467</v>
      </c>
      <c r="P112" s="327" t="s">
        <v>468</v>
      </c>
      <c r="Q112" s="329" t="s">
        <v>469</v>
      </c>
      <c r="R112" s="330"/>
      <c r="T112" s="325" t="s">
        <v>466</v>
      </c>
      <c r="U112" s="327" t="s">
        <v>467</v>
      </c>
      <c r="V112" s="327" t="s">
        <v>468</v>
      </c>
      <c r="W112" s="329" t="s">
        <v>469</v>
      </c>
      <c r="X112" s="330"/>
      <c r="Z112" s="325" t="s">
        <v>466</v>
      </c>
      <c r="AA112" s="327" t="s">
        <v>467</v>
      </c>
      <c r="AB112" s="327" t="s">
        <v>468</v>
      </c>
      <c r="AC112" s="329" t="s">
        <v>469</v>
      </c>
      <c r="AD112" s="330"/>
      <c r="AF112" s="325" t="s">
        <v>466</v>
      </c>
      <c r="AG112" s="327" t="s">
        <v>467</v>
      </c>
      <c r="AH112" s="327" t="s">
        <v>468</v>
      </c>
      <c r="AI112" s="329" t="s">
        <v>469</v>
      </c>
      <c r="AJ112" s="330"/>
      <c r="AL112" s="325" t="s">
        <v>466</v>
      </c>
      <c r="AM112" s="327" t="s">
        <v>467</v>
      </c>
      <c r="AN112" s="327" t="s">
        <v>468</v>
      </c>
      <c r="AO112" s="329" t="s">
        <v>469</v>
      </c>
      <c r="AP112" s="330"/>
    </row>
    <row r="113" spans="2:63" ht="14.4" thickBot="1" x14ac:dyDescent="0.3">
      <c r="B113" s="326"/>
      <c r="C113" s="328"/>
      <c r="D113" s="328"/>
      <c r="E113" s="232" t="s">
        <v>403</v>
      </c>
      <c r="F113" s="174" t="s">
        <v>402</v>
      </c>
      <c r="H113" s="326"/>
      <c r="I113" s="328"/>
      <c r="J113" s="328"/>
      <c r="K113" s="232" t="s">
        <v>403</v>
      </c>
      <c r="L113" s="174" t="s">
        <v>402</v>
      </c>
      <c r="N113" s="326"/>
      <c r="O113" s="328"/>
      <c r="P113" s="328"/>
      <c r="Q113" s="232" t="s">
        <v>403</v>
      </c>
      <c r="R113" s="174" t="s">
        <v>402</v>
      </c>
      <c r="T113" s="326"/>
      <c r="U113" s="328"/>
      <c r="V113" s="328"/>
      <c r="W113" s="232" t="s">
        <v>403</v>
      </c>
      <c r="X113" s="174" t="s">
        <v>402</v>
      </c>
      <c r="Z113" s="326"/>
      <c r="AA113" s="328"/>
      <c r="AB113" s="328"/>
      <c r="AC113" s="232" t="s">
        <v>403</v>
      </c>
      <c r="AD113" s="174" t="s">
        <v>402</v>
      </c>
      <c r="AF113" s="326"/>
      <c r="AG113" s="328"/>
      <c r="AH113" s="328"/>
      <c r="AI113" s="232" t="s">
        <v>403</v>
      </c>
      <c r="AJ113" s="174" t="s">
        <v>402</v>
      </c>
      <c r="AL113" s="326"/>
      <c r="AM113" s="328"/>
      <c r="AN113" s="328"/>
      <c r="AO113" s="232" t="s">
        <v>403</v>
      </c>
      <c r="AP113" s="174" t="s">
        <v>402</v>
      </c>
    </row>
    <row r="114" spans="2:63" ht="14.4" thickTop="1" x14ac:dyDescent="0.25">
      <c r="B114" s="236">
        <v>41670</v>
      </c>
      <c r="C114" s="171"/>
      <c r="D114" s="166" t="s">
        <v>470</v>
      </c>
      <c r="E114" s="167">
        <f>SUMIF('Libro Diario Convencional'!$B$15:$B$167,D108,'Libro Diario Convencional'!$I$15:$I$167)</f>
        <v>0</v>
      </c>
      <c r="F114" s="168">
        <f>SUMIF('Libro Diario Convencional'!$B$15:$B$167,D108,'Libro Diario Convencional'!$J$15:$J$167)</f>
        <v>1206900</v>
      </c>
      <c r="G114" s="9"/>
      <c r="H114" s="236">
        <v>41670</v>
      </c>
      <c r="I114" s="171"/>
      <c r="J114" s="166" t="s">
        <v>470</v>
      </c>
      <c r="K114" s="167">
        <f>SUMIF('Libro Diario Convencional'!$B$15:$B$167,J108,'Libro Diario Convencional'!$I$15:$I$167)</f>
        <v>0</v>
      </c>
      <c r="L114" s="168">
        <f>SUMIF('Libro Diario Convencional'!$B$15:$B$167,J108,'Libro Diario Convencional'!$J$15:$J$167)</f>
        <v>0</v>
      </c>
      <c r="M114" s="9"/>
      <c r="N114" s="236">
        <v>41670</v>
      </c>
      <c r="O114" s="171"/>
      <c r="P114" s="166" t="s">
        <v>470</v>
      </c>
      <c r="Q114" s="167">
        <f>SUMIF('Libro Diario Convencional'!$B$15:$B$167,P108,'Libro Diario Convencional'!$I$15:$I$167)</f>
        <v>0</v>
      </c>
      <c r="R114" s="168">
        <f>SUMIF('Libro Diario Convencional'!$B$15:$B$167,P108,'Libro Diario Convencional'!$J$15:$J$167)</f>
        <v>0</v>
      </c>
      <c r="S114" s="9"/>
      <c r="T114" s="236">
        <v>41670</v>
      </c>
      <c r="U114" s="171"/>
      <c r="V114" s="166" t="s">
        <v>470</v>
      </c>
      <c r="W114" s="167">
        <f>SUMIF('Libro Diario Convencional'!$B$15:$B$167,V108,'Libro Diario Convencional'!$I$15:$I$167)</f>
        <v>0</v>
      </c>
      <c r="X114" s="168">
        <f>SUMIF('Libro Diario Convencional'!$B$15:$B$167,V108,'Libro Diario Convencional'!$J$15:$J$167)</f>
        <v>0</v>
      </c>
      <c r="Y114" s="9"/>
      <c r="Z114" s="236">
        <v>41670</v>
      </c>
      <c r="AA114" s="171"/>
      <c r="AB114" s="166" t="s">
        <v>470</v>
      </c>
      <c r="AC114" s="167">
        <f>SUMIF('Libro Diario Convencional'!$B$15:$B$167,AB108,'Libro Diario Convencional'!$I$15:$I$167)</f>
        <v>0</v>
      </c>
      <c r="AD114" s="168">
        <f>SUMIF('Libro Diario Convencional'!$B$15:$B$167,AB108,'Libro Diario Convencional'!$J$15:$J$167)</f>
        <v>0</v>
      </c>
      <c r="AE114" s="9"/>
      <c r="AF114" s="236">
        <v>41670</v>
      </c>
      <c r="AG114" s="171"/>
      <c r="AH114" s="166" t="s">
        <v>470</v>
      </c>
      <c r="AI114" s="167">
        <f>SUMIF('Libro Diario Convencional'!$B$15:$B$167,AH108,'Libro Diario Convencional'!$I$15:$I$167)</f>
        <v>0</v>
      </c>
      <c r="AJ114" s="168">
        <f>SUMIF('Libro Diario Convencional'!$B$15:$B$167,AH108,'Libro Diario Convencional'!$J$15:$J$167)</f>
        <v>0</v>
      </c>
      <c r="AK114" s="9"/>
      <c r="AL114" s="236">
        <v>41670</v>
      </c>
      <c r="AM114" s="171"/>
      <c r="AN114" s="166" t="s">
        <v>470</v>
      </c>
      <c r="AO114" s="167">
        <f>SUMIF('Libro Diario Convencional'!$B$15:$B$167,AN108,'Libro Diario Convencional'!$I$15:$I$167)</f>
        <v>0</v>
      </c>
      <c r="AP114" s="168">
        <f>SUMIF('Libro Diario Convencional'!$B$15:$B$167,AN108,'Libro Diario Convencional'!$J$15:$J$167)</f>
        <v>0</v>
      </c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2:63" x14ac:dyDescent="0.25">
      <c r="B115" s="169">
        <v>41670</v>
      </c>
      <c r="C115" s="172"/>
      <c r="D115" s="161" t="s">
        <v>474</v>
      </c>
      <c r="E115" s="162">
        <f>SUMIF('Asientos de Cierre'!$B$6:$B$549,D108,'Asientos de Cierre'!$J$6:$J$549)</f>
        <v>0</v>
      </c>
      <c r="F115" s="163">
        <f>SUMIF('Asientos de Cierre'!$B$6:$B$549,D108,'Asientos de Cierre'!$K$6:$K$549)</f>
        <v>0</v>
      </c>
      <c r="G115" s="9"/>
      <c r="H115" s="169">
        <v>41670</v>
      </c>
      <c r="I115" s="172"/>
      <c r="J115" s="161" t="s">
        <v>474</v>
      </c>
      <c r="K115" s="162">
        <f>SUMIF('Asientos de Cierre'!$B$6:$B$549,J108,'Asientos de Cierre'!$J$6:$J$549)</f>
        <v>0</v>
      </c>
      <c r="L115" s="163">
        <f>SUMIF('Asientos de Cierre'!$B$6:$B$549,J108,'Asientos de Cierre'!$K$6:$K$549)</f>
        <v>0</v>
      </c>
      <c r="M115" s="9"/>
      <c r="N115" s="169">
        <v>41670</v>
      </c>
      <c r="O115" s="172"/>
      <c r="P115" s="161" t="s">
        <v>474</v>
      </c>
      <c r="Q115" s="162">
        <f>SUMIF('Asientos de Cierre'!$B$6:$B$549,P108,'Asientos de Cierre'!$J$6:$J$549)</f>
        <v>0</v>
      </c>
      <c r="R115" s="163">
        <f>SUMIF('Asientos de Cierre'!$B$6:$B$549,P108,'Asientos de Cierre'!$K$6:$K$549)</f>
        <v>0</v>
      </c>
      <c r="S115" s="9"/>
      <c r="T115" s="169">
        <v>41670</v>
      </c>
      <c r="U115" s="172"/>
      <c r="V115" s="161" t="s">
        <v>474</v>
      </c>
      <c r="W115" s="162">
        <f>SUMIF('Asientos de Cierre'!$B$6:$B$549,V108,'Asientos de Cierre'!$J$6:$J$549)</f>
        <v>0</v>
      </c>
      <c r="X115" s="163">
        <f>SUMIF('Asientos de Cierre'!$B$6:$B$549,V108,'Asientos de Cierre'!$K$6:$K$549)</f>
        <v>0</v>
      </c>
      <c r="Y115" s="9"/>
      <c r="Z115" s="169">
        <v>41670</v>
      </c>
      <c r="AA115" s="172"/>
      <c r="AB115" s="161" t="s">
        <v>474</v>
      </c>
      <c r="AC115" s="162">
        <f>SUMIF('Asientos de Cierre'!$B$6:$B$549,AB108,'Asientos de Cierre'!$J$6:$J$549)</f>
        <v>0</v>
      </c>
      <c r="AD115" s="163">
        <f>SUMIF('Asientos de Cierre'!$B$6:$B$549,AB108,'Asientos de Cierre'!$K$6:$K$549)</f>
        <v>0</v>
      </c>
      <c r="AE115" s="9"/>
      <c r="AF115" s="169">
        <v>41670</v>
      </c>
      <c r="AG115" s="172"/>
      <c r="AH115" s="161" t="s">
        <v>474</v>
      </c>
      <c r="AI115" s="162">
        <f>SUMIF('Asientos de Cierre'!$B$6:$B$549,AH108,'Asientos de Cierre'!$J$6:$J$549)</f>
        <v>0</v>
      </c>
      <c r="AJ115" s="163">
        <f>SUMIF('Asientos de Cierre'!$B$6:$B$549,AH108,'Asientos de Cierre'!$K$6:$K$549)</f>
        <v>0</v>
      </c>
      <c r="AK115" s="9"/>
      <c r="AL115" s="169">
        <v>41670</v>
      </c>
      <c r="AM115" s="172"/>
      <c r="AN115" s="161" t="s">
        <v>474</v>
      </c>
      <c r="AO115" s="162">
        <f>SUMIF('Asientos de Cierre'!$B$6:$B$549,AN108,'Asientos de Cierre'!$J$6:$J$549)</f>
        <v>201892.37288135593</v>
      </c>
      <c r="AP115" s="163">
        <f>SUMIF('Asientos de Cierre'!$B$6:$B$549,AN108,'Asientos de Cierre'!$K$6:$K$549)</f>
        <v>0</v>
      </c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2:63" x14ac:dyDescent="0.25">
      <c r="B116" s="169"/>
      <c r="C116" s="172"/>
      <c r="D116" s="161"/>
      <c r="E116" s="162"/>
      <c r="F116" s="163"/>
      <c r="G116" s="9"/>
      <c r="H116" s="169"/>
      <c r="I116" s="172"/>
      <c r="J116" s="161"/>
      <c r="K116" s="162"/>
      <c r="L116" s="163"/>
      <c r="M116" s="9"/>
      <c r="N116" s="169"/>
      <c r="O116" s="172"/>
      <c r="P116" s="161"/>
      <c r="Q116" s="162"/>
      <c r="R116" s="163"/>
      <c r="S116" s="9"/>
      <c r="T116" s="169"/>
      <c r="U116" s="172"/>
      <c r="V116" s="161"/>
      <c r="W116" s="162"/>
      <c r="X116" s="163"/>
      <c r="Y116" s="9"/>
      <c r="Z116" s="169"/>
      <c r="AA116" s="172"/>
      <c r="AB116" s="161"/>
      <c r="AC116" s="162"/>
      <c r="AD116" s="163"/>
      <c r="AE116" s="9"/>
      <c r="AF116" s="169"/>
      <c r="AG116" s="172"/>
      <c r="AH116" s="161"/>
      <c r="AI116" s="162"/>
      <c r="AJ116" s="163"/>
      <c r="AK116" s="9"/>
      <c r="AL116" s="169"/>
      <c r="AM116" s="172"/>
      <c r="AN116" s="161"/>
      <c r="AO116" s="162"/>
      <c r="AP116" s="163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2:63" ht="14.4" thickBot="1" x14ac:dyDescent="0.3">
      <c r="B117" s="169"/>
      <c r="C117" s="172"/>
      <c r="D117" s="161"/>
      <c r="E117" s="162"/>
      <c r="F117" s="163"/>
      <c r="G117" s="9"/>
      <c r="H117" s="169"/>
      <c r="I117" s="172"/>
      <c r="J117" s="161"/>
      <c r="K117" s="162"/>
      <c r="L117" s="163"/>
      <c r="M117" s="9"/>
      <c r="N117" s="169"/>
      <c r="O117" s="172"/>
      <c r="P117" s="161"/>
      <c r="Q117" s="162"/>
      <c r="R117" s="163"/>
      <c r="S117" s="9"/>
      <c r="T117" s="169"/>
      <c r="U117" s="172"/>
      <c r="V117" s="161"/>
      <c r="W117" s="162"/>
      <c r="X117" s="163"/>
      <c r="Y117" s="9"/>
      <c r="Z117" s="169"/>
      <c r="AA117" s="172"/>
      <c r="AB117" s="161"/>
      <c r="AC117" s="162"/>
      <c r="AD117" s="163"/>
      <c r="AE117" s="9"/>
      <c r="AF117" s="169"/>
      <c r="AG117" s="172"/>
      <c r="AH117" s="161"/>
      <c r="AI117" s="162"/>
      <c r="AJ117" s="163"/>
      <c r="AK117" s="9"/>
      <c r="AL117" s="169"/>
      <c r="AM117" s="172"/>
      <c r="AN117" s="161"/>
      <c r="AO117" s="162"/>
      <c r="AP117" s="163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2:63" ht="15" thickBot="1" x14ac:dyDescent="0.3">
      <c r="B118" s="169"/>
      <c r="C118" s="172"/>
      <c r="D118" s="161" t="s">
        <v>471</v>
      </c>
      <c r="E118" s="162">
        <f>SUM(E114:E117)</f>
        <v>0</v>
      </c>
      <c r="F118" s="163">
        <f>SUM(F114:F117)</f>
        <v>1206900</v>
      </c>
      <c r="G118" s="9"/>
      <c r="H118" s="169"/>
      <c r="I118" s="172"/>
      <c r="J118" s="161" t="s">
        <v>471</v>
      </c>
      <c r="K118" s="162">
        <f>SUM(K114:K117)</f>
        <v>0</v>
      </c>
      <c r="L118" s="163">
        <f>SUM(L114:L117)</f>
        <v>0</v>
      </c>
      <c r="M118" s="9"/>
      <c r="N118" s="169"/>
      <c r="O118" s="172"/>
      <c r="P118" s="161" t="s">
        <v>471</v>
      </c>
      <c r="Q118" s="162">
        <f>SUM(Q114:Q117)</f>
        <v>0</v>
      </c>
      <c r="R118" s="163">
        <f>SUM(R114:R117)</f>
        <v>0</v>
      </c>
      <c r="S118" s="9"/>
      <c r="T118" s="169"/>
      <c r="U118" s="172"/>
      <c r="V118" s="161" t="s">
        <v>471</v>
      </c>
      <c r="W118" s="162">
        <f>SUM(W114:W117)</f>
        <v>0</v>
      </c>
      <c r="X118" s="163">
        <f>SUM(X114:X117)</f>
        <v>0</v>
      </c>
      <c r="Y118" s="9"/>
      <c r="Z118" s="169"/>
      <c r="AA118" s="172"/>
      <c r="AB118" s="161" t="s">
        <v>471</v>
      </c>
      <c r="AC118" s="162">
        <f>SUM(AC114:AC117)</f>
        <v>0</v>
      </c>
      <c r="AD118" s="163">
        <f>SUM(AD114:AD117)</f>
        <v>0</v>
      </c>
      <c r="AE118" s="9"/>
      <c r="AF118" s="169"/>
      <c r="AG118" s="172"/>
      <c r="AH118" s="161" t="s">
        <v>471</v>
      </c>
      <c r="AI118" s="162">
        <f>SUM(AI114:AI117)</f>
        <v>0</v>
      </c>
      <c r="AJ118" s="163">
        <f>SUM(AJ114:AJ117)</f>
        <v>0</v>
      </c>
      <c r="AK118" s="9"/>
      <c r="AL118" s="169"/>
      <c r="AM118" s="172"/>
      <c r="AN118" s="161" t="s">
        <v>471</v>
      </c>
      <c r="AO118" s="162">
        <f>SUM(AO114:AO117)</f>
        <v>201892.37288135593</v>
      </c>
      <c r="AP118" s="163">
        <f>SUM(AP114:AP117)</f>
        <v>0</v>
      </c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J118" s="157">
        <f>SUM(E118,K118,Q118,W118,AC118,AI118,AO118,AU118,BA118,BG118)</f>
        <v>201892.37288135593</v>
      </c>
      <c r="BK118" s="158">
        <f>SUM(F118,L118,R118,X118,AD118,AJ118,AP118,AV118,BB118,BH118)</f>
        <v>1206900</v>
      </c>
    </row>
    <row r="119" spans="2:63" ht="14.4" thickBot="1" x14ac:dyDescent="0.3">
      <c r="B119" s="170"/>
      <c r="C119" s="173"/>
      <c r="D119" s="164" t="str">
        <f>IF(E118=F118,"",IF(E118&gt;F118,"Saldo Deudor","Saldo Acreedor"))</f>
        <v>Saldo Acreedor</v>
      </c>
      <c r="E119" s="165" t="str">
        <f>IF(E118&gt;F118,E118-F118,"")</f>
        <v/>
      </c>
      <c r="F119" s="176">
        <f>IF(E118&lt;F118,F118-E118,"")</f>
        <v>1206900</v>
      </c>
      <c r="H119" s="170"/>
      <c r="I119" s="173"/>
      <c r="J119" s="164" t="str">
        <f>IF(K118=L118,"",IF(K118&gt;L118,"Saldo Deudor","Saldo Acreedor"))</f>
        <v/>
      </c>
      <c r="K119" s="165" t="str">
        <f>IF(K118&gt;L118,K118-L118,"")</f>
        <v/>
      </c>
      <c r="L119" s="176" t="str">
        <f>IF(K118&lt;L118,L118-K118,"")</f>
        <v/>
      </c>
      <c r="N119" s="170"/>
      <c r="O119" s="173"/>
      <c r="P119" s="164" t="str">
        <f>IF(Q118=R118,"",IF(Q118&gt;R118,"Saldo Deudor","Saldo Acreedor"))</f>
        <v/>
      </c>
      <c r="Q119" s="165" t="str">
        <f>IF(Q118&gt;R118,Q118-R118,"")</f>
        <v/>
      </c>
      <c r="R119" s="176" t="str">
        <f>IF(Q118&lt;R118,R118-Q118,"")</f>
        <v/>
      </c>
      <c r="T119" s="170"/>
      <c r="U119" s="173"/>
      <c r="V119" s="164" t="str">
        <f>IF(W118=X118,"",IF(W118&gt;X118,"Saldo Deudor","Saldo Acreedor"))</f>
        <v/>
      </c>
      <c r="W119" s="165" t="str">
        <f>IF(W118&gt;X118,W118-X118,"")</f>
        <v/>
      </c>
      <c r="X119" s="176" t="str">
        <f>IF(W118&lt;X118,X118-W118,"")</f>
        <v/>
      </c>
      <c r="Z119" s="170"/>
      <c r="AA119" s="173"/>
      <c r="AB119" s="164" t="str">
        <f>IF(AC118=AD118,"",IF(AC118&gt;AD118,"Saldo Deudor","Saldo Acreedor"))</f>
        <v/>
      </c>
      <c r="AC119" s="165" t="str">
        <f>IF(AC118&gt;AD118,AC118-AD118,"")</f>
        <v/>
      </c>
      <c r="AD119" s="176" t="str">
        <f>IF(AC118&lt;AD118,AD118-AC118,"")</f>
        <v/>
      </c>
      <c r="AF119" s="170"/>
      <c r="AG119" s="173"/>
      <c r="AH119" s="164" t="str">
        <f>IF(AI118=AJ118,"",IF(AI118&gt;AJ118,"Saldo Deudor","Saldo Acreedor"))</f>
        <v/>
      </c>
      <c r="AI119" s="165" t="str">
        <f>IF(AI118&gt;AJ118,AI118-AJ118,"")</f>
        <v/>
      </c>
      <c r="AJ119" s="176" t="str">
        <f>IF(AI118&lt;AJ118,AJ118-AI118,"")</f>
        <v/>
      </c>
      <c r="AL119" s="170"/>
      <c r="AM119" s="173"/>
      <c r="AN119" s="164" t="str">
        <f>IF(AO118=AP118,"",IF(AO118&gt;AP118,"Saldo Deudor","Saldo Acreedor"))</f>
        <v>Saldo Deudor</v>
      </c>
      <c r="AO119" s="165">
        <f>IF(AO118&gt;AP118,AO118-AP118,"")</f>
        <v>201892.37288135593</v>
      </c>
      <c r="AP119" s="176" t="str">
        <f>IF(AO118&lt;AP118,AP118-AO118,"")</f>
        <v/>
      </c>
    </row>
    <row r="122" spans="2:63" ht="15.6" x14ac:dyDescent="0.25">
      <c r="B122" s="324" t="s">
        <v>321</v>
      </c>
      <c r="C122" s="324"/>
      <c r="D122" s="233" t="str">
        <f>'Base de Datos'!$C$756</f>
        <v>LIBRO MAYOR</v>
      </c>
      <c r="H122" s="324" t="s">
        <v>321</v>
      </c>
      <c r="I122" s="324"/>
      <c r="J122" s="233" t="str">
        <f>'Base de Datos'!$C$756</f>
        <v>LIBRO MAYOR</v>
      </c>
      <c r="N122" s="324" t="s">
        <v>321</v>
      </c>
      <c r="O122" s="324"/>
      <c r="P122" s="233" t="str">
        <f>'Base de Datos'!$C$756</f>
        <v>LIBRO MAYOR</v>
      </c>
      <c r="T122" s="324" t="s">
        <v>321</v>
      </c>
      <c r="U122" s="324"/>
      <c r="V122" s="233" t="str">
        <f>'Base de Datos'!$C$756</f>
        <v>LIBRO MAYOR</v>
      </c>
      <c r="Z122" s="324" t="s">
        <v>321</v>
      </c>
      <c r="AA122" s="324"/>
      <c r="AB122" s="233" t="str">
        <f>'Base de Datos'!$C$756</f>
        <v>LIBRO MAYOR</v>
      </c>
      <c r="AF122" s="324" t="s">
        <v>321</v>
      </c>
      <c r="AG122" s="324"/>
      <c r="AH122" s="233" t="str">
        <f>'Base de Datos'!$C$756</f>
        <v>LIBRO MAYOR</v>
      </c>
      <c r="AL122" s="324" t="s">
        <v>321</v>
      </c>
      <c r="AM122" s="324"/>
      <c r="AN122" s="233" t="str">
        <f>'Base de Datos'!$C$756</f>
        <v>LIBRO MAYOR</v>
      </c>
      <c r="AR122" s="324" t="s">
        <v>321</v>
      </c>
      <c r="AS122" s="324"/>
      <c r="AT122" s="233" t="str">
        <f>'Base de Datos'!$C$756</f>
        <v>LIBRO MAYOR</v>
      </c>
      <c r="AX122" s="324" t="s">
        <v>321</v>
      </c>
      <c r="AY122" s="324"/>
      <c r="AZ122" s="233" t="str">
        <f>'Base de Datos'!$C$756</f>
        <v>LIBRO MAYOR</v>
      </c>
      <c r="BD122" s="324" t="s">
        <v>321</v>
      </c>
      <c r="BE122" s="324"/>
      <c r="BF122" s="233" t="str">
        <f>'Base de Datos'!$C$756</f>
        <v>LIBRO MAYOR</v>
      </c>
    </row>
    <row r="123" spans="2:63" x14ac:dyDescent="0.25">
      <c r="C123" s="2"/>
      <c r="D123" s="2"/>
      <c r="E123" s="2"/>
      <c r="I123" s="2"/>
      <c r="J123" s="2"/>
      <c r="K123" s="2"/>
      <c r="O123" s="2"/>
      <c r="P123" s="2"/>
      <c r="Q123" s="2"/>
      <c r="U123" s="2"/>
      <c r="V123" s="2"/>
      <c r="W123" s="2"/>
      <c r="AA123" s="2"/>
      <c r="AB123" s="2"/>
      <c r="AC123" s="2"/>
      <c r="AG123" s="2"/>
      <c r="AH123" s="2"/>
      <c r="AI123" s="2"/>
      <c r="AM123" s="2"/>
      <c r="AN123" s="2"/>
      <c r="AO123" s="2"/>
      <c r="AS123" s="2"/>
      <c r="AT123" s="2"/>
      <c r="AU123" s="2"/>
      <c r="AY123" s="2"/>
      <c r="AZ123" s="2"/>
      <c r="BA123" s="2"/>
      <c r="BE123" s="2"/>
      <c r="BF123" s="2"/>
      <c r="BG123" s="2"/>
    </row>
    <row r="124" spans="2:63" ht="15.6" x14ac:dyDescent="0.25">
      <c r="B124" s="324" t="s">
        <v>322</v>
      </c>
      <c r="C124" s="324"/>
      <c r="D124" s="234" t="str">
        <f>'Base de Datos'!$C$8</f>
        <v>MARZO</v>
      </c>
      <c r="E124" s="160"/>
      <c r="H124" s="324" t="s">
        <v>322</v>
      </c>
      <c r="I124" s="324"/>
      <c r="J124" s="234" t="str">
        <f>'Base de Datos'!$C$8</f>
        <v>MARZO</v>
      </c>
      <c r="K124" s="160"/>
      <c r="N124" s="324" t="s">
        <v>322</v>
      </c>
      <c r="O124" s="324"/>
      <c r="P124" s="234" t="str">
        <f>'Base de Datos'!$C$8</f>
        <v>MARZO</v>
      </c>
      <c r="Q124" s="160"/>
      <c r="T124" s="324" t="s">
        <v>322</v>
      </c>
      <c r="U124" s="324"/>
      <c r="V124" s="234" t="str">
        <f>'Base de Datos'!$C$8</f>
        <v>MARZO</v>
      </c>
      <c r="W124" s="160"/>
      <c r="Z124" s="324" t="s">
        <v>322</v>
      </c>
      <c r="AA124" s="324"/>
      <c r="AB124" s="234" t="str">
        <f>'Base de Datos'!$C$8</f>
        <v>MARZO</v>
      </c>
      <c r="AC124" s="160"/>
      <c r="AF124" s="324" t="s">
        <v>322</v>
      </c>
      <c r="AG124" s="324"/>
      <c r="AH124" s="234" t="str">
        <f>'Base de Datos'!$C$8</f>
        <v>MARZO</v>
      </c>
      <c r="AI124" s="160"/>
      <c r="AL124" s="324" t="s">
        <v>322</v>
      </c>
      <c r="AM124" s="324"/>
      <c r="AN124" s="234" t="str">
        <f>'Base de Datos'!$C$8</f>
        <v>MARZO</v>
      </c>
      <c r="AO124" s="160"/>
      <c r="AR124" s="324" t="s">
        <v>322</v>
      </c>
      <c r="AS124" s="324"/>
      <c r="AT124" s="234" t="str">
        <f>'Base de Datos'!$C$8</f>
        <v>MARZO</v>
      </c>
      <c r="AU124" s="160"/>
      <c r="AX124" s="324" t="s">
        <v>322</v>
      </c>
      <c r="AY124" s="324"/>
      <c r="AZ124" s="234" t="str">
        <f>'Base de Datos'!$C$8</f>
        <v>MARZO</v>
      </c>
      <c r="BA124" s="160"/>
      <c r="BD124" s="324" t="s">
        <v>322</v>
      </c>
      <c r="BE124" s="324"/>
      <c r="BF124" s="234" t="str">
        <f>'Base de Datos'!$C$8</f>
        <v>MARZO</v>
      </c>
      <c r="BG124" s="160"/>
    </row>
    <row r="125" spans="2:63" x14ac:dyDescent="0.25">
      <c r="C125" s="2"/>
      <c r="D125" s="2"/>
      <c r="E125" s="2"/>
      <c r="I125" s="2"/>
      <c r="J125" s="2"/>
      <c r="K125" s="2"/>
      <c r="O125" s="2"/>
      <c r="P125" s="2"/>
      <c r="Q125" s="2"/>
      <c r="U125" s="2"/>
      <c r="V125" s="2"/>
      <c r="W125" s="2"/>
      <c r="AA125" s="2"/>
      <c r="AB125" s="2"/>
      <c r="AC125" s="2"/>
      <c r="AG125" s="2"/>
      <c r="AH125" s="2"/>
      <c r="AI125" s="2"/>
      <c r="AM125" s="2"/>
      <c r="AN125" s="2"/>
      <c r="AO125" s="2"/>
      <c r="AS125" s="2"/>
      <c r="AT125" s="2"/>
      <c r="AU125" s="2"/>
      <c r="AY125" s="2"/>
      <c r="AZ125" s="2"/>
      <c r="BA125" s="2"/>
      <c r="BE125" s="2"/>
      <c r="BF125" s="2"/>
      <c r="BG125" s="2"/>
    </row>
    <row r="126" spans="2:63" ht="15.6" x14ac:dyDescent="0.25">
      <c r="B126" s="324" t="s">
        <v>323</v>
      </c>
      <c r="C126" s="324"/>
      <c r="D126" s="231">
        <f>'Base de Datos'!$C$9</f>
        <v>2015</v>
      </c>
      <c r="E126" s="2"/>
      <c r="H126" s="324" t="s">
        <v>323</v>
      </c>
      <c r="I126" s="324"/>
      <c r="J126" s="231">
        <f>'Base de Datos'!$C$9</f>
        <v>2015</v>
      </c>
      <c r="K126" s="2"/>
      <c r="N126" s="324" t="s">
        <v>323</v>
      </c>
      <c r="O126" s="324"/>
      <c r="P126" s="231">
        <f>'Base de Datos'!$C$9</f>
        <v>2015</v>
      </c>
      <c r="Q126" s="2"/>
      <c r="T126" s="324" t="s">
        <v>323</v>
      </c>
      <c r="U126" s="324"/>
      <c r="V126" s="231">
        <f>'Base de Datos'!$C$9</f>
        <v>2015</v>
      </c>
      <c r="W126" s="2"/>
      <c r="Z126" s="324" t="s">
        <v>323</v>
      </c>
      <c r="AA126" s="324"/>
      <c r="AB126" s="231">
        <f>'Base de Datos'!$C$9</f>
        <v>2015</v>
      </c>
      <c r="AC126" s="2"/>
      <c r="AF126" s="324" t="s">
        <v>323</v>
      </c>
      <c r="AG126" s="324"/>
      <c r="AH126" s="231">
        <f>'Base de Datos'!$C$9</f>
        <v>2015</v>
      </c>
      <c r="AI126" s="2"/>
      <c r="AL126" s="324" t="s">
        <v>323</v>
      </c>
      <c r="AM126" s="324"/>
      <c r="AN126" s="231">
        <f>'Base de Datos'!$C$9</f>
        <v>2015</v>
      </c>
      <c r="AO126" s="2"/>
      <c r="AR126" s="324" t="s">
        <v>323</v>
      </c>
      <c r="AS126" s="324"/>
      <c r="AT126" s="231">
        <f>'Base de Datos'!$C$9</f>
        <v>2015</v>
      </c>
      <c r="AU126" s="2"/>
      <c r="AX126" s="324" t="s">
        <v>323</v>
      </c>
      <c r="AY126" s="324"/>
      <c r="AZ126" s="231">
        <f>'Base de Datos'!$C$9</f>
        <v>2015</v>
      </c>
      <c r="BA126" s="2"/>
      <c r="BD126" s="324" t="s">
        <v>323</v>
      </c>
      <c r="BE126" s="324"/>
      <c r="BF126" s="231">
        <f>'Base de Datos'!$C$9</f>
        <v>2015</v>
      </c>
      <c r="BG126" s="2"/>
    </row>
    <row r="127" spans="2:63" x14ac:dyDescent="0.25">
      <c r="C127" s="2"/>
      <c r="D127" s="2"/>
      <c r="E127" s="2"/>
      <c r="I127" s="2"/>
      <c r="J127" s="2"/>
      <c r="K127" s="2"/>
      <c r="O127" s="2"/>
      <c r="P127" s="2"/>
      <c r="Q127" s="2"/>
      <c r="U127" s="2"/>
      <c r="V127" s="2"/>
      <c r="W127" s="2"/>
      <c r="AA127" s="2"/>
      <c r="AB127" s="2"/>
      <c r="AC127" s="2"/>
      <c r="AG127" s="2"/>
      <c r="AH127" s="2"/>
      <c r="AI127" s="2"/>
      <c r="AM127" s="2"/>
      <c r="AN127" s="2"/>
      <c r="AO127" s="2"/>
      <c r="AS127" s="2"/>
      <c r="AT127" s="2"/>
      <c r="AU127" s="2"/>
      <c r="AY127" s="2"/>
      <c r="AZ127" s="2"/>
      <c r="BA127" s="2"/>
      <c r="BE127" s="2"/>
      <c r="BF127" s="2"/>
      <c r="BG127" s="2"/>
    </row>
    <row r="128" spans="2:63" ht="15.6" x14ac:dyDescent="0.25">
      <c r="B128" s="324" t="s">
        <v>324</v>
      </c>
      <c r="C128" s="324"/>
      <c r="D128" s="316">
        <f>'Base de Datos'!$C$6</f>
        <v>20411074561</v>
      </c>
      <c r="E128" s="316"/>
      <c r="H128" s="324" t="s">
        <v>324</v>
      </c>
      <c r="I128" s="324"/>
      <c r="J128" s="316">
        <f>'Base de Datos'!$C$6</f>
        <v>20411074561</v>
      </c>
      <c r="K128" s="316"/>
      <c r="N128" s="324" t="s">
        <v>324</v>
      </c>
      <c r="O128" s="324"/>
      <c r="P128" s="316">
        <f>'Base de Datos'!$C$6</f>
        <v>20411074561</v>
      </c>
      <c r="Q128" s="316"/>
      <c r="T128" s="324" t="s">
        <v>324</v>
      </c>
      <c r="U128" s="324"/>
      <c r="V128" s="316">
        <f>'Base de Datos'!$C$6</f>
        <v>20411074561</v>
      </c>
      <c r="W128" s="316"/>
      <c r="Z128" s="324" t="s">
        <v>324</v>
      </c>
      <c r="AA128" s="324"/>
      <c r="AB128" s="316">
        <f>'Base de Datos'!$C$6</f>
        <v>20411074561</v>
      </c>
      <c r="AC128" s="316"/>
      <c r="AF128" s="324" t="s">
        <v>324</v>
      </c>
      <c r="AG128" s="324"/>
      <c r="AH128" s="316">
        <f>'Base de Datos'!$C$6</f>
        <v>20411074561</v>
      </c>
      <c r="AI128" s="316"/>
      <c r="AL128" s="324" t="s">
        <v>324</v>
      </c>
      <c r="AM128" s="324"/>
      <c r="AN128" s="316">
        <f>'Base de Datos'!$C$6</f>
        <v>20411074561</v>
      </c>
      <c r="AO128" s="316"/>
      <c r="AR128" s="324" t="s">
        <v>324</v>
      </c>
      <c r="AS128" s="324"/>
      <c r="AT128" s="316">
        <f>'Base de Datos'!$C$6</f>
        <v>20411074561</v>
      </c>
      <c r="AU128" s="316"/>
      <c r="AX128" s="324" t="s">
        <v>324</v>
      </c>
      <c r="AY128" s="324"/>
      <c r="AZ128" s="316">
        <f>'Base de Datos'!$C$6</f>
        <v>20411074561</v>
      </c>
      <c r="BA128" s="316"/>
      <c r="BD128" s="324" t="s">
        <v>324</v>
      </c>
      <c r="BE128" s="324"/>
      <c r="BF128" s="316">
        <f>'Base de Datos'!$C$6</f>
        <v>20411074561</v>
      </c>
      <c r="BG128" s="316"/>
    </row>
    <row r="129" spans="2:63" x14ac:dyDescent="0.25">
      <c r="C129" s="2"/>
      <c r="D129" s="2"/>
      <c r="E129" s="2"/>
      <c r="I129" s="2"/>
      <c r="J129" s="2"/>
      <c r="K129" s="2"/>
      <c r="O129" s="2"/>
      <c r="P129" s="2"/>
      <c r="Q129" s="2"/>
      <c r="U129" s="2"/>
      <c r="V129" s="2"/>
      <c r="W129" s="2"/>
      <c r="AA129" s="2"/>
      <c r="AB129" s="2"/>
      <c r="AC129" s="2"/>
      <c r="AG129" s="2"/>
      <c r="AH129" s="2"/>
      <c r="AI129" s="2"/>
      <c r="AM129" s="2"/>
      <c r="AN129" s="2"/>
      <c r="AO129" s="2"/>
      <c r="AS129" s="2"/>
      <c r="AT129" s="2"/>
      <c r="AU129" s="2"/>
      <c r="AY129" s="2"/>
      <c r="AZ129" s="2"/>
      <c r="BA129" s="2"/>
      <c r="BE129" s="2"/>
      <c r="BF129" s="2"/>
      <c r="BG129" s="2"/>
    </row>
    <row r="130" spans="2:63" ht="15.6" x14ac:dyDescent="0.25">
      <c r="B130" s="324" t="s">
        <v>325</v>
      </c>
      <c r="C130" s="324"/>
      <c r="D130" s="234" t="str">
        <f>'Base de Datos'!$C$5</f>
        <v>LOS BAILARINES SRL</v>
      </c>
      <c r="E130" s="2"/>
      <c r="H130" s="324" t="s">
        <v>325</v>
      </c>
      <c r="I130" s="324"/>
      <c r="J130" s="234" t="str">
        <f>'Base de Datos'!$C$5</f>
        <v>LOS BAILARINES SRL</v>
      </c>
      <c r="K130" s="2"/>
      <c r="N130" s="324" t="s">
        <v>325</v>
      </c>
      <c r="O130" s="324"/>
      <c r="P130" s="234" t="str">
        <f>'Base de Datos'!$C$5</f>
        <v>LOS BAILARINES SRL</v>
      </c>
      <c r="Q130" s="2"/>
      <c r="T130" s="324" t="s">
        <v>325</v>
      </c>
      <c r="U130" s="324"/>
      <c r="V130" s="234" t="str">
        <f>'Base de Datos'!$C$5</f>
        <v>LOS BAILARINES SRL</v>
      </c>
      <c r="W130" s="2"/>
      <c r="Z130" s="324" t="s">
        <v>325</v>
      </c>
      <c r="AA130" s="324"/>
      <c r="AB130" s="234" t="str">
        <f>'Base de Datos'!$C$5</f>
        <v>LOS BAILARINES SRL</v>
      </c>
      <c r="AC130" s="2"/>
      <c r="AF130" s="324" t="s">
        <v>325</v>
      </c>
      <c r="AG130" s="324"/>
      <c r="AH130" s="234" t="str">
        <f>'Base de Datos'!$C$5</f>
        <v>LOS BAILARINES SRL</v>
      </c>
      <c r="AI130" s="2"/>
      <c r="AL130" s="324" t="s">
        <v>325</v>
      </c>
      <c r="AM130" s="324"/>
      <c r="AN130" s="234" t="str">
        <f>'Base de Datos'!$C$5</f>
        <v>LOS BAILARINES SRL</v>
      </c>
      <c r="AO130" s="2"/>
      <c r="AR130" s="324" t="s">
        <v>325</v>
      </c>
      <c r="AS130" s="324"/>
      <c r="AT130" s="234" t="str">
        <f>'Base de Datos'!$C$5</f>
        <v>LOS BAILARINES SRL</v>
      </c>
      <c r="AU130" s="2"/>
      <c r="AX130" s="324" t="s">
        <v>325</v>
      </c>
      <c r="AY130" s="324"/>
      <c r="AZ130" s="234" t="str">
        <f>'Base de Datos'!$C$5</f>
        <v>LOS BAILARINES SRL</v>
      </c>
      <c r="BA130" s="2"/>
      <c r="BD130" s="324" t="s">
        <v>325</v>
      </c>
      <c r="BE130" s="324"/>
      <c r="BF130" s="234" t="str">
        <f>'Base de Datos'!$C$5</f>
        <v>LOS BAILARINES SRL</v>
      </c>
      <c r="BG130" s="2"/>
    </row>
    <row r="131" spans="2:63" x14ac:dyDescent="0.25">
      <c r="B131" s="160"/>
      <c r="C131" s="160"/>
      <c r="D131" s="160"/>
      <c r="E131" s="160"/>
      <c r="H131" s="160"/>
      <c r="I131" s="160"/>
      <c r="J131" s="160"/>
      <c r="K131" s="160"/>
      <c r="N131" s="160"/>
      <c r="O131" s="160"/>
      <c r="P131" s="160"/>
      <c r="Q131" s="160"/>
      <c r="T131" s="160"/>
      <c r="U131" s="160"/>
      <c r="V131" s="160"/>
      <c r="W131" s="160"/>
      <c r="Z131" s="160"/>
      <c r="AA131" s="160"/>
      <c r="AB131" s="160"/>
      <c r="AC131" s="160"/>
      <c r="AF131" s="160"/>
      <c r="AG131" s="160"/>
      <c r="AH131" s="160"/>
      <c r="AI131" s="160"/>
      <c r="AL131" s="160"/>
      <c r="AM131" s="160"/>
      <c r="AN131" s="160"/>
      <c r="AO131" s="160"/>
      <c r="AR131" s="160"/>
      <c r="AS131" s="160"/>
      <c r="AT131" s="160"/>
      <c r="AU131" s="160"/>
      <c r="AX131" s="160"/>
      <c r="AY131" s="160"/>
      <c r="AZ131" s="160"/>
      <c r="BA131" s="160"/>
      <c r="BD131" s="160"/>
      <c r="BE131" s="160"/>
      <c r="BF131" s="160"/>
      <c r="BG131" s="160"/>
    </row>
    <row r="132" spans="2:63" ht="15.6" x14ac:dyDescent="0.25">
      <c r="B132" s="324" t="s">
        <v>472</v>
      </c>
      <c r="C132" s="324"/>
      <c r="D132" s="175">
        <v>60</v>
      </c>
      <c r="H132" s="324" t="s">
        <v>472</v>
      </c>
      <c r="I132" s="324"/>
      <c r="J132" s="175">
        <v>61</v>
      </c>
      <c r="N132" s="324" t="s">
        <v>472</v>
      </c>
      <c r="O132" s="324"/>
      <c r="P132" s="175">
        <v>62</v>
      </c>
      <c r="T132" s="324" t="s">
        <v>472</v>
      </c>
      <c r="U132" s="324"/>
      <c r="V132" s="175">
        <v>63</v>
      </c>
      <c r="Z132" s="324" t="s">
        <v>472</v>
      </c>
      <c r="AA132" s="324"/>
      <c r="AB132" s="175">
        <v>64</v>
      </c>
      <c r="AF132" s="324" t="s">
        <v>472</v>
      </c>
      <c r="AG132" s="324"/>
      <c r="AH132" s="175">
        <v>65</v>
      </c>
      <c r="AL132" s="324" t="s">
        <v>472</v>
      </c>
      <c r="AM132" s="324"/>
      <c r="AN132" s="175">
        <v>66</v>
      </c>
      <c r="AR132" s="324" t="s">
        <v>472</v>
      </c>
      <c r="AS132" s="324"/>
      <c r="AT132" s="175">
        <v>67</v>
      </c>
      <c r="AX132" s="324" t="s">
        <v>472</v>
      </c>
      <c r="AY132" s="324"/>
      <c r="AZ132" s="175">
        <v>68</v>
      </c>
      <c r="BD132" s="324" t="s">
        <v>472</v>
      </c>
      <c r="BE132" s="324"/>
      <c r="BF132" s="175">
        <v>69</v>
      </c>
    </row>
    <row r="133" spans="2:63" x14ac:dyDescent="0.25">
      <c r="B133" s="160"/>
      <c r="C133" s="160"/>
      <c r="D133" s="160"/>
      <c r="E133" s="160"/>
      <c r="H133" s="160"/>
      <c r="I133" s="160"/>
      <c r="J133" s="160"/>
      <c r="K133" s="160"/>
      <c r="N133" s="160"/>
      <c r="O133" s="160"/>
      <c r="P133" s="160"/>
      <c r="Q133" s="160"/>
      <c r="T133" s="160"/>
      <c r="U133" s="160"/>
      <c r="V133" s="160"/>
      <c r="W133" s="160"/>
      <c r="Z133" s="160"/>
      <c r="AA133" s="160"/>
      <c r="AB133" s="160"/>
      <c r="AC133" s="160"/>
      <c r="AF133" s="160"/>
      <c r="AG133" s="160"/>
      <c r="AH133" s="160"/>
      <c r="AI133" s="160"/>
      <c r="AL133" s="160"/>
      <c r="AM133" s="160"/>
      <c r="AN133" s="160"/>
      <c r="AO133" s="160"/>
      <c r="AR133" s="160"/>
      <c r="AS133" s="160"/>
      <c r="AT133" s="160"/>
      <c r="AU133" s="160"/>
      <c r="AX133" s="160"/>
      <c r="AY133" s="160"/>
      <c r="AZ133" s="160"/>
      <c r="BA133" s="160"/>
      <c r="BD133" s="160"/>
      <c r="BE133" s="160"/>
      <c r="BF133" s="160"/>
      <c r="BG133" s="160"/>
    </row>
    <row r="134" spans="2:63" ht="15.6" x14ac:dyDescent="0.25">
      <c r="B134" s="324" t="s">
        <v>473</v>
      </c>
      <c r="C134" s="324"/>
      <c r="D134" s="234" t="str">
        <f>VLOOKUP(D132,CuentasContables,5,FALSE)</f>
        <v>COMPRAS</v>
      </c>
      <c r="E134" s="160"/>
      <c r="H134" s="324" t="s">
        <v>473</v>
      </c>
      <c r="I134" s="324"/>
      <c r="J134" s="234" t="str">
        <f>VLOOKUP(J132,CuentasContables,5,FALSE)</f>
        <v>VARIACIÓN DE EXISTENCIAS</v>
      </c>
      <c r="K134" s="160"/>
      <c r="N134" s="324" t="s">
        <v>473</v>
      </c>
      <c r="O134" s="324"/>
      <c r="P134" s="234" t="str">
        <f>VLOOKUP(P132,CuentasContables,5,FALSE)</f>
        <v>GASTOS DE PERSONAL, DIRECTORES Y GERENTES</v>
      </c>
      <c r="Q134" s="160"/>
      <c r="T134" s="324" t="s">
        <v>473</v>
      </c>
      <c r="U134" s="324"/>
      <c r="V134" s="234" t="str">
        <f>VLOOKUP(V132,CuentasContables,5,FALSE)</f>
        <v>GASTOS DE SERVICIOS PRESTADOS POR TERCEROS</v>
      </c>
      <c r="W134" s="160"/>
      <c r="Z134" s="324" t="s">
        <v>473</v>
      </c>
      <c r="AA134" s="324"/>
      <c r="AB134" s="234" t="str">
        <f>VLOOKUP(AB132,CuentasContables,5,FALSE)</f>
        <v>GASTOS POR TRIBUTOS</v>
      </c>
      <c r="AC134" s="160"/>
      <c r="AF134" s="324" t="s">
        <v>473</v>
      </c>
      <c r="AG134" s="324"/>
      <c r="AH134" s="234" t="str">
        <f>VLOOKUP(AH132,CuentasContables,5,FALSE)</f>
        <v>OTROS GASTOS DE GESTIÓN</v>
      </c>
      <c r="AI134" s="160"/>
      <c r="AL134" s="324" t="s">
        <v>473</v>
      </c>
      <c r="AM134" s="324"/>
      <c r="AN134" s="234" t="str">
        <f>VLOOKUP(AN132,CuentasContables,5,FALSE)</f>
        <v>PÉRDIDA POR MEDICIÓN DE ACTIVOS NO FINANCIEROS AL VALOR RAZONABLE</v>
      </c>
      <c r="AO134" s="160"/>
      <c r="AR134" s="324" t="s">
        <v>473</v>
      </c>
      <c r="AS134" s="324"/>
      <c r="AT134" s="234" t="str">
        <f>VLOOKUP(AT132,CuentasContables,5,FALSE)</f>
        <v>GASTOS FINANCIEROS</v>
      </c>
      <c r="AU134" s="160"/>
      <c r="AX134" s="324" t="s">
        <v>473</v>
      </c>
      <c r="AY134" s="324"/>
      <c r="AZ134" s="234" t="str">
        <f>VLOOKUP(AZ132,CuentasContables,5,FALSE)</f>
        <v>VALUACIÓN Y DETERIORO DE ACTIVOS Y PROVISIONES</v>
      </c>
      <c r="BA134" s="160"/>
      <c r="BD134" s="324" t="s">
        <v>473</v>
      </c>
      <c r="BE134" s="324"/>
      <c r="BF134" s="234" t="str">
        <f>VLOOKUP(BF132,CuentasContables,5,FALSE)</f>
        <v>COSTO DE VENTAS</v>
      </c>
      <c r="BG134" s="160"/>
    </row>
    <row r="135" spans="2:63" ht="14.4" thickBot="1" x14ac:dyDescent="0.3">
      <c r="B135" s="160"/>
      <c r="C135" s="160"/>
      <c r="D135" s="160"/>
      <c r="E135" s="160"/>
      <c r="H135" s="160"/>
      <c r="I135" s="160"/>
      <c r="J135" s="160"/>
      <c r="K135" s="160"/>
      <c r="N135" s="160"/>
      <c r="O135" s="160"/>
      <c r="P135" s="160"/>
      <c r="Q135" s="160"/>
      <c r="T135" s="160"/>
      <c r="U135" s="160"/>
      <c r="V135" s="160"/>
      <c r="W135" s="160"/>
      <c r="Z135" s="160"/>
      <c r="AA135" s="160"/>
      <c r="AB135" s="160"/>
      <c r="AC135" s="160"/>
      <c r="AF135" s="160"/>
      <c r="AG135" s="160"/>
      <c r="AH135" s="160"/>
      <c r="AI135" s="160"/>
      <c r="AL135" s="160"/>
      <c r="AM135" s="160"/>
      <c r="AN135" s="160"/>
      <c r="AO135" s="160"/>
      <c r="AR135" s="160"/>
      <c r="AS135" s="160"/>
      <c r="AT135" s="160"/>
      <c r="AU135" s="160"/>
      <c r="AX135" s="160"/>
      <c r="AY135" s="160"/>
      <c r="AZ135" s="160"/>
      <c r="BA135" s="160"/>
      <c r="BD135" s="160"/>
      <c r="BE135" s="160"/>
      <c r="BF135" s="160"/>
      <c r="BG135" s="160"/>
    </row>
    <row r="136" spans="2:63" x14ac:dyDescent="0.25">
      <c r="B136" s="325" t="s">
        <v>466</v>
      </c>
      <c r="C136" s="327" t="s">
        <v>467</v>
      </c>
      <c r="D136" s="327" t="s">
        <v>468</v>
      </c>
      <c r="E136" s="329" t="s">
        <v>469</v>
      </c>
      <c r="F136" s="330"/>
      <c r="H136" s="325" t="s">
        <v>466</v>
      </c>
      <c r="I136" s="327" t="s">
        <v>467</v>
      </c>
      <c r="J136" s="327" t="s">
        <v>468</v>
      </c>
      <c r="K136" s="329" t="s">
        <v>469</v>
      </c>
      <c r="L136" s="330"/>
      <c r="N136" s="325" t="s">
        <v>466</v>
      </c>
      <c r="O136" s="327" t="s">
        <v>467</v>
      </c>
      <c r="P136" s="327" t="s">
        <v>468</v>
      </c>
      <c r="Q136" s="329" t="s">
        <v>469</v>
      </c>
      <c r="R136" s="330"/>
      <c r="T136" s="325" t="s">
        <v>466</v>
      </c>
      <c r="U136" s="327" t="s">
        <v>467</v>
      </c>
      <c r="V136" s="327" t="s">
        <v>468</v>
      </c>
      <c r="W136" s="329" t="s">
        <v>469</v>
      </c>
      <c r="X136" s="330"/>
      <c r="Z136" s="325" t="s">
        <v>466</v>
      </c>
      <c r="AA136" s="327" t="s">
        <v>467</v>
      </c>
      <c r="AB136" s="327" t="s">
        <v>468</v>
      </c>
      <c r="AC136" s="329" t="s">
        <v>469</v>
      </c>
      <c r="AD136" s="330"/>
      <c r="AF136" s="325" t="s">
        <v>466</v>
      </c>
      <c r="AG136" s="327" t="s">
        <v>467</v>
      </c>
      <c r="AH136" s="327" t="s">
        <v>468</v>
      </c>
      <c r="AI136" s="329" t="s">
        <v>469</v>
      </c>
      <c r="AJ136" s="330"/>
      <c r="AL136" s="325" t="s">
        <v>466</v>
      </c>
      <c r="AM136" s="327" t="s">
        <v>467</v>
      </c>
      <c r="AN136" s="327" t="s">
        <v>468</v>
      </c>
      <c r="AO136" s="329" t="s">
        <v>469</v>
      </c>
      <c r="AP136" s="330"/>
      <c r="AR136" s="325" t="s">
        <v>466</v>
      </c>
      <c r="AS136" s="327" t="s">
        <v>467</v>
      </c>
      <c r="AT136" s="327" t="s">
        <v>468</v>
      </c>
      <c r="AU136" s="329" t="s">
        <v>469</v>
      </c>
      <c r="AV136" s="330"/>
      <c r="AX136" s="325" t="s">
        <v>466</v>
      </c>
      <c r="AY136" s="327" t="s">
        <v>467</v>
      </c>
      <c r="AZ136" s="327" t="s">
        <v>468</v>
      </c>
      <c r="BA136" s="329" t="s">
        <v>469</v>
      </c>
      <c r="BB136" s="330"/>
      <c r="BD136" s="325" t="s">
        <v>466</v>
      </c>
      <c r="BE136" s="327" t="s">
        <v>467</v>
      </c>
      <c r="BF136" s="327" t="s">
        <v>468</v>
      </c>
      <c r="BG136" s="329" t="s">
        <v>469</v>
      </c>
      <c r="BH136" s="330"/>
    </row>
    <row r="137" spans="2:63" ht="14.4" thickBot="1" x14ac:dyDescent="0.3">
      <c r="B137" s="326"/>
      <c r="C137" s="328"/>
      <c r="D137" s="328"/>
      <c r="E137" s="232" t="s">
        <v>403</v>
      </c>
      <c r="F137" s="174" t="s">
        <v>402</v>
      </c>
      <c r="H137" s="326"/>
      <c r="I137" s="328"/>
      <c r="J137" s="328"/>
      <c r="K137" s="232" t="s">
        <v>403</v>
      </c>
      <c r="L137" s="174" t="s">
        <v>402</v>
      </c>
      <c r="N137" s="326"/>
      <c r="O137" s="328"/>
      <c r="P137" s="328"/>
      <c r="Q137" s="232" t="s">
        <v>403</v>
      </c>
      <c r="R137" s="174" t="s">
        <v>402</v>
      </c>
      <c r="T137" s="326"/>
      <c r="U137" s="328"/>
      <c r="V137" s="328"/>
      <c r="W137" s="232" t="s">
        <v>403</v>
      </c>
      <c r="X137" s="174" t="s">
        <v>402</v>
      </c>
      <c r="Z137" s="326"/>
      <c r="AA137" s="328"/>
      <c r="AB137" s="328"/>
      <c r="AC137" s="232" t="s">
        <v>403</v>
      </c>
      <c r="AD137" s="174" t="s">
        <v>402</v>
      </c>
      <c r="AF137" s="326"/>
      <c r="AG137" s="328"/>
      <c r="AH137" s="328"/>
      <c r="AI137" s="232" t="s">
        <v>403</v>
      </c>
      <c r="AJ137" s="174" t="s">
        <v>402</v>
      </c>
      <c r="AL137" s="326"/>
      <c r="AM137" s="328"/>
      <c r="AN137" s="328"/>
      <c r="AO137" s="232" t="s">
        <v>403</v>
      </c>
      <c r="AP137" s="174" t="s">
        <v>402</v>
      </c>
      <c r="AR137" s="326"/>
      <c r="AS137" s="328"/>
      <c r="AT137" s="328"/>
      <c r="AU137" s="232" t="s">
        <v>403</v>
      </c>
      <c r="AV137" s="174" t="s">
        <v>402</v>
      </c>
      <c r="AX137" s="326"/>
      <c r="AY137" s="328"/>
      <c r="AZ137" s="328"/>
      <c r="BA137" s="232" t="s">
        <v>403</v>
      </c>
      <c r="BB137" s="174" t="s">
        <v>402</v>
      </c>
      <c r="BD137" s="326"/>
      <c r="BE137" s="328"/>
      <c r="BF137" s="328"/>
      <c r="BG137" s="232" t="s">
        <v>403</v>
      </c>
      <c r="BH137" s="174" t="s">
        <v>402</v>
      </c>
    </row>
    <row r="138" spans="2:63" ht="14.4" thickTop="1" x14ac:dyDescent="0.25">
      <c r="B138" s="236">
        <v>41670</v>
      </c>
      <c r="C138" s="171"/>
      <c r="D138" s="166" t="s">
        <v>470</v>
      </c>
      <c r="E138" s="167">
        <f>SUMIF('Libro Diario Convencional'!$B$15:$B$167,D132,'Libro Diario Convencional'!$I$15:$I$167)</f>
        <v>154100</v>
      </c>
      <c r="F138" s="168">
        <f>SUMIF('Libro Diario Convencional'!$B$15:$B$167,D132,'Libro Diario Convencional'!$J$15:$J$167)</f>
        <v>0</v>
      </c>
      <c r="G138" s="9"/>
      <c r="H138" s="236">
        <v>41670</v>
      </c>
      <c r="I138" s="171"/>
      <c r="J138" s="166" t="s">
        <v>470</v>
      </c>
      <c r="K138" s="167">
        <f>SUMIF('Libro Diario Convencional'!$B$15:$B$167,J132,'Libro Diario Convencional'!$I$15:$I$167)</f>
        <v>0</v>
      </c>
      <c r="L138" s="168">
        <f>SUMIF('Libro Diario Convencional'!$B$15:$B$167,J132,'Libro Diario Convencional'!$J$15:$J$167)</f>
        <v>0</v>
      </c>
      <c r="M138" s="9"/>
      <c r="N138" s="236">
        <v>41670</v>
      </c>
      <c r="O138" s="171"/>
      <c r="P138" s="166" t="s">
        <v>470</v>
      </c>
      <c r="Q138" s="167">
        <f>SUMIF('Libro Diario Convencional'!$B$15:$B$167,P132,'Libro Diario Convencional'!$I$15:$I$167)</f>
        <v>327000</v>
      </c>
      <c r="R138" s="168">
        <f>SUMIF('Libro Diario Convencional'!$B$15:$B$167,P132,'Libro Diario Convencional'!$J$15:$J$167)</f>
        <v>0</v>
      </c>
      <c r="S138" s="9"/>
      <c r="T138" s="236">
        <v>41670</v>
      </c>
      <c r="U138" s="171"/>
      <c r="V138" s="166" t="s">
        <v>470</v>
      </c>
      <c r="W138" s="167">
        <f>SUMIF('Libro Diario Convencional'!$B$15:$B$167,V132,'Libro Diario Convencional'!$I$15:$I$167)</f>
        <v>20542.372881355932</v>
      </c>
      <c r="X138" s="168">
        <f>SUMIF('Libro Diario Convencional'!$B$15:$B$167,V132,'Libro Diario Convencional'!$J$15:$J$167)</f>
        <v>0</v>
      </c>
      <c r="Y138" s="9"/>
      <c r="Z138" s="236">
        <v>41670</v>
      </c>
      <c r="AA138" s="171"/>
      <c r="AB138" s="166" t="s">
        <v>470</v>
      </c>
      <c r="AC138" s="167">
        <f>SUMIF('Libro Diario Convencional'!$B$15:$B$167,AB132,'Libro Diario Convencional'!$I$15:$I$167)</f>
        <v>0</v>
      </c>
      <c r="AD138" s="168">
        <f>SUMIF('Libro Diario Convencional'!$B$15:$B$167,AB132,'Libro Diario Convencional'!$J$15:$J$167)</f>
        <v>0</v>
      </c>
      <c r="AE138" s="9"/>
      <c r="AF138" s="236">
        <v>41670</v>
      </c>
      <c r="AG138" s="171"/>
      <c r="AH138" s="166" t="s">
        <v>470</v>
      </c>
      <c r="AI138" s="167">
        <f>SUMIF('Libro Diario Convencional'!$B$15:$B$167,AH132,'Libro Diario Convencional'!$I$15:$I$167)</f>
        <v>8450</v>
      </c>
      <c r="AJ138" s="168">
        <f>SUMIF('Libro Diario Convencional'!$B$15:$B$167,AH132,'Libro Diario Convencional'!$J$15:$J$167)</f>
        <v>0</v>
      </c>
      <c r="AK138" s="9"/>
      <c r="AL138" s="236">
        <v>41670</v>
      </c>
      <c r="AM138" s="171"/>
      <c r="AN138" s="166" t="s">
        <v>470</v>
      </c>
      <c r="AO138" s="167">
        <f>SUMIF('Libro Diario Convencional'!$B$15:$B$167,AN132,'Libro Diario Convencional'!$I$15:$I$167)</f>
        <v>0</v>
      </c>
      <c r="AP138" s="168">
        <f>SUMIF('Libro Diario Convencional'!$B$15:$B$167,AN132,'Libro Diario Convencional'!$J$15:$J$167)</f>
        <v>0</v>
      </c>
      <c r="AQ138" s="9"/>
      <c r="AR138" s="236">
        <v>41670</v>
      </c>
      <c r="AS138" s="171"/>
      <c r="AT138" s="166" t="s">
        <v>470</v>
      </c>
      <c r="AU138" s="167">
        <f>SUMIF('Libro Diario Convencional'!$B$15:$B$167,AT132,'Libro Diario Convencional'!$I$15:$I$167)</f>
        <v>0</v>
      </c>
      <c r="AV138" s="168">
        <f>SUMIF('Libro Diario Convencional'!$B$15:$B$167,AT132,'Libro Diario Convencional'!$J$15:$J$167)</f>
        <v>0</v>
      </c>
      <c r="AW138" s="9"/>
      <c r="AX138" s="236">
        <v>41670</v>
      </c>
      <c r="AY138" s="171"/>
      <c r="AZ138" s="166" t="s">
        <v>470</v>
      </c>
      <c r="BA138" s="167">
        <f>SUMIF('Libro Diario Convencional'!$B$15:$B$167,AZ132,'Libro Diario Convencional'!$I$15:$I$167)</f>
        <v>31542.5</v>
      </c>
      <c r="BB138" s="168">
        <f>SUMIF('Libro Diario Convencional'!$B$15:$B$167,AZ132,'Libro Diario Convencional'!$J$15:$J$167)</f>
        <v>0</v>
      </c>
      <c r="BC138" s="9"/>
      <c r="BD138" s="236">
        <v>41670</v>
      </c>
      <c r="BE138" s="171"/>
      <c r="BF138" s="166" t="s">
        <v>470</v>
      </c>
      <c r="BG138" s="167">
        <f>SUMIF('Libro Diario Convencional'!$B$15:$B$167,BF132,'Libro Diario Convencional'!$I$15:$I$167)</f>
        <v>128800</v>
      </c>
      <c r="BH138" s="168">
        <f>SUMIF('Libro Diario Convencional'!$B$15:$B$167,BF132,'Libro Diario Convencional'!$J$15:$J$167)</f>
        <v>0</v>
      </c>
    </row>
    <row r="139" spans="2:63" x14ac:dyDescent="0.25">
      <c r="B139" s="169">
        <v>41670</v>
      </c>
      <c r="C139" s="172"/>
      <c r="D139" s="161" t="s">
        <v>474</v>
      </c>
      <c r="E139" s="162">
        <f>SUMIF('Asientos de Cierre'!$B$6:$B$549,D132,'Asientos de Cierre'!$J$6:$J$549)</f>
        <v>0</v>
      </c>
      <c r="F139" s="163">
        <f>SUMIF('Asientos de Cierre'!$B$6:$B$549,D132,'Asientos de Cierre'!$K$6:$K$549)</f>
        <v>0</v>
      </c>
      <c r="G139" s="9"/>
      <c r="H139" s="169">
        <v>41670</v>
      </c>
      <c r="I139" s="172"/>
      <c r="J139" s="161" t="s">
        <v>474</v>
      </c>
      <c r="K139" s="162">
        <f>SUMIF('Asientos de Cierre'!$B$6:$B$549,J132,'Asientos de Cierre'!$J$6:$J$549)</f>
        <v>154100</v>
      </c>
      <c r="L139" s="163">
        <f>SUMIF('Asientos de Cierre'!$B$6:$B$549,J132,'Asientos de Cierre'!$K$6:$K$549)</f>
        <v>0</v>
      </c>
      <c r="M139" s="9"/>
      <c r="N139" s="169">
        <v>41670</v>
      </c>
      <c r="O139" s="172"/>
      <c r="P139" s="161" t="s">
        <v>474</v>
      </c>
      <c r="Q139" s="162">
        <f>SUMIF('Asientos de Cierre'!$B$6:$B$549,P132,'Asientos de Cierre'!$J$6:$J$549)</f>
        <v>0</v>
      </c>
      <c r="R139" s="163">
        <f>SUMIF('Asientos de Cierre'!$B$6:$B$549,P132,'Asientos de Cierre'!$K$6:$K$549)</f>
        <v>327000</v>
      </c>
      <c r="S139" s="9"/>
      <c r="T139" s="169">
        <v>41670</v>
      </c>
      <c r="U139" s="172"/>
      <c r="V139" s="161" t="s">
        <v>474</v>
      </c>
      <c r="W139" s="162">
        <f>SUMIF('Asientos de Cierre'!$B$6:$B$549,V132,'Asientos de Cierre'!$J$6:$J$549)</f>
        <v>0</v>
      </c>
      <c r="X139" s="163">
        <f>SUMIF('Asientos de Cierre'!$B$6:$B$549,V132,'Asientos de Cierre'!$K$6:$K$549)</f>
        <v>20542.372881355932</v>
      </c>
      <c r="Y139" s="9"/>
      <c r="Z139" s="169">
        <v>41670</v>
      </c>
      <c r="AA139" s="172"/>
      <c r="AB139" s="161" t="s">
        <v>474</v>
      </c>
      <c r="AC139" s="162">
        <f>SUMIF('Asientos de Cierre'!$B$6:$B$549,AB132,'Asientos de Cierre'!$J$6:$J$549)</f>
        <v>0</v>
      </c>
      <c r="AD139" s="163">
        <f>SUMIF('Asientos de Cierre'!$B$6:$B$549,AB132,'Asientos de Cierre'!$K$6:$K$549)</f>
        <v>0</v>
      </c>
      <c r="AE139" s="9"/>
      <c r="AF139" s="169">
        <v>41670</v>
      </c>
      <c r="AG139" s="172"/>
      <c r="AH139" s="161" t="s">
        <v>474</v>
      </c>
      <c r="AI139" s="162">
        <f>SUMIF('Asientos de Cierre'!$B$6:$B$549,AH132,'Asientos de Cierre'!$J$6:$J$549)</f>
        <v>0</v>
      </c>
      <c r="AJ139" s="163">
        <f>SUMIF('Asientos de Cierre'!$B$6:$B$549,AH132,'Asientos de Cierre'!$K$6:$K$549)</f>
        <v>8450</v>
      </c>
      <c r="AK139" s="9"/>
      <c r="AL139" s="169">
        <v>41670</v>
      </c>
      <c r="AM139" s="172"/>
      <c r="AN139" s="161" t="s">
        <v>474</v>
      </c>
      <c r="AO139" s="162">
        <f>SUMIF('Asientos de Cierre'!$B$6:$B$549,AN132,'Asientos de Cierre'!$J$6:$J$549)</f>
        <v>0</v>
      </c>
      <c r="AP139" s="163">
        <f>SUMIF('Asientos de Cierre'!$B$6:$B$549,AN132,'Asientos de Cierre'!$K$6:$K$549)</f>
        <v>0</v>
      </c>
      <c r="AQ139" s="9"/>
      <c r="AR139" s="169">
        <v>41670</v>
      </c>
      <c r="AS139" s="172"/>
      <c r="AT139" s="161" t="s">
        <v>474</v>
      </c>
      <c r="AU139" s="162">
        <f>SUMIF('Asientos de Cierre'!$B$6:$B$549,AT132,'Asientos de Cierre'!$J$6:$J$549)</f>
        <v>0</v>
      </c>
      <c r="AV139" s="163">
        <f>SUMIF('Asientos de Cierre'!$B$6:$B$549,AT132,'Asientos de Cierre'!$K$6:$K$549)</f>
        <v>0</v>
      </c>
      <c r="AW139" s="9"/>
      <c r="AX139" s="169">
        <v>41670</v>
      </c>
      <c r="AY139" s="172"/>
      <c r="AZ139" s="161" t="s">
        <v>474</v>
      </c>
      <c r="BA139" s="162">
        <f>SUMIF('Asientos de Cierre'!$B$6:$B$549,AZ132,'Asientos de Cierre'!$J$6:$J$549)</f>
        <v>0</v>
      </c>
      <c r="BB139" s="163">
        <f>SUMIF('Asientos de Cierre'!$B$6:$B$549,AZ132,'Asientos de Cierre'!$K$6:$K$549)</f>
        <v>0</v>
      </c>
      <c r="BC139" s="9"/>
      <c r="BD139" s="169">
        <v>41670</v>
      </c>
      <c r="BE139" s="172"/>
      <c r="BF139" s="161" t="s">
        <v>474</v>
      </c>
      <c r="BG139" s="162">
        <f>SUMIF('Asientos de Cierre'!$B$6:$B$549,BF132,'Asientos de Cierre'!$J$6:$J$549)</f>
        <v>0</v>
      </c>
      <c r="BH139" s="163">
        <f>SUMIF('Asientos de Cierre'!$B$6:$B$549,BF132,'Asientos de Cierre'!$K$6:$K$549)</f>
        <v>0</v>
      </c>
    </row>
    <row r="140" spans="2:63" x14ac:dyDescent="0.25">
      <c r="B140" s="169"/>
      <c r="C140" s="172"/>
      <c r="D140" s="161"/>
      <c r="E140" s="162"/>
      <c r="F140" s="163"/>
      <c r="G140" s="9"/>
      <c r="H140" s="169"/>
      <c r="I140" s="172"/>
      <c r="J140" s="161"/>
      <c r="K140" s="162"/>
      <c r="L140" s="163"/>
      <c r="M140" s="9"/>
      <c r="N140" s="169"/>
      <c r="O140" s="172"/>
      <c r="P140" s="161"/>
      <c r="Q140" s="162"/>
      <c r="R140" s="163"/>
      <c r="S140" s="9"/>
      <c r="T140" s="169"/>
      <c r="U140" s="172"/>
      <c r="V140" s="161"/>
      <c r="W140" s="162"/>
      <c r="X140" s="163"/>
      <c r="Y140" s="9"/>
      <c r="Z140" s="169"/>
      <c r="AA140" s="172"/>
      <c r="AB140" s="161"/>
      <c r="AC140" s="162"/>
      <c r="AD140" s="163"/>
      <c r="AE140" s="9"/>
      <c r="AF140" s="169"/>
      <c r="AG140" s="172"/>
      <c r="AH140" s="161"/>
      <c r="AI140" s="162"/>
      <c r="AJ140" s="163"/>
      <c r="AK140" s="9"/>
      <c r="AL140" s="169"/>
      <c r="AM140" s="172"/>
      <c r="AN140" s="161"/>
      <c r="AO140" s="162"/>
      <c r="AP140" s="163"/>
      <c r="AQ140" s="9"/>
      <c r="AR140" s="169"/>
      <c r="AS140" s="172"/>
      <c r="AT140" s="161"/>
      <c r="AU140" s="162"/>
      <c r="AV140" s="163"/>
      <c r="AW140" s="9"/>
      <c r="AX140" s="169"/>
      <c r="AY140" s="172"/>
      <c r="AZ140" s="161"/>
      <c r="BA140" s="162"/>
      <c r="BB140" s="163"/>
      <c r="BC140" s="9"/>
      <c r="BD140" s="169"/>
      <c r="BE140" s="172"/>
      <c r="BF140" s="161"/>
      <c r="BG140" s="162"/>
      <c r="BH140" s="163"/>
    </row>
    <row r="141" spans="2:63" ht="14.4" thickBot="1" x14ac:dyDescent="0.3">
      <c r="B141" s="169"/>
      <c r="C141" s="172"/>
      <c r="D141" s="161"/>
      <c r="E141" s="162"/>
      <c r="F141" s="163"/>
      <c r="G141" s="9"/>
      <c r="H141" s="169"/>
      <c r="I141" s="172"/>
      <c r="J141" s="161"/>
      <c r="K141" s="162"/>
      <c r="L141" s="163"/>
      <c r="M141" s="9"/>
      <c r="N141" s="169"/>
      <c r="O141" s="172"/>
      <c r="P141" s="161"/>
      <c r="Q141" s="162"/>
      <c r="R141" s="163"/>
      <c r="S141" s="9"/>
      <c r="T141" s="169"/>
      <c r="U141" s="172"/>
      <c r="V141" s="161"/>
      <c r="W141" s="162"/>
      <c r="X141" s="163"/>
      <c r="Y141" s="9"/>
      <c r="Z141" s="169"/>
      <c r="AA141" s="172"/>
      <c r="AB141" s="161"/>
      <c r="AC141" s="162"/>
      <c r="AD141" s="163"/>
      <c r="AE141" s="9"/>
      <c r="AF141" s="169"/>
      <c r="AG141" s="172"/>
      <c r="AH141" s="161"/>
      <c r="AI141" s="162"/>
      <c r="AJ141" s="163"/>
      <c r="AK141" s="9"/>
      <c r="AL141" s="169"/>
      <c r="AM141" s="172"/>
      <c r="AN141" s="161"/>
      <c r="AO141" s="162"/>
      <c r="AP141" s="163"/>
      <c r="AQ141" s="9"/>
      <c r="AR141" s="169"/>
      <c r="AS141" s="172"/>
      <c r="AT141" s="161"/>
      <c r="AU141" s="162"/>
      <c r="AV141" s="163"/>
      <c r="AW141" s="9"/>
      <c r="AX141" s="169"/>
      <c r="AY141" s="172"/>
      <c r="AZ141" s="161"/>
      <c r="BA141" s="162"/>
      <c r="BB141" s="163"/>
      <c r="BC141" s="9"/>
      <c r="BD141" s="169"/>
      <c r="BE141" s="172"/>
      <c r="BF141" s="161"/>
      <c r="BG141" s="162"/>
      <c r="BH141" s="163"/>
    </row>
    <row r="142" spans="2:63" ht="15" thickBot="1" x14ac:dyDescent="0.3">
      <c r="B142" s="169"/>
      <c r="C142" s="172"/>
      <c r="D142" s="161" t="s">
        <v>471</v>
      </c>
      <c r="E142" s="162">
        <f>SUM(E138:E141)</f>
        <v>154100</v>
      </c>
      <c r="F142" s="163">
        <f>SUM(F138:F141)</f>
        <v>0</v>
      </c>
      <c r="G142" s="9"/>
      <c r="H142" s="169"/>
      <c r="I142" s="172"/>
      <c r="J142" s="161" t="s">
        <v>471</v>
      </c>
      <c r="K142" s="162">
        <f>SUM(K138:K141)</f>
        <v>154100</v>
      </c>
      <c r="L142" s="163">
        <f>SUM(L138:L141)</f>
        <v>0</v>
      </c>
      <c r="M142" s="9"/>
      <c r="N142" s="169"/>
      <c r="O142" s="172"/>
      <c r="P142" s="161" t="s">
        <v>471</v>
      </c>
      <c r="Q142" s="162">
        <f>SUM(Q138:Q141)</f>
        <v>327000</v>
      </c>
      <c r="R142" s="163">
        <f>SUM(R138:R141)</f>
        <v>327000</v>
      </c>
      <c r="S142" s="9"/>
      <c r="T142" s="169"/>
      <c r="U142" s="172"/>
      <c r="V142" s="161" t="s">
        <v>471</v>
      </c>
      <c r="W142" s="162">
        <f>SUM(W138:W141)</f>
        <v>20542.372881355932</v>
      </c>
      <c r="X142" s="163">
        <f>SUM(X138:X141)</f>
        <v>20542.372881355932</v>
      </c>
      <c r="Y142" s="9"/>
      <c r="Z142" s="169"/>
      <c r="AA142" s="172"/>
      <c r="AB142" s="161" t="s">
        <v>471</v>
      </c>
      <c r="AC142" s="162">
        <f>SUM(AC138:AC141)</f>
        <v>0</v>
      </c>
      <c r="AD142" s="163">
        <f>SUM(AD138:AD141)</f>
        <v>0</v>
      </c>
      <c r="AE142" s="9"/>
      <c r="AF142" s="169"/>
      <c r="AG142" s="172"/>
      <c r="AH142" s="161" t="s">
        <v>471</v>
      </c>
      <c r="AI142" s="162">
        <f>SUM(AI138:AI141)</f>
        <v>8450</v>
      </c>
      <c r="AJ142" s="163">
        <f>SUM(AJ138:AJ141)</f>
        <v>8450</v>
      </c>
      <c r="AK142" s="9"/>
      <c r="AL142" s="169"/>
      <c r="AM142" s="172"/>
      <c r="AN142" s="161" t="s">
        <v>471</v>
      </c>
      <c r="AO142" s="162">
        <f>SUM(AO138:AO141)</f>
        <v>0</v>
      </c>
      <c r="AP142" s="163">
        <f>SUM(AP138:AP141)</f>
        <v>0</v>
      </c>
      <c r="AQ142" s="9"/>
      <c r="AR142" s="169"/>
      <c r="AS142" s="172"/>
      <c r="AT142" s="161" t="s">
        <v>471</v>
      </c>
      <c r="AU142" s="162">
        <f>SUM(AU138:AU141)</f>
        <v>0</v>
      </c>
      <c r="AV142" s="163">
        <f>SUM(AV138:AV141)</f>
        <v>0</v>
      </c>
      <c r="AW142" s="9"/>
      <c r="AX142" s="169"/>
      <c r="AY142" s="172"/>
      <c r="AZ142" s="161" t="s">
        <v>471</v>
      </c>
      <c r="BA142" s="162">
        <f>SUM(BA138:BA141)</f>
        <v>31542.5</v>
      </c>
      <c r="BB142" s="163">
        <f>SUM(BB138:BB141)</f>
        <v>0</v>
      </c>
      <c r="BC142" s="9"/>
      <c r="BD142" s="169"/>
      <c r="BE142" s="172"/>
      <c r="BF142" s="161" t="s">
        <v>471</v>
      </c>
      <c r="BG142" s="162">
        <f>SUM(BG138:BG141)</f>
        <v>128800</v>
      </c>
      <c r="BH142" s="163">
        <f>SUM(BH138:BH141)</f>
        <v>0</v>
      </c>
      <c r="BJ142" s="157">
        <f>SUM(E142,K142,Q142,W142,AC142,AI142,AO142,AU142,BA142,BG142)</f>
        <v>824534.87288135593</v>
      </c>
      <c r="BK142" s="158">
        <f>SUM(F142,L142,R142,X142,AD142,AJ142,AP142,AV142,BB142,BH142)</f>
        <v>355992.37288135593</v>
      </c>
    </row>
    <row r="143" spans="2:63" ht="14.4" thickBot="1" x14ac:dyDescent="0.3">
      <c r="B143" s="170"/>
      <c r="C143" s="173"/>
      <c r="D143" s="164" t="str">
        <f>IF(E142=F142,"",IF(E142&gt;F142,"Saldo Deudor","Saldo Acreedor"))</f>
        <v>Saldo Deudor</v>
      </c>
      <c r="E143" s="165">
        <f>IF(E142&gt;F142,E142-F142,"")</f>
        <v>154100</v>
      </c>
      <c r="F143" s="176" t="str">
        <f>IF(E142&lt;F142,F142-E142,"")</f>
        <v/>
      </c>
      <c r="H143" s="170"/>
      <c r="I143" s="173"/>
      <c r="J143" s="164" t="str">
        <f>IF(K142=L142,"",IF(K142&gt;L142,"Saldo Deudor","Saldo Acreedor"))</f>
        <v>Saldo Deudor</v>
      </c>
      <c r="K143" s="165">
        <f>IF(K142&gt;L142,K142-L142,"")</f>
        <v>154100</v>
      </c>
      <c r="L143" s="176" t="str">
        <f>IF(K142&lt;L142,L142-K142,"")</f>
        <v/>
      </c>
      <c r="N143" s="170"/>
      <c r="O143" s="173"/>
      <c r="P143" s="164" t="str">
        <f>IF(Q142=R142,"",IF(Q142&gt;R142,"Saldo Deudor","Saldo Acreedor"))</f>
        <v/>
      </c>
      <c r="Q143" s="165" t="str">
        <f>IF(Q142&gt;R142,Q142-R142,"")</f>
        <v/>
      </c>
      <c r="R143" s="176" t="str">
        <f>IF(Q142&lt;R142,R142-Q142,"")</f>
        <v/>
      </c>
      <c r="T143" s="170"/>
      <c r="U143" s="173"/>
      <c r="V143" s="164" t="str">
        <f>IF(W142=X142,"",IF(W142&gt;X142,"Saldo Deudor","Saldo Acreedor"))</f>
        <v/>
      </c>
      <c r="W143" s="165" t="str">
        <f>IF(W142&gt;X142,W142-X142,"")</f>
        <v/>
      </c>
      <c r="X143" s="176" t="str">
        <f>IF(W142&lt;X142,X142-W142,"")</f>
        <v/>
      </c>
      <c r="Z143" s="170"/>
      <c r="AA143" s="173"/>
      <c r="AB143" s="164" t="str">
        <f>IF(AC142=AD142,"",IF(AC142&gt;AD142,"Saldo Deudor","Saldo Acreedor"))</f>
        <v/>
      </c>
      <c r="AC143" s="165" t="str">
        <f>IF(AC142&gt;AD142,AC142-AD142,"")</f>
        <v/>
      </c>
      <c r="AD143" s="176" t="str">
        <f>IF(AC142&lt;AD142,AD142-AC142,"")</f>
        <v/>
      </c>
      <c r="AF143" s="170"/>
      <c r="AG143" s="173"/>
      <c r="AH143" s="164" t="str">
        <f>IF(AI142=AJ142,"",IF(AI142&gt;AJ142,"Saldo Deudor","Saldo Acreedor"))</f>
        <v/>
      </c>
      <c r="AI143" s="165" t="str">
        <f>IF(AI142&gt;AJ142,AI142-AJ142,"")</f>
        <v/>
      </c>
      <c r="AJ143" s="176" t="str">
        <f>IF(AI142&lt;AJ142,AJ142-AI142,"")</f>
        <v/>
      </c>
      <c r="AL143" s="170"/>
      <c r="AM143" s="173"/>
      <c r="AN143" s="164" t="str">
        <f>IF(AO142=AP142,"",IF(AO142&gt;AP142,"Saldo Deudor","Saldo Acreedor"))</f>
        <v/>
      </c>
      <c r="AO143" s="165" t="str">
        <f>IF(AO142&gt;AP142,AO142-AP142,"")</f>
        <v/>
      </c>
      <c r="AP143" s="176" t="str">
        <f>IF(AO142&lt;AP142,AP142-AO142,"")</f>
        <v/>
      </c>
      <c r="AR143" s="170"/>
      <c r="AS143" s="173"/>
      <c r="AT143" s="164" t="str">
        <f>IF(AU142=AV142,"",IF(AU142&gt;AV142,"Saldo Deudor","Saldo Acreedor"))</f>
        <v/>
      </c>
      <c r="AU143" s="165" t="str">
        <f>IF(AU142&gt;AV142,AU142-AV142,"")</f>
        <v/>
      </c>
      <c r="AV143" s="176" t="str">
        <f>IF(AU142&lt;AV142,AV142-AU142,"")</f>
        <v/>
      </c>
      <c r="AX143" s="170"/>
      <c r="AY143" s="173"/>
      <c r="AZ143" s="164" t="str">
        <f>IF(BA142=BB142,"",IF(BA142&gt;BB142,"Saldo Deudor","Saldo Acreedor"))</f>
        <v>Saldo Deudor</v>
      </c>
      <c r="BA143" s="165">
        <f>IF(BA142&gt;BB142,BA142-BB142,"")</f>
        <v>31542.5</v>
      </c>
      <c r="BB143" s="176" t="str">
        <f>IF(BA142&lt;BB142,BB142-BA142,"")</f>
        <v/>
      </c>
      <c r="BD143" s="170"/>
      <c r="BE143" s="173"/>
      <c r="BF143" s="164" t="str">
        <f>IF(BG142=BH142,"",IF(BG142&gt;BH142,"Saldo Deudor","Saldo Acreedor"))</f>
        <v>Saldo Deudor</v>
      </c>
      <c r="BG143" s="165">
        <f>IF(BG142&gt;BH142,BG142-BH142,"")</f>
        <v>128800</v>
      </c>
      <c r="BH143" s="176" t="str">
        <f>IF(BG142&lt;BH142,BH142-BG142,"")</f>
        <v/>
      </c>
    </row>
    <row r="146" spans="2:60" ht="15.6" x14ac:dyDescent="0.25">
      <c r="B146" s="324" t="s">
        <v>321</v>
      </c>
      <c r="C146" s="324"/>
      <c r="D146" s="233" t="str">
        <f>'Base de Datos'!$C$756</f>
        <v>LIBRO MAYOR</v>
      </c>
      <c r="H146" s="324" t="s">
        <v>321</v>
      </c>
      <c r="I146" s="324"/>
      <c r="J146" s="233" t="str">
        <f>'Base de Datos'!$C$756</f>
        <v>LIBRO MAYOR</v>
      </c>
      <c r="N146" s="324" t="s">
        <v>321</v>
      </c>
      <c r="O146" s="324"/>
      <c r="P146" s="233" t="str">
        <f>'Base de Datos'!$C$756</f>
        <v>LIBRO MAYOR</v>
      </c>
      <c r="T146" s="324" t="s">
        <v>321</v>
      </c>
      <c r="U146" s="324"/>
      <c r="V146" s="233" t="str">
        <f>'Base de Datos'!$C$756</f>
        <v>LIBRO MAYOR</v>
      </c>
      <c r="Z146" s="324" t="s">
        <v>321</v>
      </c>
      <c r="AA146" s="324"/>
      <c r="AB146" s="233" t="str">
        <f>'Base de Datos'!$C$756</f>
        <v>LIBRO MAYOR</v>
      </c>
      <c r="AF146" s="324" t="s">
        <v>321</v>
      </c>
      <c r="AG146" s="324"/>
      <c r="AH146" s="233" t="str">
        <f>'Base de Datos'!$C$756</f>
        <v>LIBRO MAYOR</v>
      </c>
      <c r="AL146" s="324" t="s">
        <v>321</v>
      </c>
      <c r="AM146" s="324"/>
      <c r="AN146" s="233" t="str">
        <f>'Base de Datos'!$C$756</f>
        <v>LIBRO MAYOR</v>
      </c>
      <c r="AR146" s="324" t="s">
        <v>321</v>
      </c>
      <c r="AS146" s="324"/>
      <c r="AT146" s="233" t="str">
        <f>'Base de Datos'!$C$756</f>
        <v>LIBRO MAYOR</v>
      </c>
      <c r="AX146" s="324" t="s">
        <v>321</v>
      </c>
      <c r="AY146" s="324"/>
      <c r="AZ146" s="233" t="str">
        <f>'Base de Datos'!$C$756</f>
        <v>LIBRO MAYOR</v>
      </c>
      <c r="BD146" s="324" t="s">
        <v>321</v>
      </c>
      <c r="BE146" s="324"/>
      <c r="BF146" s="233" t="str">
        <f>'Base de Datos'!$C$756</f>
        <v>LIBRO MAYOR</v>
      </c>
    </row>
    <row r="147" spans="2:60" x14ac:dyDescent="0.25">
      <c r="C147" s="2"/>
      <c r="D147" s="2"/>
      <c r="E147" s="2"/>
      <c r="I147" s="2"/>
      <c r="J147" s="2"/>
      <c r="K147" s="2"/>
      <c r="O147" s="2"/>
      <c r="P147" s="2"/>
      <c r="Q147" s="2"/>
      <c r="U147" s="2"/>
      <c r="V147" s="2"/>
      <c r="W147" s="2"/>
      <c r="AA147" s="2"/>
      <c r="AB147" s="2"/>
      <c r="AC147" s="2"/>
      <c r="AG147" s="2"/>
      <c r="AH147" s="2"/>
      <c r="AI147" s="2"/>
      <c r="AM147" s="2"/>
      <c r="AN147" s="2"/>
      <c r="AO147" s="2"/>
      <c r="AS147" s="2"/>
      <c r="AT147" s="2"/>
      <c r="AU147" s="2"/>
      <c r="AY147" s="2"/>
      <c r="AZ147" s="2"/>
      <c r="BA147" s="2"/>
      <c r="BE147" s="2"/>
      <c r="BF147" s="2"/>
      <c r="BG147" s="2"/>
    </row>
    <row r="148" spans="2:60" ht="15.6" x14ac:dyDescent="0.25">
      <c r="B148" s="324" t="s">
        <v>322</v>
      </c>
      <c r="C148" s="324"/>
      <c r="D148" s="234" t="str">
        <f>'Base de Datos'!$C$8</f>
        <v>MARZO</v>
      </c>
      <c r="E148" s="160"/>
      <c r="H148" s="324" t="s">
        <v>322</v>
      </c>
      <c r="I148" s="324"/>
      <c r="J148" s="234" t="str">
        <f>'Base de Datos'!$C$8</f>
        <v>MARZO</v>
      </c>
      <c r="K148" s="160"/>
      <c r="N148" s="324" t="s">
        <v>322</v>
      </c>
      <c r="O148" s="324"/>
      <c r="P148" s="234" t="str">
        <f>'Base de Datos'!$C$8</f>
        <v>MARZO</v>
      </c>
      <c r="Q148" s="160"/>
      <c r="T148" s="324" t="s">
        <v>322</v>
      </c>
      <c r="U148" s="324"/>
      <c r="V148" s="234" t="str">
        <f>'Base de Datos'!$C$8</f>
        <v>MARZO</v>
      </c>
      <c r="W148" s="160"/>
      <c r="Z148" s="324" t="s">
        <v>322</v>
      </c>
      <c r="AA148" s="324"/>
      <c r="AB148" s="234" t="str">
        <f>'Base de Datos'!$C$8</f>
        <v>MARZO</v>
      </c>
      <c r="AC148" s="160"/>
      <c r="AF148" s="324" t="s">
        <v>322</v>
      </c>
      <c r="AG148" s="324"/>
      <c r="AH148" s="234" t="str">
        <f>'Base de Datos'!$C$8</f>
        <v>MARZO</v>
      </c>
      <c r="AI148" s="160"/>
      <c r="AL148" s="324" t="s">
        <v>322</v>
      </c>
      <c r="AM148" s="324"/>
      <c r="AN148" s="234" t="str">
        <f>'Base de Datos'!$C$8</f>
        <v>MARZO</v>
      </c>
      <c r="AO148" s="160"/>
      <c r="AR148" s="324" t="s">
        <v>322</v>
      </c>
      <c r="AS148" s="324"/>
      <c r="AT148" s="234" t="str">
        <f>'Base de Datos'!$C$8</f>
        <v>MARZO</v>
      </c>
      <c r="AU148" s="160"/>
      <c r="AX148" s="324" t="s">
        <v>322</v>
      </c>
      <c r="AY148" s="324"/>
      <c r="AZ148" s="234" t="str">
        <f>'Base de Datos'!$C$8</f>
        <v>MARZO</v>
      </c>
      <c r="BA148" s="160"/>
      <c r="BD148" s="324" t="s">
        <v>322</v>
      </c>
      <c r="BE148" s="324"/>
      <c r="BF148" s="234" t="str">
        <f>'Base de Datos'!$C$8</f>
        <v>MARZO</v>
      </c>
      <c r="BG148" s="160"/>
    </row>
    <row r="149" spans="2:60" x14ac:dyDescent="0.25">
      <c r="C149" s="2"/>
      <c r="D149" s="2"/>
      <c r="E149" s="2"/>
      <c r="I149" s="2"/>
      <c r="J149" s="2"/>
      <c r="K149" s="2"/>
      <c r="O149" s="2"/>
      <c r="P149" s="2"/>
      <c r="Q149" s="2"/>
      <c r="U149" s="2"/>
      <c r="V149" s="2"/>
      <c r="W149" s="2"/>
      <c r="AA149" s="2"/>
      <c r="AB149" s="2"/>
      <c r="AC149" s="2"/>
      <c r="AG149" s="2"/>
      <c r="AH149" s="2"/>
      <c r="AI149" s="2"/>
      <c r="AM149" s="2"/>
      <c r="AN149" s="2"/>
      <c r="AO149" s="2"/>
      <c r="AS149" s="2"/>
      <c r="AT149" s="2"/>
      <c r="AU149" s="2"/>
      <c r="AY149" s="2"/>
      <c r="AZ149" s="2"/>
      <c r="BA149" s="2"/>
      <c r="BE149" s="2"/>
      <c r="BF149" s="2"/>
      <c r="BG149" s="2"/>
    </row>
    <row r="150" spans="2:60" ht="15.6" x14ac:dyDescent="0.25">
      <c r="B150" s="324" t="s">
        <v>323</v>
      </c>
      <c r="C150" s="324"/>
      <c r="D150" s="231">
        <f>'Base de Datos'!$C$9</f>
        <v>2015</v>
      </c>
      <c r="E150" s="2"/>
      <c r="H150" s="324" t="s">
        <v>323</v>
      </c>
      <c r="I150" s="324"/>
      <c r="J150" s="231">
        <f>'Base de Datos'!$C$9</f>
        <v>2015</v>
      </c>
      <c r="K150" s="2"/>
      <c r="N150" s="324" t="s">
        <v>323</v>
      </c>
      <c r="O150" s="324"/>
      <c r="P150" s="231">
        <f>'Base de Datos'!$C$9</f>
        <v>2015</v>
      </c>
      <c r="Q150" s="2"/>
      <c r="T150" s="324" t="s">
        <v>323</v>
      </c>
      <c r="U150" s="324"/>
      <c r="V150" s="231">
        <f>'Base de Datos'!$C$9</f>
        <v>2015</v>
      </c>
      <c r="W150" s="2"/>
      <c r="Z150" s="324" t="s">
        <v>323</v>
      </c>
      <c r="AA150" s="324"/>
      <c r="AB150" s="231">
        <f>'Base de Datos'!$C$9</f>
        <v>2015</v>
      </c>
      <c r="AC150" s="2"/>
      <c r="AF150" s="324" t="s">
        <v>323</v>
      </c>
      <c r="AG150" s="324"/>
      <c r="AH150" s="231">
        <f>'Base de Datos'!$C$9</f>
        <v>2015</v>
      </c>
      <c r="AI150" s="2"/>
      <c r="AL150" s="324" t="s">
        <v>323</v>
      </c>
      <c r="AM150" s="324"/>
      <c r="AN150" s="231">
        <f>'Base de Datos'!$C$9</f>
        <v>2015</v>
      </c>
      <c r="AO150" s="2"/>
      <c r="AR150" s="324" t="s">
        <v>323</v>
      </c>
      <c r="AS150" s="324"/>
      <c r="AT150" s="231">
        <f>'Base de Datos'!$C$9</f>
        <v>2015</v>
      </c>
      <c r="AU150" s="2"/>
      <c r="AX150" s="324" t="s">
        <v>323</v>
      </c>
      <c r="AY150" s="324"/>
      <c r="AZ150" s="231">
        <f>'Base de Datos'!$C$9</f>
        <v>2015</v>
      </c>
      <c r="BA150" s="2"/>
      <c r="BD150" s="324" t="s">
        <v>323</v>
      </c>
      <c r="BE150" s="324"/>
      <c r="BF150" s="231">
        <f>'Base de Datos'!$C$9</f>
        <v>2015</v>
      </c>
      <c r="BG150" s="2"/>
    </row>
    <row r="151" spans="2:60" x14ac:dyDescent="0.25">
      <c r="C151" s="2"/>
      <c r="D151" s="2"/>
      <c r="E151" s="2"/>
      <c r="I151" s="2"/>
      <c r="J151" s="2"/>
      <c r="K151" s="2"/>
      <c r="O151" s="2"/>
      <c r="P151" s="2"/>
      <c r="Q151" s="2"/>
      <c r="U151" s="2"/>
      <c r="V151" s="2"/>
      <c r="W151" s="2"/>
      <c r="AA151" s="2"/>
      <c r="AB151" s="2"/>
      <c r="AC151" s="2"/>
      <c r="AG151" s="2"/>
      <c r="AH151" s="2"/>
      <c r="AI151" s="2"/>
      <c r="AM151" s="2"/>
      <c r="AN151" s="2"/>
      <c r="AO151" s="2"/>
      <c r="AS151" s="2"/>
      <c r="AT151" s="2"/>
      <c r="AU151" s="2"/>
      <c r="AY151" s="2"/>
      <c r="AZ151" s="2"/>
      <c r="BA151" s="2"/>
      <c r="BE151" s="2"/>
      <c r="BF151" s="2"/>
      <c r="BG151" s="2"/>
    </row>
    <row r="152" spans="2:60" ht="15.6" x14ac:dyDescent="0.25">
      <c r="B152" s="324" t="s">
        <v>324</v>
      </c>
      <c r="C152" s="324"/>
      <c r="D152" s="316">
        <f>'Base de Datos'!$C$6</f>
        <v>20411074561</v>
      </c>
      <c r="E152" s="316"/>
      <c r="H152" s="324" t="s">
        <v>324</v>
      </c>
      <c r="I152" s="324"/>
      <c r="J152" s="316">
        <f>'Base de Datos'!$C$6</f>
        <v>20411074561</v>
      </c>
      <c r="K152" s="316"/>
      <c r="N152" s="324" t="s">
        <v>324</v>
      </c>
      <c r="O152" s="324"/>
      <c r="P152" s="316">
        <f>'Base de Datos'!$C$6</f>
        <v>20411074561</v>
      </c>
      <c r="Q152" s="316"/>
      <c r="T152" s="324" t="s">
        <v>324</v>
      </c>
      <c r="U152" s="324"/>
      <c r="V152" s="316">
        <f>'Base de Datos'!$C$6</f>
        <v>20411074561</v>
      </c>
      <c r="W152" s="316"/>
      <c r="Z152" s="324" t="s">
        <v>324</v>
      </c>
      <c r="AA152" s="324"/>
      <c r="AB152" s="316">
        <f>'Base de Datos'!$C$6</f>
        <v>20411074561</v>
      </c>
      <c r="AC152" s="316"/>
      <c r="AF152" s="324" t="s">
        <v>324</v>
      </c>
      <c r="AG152" s="324"/>
      <c r="AH152" s="316">
        <f>'Base de Datos'!$C$6</f>
        <v>20411074561</v>
      </c>
      <c r="AI152" s="316"/>
      <c r="AL152" s="324" t="s">
        <v>324</v>
      </c>
      <c r="AM152" s="324"/>
      <c r="AN152" s="316">
        <f>'Base de Datos'!$C$6</f>
        <v>20411074561</v>
      </c>
      <c r="AO152" s="316"/>
      <c r="AR152" s="324" t="s">
        <v>324</v>
      </c>
      <c r="AS152" s="324"/>
      <c r="AT152" s="316">
        <f>'Base de Datos'!$C$6</f>
        <v>20411074561</v>
      </c>
      <c r="AU152" s="316"/>
      <c r="AX152" s="324" t="s">
        <v>324</v>
      </c>
      <c r="AY152" s="324"/>
      <c r="AZ152" s="316">
        <f>'Base de Datos'!$C$6</f>
        <v>20411074561</v>
      </c>
      <c r="BA152" s="316"/>
      <c r="BD152" s="324" t="s">
        <v>324</v>
      </c>
      <c r="BE152" s="324"/>
      <c r="BF152" s="316">
        <f>'Base de Datos'!$C$6</f>
        <v>20411074561</v>
      </c>
      <c r="BG152" s="316"/>
    </row>
    <row r="153" spans="2:60" x14ac:dyDescent="0.25">
      <c r="C153" s="2"/>
      <c r="D153" s="2"/>
      <c r="E153" s="2"/>
      <c r="I153" s="2"/>
      <c r="J153" s="2"/>
      <c r="K153" s="2"/>
      <c r="O153" s="2"/>
      <c r="P153" s="2"/>
      <c r="Q153" s="2"/>
      <c r="U153" s="2"/>
      <c r="V153" s="2"/>
      <c r="W153" s="2"/>
      <c r="AA153" s="2"/>
      <c r="AB153" s="2"/>
      <c r="AC153" s="2"/>
      <c r="AG153" s="2"/>
      <c r="AH153" s="2"/>
      <c r="AI153" s="2"/>
      <c r="AM153" s="2"/>
      <c r="AN153" s="2"/>
      <c r="AO153" s="2"/>
      <c r="AS153" s="2"/>
      <c r="AT153" s="2"/>
      <c r="AU153" s="2"/>
      <c r="AY153" s="2"/>
      <c r="AZ153" s="2"/>
      <c r="BA153" s="2"/>
      <c r="BE153" s="2"/>
      <c r="BF153" s="2"/>
      <c r="BG153" s="2"/>
    </row>
    <row r="154" spans="2:60" ht="15.6" x14ac:dyDescent="0.25">
      <c r="B154" s="324" t="s">
        <v>325</v>
      </c>
      <c r="C154" s="324"/>
      <c r="D154" s="234" t="str">
        <f>'Base de Datos'!$C$5</f>
        <v>LOS BAILARINES SRL</v>
      </c>
      <c r="E154" s="2"/>
      <c r="H154" s="324" t="s">
        <v>325</v>
      </c>
      <c r="I154" s="324"/>
      <c r="J154" s="234" t="str">
        <f>'Base de Datos'!$C$5</f>
        <v>LOS BAILARINES SRL</v>
      </c>
      <c r="K154" s="2"/>
      <c r="N154" s="324" t="s">
        <v>325</v>
      </c>
      <c r="O154" s="324"/>
      <c r="P154" s="234" t="str">
        <f>'Base de Datos'!$C$5</f>
        <v>LOS BAILARINES SRL</v>
      </c>
      <c r="Q154" s="2"/>
      <c r="T154" s="324" t="s">
        <v>325</v>
      </c>
      <c r="U154" s="324"/>
      <c r="V154" s="234" t="str">
        <f>'Base de Datos'!$C$5</f>
        <v>LOS BAILARINES SRL</v>
      </c>
      <c r="W154" s="2"/>
      <c r="Z154" s="324" t="s">
        <v>325</v>
      </c>
      <c r="AA154" s="324"/>
      <c r="AB154" s="234" t="str">
        <f>'Base de Datos'!$C$5</f>
        <v>LOS BAILARINES SRL</v>
      </c>
      <c r="AC154" s="2"/>
      <c r="AF154" s="324" t="s">
        <v>325</v>
      </c>
      <c r="AG154" s="324"/>
      <c r="AH154" s="234" t="str">
        <f>'Base de Datos'!$C$5</f>
        <v>LOS BAILARINES SRL</v>
      </c>
      <c r="AI154" s="2"/>
      <c r="AL154" s="324" t="s">
        <v>325</v>
      </c>
      <c r="AM154" s="324"/>
      <c r="AN154" s="234" t="str">
        <f>'Base de Datos'!$C$5</f>
        <v>LOS BAILARINES SRL</v>
      </c>
      <c r="AO154" s="2"/>
      <c r="AR154" s="324" t="s">
        <v>325</v>
      </c>
      <c r="AS154" s="324"/>
      <c r="AT154" s="234" t="str">
        <f>'Base de Datos'!$C$5</f>
        <v>LOS BAILARINES SRL</v>
      </c>
      <c r="AU154" s="2"/>
      <c r="AX154" s="324" t="s">
        <v>325</v>
      </c>
      <c r="AY154" s="324"/>
      <c r="AZ154" s="234" t="str">
        <f>'Base de Datos'!$C$5</f>
        <v>LOS BAILARINES SRL</v>
      </c>
      <c r="BA154" s="2"/>
      <c r="BD154" s="324" t="s">
        <v>325</v>
      </c>
      <c r="BE154" s="324"/>
      <c r="BF154" s="234" t="str">
        <f>'Base de Datos'!$C$5</f>
        <v>LOS BAILARINES SRL</v>
      </c>
      <c r="BG154" s="2"/>
    </row>
    <row r="155" spans="2:60" x14ac:dyDescent="0.25">
      <c r="B155" s="160"/>
      <c r="C155" s="160"/>
      <c r="D155" s="160"/>
      <c r="E155" s="160"/>
      <c r="H155" s="160"/>
      <c r="I155" s="160"/>
      <c r="J155" s="160"/>
      <c r="K155" s="160"/>
      <c r="N155" s="160"/>
      <c r="O155" s="160"/>
      <c r="P155" s="160"/>
      <c r="Q155" s="160"/>
      <c r="T155" s="160"/>
      <c r="U155" s="160"/>
      <c r="V155" s="160"/>
      <c r="W155" s="160"/>
      <c r="Z155" s="160"/>
      <c r="AA155" s="160"/>
      <c r="AB155" s="160"/>
      <c r="AC155" s="160"/>
      <c r="AF155" s="160"/>
      <c r="AG155" s="160"/>
      <c r="AH155" s="160"/>
      <c r="AI155" s="160"/>
      <c r="AL155" s="160"/>
      <c r="AM155" s="160"/>
      <c r="AN155" s="160"/>
      <c r="AO155" s="160"/>
      <c r="AR155" s="160"/>
      <c r="AS155" s="160"/>
      <c r="AT155" s="160"/>
      <c r="AU155" s="160"/>
      <c r="AX155" s="160"/>
      <c r="AY155" s="160"/>
      <c r="AZ155" s="160"/>
      <c r="BA155" s="160"/>
      <c r="BD155" s="160"/>
      <c r="BE155" s="160"/>
      <c r="BF155" s="160"/>
      <c r="BG155" s="160"/>
    </row>
    <row r="156" spans="2:60" ht="15.6" x14ac:dyDescent="0.25">
      <c r="B156" s="324" t="s">
        <v>472</v>
      </c>
      <c r="C156" s="324"/>
      <c r="D156" s="175">
        <v>70</v>
      </c>
      <c r="H156" s="324" t="s">
        <v>472</v>
      </c>
      <c r="I156" s="324"/>
      <c r="J156" s="175">
        <v>71</v>
      </c>
      <c r="N156" s="324" t="s">
        <v>472</v>
      </c>
      <c r="O156" s="324"/>
      <c r="P156" s="175">
        <v>72</v>
      </c>
      <c r="T156" s="324" t="s">
        <v>472</v>
      </c>
      <c r="U156" s="324"/>
      <c r="V156" s="175">
        <v>73</v>
      </c>
      <c r="Z156" s="324" t="s">
        <v>472</v>
      </c>
      <c r="AA156" s="324"/>
      <c r="AB156" s="175">
        <v>74</v>
      </c>
      <c r="AF156" s="324" t="s">
        <v>472</v>
      </c>
      <c r="AG156" s="324"/>
      <c r="AH156" s="175">
        <v>75</v>
      </c>
      <c r="AL156" s="324" t="s">
        <v>472</v>
      </c>
      <c r="AM156" s="324"/>
      <c r="AN156" s="175">
        <v>76</v>
      </c>
      <c r="AR156" s="324" t="s">
        <v>472</v>
      </c>
      <c r="AS156" s="324"/>
      <c r="AT156" s="175">
        <v>77</v>
      </c>
      <c r="AX156" s="324" t="s">
        <v>472</v>
      </c>
      <c r="AY156" s="324"/>
      <c r="AZ156" s="175">
        <v>78</v>
      </c>
      <c r="BD156" s="324" t="s">
        <v>472</v>
      </c>
      <c r="BE156" s="324"/>
      <c r="BF156" s="175">
        <v>79</v>
      </c>
    </row>
    <row r="157" spans="2:60" x14ac:dyDescent="0.25">
      <c r="B157" s="160"/>
      <c r="C157" s="160"/>
      <c r="D157" s="160"/>
      <c r="E157" s="160"/>
      <c r="H157" s="160"/>
      <c r="I157" s="160"/>
      <c r="J157" s="160"/>
      <c r="K157" s="160"/>
      <c r="N157" s="160"/>
      <c r="O157" s="160"/>
      <c r="P157" s="160"/>
      <c r="Q157" s="160"/>
      <c r="T157" s="160"/>
      <c r="U157" s="160"/>
      <c r="V157" s="160"/>
      <c r="W157" s="160"/>
      <c r="Z157" s="160"/>
      <c r="AA157" s="160"/>
      <c r="AB157" s="160"/>
      <c r="AC157" s="160"/>
      <c r="AF157" s="160"/>
      <c r="AG157" s="160"/>
      <c r="AH157" s="160"/>
      <c r="AI157" s="160"/>
      <c r="AL157" s="160"/>
      <c r="AM157" s="160"/>
      <c r="AN157" s="160"/>
      <c r="AO157" s="160"/>
      <c r="AR157" s="160"/>
      <c r="AS157" s="160"/>
      <c r="AT157" s="160"/>
      <c r="AU157" s="160"/>
      <c r="AX157" s="160"/>
      <c r="AY157" s="160"/>
      <c r="AZ157" s="160"/>
      <c r="BA157" s="160"/>
      <c r="BD157" s="160"/>
      <c r="BE157" s="160"/>
      <c r="BF157" s="160"/>
      <c r="BG157" s="160"/>
    </row>
    <row r="158" spans="2:60" ht="15.6" x14ac:dyDescent="0.25">
      <c r="B158" s="324" t="s">
        <v>473</v>
      </c>
      <c r="C158" s="324"/>
      <c r="D158" s="234" t="str">
        <f>VLOOKUP(D156,CuentasContables,5,FALSE)</f>
        <v>VENTAS</v>
      </c>
      <c r="E158" s="160"/>
      <c r="H158" s="324" t="s">
        <v>473</v>
      </c>
      <c r="I158" s="324"/>
      <c r="J158" s="234" t="str">
        <f>VLOOKUP(J156,CuentasContables,5,FALSE)</f>
        <v>VARIACIÓN DE LA PRODUCCIÓN ALMACENADA</v>
      </c>
      <c r="K158" s="160"/>
      <c r="N158" s="324" t="s">
        <v>473</v>
      </c>
      <c r="O158" s="324"/>
      <c r="P158" s="234" t="str">
        <f>VLOOKUP(P156,CuentasContables,5,FALSE)</f>
        <v>PRODUCCIÓN DE ACTIVO INMOVILIZADO</v>
      </c>
      <c r="Q158" s="160"/>
      <c r="T158" s="324" t="s">
        <v>473</v>
      </c>
      <c r="U158" s="324"/>
      <c r="V158" s="234" t="str">
        <f>VLOOKUP(V156,CuentasContables,5,FALSE)</f>
        <v>DESCUENTOS, REBAJAS Y BONIFICACIONES OBTENIDOS</v>
      </c>
      <c r="W158" s="160"/>
      <c r="Z158" s="324" t="s">
        <v>473</v>
      </c>
      <c r="AA158" s="324"/>
      <c r="AB158" s="234" t="str">
        <f>VLOOKUP(AB156,CuentasContables,5,FALSE)</f>
        <v>DESCUENTOS, REBAJAS Y BONIFICACIONES CONCEDIDOS</v>
      </c>
      <c r="AC158" s="160"/>
      <c r="AF158" s="324" t="s">
        <v>473</v>
      </c>
      <c r="AG158" s="324"/>
      <c r="AH158" s="234" t="str">
        <f>VLOOKUP(AH156,CuentasContables,5,FALSE)</f>
        <v>OTROS INGRESOS DE GESTIÓN</v>
      </c>
      <c r="AI158" s="160"/>
      <c r="AL158" s="324" t="s">
        <v>473</v>
      </c>
      <c r="AM158" s="324"/>
      <c r="AN158" s="234" t="str">
        <f>VLOOKUP(AN156,CuentasContables,5,FALSE)</f>
        <v>GANANCIA POR MEDICIÓN DE ACTIVOS NO FINANCIEROS AL VALOR RAZONABLE</v>
      </c>
      <c r="AO158" s="160"/>
      <c r="AR158" s="324" t="s">
        <v>473</v>
      </c>
      <c r="AS158" s="324"/>
      <c r="AT158" s="234" t="str">
        <f>VLOOKUP(AT156,CuentasContables,5,FALSE)</f>
        <v>INGRESOS FINANCIEROS</v>
      </c>
      <c r="AU158" s="160"/>
      <c r="AX158" s="324" t="s">
        <v>473</v>
      </c>
      <c r="AY158" s="324"/>
      <c r="AZ158" s="234" t="str">
        <f>VLOOKUP(AZ156,CuentasContables,5,FALSE)</f>
        <v>CARGAS CUBIERTAS POR PROVISIONES</v>
      </c>
      <c r="BA158" s="160"/>
      <c r="BD158" s="324" t="s">
        <v>473</v>
      </c>
      <c r="BE158" s="324"/>
      <c r="BF158" s="234" t="str">
        <f>VLOOKUP(BF156,CuentasContables,5,FALSE)</f>
        <v>CARGAS IMPUTABLES A CUENTAS DE COSTOS Y GASTOS</v>
      </c>
      <c r="BG158" s="160"/>
    </row>
    <row r="159" spans="2:60" ht="14.4" thickBot="1" x14ac:dyDescent="0.3">
      <c r="B159" s="160"/>
      <c r="C159" s="160"/>
      <c r="D159" s="160"/>
      <c r="E159" s="160"/>
      <c r="H159" s="160"/>
      <c r="I159" s="160"/>
      <c r="J159" s="160"/>
      <c r="K159" s="160"/>
      <c r="N159" s="160"/>
      <c r="O159" s="160"/>
      <c r="P159" s="160"/>
      <c r="Q159" s="160"/>
      <c r="T159" s="160"/>
      <c r="U159" s="160"/>
      <c r="V159" s="160"/>
      <c r="W159" s="160"/>
      <c r="Z159" s="160"/>
      <c r="AA159" s="160"/>
      <c r="AB159" s="160"/>
      <c r="AC159" s="160"/>
      <c r="AF159" s="160"/>
      <c r="AG159" s="160"/>
      <c r="AH159" s="160"/>
      <c r="AI159" s="160"/>
      <c r="AL159" s="160"/>
      <c r="AM159" s="160"/>
      <c r="AN159" s="160"/>
      <c r="AO159" s="160"/>
      <c r="AR159" s="160"/>
      <c r="AS159" s="160"/>
      <c r="AT159" s="160"/>
      <c r="AU159" s="160"/>
      <c r="AX159" s="160"/>
      <c r="AY159" s="160"/>
      <c r="AZ159" s="160"/>
      <c r="BA159" s="160"/>
      <c r="BD159" s="160"/>
      <c r="BE159" s="160"/>
      <c r="BF159" s="160"/>
      <c r="BG159" s="160"/>
    </row>
    <row r="160" spans="2:60" x14ac:dyDescent="0.25">
      <c r="B160" s="325" t="s">
        <v>466</v>
      </c>
      <c r="C160" s="327" t="s">
        <v>467</v>
      </c>
      <c r="D160" s="327" t="s">
        <v>468</v>
      </c>
      <c r="E160" s="329" t="s">
        <v>469</v>
      </c>
      <c r="F160" s="330"/>
      <c r="H160" s="325" t="s">
        <v>466</v>
      </c>
      <c r="I160" s="327" t="s">
        <v>467</v>
      </c>
      <c r="J160" s="327" t="s">
        <v>468</v>
      </c>
      <c r="K160" s="329" t="s">
        <v>469</v>
      </c>
      <c r="L160" s="330"/>
      <c r="N160" s="325" t="s">
        <v>466</v>
      </c>
      <c r="O160" s="327" t="s">
        <v>467</v>
      </c>
      <c r="P160" s="327" t="s">
        <v>468</v>
      </c>
      <c r="Q160" s="329" t="s">
        <v>469</v>
      </c>
      <c r="R160" s="330"/>
      <c r="T160" s="325" t="s">
        <v>466</v>
      </c>
      <c r="U160" s="327" t="s">
        <v>467</v>
      </c>
      <c r="V160" s="327" t="s">
        <v>468</v>
      </c>
      <c r="W160" s="329" t="s">
        <v>469</v>
      </c>
      <c r="X160" s="330"/>
      <c r="Z160" s="325" t="s">
        <v>466</v>
      </c>
      <c r="AA160" s="327" t="s">
        <v>467</v>
      </c>
      <c r="AB160" s="327" t="s">
        <v>468</v>
      </c>
      <c r="AC160" s="329" t="s">
        <v>469</v>
      </c>
      <c r="AD160" s="330"/>
      <c r="AF160" s="325" t="s">
        <v>466</v>
      </c>
      <c r="AG160" s="327" t="s">
        <v>467</v>
      </c>
      <c r="AH160" s="327" t="s">
        <v>468</v>
      </c>
      <c r="AI160" s="329" t="s">
        <v>469</v>
      </c>
      <c r="AJ160" s="330"/>
      <c r="AL160" s="325" t="s">
        <v>466</v>
      </c>
      <c r="AM160" s="327" t="s">
        <v>467</v>
      </c>
      <c r="AN160" s="327" t="s">
        <v>468</v>
      </c>
      <c r="AO160" s="329" t="s">
        <v>469</v>
      </c>
      <c r="AP160" s="330"/>
      <c r="AR160" s="325" t="s">
        <v>466</v>
      </c>
      <c r="AS160" s="327" t="s">
        <v>467</v>
      </c>
      <c r="AT160" s="327" t="s">
        <v>468</v>
      </c>
      <c r="AU160" s="329" t="s">
        <v>469</v>
      </c>
      <c r="AV160" s="330"/>
      <c r="AX160" s="325" t="s">
        <v>466</v>
      </c>
      <c r="AY160" s="327" t="s">
        <v>467</v>
      </c>
      <c r="AZ160" s="327" t="s">
        <v>468</v>
      </c>
      <c r="BA160" s="329" t="s">
        <v>469</v>
      </c>
      <c r="BB160" s="330"/>
      <c r="BD160" s="325" t="s">
        <v>466</v>
      </c>
      <c r="BE160" s="327" t="s">
        <v>467</v>
      </c>
      <c r="BF160" s="327" t="s">
        <v>468</v>
      </c>
      <c r="BG160" s="329" t="s">
        <v>469</v>
      </c>
      <c r="BH160" s="330"/>
    </row>
    <row r="161" spans="2:63" ht="14.4" thickBot="1" x14ac:dyDescent="0.3">
      <c r="B161" s="326"/>
      <c r="C161" s="328"/>
      <c r="D161" s="328"/>
      <c r="E161" s="232" t="s">
        <v>403</v>
      </c>
      <c r="F161" s="174" t="s">
        <v>402</v>
      </c>
      <c r="H161" s="326"/>
      <c r="I161" s="328"/>
      <c r="J161" s="328"/>
      <c r="K161" s="232" t="s">
        <v>403</v>
      </c>
      <c r="L161" s="174" t="s">
        <v>402</v>
      </c>
      <c r="N161" s="326"/>
      <c r="O161" s="328"/>
      <c r="P161" s="328"/>
      <c r="Q161" s="232" t="s">
        <v>403</v>
      </c>
      <c r="R161" s="174" t="s">
        <v>402</v>
      </c>
      <c r="T161" s="326"/>
      <c r="U161" s="328"/>
      <c r="V161" s="328"/>
      <c r="W161" s="232" t="s">
        <v>403</v>
      </c>
      <c r="X161" s="174" t="s">
        <v>402</v>
      </c>
      <c r="Z161" s="326"/>
      <c r="AA161" s="328"/>
      <c r="AB161" s="328"/>
      <c r="AC161" s="232" t="s">
        <v>403</v>
      </c>
      <c r="AD161" s="174" t="s">
        <v>402</v>
      </c>
      <c r="AF161" s="326"/>
      <c r="AG161" s="328"/>
      <c r="AH161" s="328"/>
      <c r="AI161" s="232" t="s">
        <v>403</v>
      </c>
      <c r="AJ161" s="174" t="s">
        <v>402</v>
      </c>
      <c r="AL161" s="326"/>
      <c r="AM161" s="328"/>
      <c r="AN161" s="328"/>
      <c r="AO161" s="232" t="s">
        <v>403</v>
      </c>
      <c r="AP161" s="174" t="s">
        <v>402</v>
      </c>
      <c r="AR161" s="326"/>
      <c r="AS161" s="328"/>
      <c r="AT161" s="328"/>
      <c r="AU161" s="232" t="s">
        <v>403</v>
      </c>
      <c r="AV161" s="174" t="s">
        <v>402</v>
      </c>
      <c r="AX161" s="326"/>
      <c r="AY161" s="328"/>
      <c r="AZ161" s="328"/>
      <c r="BA161" s="232" t="s">
        <v>403</v>
      </c>
      <c r="BB161" s="174" t="s">
        <v>402</v>
      </c>
      <c r="BD161" s="326"/>
      <c r="BE161" s="328"/>
      <c r="BF161" s="328"/>
      <c r="BG161" s="232" t="s">
        <v>403</v>
      </c>
      <c r="BH161" s="174" t="s">
        <v>402</v>
      </c>
    </row>
    <row r="162" spans="2:63" ht="14.4" thickTop="1" x14ac:dyDescent="0.25">
      <c r="B162" s="236">
        <v>41670</v>
      </c>
      <c r="C162" s="171"/>
      <c r="D162" s="166" t="s">
        <v>470</v>
      </c>
      <c r="E162" s="167">
        <f>SUMIF('Libro Diario Convencional'!$B$15:$B$167,D156,'Libro Diario Convencional'!$I$15:$I$167)</f>
        <v>0</v>
      </c>
      <c r="F162" s="168">
        <f>SUMIF('Libro Diario Convencional'!$B$15:$B$167,D156,'Libro Diario Convencional'!$J$15:$J$167)</f>
        <v>616000</v>
      </c>
      <c r="G162" s="9"/>
      <c r="H162" s="236">
        <v>41670</v>
      </c>
      <c r="I162" s="171"/>
      <c r="J162" s="166" t="s">
        <v>470</v>
      </c>
      <c r="K162" s="167">
        <f>SUMIF('Libro Diario Convencional'!$B$15:$B$167,J156,'Libro Diario Convencional'!$I$15:$I$167)</f>
        <v>0</v>
      </c>
      <c r="L162" s="168">
        <f>SUMIF('Libro Diario Convencional'!$B$15:$B$167,J156,'Libro Diario Convencional'!$J$15:$J$167)</f>
        <v>0</v>
      </c>
      <c r="M162" s="9"/>
      <c r="N162" s="236">
        <v>41670</v>
      </c>
      <c r="O162" s="171"/>
      <c r="P162" s="166" t="s">
        <v>470</v>
      </c>
      <c r="Q162" s="167">
        <f>SUMIF('Libro Diario Convencional'!$B$15:$B$167,P156,'Libro Diario Convencional'!$I$15:$I$167)</f>
        <v>0</v>
      </c>
      <c r="R162" s="168">
        <f>SUMIF('Libro Diario Convencional'!$B$15:$B$167,P156,'Libro Diario Convencional'!$J$15:$J$167)</f>
        <v>0</v>
      </c>
      <c r="S162" s="9"/>
      <c r="T162" s="236">
        <v>41670</v>
      </c>
      <c r="U162" s="171"/>
      <c r="V162" s="166" t="s">
        <v>470</v>
      </c>
      <c r="W162" s="167">
        <f>SUMIF('Libro Diario Convencional'!$B$15:$B$167,V156,'Libro Diario Convencional'!$I$15:$I$167)</f>
        <v>0</v>
      </c>
      <c r="X162" s="168">
        <f>SUMIF('Libro Diario Convencional'!$B$15:$B$167,V156,'Libro Diario Convencional'!$J$15:$J$167)</f>
        <v>0</v>
      </c>
      <c r="Y162" s="9"/>
      <c r="Z162" s="236">
        <v>41670</v>
      </c>
      <c r="AA162" s="171"/>
      <c r="AB162" s="166" t="s">
        <v>470</v>
      </c>
      <c r="AC162" s="167">
        <f>SUMIF('Libro Diario Convencional'!$B$15:$B$167,AB156,'Libro Diario Convencional'!$I$15:$I$167)</f>
        <v>0</v>
      </c>
      <c r="AD162" s="168">
        <f>SUMIF('Libro Diario Convencional'!$B$15:$B$167,AB156,'Libro Diario Convencional'!$J$15:$J$167)</f>
        <v>0</v>
      </c>
      <c r="AE162" s="9"/>
      <c r="AF162" s="236">
        <v>41670</v>
      </c>
      <c r="AG162" s="171"/>
      <c r="AH162" s="166" t="s">
        <v>470</v>
      </c>
      <c r="AI162" s="167">
        <f>SUMIF('Libro Diario Convencional'!$B$15:$B$167,AH156,'Libro Diario Convencional'!$I$15:$I$167)</f>
        <v>0</v>
      </c>
      <c r="AJ162" s="168">
        <f>SUMIF('Libro Diario Convencional'!$B$15:$B$167,AH156,'Libro Diario Convencional'!$J$15:$J$167)</f>
        <v>0</v>
      </c>
      <c r="AK162" s="9"/>
      <c r="AL162" s="236">
        <v>41670</v>
      </c>
      <c r="AM162" s="171"/>
      <c r="AN162" s="166" t="s">
        <v>470</v>
      </c>
      <c r="AO162" s="167">
        <f>SUMIF('Libro Diario Convencional'!$B$15:$B$167,AN156,'Libro Diario Convencional'!$I$15:$I$167)</f>
        <v>0</v>
      </c>
      <c r="AP162" s="168">
        <f>SUMIF('Libro Diario Convencional'!$B$15:$B$167,AN156,'Libro Diario Convencional'!$J$15:$J$167)</f>
        <v>0</v>
      </c>
      <c r="AQ162" s="9"/>
      <c r="AR162" s="236">
        <v>41670</v>
      </c>
      <c r="AS162" s="171"/>
      <c r="AT162" s="166" t="s">
        <v>470</v>
      </c>
      <c r="AU162" s="167">
        <f>SUMIF('Libro Diario Convencional'!$B$15:$B$167,AT156,'Libro Diario Convencional'!$I$15:$I$167)</f>
        <v>0</v>
      </c>
      <c r="AV162" s="168">
        <f>SUMIF('Libro Diario Convencional'!$B$15:$B$167,AT156,'Libro Diario Convencional'!$J$15:$J$167)</f>
        <v>0</v>
      </c>
      <c r="AW162" s="9"/>
      <c r="AX162" s="236">
        <v>41670</v>
      </c>
      <c r="AY162" s="171"/>
      <c r="AZ162" s="166" t="s">
        <v>470</v>
      </c>
      <c r="BA162" s="167">
        <f>SUMIF('Libro Diario Convencional'!$B$15:$B$167,AZ156,'Libro Diario Convencional'!$I$15:$I$167)</f>
        <v>0</v>
      </c>
      <c r="BB162" s="168">
        <f>SUMIF('Libro Diario Convencional'!$B$15:$B$167,AZ156,'Libro Diario Convencional'!$J$15:$J$167)</f>
        <v>0</v>
      </c>
      <c r="BC162" s="9"/>
      <c r="BD162" s="236">
        <v>41670</v>
      </c>
      <c r="BE162" s="171"/>
      <c r="BF162" s="166" t="s">
        <v>470</v>
      </c>
      <c r="BG162" s="167">
        <f>SUMIF('Libro Diario Convencional'!$B$15:$B$167,BF156,'Libro Diario Convencional'!$I$15:$I$167)</f>
        <v>0</v>
      </c>
      <c r="BH162" s="168">
        <f>SUMIF('Libro Diario Convencional'!$B$15:$B$167,BF156,'Libro Diario Convencional'!$J$15:$J$167)</f>
        <v>387534.87288135593</v>
      </c>
    </row>
    <row r="163" spans="2:63" x14ac:dyDescent="0.25">
      <c r="B163" s="169">
        <v>41670</v>
      </c>
      <c r="C163" s="172"/>
      <c r="D163" s="161" t="s">
        <v>474</v>
      </c>
      <c r="E163" s="162">
        <f>SUMIF('Asientos de Cierre'!$B$6:$B$549,D156,'Asientos de Cierre'!$J$6:$J$549)</f>
        <v>0</v>
      </c>
      <c r="F163" s="163">
        <f>SUMIF('Asientos de Cierre'!$B$6:$B$549,D156,'Asientos de Cierre'!$K$6:$K$549)</f>
        <v>0</v>
      </c>
      <c r="G163" s="9"/>
      <c r="H163" s="169">
        <v>41670</v>
      </c>
      <c r="I163" s="172"/>
      <c r="J163" s="161" t="s">
        <v>474</v>
      </c>
      <c r="K163" s="162">
        <f>SUMIF('Asientos de Cierre'!$B$6:$B$549,J156,'Asientos de Cierre'!$J$6:$J$549)</f>
        <v>0</v>
      </c>
      <c r="L163" s="163">
        <f>SUMIF('Asientos de Cierre'!$B$6:$B$549,J156,'Asientos de Cierre'!$K$6:$K$549)</f>
        <v>0</v>
      </c>
      <c r="M163" s="9"/>
      <c r="N163" s="169">
        <v>41670</v>
      </c>
      <c r="O163" s="172"/>
      <c r="P163" s="161" t="s">
        <v>474</v>
      </c>
      <c r="Q163" s="162">
        <f>SUMIF('Asientos de Cierre'!$B$6:$B$549,P156,'Asientos de Cierre'!$J$6:$J$549)</f>
        <v>0</v>
      </c>
      <c r="R163" s="163">
        <f>SUMIF('Asientos de Cierre'!$B$6:$B$549,P156,'Asientos de Cierre'!$K$6:$K$549)</f>
        <v>0</v>
      </c>
      <c r="S163" s="9"/>
      <c r="T163" s="169">
        <v>41670</v>
      </c>
      <c r="U163" s="172"/>
      <c r="V163" s="161" t="s">
        <v>474</v>
      </c>
      <c r="W163" s="162">
        <f>SUMIF('Asientos de Cierre'!$B$6:$B$549,V156,'Asientos de Cierre'!$J$6:$J$549)</f>
        <v>0</v>
      </c>
      <c r="X163" s="163">
        <f>SUMIF('Asientos de Cierre'!$B$6:$B$549,V156,'Asientos de Cierre'!$K$6:$K$549)</f>
        <v>0</v>
      </c>
      <c r="Y163" s="9"/>
      <c r="Z163" s="169">
        <v>41670</v>
      </c>
      <c r="AA163" s="172"/>
      <c r="AB163" s="161" t="s">
        <v>474</v>
      </c>
      <c r="AC163" s="162">
        <f>SUMIF('Asientos de Cierre'!$B$6:$B$549,AB156,'Asientos de Cierre'!$J$6:$J$549)</f>
        <v>0</v>
      </c>
      <c r="AD163" s="163">
        <f>SUMIF('Asientos de Cierre'!$B$6:$B$549,AB156,'Asientos de Cierre'!$K$6:$K$549)</f>
        <v>0</v>
      </c>
      <c r="AE163" s="9"/>
      <c r="AF163" s="169">
        <v>41670</v>
      </c>
      <c r="AG163" s="172"/>
      <c r="AH163" s="161" t="s">
        <v>474</v>
      </c>
      <c r="AI163" s="162">
        <f>SUMIF('Asientos de Cierre'!$B$6:$B$549,AH156,'Asientos de Cierre'!$J$6:$J$549)</f>
        <v>0</v>
      </c>
      <c r="AJ163" s="163">
        <f>SUMIF('Asientos de Cierre'!$B$6:$B$549,AH156,'Asientos de Cierre'!$K$6:$K$549)</f>
        <v>0</v>
      </c>
      <c r="AK163" s="9"/>
      <c r="AL163" s="169">
        <v>41670</v>
      </c>
      <c r="AM163" s="172"/>
      <c r="AN163" s="161" t="s">
        <v>474</v>
      </c>
      <c r="AO163" s="162">
        <f>SUMIF('Asientos de Cierre'!$B$6:$B$549,AN156,'Asientos de Cierre'!$J$6:$J$549)</f>
        <v>0</v>
      </c>
      <c r="AP163" s="163">
        <f>SUMIF('Asientos de Cierre'!$B$6:$B$549,AN156,'Asientos de Cierre'!$K$6:$K$549)</f>
        <v>0</v>
      </c>
      <c r="AQ163" s="9"/>
      <c r="AR163" s="169">
        <v>41670</v>
      </c>
      <c r="AS163" s="172"/>
      <c r="AT163" s="161" t="s">
        <v>474</v>
      </c>
      <c r="AU163" s="162">
        <f>SUMIF('Asientos de Cierre'!$B$6:$B$549,AT156,'Asientos de Cierre'!$J$6:$J$549)</f>
        <v>0</v>
      </c>
      <c r="AV163" s="163">
        <f>SUMIF('Asientos de Cierre'!$B$6:$B$549,AT156,'Asientos de Cierre'!$K$6:$K$549)</f>
        <v>0</v>
      </c>
      <c r="AW163" s="9"/>
      <c r="AX163" s="169">
        <v>41670</v>
      </c>
      <c r="AY163" s="172"/>
      <c r="AZ163" s="161" t="s">
        <v>474</v>
      </c>
      <c r="BA163" s="162">
        <f>SUMIF('Asientos de Cierre'!$B$6:$B$549,AZ156,'Asientos de Cierre'!$J$6:$J$549)</f>
        <v>0</v>
      </c>
      <c r="BB163" s="163">
        <f>SUMIF('Asientos de Cierre'!$B$6:$B$549,AZ156,'Asientos de Cierre'!$K$6:$K$549)</f>
        <v>0</v>
      </c>
      <c r="BC163" s="9"/>
      <c r="BD163" s="169">
        <v>41670</v>
      </c>
      <c r="BE163" s="172"/>
      <c r="BF163" s="161" t="s">
        <v>474</v>
      </c>
      <c r="BG163" s="162">
        <f>SUMIF('Asientos de Cierre'!$B$6:$B$549,BF156,'Asientos de Cierre'!$J$6:$J$549)</f>
        <v>366992.5</v>
      </c>
      <c r="BH163" s="163">
        <f>SUMIF('Asientos de Cierre'!$B$6:$B$549,BF156,'Asientos de Cierre'!$K$6:$K$549)</f>
        <v>0</v>
      </c>
    </row>
    <row r="164" spans="2:63" x14ac:dyDescent="0.25">
      <c r="B164" s="169"/>
      <c r="C164" s="172"/>
      <c r="D164" s="161"/>
      <c r="E164" s="162"/>
      <c r="F164" s="163"/>
      <c r="G164" s="9"/>
      <c r="H164" s="169"/>
      <c r="I164" s="172"/>
      <c r="J164" s="161"/>
      <c r="K164" s="162"/>
      <c r="L164" s="163"/>
      <c r="M164" s="9"/>
      <c r="N164" s="169"/>
      <c r="O164" s="172"/>
      <c r="P164" s="161"/>
      <c r="Q164" s="162"/>
      <c r="R164" s="163"/>
      <c r="S164" s="9"/>
      <c r="T164" s="169"/>
      <c r="U164" s="172"/>
      <c r="V164" s="161"/>
      <c r="W164" s="162"/>
      <c r="X164" s="163"/>
      <c r="Y164" s="9"/>
      <c r="Z164" s="169"/>
      <c r="AA164" s="172"/>
      <c r="AB164" s="161"/>
      <c r="AC164" s="162"/>
      <c r="AD164" s="163"/>
      <c r="AE164" s="9"/>
      <c r="AF164" s="169"/>
      <c r="AG164" s="172"/>
      <c r="AH164" s="161"/>
      <c r="AI164" s="162"/>
      <c r="AJ164" s="163"/>
      <c r="AK164" s="9"/>
      <c r="AL164" s="169"/>
      <c r="AM164" s="172"/>
      <c r="AN164" s="161"/>
      <c r="AO164" s="162"/>
      <c r="AP164" s="163"/>
      <c r="AQ164" s="9"/>
      <c r="AR164" s="169"/>
      <c r="AS164" s="172"/>
      <c r="AT164" s="161"/>
      <c r="AU164" s="162"/>
      <c r="AV164" s="163"/>
      <c r="AW164" s="9"/>
      <c r="AX164" s="169"/>
      <c r="AY164" s="172"/>
      <c r="AZ164" s="161"/>
      <c r="BA164" s="162"/>
      <c r="BB164" s="163"/>
      <c r="BC164" s="9"/>
      <c r="BD164" s="169"/>
      <c r="BE164" s="172"/>
      <c r="BF164" s="161"/>
      <c r="BG164" s="162"/>
      <c r="BH164" s="163"/>
    </row>
    <row r="165" spans="2:63" ht="14.4" thickBot="1" x14ac:dyDescent="0.3">
      <c r="B165" s="169"/>
      <c r="C165" s="172"/>
      <c r="D165" s="161"/>
      <c r="E165" s="162"/>
      <c r="F165" s="163"/>
      <c r="G165" s="9"/>
      <c r="H165" s="169"/>
      <c r="I165" s="172"/>
      <c r="J165" s="161"/>
      <c r="K165" s="162"/>
      <c r="L165" s="163"/>
      <c r="M165" s="9"/>
      <c r="N165" s="169"/>
      <c r="O165" s="172"/>
      <c r="P165" s="161"/>
      <c r="Q165" s="162"/>
      <c r="R165" s="163"/>
      <c r="S165" s="9"/>
      <c r="T165" s="169"/>
      <c r="U165" s="172"/>
      <c r="V165" s="161"/>
      <c r="W165" s="162"/>
      <c r="X165" s="163"/>
      <c r="Y165" s="9"/>
      <c r="Z165" s="169"/>
      <c r="AA165" s="172"/>
      <c r="AB165" s="161"/>
      <c r="AC165" s="162"/>
      <c r="AD165" s="163"/>
      <c r="AE165" s="9"/>
      <c r="AF165" s="169"/>
      <c r="AG165" s="172"/>
      <c r="AH165" s="161"/>
      <c r="AI165" s="162"/>
      <c r="AJ165" s="163"/>
      <c r="AK165" s="9"/>
      <c r="AL165" s="169"/>
      <c r="AM165" s="172"/>
      <c r="AN165" s="161"/>
      <c r="AO165" s="162"/>
      <c r="AP165" s="163"/>
      <c r="AQ165" s="9"/>
      <c r="AR165" s="169"/>
      <c r="AS165" s="172"/>
      <c r="AT165" s="161"/>
      <c r="AU165" s="162"/>
      <c r="AV165" s="163"/>
      <c r="AW165" s="9"/>
      <c r="AX165" s="169"/>
      <c r="AY165" s="172"/>
      <c r="AZ165" s="161"/>
      <c r="BA165" s="162"/>
      <c r="BB165" s="163"/>
      <c r="BC165" s="9"/>
      <c r="BD165" s="169"/>
      <c r="BE165" s="172"/>
      <c r="BF165" s="161"/>
      <c r="BG165" s="162"/>
      <c r="BH165" s="163"/>
    </row>
    <row r="166" spans="2:63" ht="15" thickBot="1" x14ac:dyDescent="0.3">
      <c r="B166" s="169"/>
      <c r="C166" s="172"/>
      <c r="D166" s="161" t="s">
        <v>471</v>
      </c>
      <c r="E166" s="162">
        <f>SUM(E162:E165)</f>
        <v>0</v>
      </c>
      <c r="F166" s="163">
        <f>SUM(F162:F165)</f>
        <v>616000</v>
      </c>
      <c r="G166" s="9"/>
      <c r="H166" s="169"/>
      <c r="I166" s="172"/>
      <c r="J166" s="161" t="s">
        <v>471</v>
      </c>
      <c r="K166" s="162">
        <f>SUM(K162:K165)</f>
        <v>0</v>
      </c>
      <c r="L166" s="163">
        <f>SUM(L162:L165)</f>
        <v>0</v>
      </c>
      <c r="M166" s="9"/>
      <c r="N166" s="169"/>
      <c r="O166" s="172"/>
      <c r="P166" s="161" t="s">
        <v>471</v>
      </c>
      <c r="Q166" s="162">
        <f>SUM(Q162:Q165)</f>
        <v>0</v>
      </c>
      <c r="R166" s="163">
        <f>SUM(R162:R165)</f>
        <v>0</v>
      </c>
      <c r="S166" s="9"/>
      <c r="T166" s="169"/>
      <c r="U166" s="172"/>
      <c r="V166" s="161" t="s">
        <v>471</v>
      </c>
      <c r="W166" s="162">
        <f>SUM(W162:W165)</f>
        <v>0</v>
      </c>
      <c r="X166" s="163">
        <f>SUM(X162:X165)</f>
        <v>0</v>
      </c>
      <c r="Y166" s="9"/>
      <c r="Z166" s="169"/>
      <c r="AA166" s="172"/>
      <c r="AB166" s="161" t="s">
        <v>471</v>
      </c>
      <c r="AC166" s="162">
        <f>SUM(AC162:AC165)</f>
        <v>0</v>
      </c>
      <c r="AD166" s="163">
        <f>SUM(AD162:AD165)</f>
        <v>0</v>
      </c>
      <c r="AE166" s="9"/>
      <c r="AF166" s="169"/>
      <c r="AG166" s="172"/>
      <c r="AH166" s="161" t="s">
        <v>471</v>
      </c>
      <c r="AI166" s="162">
        <f>SUM(AI162:AI165)</f>
        <v>0</v>
      </c>
      <c r="AJ166" s="163">
        <f>SUM(AJ162:AJ165)</f>
        <v>0</v>
      </c>
      <c r="AK166" s="9"/>
      <c r="AL166" s="169"/>
      <c r="AM166" s="172"/>
      <c r="AN166" s="161" t="s">
        <v>471</v>
      </c>
      <c r="AO166" s="162">
        <f>SUM(AO162:AO165)</f>
        <v>0</v>
      </c>
      <c r="AP166" s="163">
        <f>SUM(AP162:AP165)</f>
        <v>0</v>
      </c>
      <c r="AQ166" s="9"/>
      <c r="AR166" s="169"/>
      <c r="AS166" s="172"/>
      <c r="AT166" s="161" t="s">
        <v>471</v>
      </c>
      <c r="AU166" s="162">
        <f>SUM(AU162:AU165)</f>
        <v>0</v>
      </c>
      <c r="AV166" s="163">
        <f>SUM(AV162:AV165)</f>
        <v>0</v>
      </c>
      <c r="AW166" s="9"/>
      <c r="AX166" s="169"/>
      <c r="AY166" s="172"/>
      <c r="AZ166" s="161" t="s">
        <v>471</v>
      </c>
      <c r="BA166" s="162">
        <f>SUM(BA162:BA165)</f>
        <v>0</v>
      </c>
      <c r="BB166" s="163">
        <f>SUM(BB162:BB165)</f>
        <v>0</v>
      </c>
      <c r="BC166" s="9"/>
      <c r="BD166" s="169"/>
      <c r="BE166" s="172"/>
      <c r="BF166" s="161" t="s">
        <v>471</v>
      </c>
      <c r="BG166" s="162">
        <f>SUM(BG162:BG165)</f>
        <v>366992.5</v>
      </c>
      <c r="BH166" s="163">
        <f>SUM(BH162:BH165)</f>
        <v>387534.87288135593</v>
      </c>
      <c r="BJ166" s="157">
        <f>SUM(E166,K166,Q166,W166,AC166,AI166,AO166,AU166,BA166,BG166)</f>
        <v>366992.5</v>
      </c>
      <c r="BK166" s="158">
        <f>SUM(F166,L166,R166,X166,AD166,AJ166,AP166,AV166,BB166,BH166)</f>
        <v>1003534.8728813559</v>
      </c>
    </row>
    <row r="167" spans="2:63" ht="14.4" thickBot="1" x14ac:dyDescent="0.3">
      <c r="B167" s="170"/>
      <c r="C167" s="173"/>
      <c r="D167" s="164" t="str">
        <f>IF(E166=F166,"",IF(E166&gt;F166,"Saldo Deudor","Saldo Acreedor"))</f>
        <v>Saldo Acreedor</v>
      </c>
      <c r="E167" s="165" t="str">
        <f>IF(E166&gt;F166,E166-F166,"")</f>
        <v/>
      </c>
      <c r="F167" s="176">
        <f>IF(E166&lt;F166,F166-E166,"")</f>
        <v>616000</v>
      </c>
      <c r="H167" s="170"/>
      <c r="I167" s="173"/>
      <c r="J167" s="164" t="str">
        <f>IF(K166=L166,"",IF(K166&gt;L166,"Saldo Deudor","Saldo Acreedor"))</f>
        <v/>
      </c>
      <c r="K167" s="165" t="str">
        <f>IF(K166&gt;L166,K166-L166,"")</f>
        <v/>
      </c>
      <c r="L167" s="176" t="str">
        <f>IF(K166&lt;L166,L166-K166,"")</f>
        <v/>
      </c>
      <c r="N167" s="170"/>
      <c r="O167" s="173"/>
      <c r="P167" s="164" t="str">
        <f>IF(Q166=R166,"",IF(Q166&gt;R166,"Saldo Deudor","Saldo Acreedor"))</f>
        <v/>
      </c>
      <c r="Q167" s="165" t="str">
        <f>IF(Q166&gt;R166,Q166-R166,"")</f>
        <v/>
      </c>
      <c r="R167" s="176" t="str">
        <f>IF(Q166&lt;R166,R166-Q166,"")</f>
        <v/>
      </c>
      <c r="T167" s="170"/>
      <c r="U167" s="173"/>
      <c r="V167" s="164" t="str">
        <f>IF(W166=X166,"",IF(W166&gt;X166,"Saldo Deudor","Saldo Acreedor"))</f>
        <v/>
      </c>
      <c r="W167" s="165" t="str">
        <f>IF(W166&gt;X166,W166-X166,"")</f>
        <v/>
      </c>
      <c r="X167" s="176" t="str">
        <f>IF(W166&lt;X166,X166-W166,"")</f>
        <v/>
      </c>
      <c r="Z167" s="170"/>
      <c r="AA167" s="173"/>
      <c r="AB167" s="164" t="str">
        <f>IF(AC166=AD166,"",IF(AC166&gt;AD166,"Saldo Deudor","Saldo Acreedor"))</f>
        <v/>
      </c>
      <c r="AC167" s="165" t="str">
        <f>IF(AC166&gt;AD166,AC166-AD166,"")</f>
        <v/>
      </c>
      <c r="AD167" s="176" t="str">
        <f>IF(AC166&lt;AD166,AD166-AC166,"")</f>
        <v/>
      </c>
      <c r="AF167" s="170"/>
      <c r="AG167" s="173"/>
      <c r="AH167" s="164" t="str">
        <f>IF(AI166=AJ166,"",IF(AI166&gt;AJ166,"Saldo Deudor","Saldo Acreedor"))</f>
        <v/>
      </c>
      <c r="AI167" s="165" t="str">
        <f>IF(AI166&gt;AJ166,AI166-AJ166,"")</f>
        <v/>
      </c>
      <c r="AJ167" s="176" t="str">
        <f>IF(AI166&lt;AJ166,AJ166-AI166,"")</f>
        <v/>
      </c>
      <c r="AL167" s="170"/>
      <c r="AM167" s="173"/>
      <c r="AN167" s="164" t="str">
        <f>IF(AO166=AP166,"",IF(AO166&gt;AP166,"Saldo Deudor","Saldo Acreedor"))</f>
        <v/>
      </c>
      <c r="AO167" s="165" t="str">
        <f>IF(AO166&gt;AP166,AO166-AP166,"")</f>
        <v/>
      </c>
      <c r="AP167" s="176" t="str">
        <f>IF(AO166&lt;AP166,AP166-AO166,"")</f>
        <v/>
      </c>
      <c r="AR167" s="170"/>
      <c r="AS167" s="173"/>
      <c r="AT167" s="164" t="str">
        <f>IF(AU166=AV166,"",IF(AU166&gt;AV166,"Saldo Deudor","Saldo Acreedor"))</f>
        <v/>
      </c>
      <c r="AU167" s="165" t="str">
        <f>IF(AU166&gt;AV166,AU166-AV166,"")</f>
        <v/>
      </c>
      <c r="AV167" s="176" t="str">
        <f>IF(AU166&lt;AV166,AV166-AU166,"")</f>
        <v/>
      </c>
      <c r="AX167" s="170"/>
      <c r="AY167" s="173"/>
      <c r="AZ167" s="164" t="str">
        <f>IF(BA166=BB166,"",IF(BA166&gt;BB166,"Saldo Deudor","Saldo Acreedor"))</f>
        <v/>
      </c>
      <c r="BA167" s="165" t="str">
        <f>IF(BA166&gt;BB166,BA166-BB166,"")</f>
        <v/>
      </c>
      <c r="BB167" s="176" t="str">
        <f>IF(BA166&lt;BB166,BB166-BA166,"")</f>
        <v/>
      </c>
      <c r="BD167" s="170"/>
      <c r="BE167" s="173"/>
      <c r="BF167" s="164" t="str">
        <f>IF(BG166=BH166,"",IF(BG166&gt;BH166,"Saldo Deudor","Saldo Acreedor"))</f>
        <v>Saldo Acreedor</v>
      </c>
      <c r="BG167" s="165" t="str">
        <f>IF(BG166&gt;BH166,BG166-BH166,"")</f>
        <v/>
      </c>
      <c r="BH167" s="176">
        <f>IF(BG166&lt;BH166,BH166-BG166,"")</f>
        <v>20542.372881355928</v>
      </c>
    </row>
    <row r="168" spans="2:63" x14ac:dyDescent="0.25">
      <c r="H168" s="177"/>
      <c r="I168" s="178"/>
      <c r="J168" s="179"/>
      <c r="K168" s="180"/>
      <c r="L168" s="181"/>
      <c r="N168" s="177"/>
      <c r="O168" s="178"/>
      <c r="P168" s="179"/>
      <c r="Q168" s="180"/>
      <c r="R168" s="181"/>
      <c r="T168" s="177"/>
      <c r="U168" s="178"/>
      <c r="V168" s="179"/>
      <c r="W168" s="180"/>
      <c r="X168" s="181"/>
      <c r="Z168" s="177"/>
      <c r="AA168" s="178"/>
      <c r="AB168" s="179"/>
      <c r="AC168" s="180"/>
      <c r="AD168" s="181"/>
      <c r="AF168" s="177"/>
      <c r="AG168" s="178"/>
      <c r="AH168" s="179"/>
      <c r="AI168" s="180"/>
      <c r="AJ168" s="181"/>
      <c r="AL168" s="177"/>
      <c r="AM168" s="178"/>
      <c r="AN168" s="179"/>
      <c r="AO168" s="180"/>
      <c r="AP168" s="181"/>
      <c r="AR168" s="177"/>
      <c r="AS168" s="178"/>
      <c r="AT168" s="179"/>
      <c r="AU168" s="180"/>
      <c r="AV168" s="181"/>
      <c r="AX168" s="177"/>
      <c r="AY168" s="178"/>
      <c r="AZ168" s="179"/>
      <c r="BA168" s="180"/>
      <c r="BB168" s="181"/>
      <c r="BD168" s="177"/>
      <c r="BE168" s="178"/>
      <c r="BF168" s="179"/>
      <c r="BG168" s="180"/>
      <c r="BH168" s="181"/>
    </row>
    <row r="169" spans="2:63" x14ac:dyDescent="0.25">
      <c r="H169" s="177"/>
      <c r="I169" s="178"/>
      <c r="J169" s="179"/>
      <c r="K169" s="180"/>
      <c r="L169" s="181"/>
      <c r="N169" s="177"/>
      <c r="O169" s="178"/>
      <c r="P169" s="179"/>
      <c r="Q169" s="180"/>
      <c r="R169" s="181"/>
      <c r="T169" s="177"/>
      <c r="U169" s="178"/>
      <c r="V169" s="179"/>
      <c r="W169" s="180"/>
      <c r="X169" s="181"/>
      <c r="Z169" s="177"/>
      <c r="AA169" s="178"/>
      <c r="AB169" s="179"/>
      <c r="AC169" s="180"/>
      <c r="AD169" s="181"/>
      <c r="AF169" s="177"/>
      <c r="AG169" s="178"/>
      <c r="AH169" s="179"/>
      <c r="AI169" s="180"/>
      <c r="AJ169" s="181"/>
      <c r="AL169" s="177"/>
      <c r="AM169" s="178"/>
      <c r="AN169" s="179"/>
      <c r="AO169" s="180"/>
      <c r="AP169" s="181"/>
      <c r="AR169" s="177"/>
      <c r="AS169" s="178"/>
      <c r="AT169" s="179"/>
      <c r="AU169" s="180"/>
      <c r="AV169" s="181"/>
      <c r="AX169" s="177"/>
      <c r="AY169" s="178"/>
      <c r="AZ169" s="179"/>
      <c r="BA169" s="180"/>
      <c r="BB169" s="181"/>
      <c r="BD169" s="177"/>
      <c r="BE169" s="178"/>
      <c r="BF169" s="179"/>
      <c r="BG169" s="180"/>
      <c r="BH169" s="181"/>
    </row>
    <row r="170" spans="2:63" ht="15.6" x14ac:dyDescent="0.25">
      <c r="B170" s="324" t="s">
        <v>321</v>
      </c>
      <c r="C170" s="324"/>
      <c r="D170" s="233" t="str">
        <f>'Base de Datos'!$C$756</f>
        <v>LIBRO MAYOR</v>
      </c>
      <c r="H170" s="324" t="s">
        <v>321</v>
      </c>
      <c r="I170" s="324"/>
      <c r="J170" s="233" t="str">
        <f>'Base de Datos'!$C$756</f>
        <v>LIBRO MAYOR</v>
      </c>
      <c r="N170" s="324" t="s">
        <v>321</v>
      </c>
      <c r="O170" s="324"/>
      <c r="P170" s="233" t="str">
        <f>'Base de Datos'!$C$756</f>
        <v>LIBRO MAYOR</v>
      </c>
      <c r="T170" s="324" t="s">
        <v>321</v>
      </c>
      <c r="U170" s="324"/>
      <c r="V170" s="233" t="str">
        <f>'Base de Datos'!$C$756</f>
        <v>LIBRO MAYOR</v>
      </c>
      <c r="Z170" s="324" t="s">
        <v>321</v>
      </c>
      <c r="AA170" s="324"/>
      <c r="AB170" s="233" t="str">
        <f>'Base de Datos'!$C$756</f>
        <v>LIBRO MAYOR</v>
      </c>
      <c r="AF170" s="324" t="s">
        <v>321</v>
      </c>
      <c r="AG170" s="324"/>
      <c r="AH170" s="233" t="str">
        <f>'Base de Datos'!$C$756</f>
        <v>LIBRO MAYOR</v>
      </c>
      <c r="AL170" s="324" t="s">
        <v>321</v>
      </c>
      <c r="AM170" s="324"/>
      <c r="AN170" s="233" t="str">
        <f>'Base de Datos'!$C$756</f>
        <v>LIBRO MAYOR</v>
      </c>
      <c r="AR170" s="324" t="s">
        <v>321</v>
      </c>
      <c r="AS170" s="324"/>
      <c r="AT170" s="233" t="str">
        <f>'Base de Datos'!$C$756</f>
        <v>LIBRO MAYOR</v>
      </c>
      <c r="AX170" s="324" t="s">
        <v>321</v>
      </c>
      <c r="AY170" s="324"/>
      <c r="AZ170" s="233" t="str">
        <f>'Base de Datos'!$C$756</f>
        <v>LIBRO MAYOR</v>
      </c>
      <c r="BD170" s="177"/>
      <c r="BE170" s="178"/>
      <c r="BF170" s="179"/>
      <c r="BG170" s="180"/>
      <c r="BH170" s="181"/>
    </row>
    <row r="171" spans="2:63" x14ac:dyDescent="0.25">
      <c r="C171" s="2"/>
      <c r="D171" s="2"/>
      <c r="E171" s="2"/>
      <c r="I171" s="2"/>
      <c r="J171" s="2"/>
      <c r="K171" s="2"/>
      <c r="O171" s="2"/>
      <c r="P171" s="2"/>
      <c r="Q171" s="2"/>
      <c r="U171" s="2"/>
      <c r="V171" s="2"/>
      <c r="W171" s="2"/>
      <c r="AA171" s="2"/>
      <c r="AB171" s="2"/>
      <c r="AC171" s="2"/>
      <c r="AG171" s="2"/>
      <c r="AH171" s="2"/>
      <c r="AI171" s="2"/>
      <c r="AM171" s="2"/>
      <c r="AN171" s="2"/>
      <c r="AO171" s="2"/>
      <c r="AS171" s="2"/>
      <c r="AT171" s="2"/>
      <c r="AU171" s="2"/>
      <c r="AY171" s="2"/>
      <c r="AZ171" s="2"/>
      <c r="BA171" s="2"/>
      <c r="BD171" s="177"/>
      <c r="BE171" s="178"/>
      <c r="BF171" s="179"/>
      <c r="BG171" s="180"/>
      <c r="BH171" s="181"/>
    </row>
    <row r="172" spans="2:63" ht="15.6" x14ac:dyDescent="0.25">
      <c r="B172" s="324" t="s">
        <v>322</v>
      </c>
      <c r="C172" s="324"/>
      <c r="D172" s="234" t="str">
        <f>'Base de Datos'!$C$8</f>
        <v>MARZO</v>
      </c>
      <c r="E172" s="160"/>
      <c r="H172" s="324" t="s">
        <v>322</v>
      </c>
      <c r="I172" s="324"/>
      <c r="J172" s="234" t="str">
        <f>'Base de Datos'!$C$8</f>
        <v>MARZO</v>
      </c>
      <c r="K172" s="160"/>
      <c r="N172" s="324" t="s">
        <v>322</v>
      </c>
      <c r="O172" s="324"/>
      <c r="P172" s="234" t="str">
        <f>'Base de Datos'!$C$8</f>
        <v>MARZO</v>
      </c>
      <c r="Q172" s="160"/>
      <c r="T172" s="324" t="s">
        <v>322</v>
      </c>
      <c r="U172" s="324"/>
      <c r="V172" s="234" t="str">
        <f>'Base de Datos'!$C$8</f>
        <v>MARZO</v>
      </c>
      <c r="W172" s="160"/>
      <c r="Z172" s="324" t="s">
        <v>322</v>
      </c>
      <c r="AA172" s="324"/>
      <c r="AB172" s="234" t="str">
        <f>'Base de Datos'!$C$8</f>
        <v>MARZO</v>
      </c>
      <c r="AC172" s="160"/>
      <c r="AF172" s="324" t="s">
        <v>322</v>
      </c>
      <c r="AG172" s="324"/>
      <c r="AH172" s="234" t="str">
        <f>'Base de Datos'!$C$8</f>
        <v>MARZO</v>
      </c>
      <c r="AI172" s="160"/>
      <c r="AL172" s="324" t="s">
        <v>322</v>
      </c>
      <c r="AM172" s="324"/>
      <c r="AN172" s="234" t="str">
        <f>'Base de Datos'!$C$8</f>
        <v>MARZO</v>
      </c>
      <c r="AO172" s="160"/>
      <c r="AR172" s="324" t="s">
        <v>322</v>
      </c>
      <c r="AS172" s="324"/>
      <c r="AT172" s="234" t="str">
        <f>'Base de Datos'!$C$8</f>
        <v>MARZO</v>
      </c>
      <c r="AU172" s="160"/>
      <c r="AX172" s="324" t="s">
        <v>322</v>
      </c>
      <c r="AY172" s="324"/>
      <c r="AZ172" s="234" t="str">
        <f>'Base de Datos'!$C$8</f>
        <v>MARZO</v>
      </c>
      <c r="BA172" s="160"/>
      <c r="BD172" s="177"/>
      <c r="BE172" s="178"/>
      <c r="BF172" s="179"/>
      <c r="BG172" s="180"/>
      <c r="BH172" s="181"/>
    </row>
    <row r="173" spans="2:63" x14ac:dyDescent="0.25">
      <c r="C173" s="2"/>
      <c r="D173" s="2"/>
      <c r="E173" s="2"/>
      <c r="I173" s="2"/>
      <c r="J173" s="2"/>
      <c r="K173" s="2"/>
      <c r="O173" s="2"/>
      <c r="P173" s="2"/>
      <c r="Q173" s="2"/>
      <c r="U173" s="2"/>
      <c r="V173" s="2"/>
      <c r="W173" s="2"/>
      <c r="AA173" s="2"/>
      <c r="AB173" s="2"/>
      <c r="AC173" s="2"/>
      <c r="AG173" s="2"/>
      <c r="AH173" s="2"/>
      <c r="AI173" s="2"/>
      <c r="AM173" s="2"/>
      <c r="AN173" s="2"/>
      <c r="AO173" s="2"/>
      <c r="AS173" s="2"/>
      <c r="AT173" s="2"/>
      <c r="AU173" s="2"/>
      <c r="AY173" s="2"/>
      <c r="AZ173" s="2"/>
      <c r="BA173" s="2"/>
      <c r="BD173" s="177"/>
      <c r="BE173" s="178"/>
      <c r="BF173" s="179"/>
      <c r="BG173" s="180"/>
      <c r="BH173" s="181"/>
    </row>
    <row r="174" spans="2:63" ht="15.6" x14ac:dyDescent="0.25">
      <c r="B174" s="324" t="s">
        <v>323</v>
      </c>
      <c r="C174" s="324"/>
      <c r="D174" s="231">
        <f>'Base de Datos'!$C$9</f>
        <v>2015</v>
      </c>
      <c r="E174" s="2"/>
      <c r="H174" s="324" t="s">
        <v>323</v>
      </c>
      <c r="I174" s="324"/>
      <c r="J174" s="231">
        <f>'Base de Datos'!$C$9</f>
        <v>2015</v>
      </c>
      <c r="K174" s="2"/>
      <c r="N174" s="324" t="s">
        <v>323</v>
      </c>
      <c r="O174" s="324"/>
      <c r="P174" s="231">
        <f>'Base de Datos'!$C$9</f>
        <v>2015</v>
      </c>
      <c r="Q174" s="2"/>
      <c r="T174" s="324" t="s">
        <v>323</v>
      </c>
      <c r="U174" s="324"/>
      <c r="V174" s="231">
        <f>'Base de Datos'!$C$9</f>
        <v>2015</v>
      </c>
      <c r="W174" s="2"/>
      <c r="Z174" s="324" t="s">
        <v>323</v>
      </c>
      <c r="AA174" s="324"/>
      <c r="AB174" s="231">
        <f>'Base de Datos'!$C$9</f>
        <v>2015</v>
      </c>
      <c r="AC174" s="2"/>
      <c r="AF174" s="324" t="s">
        <v>323</v>
      </c>
      <c r="AG174" s="324"/>
      <c r="AH174" s="231">
        <f>'Base de Datos'!$C$9</f>
        <v>2015</v>
      </c>
      <c r="AI174" s="2"/>
      <c r="AL174" s="324" t="s">
        <v>323</v>
      </c>
      <c r="AM174" s="324"/>
      <c r="AN174" s="231">
        <f>'Base de Datos'!$C$9</f>
        <v>2015</v>
      </c>
      <c r="AO174" s="2"/>
      <c r="AR174" s="324" t="s">
        <v>323</v>
      </c>
      <c r="AS174" s="324"/>
      <c r="AT174" s="231">
        <f>'Base de Datos'!$C$9</f>
        <v>2015</v>
      </c>
      <c r="AU174" s="2"/>
      <c r="AX174" s="324" t="s">
        <v>323</v>
      </c>
      <c r="AY174" s="324"/>
      <c r="AZ174" s="231">
        <f>'Base de Datos'!$C$9</f>
        <v>2015</v>
      </c>
      <c r="BA174" s="2"/>
      <c r="BD174" s="177"/>
      <c r="BE174" s="178"/>
      <c r="BF174" s="179"/>
      <c r="BG174" s="180"/>
      <c r="BH174" s="181"/>
    </row>
    <row r="175" spans="2:63" x14ac:dyDescent="0.25">
      <c r="C175" s="2"/>
      <c r="D175" s="2"/>
      <c r="E175" s="2"/>
      <c r="I175" s="2"/>
      <c r="J175" s="2"/>
      <c r="K175" s="2"/>
      <c r="O175" s="2"/>
      <c r="P175" s="2"/>
      <c r="Q175" s="2"/>
      <c r="U175" s="2"/>
      <c r="V175" s="2"/>
      <c r="W175" s="2"/>
      <c r="AA175" s="2"/>
      <c r="AB175" s="2"/>
      <c r="AC175" s="2"/>
      <c r="AG175" s="2"/>
      <c r="AH175" s="2"/>
      <c r="AI175" s="2"/>
      <c r="AM175" s="2"/>
      <c r="AN175" s="2"/>
      <c r="AO175" s="2"/>
      <c r="AS175" s="2"/>
      <c r="AT175" s="2"/>
      <c r="AU175" s="2"/>
      <c r="AY175" s="2"/>
      <c r="AZ175" s="2"/>
      <c r="BA175" s="2"/>
      <c r="BD175" s="177"/>
      <c r="BE175" s="178"/>
      <c r="BF175" s="179"/>
      <c r="BG175" s="180"/>
      <c r="BH175" s="181"/>
    </row>
    <row r="176" spans="2:63" ht="15.6" x14ac:dyDescent="0.25">
      <c r="B176" s="324" t="s">
        <v>324</v>
      </c>
      <c r="C176" s="324"/>
      <c r="D176" s="316">
        <f>'Base de Datos'!$C$6</f>
        <v>20411074561</v>
      </c>
      <c r="E176" s="316"/>
      <c r="H176" s="324" t="s">
        <v>324</v>
      </c>
      <c r="I176" s="324"/>
      <c r="J176" s="316">
        <f>'Base de Datos'!$C$6</f>
        <v>20411074561</v>
      </c>
      <c r="K176" s="316"/>
      <c r="N176" s="324" t="s">
        <v>324</v>
      </c>
      <c r="O176" s="324"/>
      <c r="P176" s="316">
        <f>'Base de Datos'!$C$6</f>
        <v>20411074561</v>
      </c>
      <c r="Q176" s="316"/>
      <c r="T176" s="324" t="s">
        <v>324</v>
      </c>
      <c r="U176" s="324"/>
      <c r="V176" s="316">
        <f>'Base de Datos'!$C$6</f>
        <v>20411074561</v>
      </c>
      <c r="W176" s="316"/>
      <c r="Z176" s="324" t="s">
        <v>324</v>
      </c>
      <c r="AA176" s="324"/>
      <c r="AB176" s="316">
        <f>'Base de Datos'!$C$6</f>
        <v>20411074561</v>
      </c>
      <c r="AC176" s="316"/>
      <c r="AF176" s="324" t="s">
        <v>324</v>
      </c>
      <c r="AG176" s="324"/>
      <c r="AH176" s="316">
        <f>'Base de Datos'!$C$6</f>
        <v>20411074561</v>
      </c>
      <c r="AI176" s="316"/>
      <c r="AL176" s="324" t="s">
        <v>324</v>
      </c>
      <c r="AM176" s="324"/>
      <c r="AN176" s="316">
        <f>'Base de Datos'!$C$6</f>
        <v>20411074561</v>
      </c>
      <c r="AO176" s="316"/>
      <c r="AR176" s="324" t="s">
        <v>324</v>
      </c>
      <c r="AS176" s="324"/>
      <c r="AT176" s="316">
        <f>'Base de Datos'!$C$6</f>
        <v>20411074561</v>
      </c>
      <c r="AU176" s="316"/>
      <c r="AX176" s="324" t="s">
        <v>324</v>
      </c>
      <c r="AY176" s="324"/>
      <c r="AZ176" s="316">
        <f>'Base de Datos'!$C$6</f>
        <v>20411074561</v>
      </c>
      <c r="BA176" s="316"/>
      <c r="BD176" s="177"/>
      <c r="BE176" s="178"/>
      <c r="BF176" s="179"/>
      <c r="BG176" s="180"/>
      <c r="BH176" s="181"/>
    </row>
    <row r="177" spans="2:63" x14ac:dyDescent="0.25">
      <c r="C177" s="2"/>
      <c r="D177" s="2"/>
      <c r="E177" s="2"/>
      <c r="I177" s="2"/>
      <c r="J177" s="2"/>
      <c r="K177" s="2"/>
      <c r="O177" s="2"/>
      <c r="P177" s="2"/>
      <c r="Q177" s="2"/>
      <c r="U177" s="2"/>
      <c r="V177" s="2"/>
      <c r="W177" s="2"/>
      <c r="AA177" s="2"/>
      <c r="AB177" s="2"/>
      <c r="AC177" s="2"/>
      <c r="AG177" s="2"/>
      <c r="AH177" s="2"/>
      <c r="AI177" s="2"/>
      <c r="AM177" s="2"/>
      <c r="AN177" s="2"/>
      <c r="AO177" s="2"/>
      <c r="AS177" s="2"/>
      <c r="AT177" s="2"/>
      <c r="AU177" s="2"/>
      <c r="AY177" s="2"/>
      <c r="AZ177" s="2"/>
      <c r="BA177" s="2"/>
      <c r="BD177" s="177"/>
      <c r="BE177" s="178"/>
      <c r="BF177" s="179"/>
      <c r="BG177" s="180"/>
      <c r="BH177" s="181"/>
    </row>
    <row r="178" spans="2:63" ht="15.6" x14ac:dyDescent="0.25">
      <c r="B178" s="324" t="s">
        <v>325</v>
      </c>
      <c r="C178" s="324"/>
      <c r="D178" s="234" t="str">
        <f>'Base de Datos'!$C$5</f>
        <v>LOS BAILARINES SRL</v>
      </c>
      <c r="E178" s="2"/>
      <c r="H178" s="324" t="s">
        <v>325</v>
      </c>
      <c r="I178" s="324"/>
      <c r="J178" s="234" t="str">
        <f>'Base de Datos'!$C$5</f>
        <v>LOS BAILARINES SRL</v>
      </c>
      <c r="K178" s="2"/>
      <c r="N178" s="324" t="s">
        <v>325</v>
      </c>
      <c r="O178" s="324"/>
      <c r="P178" s="234" t="str">
        <f>'Base de Datos'!$C$5</f>
        <v>LOS BAILARINES SRL</v>
      </c>
      <c r="Q178" s="2"/>
      <c r="T178" s="324" t="s">
        <v>325</v>
      </c>
      <c r="U178" s="324"/>
      <c r="V178" s="234" t="str">
        <f>'Base de Datos'!$C$5</f>
        <v>LOS BAILARINES SRL</v>
      </c>
      <c r="W178" s="2"/>
      <c r="Z178" s="324" t="s">
        <v>325</v>
      </c>
      <c r="AA178" s="324"/>
      <c r="AB178" s="234" t="str">
        <f>'Base de Datos'!$C$5</f>
        <v>LOS BAILARINES SRL</v>
      </c>
      <c r="AC178" s="2"/>
      <c r="AF178" s="324" t="s">
        <v>325</v>
      </c>
      <c r="AG178" s="324"/>
      <c r="AH178" s="234" t="str">
        <f>'Base de Datos'!$C$5</f>
        <v>LOS BAILARINES SRL</v>
      </c>
      <c r="AI178" s="2"/>
      <c r="AL178" s="324" t="s">
        <v>325</v>
      </c>
      <c r="AM178" s="324"/>
      <c r="AN178" s="234" t="str">
        <f>'Base de Datos'!$C$5</f>
        <v>LOS BAILARINES SRL</v>
      </c>
      <c r="AO178" s="2"/>
      <c r="AR178" s="324" t="s">
        <v>325</v>
      </c>
      <c r="AS178" s="324"/>
      <c r="AT178" s="234" t="str">
        <f>'Base de Datos'!$C$5</f>
        <v>LOS BAILARINES SRL</v>
      </c>
      <c r="AU178" s="2"/>
      <c r="AX178" s="324" t="s">
        <v>325</v>
      </c>
      <c r="AY178" s="324"/>
      <c r="AZ178" s="234" t="str">
        <f>'Base de Datos'!$C$5</f>
        <v>LOS BAILARINES SRL</v>
      </c>
      <c r="BA178" s="2"/>
      <c r="BD178" s="177"/>
      <c r="BE178" s="178"/>
      <c r="BF178" s="179"/>
      <c r="BG178" s="180"/>
      <c r="BH178" s="181"/>
    </row>
    <row r="179" spans="2:63" x14ac:dyDescent="0.25">
      <c r="B179" s="160"/>
      <c r="C179" s="160"/>
      <c r="D179" s="160"/>
      <c r="E179" s="160"/>
      <c r="H179" s="160"/>
      <c r="I179" s="160"/>
      <c r="J179" s="160"/>
      <c r="K179" s="160"/>
      <c r="N179" s="160"/>
      <c r="O179" s="160"/>
      <c r="P179" s="160"/>
      <c r="Q179" s="160"/>
      <c r="T179" s="160"/>
      <c r="U179" s="160"/>
      <c r="V179" s="160"/>
      <c r="W179" s="160"/>
      <c r="Z179" s="160"/>
      <c r="AA179" s="160"/>
      <c r="AB179" s="160"/>
      <c r="AC179" s="160"/>
      <c r="AF179" s="160"/>
      <c r="AG179" s="160"/>
      <c r="AH179" s="160"/>
      <c r="AI179" s="160"/>
      <c r="AL179" s="160"/>
      <c r="AM179" s="160"/>
      <c r="AN179" s="160"/>
      <c r="AO179" s="160"/>
      <c r="AR179" s="160"/>
      <c r="AS179" s="160"/>
      <c r="AT179" s="160"/>
      <c r="AU179" s="160"/>
      <c r="AX179" s="160"/>
      <c r="AY179" s="160"/>
      <c r="AZ179" s="160"/>
      <c r="BA179" s="160"/>
      <c r="BD179" s="177"/>
      <c r="BE179" s="178"/>
      <c r="BF179" s="179"/>
      <c r="BG179" s="180"/>
      <c r="BH179" s="181"/>
    </row>
    <row r="180" spans="2:63" ht="15.6" x14ac:dyDescent="0.25">
      <c r="B180" s="324" t="s">
        <v>472</v>
      </c>
      <c r="C180" s="324"/>
      <c r="D180" s="175">
        <v>80</v>
      </c>
      <c r="H180" s="324" t="s">
        <v>472</v>
      </c>
      <c r="I180" s="324"/>
      <c r="J180" s="175">
        <v>81</v>
      </c>
      <c r="N180" s="324" t="s">
        <v>472</v>
      </c>
      <c r="O180" s="324"/>
      <c r="P180" s="175">
        <v>82</v>
      </c>
      <c r="T180" s="324" t="s">
        <v>472</v>
      </c>
      <c r="U180" s="324"/>
      <c r="V180" s="175">
        <v>83</v>
      </c>
      <c r="Z180" s="324" t="s">
        <v>472</v>
      </c>
      <c r="AA180" s="324"/>
      <c r="AB180" s="175">
        <v>84</v>
      </c>
      <c r="AF180" s="324" t="s">
        <v>472</v>
      </c>
      <c r="AG180" s="324"/>
      <c r="AH180" s="175">
        <v>85</v>
      </c>
      <c r="AL180" s="324" t="s">
        <v>472</v>
      </c>
      <c r="AM180" s="324"/>
      <c r="AN180" s="175">
        <v>87</v>
      </c>
      <c r="AR180" s="324" t="s">
        <v>472</v>
      </c>
      <c r="AS180" s="324"/>
      <c r="AT180" s="175">
        <v>88</v>
      </c>
      <c r="AX180" s="324" t="s">
        <v>472</v>
      </c>
      <c r="AY180" s="324"/>
      <c r="AZ180" s="175">
        <v>89</v>
      </c>
      <c r="BD180" s="177"/>
      <c r="BE180" s="178"/>
      <c r="BF180" s="179"/>
      <c r="BG180" s="180"/>
      <c r="BH180" s="181"/>
    </row>
    <row r="181" spans="2:63" x14ac:dyDescent="0.25">
      <c r="B181" s="160"/>
      <c r="C181" s="160"/>
      <c r="D181" s="160"/>
      <c r="E181" s="160"/>
      <c r="H181" s="160"/>
      <c r="I181" s="160"/>
      <c r="J181" s="160"/>
      <c r="K181" s="160"/>
      <c r="N181" s="160"/>
      <c r="O181" s="160"/>
      <c r="P181" s="160"/>
      <c r="Q181" s="160"/>
      <c r="T181" s="160"/>
      <c r="U181" s="160"/>
      <c r="V181" s="160"/>
      <c r="W181" s="160"/>
      <c r="Z181" s="160"/>
      <c r="AA181" s="160"/>
      <c r="AB181" s="160"/>
      <c r="AC181" s="160"/>
      <c r="AF181" s="160"/>
      <c r="AG181" s="160"/>
      <c r="AH181" s="160"/>
      <c r="AI181" s="160"/>
      <c r="AL181" s="160"/>
      <c r="AM181" s="160"/>
      <c r="AN181" s="160"/>
      <c r="AO181" s="160"/>
      <c r="AR181" s="160"/>
      <c r="AS181" s="160"/>
      <c r="AT181" s="160"/>
      <c r="AU181" s="160"/>
      <c r="AX181" s="160"/>
      <c r="AY181" s="160"/>
      <c r="AZ181" s="160"/>
      <c r="BA181" s="160"/>
      <c r="BD181" s="177"/>
      <c r="BE181" s="178"/>
      <c r="BF181" s="179"/>
      <c r="BG181" s="180"/>
      <c r="BH181" s="181"/>
    </row>
    <row r="182" spans="2:63" ht="15.6" x14ac:dyDescent="0.25">
      <c r="B182" s="324" t="s">
        <v>473</v>
      </c>
      <c r="C182" s="324"/>
      <c r="D182" s="234" t="str">
        <f>VLOOKUP(D180,CuentasContables,5,FALSE)</f>
        <v>MARGEN COMERCIAL</v>
      </c>
      <c r="E182" s="160"/>
      <c r="H182" s="324" t="s">
        <v>473</v>
      </c>
      <c r="I182" s="324"/>
      <c r="J182" s="234" t="str">
        <f>VLOOKUP(J180,CuentasContables,5,FALSE)</f>
        <v>PRODUCCIÓN DEL EJERCICIO</v>
      </c>
      <c r="K182" s="160"/>
      <c r="N182" s="324" t="s">
        <v>473</v>
      </c>
      <c r="O182" s="324"/>
      <c r="P182" s="234" t="str">
        <f>VLOOKUP(P180,CuentasContables,5,FALSE)</f>
        <v>VALOR AGREGADO</v>
      </c>
      <c r="Q182" s="160"/>
      <c r="T182" s="324" t="s">
        <v>473</v>
      </c>
      <c r="U182" s="324"/>
      <c r="V182" s="234" t="str">
        <f>VLOOKUP(V180,CuentasContables,5,FALSE)</f>
        <v>EXCEDENTE BRUTO (INSUFICIENCIA BRUTA) DE EXPLOTACIÓN</v>
      </c>
      <c r="W182" s="160"/>
      <c r="Z182" s="324" t="s">
        <v>473</v>
      </c>
      <c r="AA182" s="324"/>
      <c r="AB182" s="234" t="str">
        <f>VLOOKUP(AB180,CuentasContables,5,FALSE)</f>
        <v>RESULTADO DE EXPLOTACIÓN</v>
      </c>
      <c r="AC182" s="160"/>
      <c r="AF182" s="324" t="s">
        <v>473</v>
      </c>
      <c r="AG182" s="324"/>
      <c r="AH182" s="234" t="str">
        <f>VLOOKUP(AH180,CuentasContables,5,FALSE)</f>
        <v>RESULTADO ANTES DE PARTICIPACIONES E IMPUESTOS</v>
      </c>
      <c r="AI182" s="160"/>
      <c r="AL182" s="324" t="s">
        <v>473</v>
      </c>
      <c r="AM182" s="324"/>
      <c r="AN182" s="234" t="str">
        <f>VLOOKUP(AN180,CuentasContables,5,FALSE)</f>
        <v>PARTICIPACIONES DE LOS TRABAJADORES</v>
      </c>
      <c r="AO182" s="160"/>
      <c r="AR182" s="324" t="s">
        <v>473</v>
      </c>
      <c r="AS182" s="324"/>
      <c r="AT182" s="234" t="str">
        <f>VLOOKUP(AT180,CuentasContables,5,FALSE)</f>
        <v>IMPUESTO A LA RENTA</v>
      </c>
      <c r="AU182" s="160"/>
      <c r="AX182" s="324" t="s">
        <v>473</v>
      </c>
      <c r="AY182" s="324"/>
      <c r="AZ182" s="234" t="str">
        <f>VLOOKUP(AZ180,CuentasContables,5,FALSE)</f>
        <v>DETERMINACIÓN DEL RESULTADO DEL EJERCICIO</v>
      </c>
      <c r="BA182" s="160"/>
      <c r="BD182" s="177"/>
      <c r="BE182" s="178"/>
      <c r="BF182" s="179"/>
      <c r="BG182" s="180"/>
      <c r="BH182" s="181"/>
    </row>
    <row r="183" spans="2:63" ht="14.4" thickBot="1" x14ac:dyDescent="0.3">
      <c r="B183" s="160"/>
      <c r="C183" s="160"/>
      <c r="D183" s="160"/>
      <c r="E183" s="160"/>
      <c r="H183" s="160"/>
      <c r="I183" s="160"/>
      <c r="J183" s="160"/>
      <c r="K183" s="160"/>
      <c r="N183" s="160"/>
      <c r="O183" s="160"/>
      <c r="P183" s="160"/>
      <c r="Q183" s="160"/>
      <c r="T183" s="160"/>
      <c r="U183" s="160"/>
      <c r="V183" s="160"/>
      <c r="W183" s="160"/>
      <c r="Z183" s="160"/>
      <c r="AA183" s="160"/>
      <c r="AB183" s="160"/>
      <c r="AC183" s="160"/>
      <c r="AF183" s="160"/>
      <c r="AG183" s="160"/>
      <c r="AH183" s="160"/>
      <c r="AI183" s="160"/>
      <c r="AL183" s="160"/>
      <c r="AM183" s="160"/>
      <c r="AN183" s="160"/>
      <c r="AO183" s="160"/>
      <c r="AR183" s="160"/>
      <c r="AS183" s="160"/>
      <c r="AT183" s="160"/>
      <c r="AU183" s="160"/>
      <c r="AX183" s="160"/>
      <c r="AY183" s="160"/>
      <c r="AZ183" s="160"/>
      <c r="BA183" s="160"/>
      <c r="BD183" s="177"/>
      <c r="BE183" s="178"/>
      <c r="BF183" s="179"/>
      <c r="BG183" s="180"/>
      <c r="BH183" s="181"/>
    </row>
    <row r="184" spans="2:63" x14ac:dyDescent="0.25">
      <c r="B184" s="325" t="s">
        <v>466</v>
      </c>
      <c r="C184" s="327" t="s">
        <v>467</v>
      </c>
      <c r="D184" s="327" t="s">
        <v>468</v>
      </c>
      <c r="E184" s="329" t="s">
        <v>469</v>
      </c>
      <c r="F184" s="330"/>
      <c r="H184" s="325" t="s">
        <v>466</v>
      </c>
      <c r="I184" s="327" t="s">
        <v>467</v>
      </c>
      <c r="J184" s="327" t="s">
        <v>468</v>
      </c>
      <c r="K184" s="329" t="s">
        <v>469</v>
      </c>
      <c r="L184" s="330"/>
      <c r="N184" s="325" t="s">
        <v>466</v>
      </c>
      <c r="O184" s="327" t="s">
        <v>467</v>
      </c>
      <c r="P184" s="327" t="s">
        <v>468</v>
      </c>
      <c r="Q184" s="329" t="s">
        <v>469</v>
      </c>
      <c r="R184" s="330"/>
      <c r="T184" s="325" t="s">
        <v>466</v>
      </c>
      <c r="U184" s="327" t="s">
        <v>467</v>
      </c>
      <c r="V184" s="327" t="s">
        <v>468</v>
      </c>
      <c r="W184" s="329" t="s">
        <v>469</v>
      </c>
      <c r="X184" s="330"/>
      <c r="Z184" s="325" t="s">
        <v>466</v>
      </c>
      <c r="AA184" s="327" t="s">
        <v>467</v>
      </c>
      <c r="AB184" s="327" t="s">
        <v>468</v>
      </c>
      <c r="AC184" s="329" t="s">
        <v>469</v>
      </c>
      <c r="AD184" s="330"/>
      <c r="AF184" s="325" t="s">
        <v>466</v>
      </c>
      <c r="AG184" s="327" t="s">
        <v>467</v>
      </c>
      <c r="AH184" s="327" t="s">
        <v>468</v>
      </c>
      <c r="AI184" s="329" t="s">
        <v>469</v>
      </c>
      <c r="AJ184" s="330"/>
      <c r="AL184" s="325" t="s">
        <v>466</v>
      </c>
      <c r="AM184" s="327" t="s">
        <v>467</v>
      </c>
      <c r="AN184" s="327" t="s">
        <v>468</v>
      </c>
      <c r="AO184" s="329" t="s">
        <v>469</v>
      </c>
      <c r="AP184" s="330"/>
      <c r="AR184" s="325" t="s">
        <v>466</v>
      </c>
      <c r="AS184" s="327" t="s">
        <v>467</v>
      </c>
      <c r="AT184" s="327" t="s">
        <v>468</v>
      </c>
      <c r="AU184" s="329" t="s">
        <v>469</v>
      </c>
      <c r="AV184" s="330"/>
      <c r="AX184" s="325" t="s">
        <v>466</v>
      </c>
      <c r="AY184" s="327" t="s">
        <v>467</v>
      </c>
      <c r="AZ184" s="327" t="s">
        <v>468</v>
      </c>
      <c r="BA184" s="329" t="s">
        <v>469</v>
      </c>
      <c r="BB184" s="330"/>
      <c r="BD184" s="177"/>
      <c r="BE184" s="178"/>
      <c r="BF184" s="179"/>
      <c r="BG184" s="180"/>
      <c r="BH184" s="181"/>
    </row>
    <row r="185" spans="2:63" ht="14.4" thickBot="1" x14ac:dyDescent="0.3">
      <c r="B185" s="326"/>
      <c r="C185" s="328"/>
      <c r="D185" s="328"/>
      <c r="E185" s="232" t="s">
        <v>403</v>
      </c>
      <c r="F185" s="174" t="s">
        <v>402</v>
      </c>
      <c r="H185" s="326"/>
      <c r="I185" s="328"/>
      <c r="J185" s="328"/>
      <c r="K185" s="232" t="s">
        <v>403</v>
      </c>
      <c r="L185" s="174" t="s">
        <v>402</v>
      </c>
      <c r="N185" s="326"/>
      <c r="O185" s="328"/>
      <c r="P185" s="328"/>
      <c r="Q185" s="232" t="s">
        <v>403</v>
      </c>
      <c r="R185" s="174" t="s">
        <v>402</v>
      </c>
      <c r="T185" s="326"/>
      <c r="U185" s="328"/>
      <c r="V185" s="328"/>
      <c r="W185" s="232" t="s">
        <v>403</v>
      </c>
      <c r="X185" s="174" t="s">
        <v>402</v>
      </c>
      <c r="Z185" s="326"/>
      <c r="AA185" s="328"/>
      <c r="AB185" s="328"/>
      <c r="AC185" s="232" t="s">
        <v>403</v>
      </c>
      <c r="AD185" s="174" t="s">
        <v>402</v>
      </c>
      <c r="AF185" s="326"/>
      <c r="AG185" s="328"/>
      <c r="AH185" s="328"/>
      <c r="AI185" s="232" t="s">
        <v>403</v>
      </c>
      <c r="AJ185" s="174" t="s">
        <v>402</v>
      </c>
      <c r="AL185" s="326"/>
      <c r="AM185" s="328"/>
      <c r="AN185" s="328"/>
      <c r="AO185" s="232" t="s">
        <v>403</v>
      </c>
      <c r="AP185" s="174" t="s">
        <v>402</v>
      </c>
      <c r="AR185" s="326"/>
      <c r="AS185" s="328"/>
      <c r="AT185" s="328"/>
      <c r="AU185" s="232" t="s">
        <v>403</v>
      </c>
      <c r="AV185" s="174" t="s">
        <v>402</v>
      </c>
      <c r="AX185" s="326"/>
      <c r="AY185" s="328"/>
      <c r="AZ185" s="328"/>
      <c r="BA185" s="232" t="s">
        <v>403</v>
      </c>
      <c r="BB185" s="174" t="s">
        <v>402</v>
      </c>
      <c r="BD185" s="177"/>
      <c r="BE185" s="178"/>
      <c r="BF185" s="179"/>
      <c r="BG185" s="180"/>
      <c r="BH185" s="181"/>
    </row>
    <row r="186" spans="2:63" ht="14.4" thickTop="1" x14ac:dyDescent="0.25">
      <c r="B186" s="236">
        <v>41670</v>
      </c>
      <c r="C186" s="171"/>
      <c r="D186" s="166" t="s">
        <v>470</v>
      </c>
      <c r="E186" s="167">
        <f>SUMIF('Libro Diario Convencional'!$B$15:$B$167,D180,'Libro Diario Convencional'!$I$15:$I$167)</f>
        <v>0</v>
      </c>
      <c r="F186" s="168">
        <f>SUMIF('Libro Diario Convencional'!$B$15:$B$167,D180,'Libro Diario Convencional'!$J$15:$J$167)</f>
        <v>0</v>
      </c>
      <c r="H186" s="236">
        <v>41670</v>
      </c>
      <c r="I186" s="171"/>
      <c r="J186" s="166" t="s">
        <v>470</v>
      </c>
      <c r="K186" s="167">
        <f>SUMIF('Libro Diario Convencional'!$B$15:$B$167,J180,'Libro Diario Convencional'!$I$15:$I$167)</f>
        <v>0</v>
      </c>
      <c r="L186" s="168">
        <f>SUMIF('Libro Diario Convencional'!$B$15:$B$167,J180,'Libro Diario Convencional'!$J$15:$J$167)</f>
        <v>0</v>
      </c>
      <c r="N186" s="236">
        <v>41670</v>
      </c>
      <c r="O186" s="171"/>
      <c r="P186" s="166" t="s">
        <v>470</v>
      </c>
      <c r="Q186" s="167">
        <f>SUMIF('Libro Diario Convencional'!$B$15:$B$167,P180,'Libro Diario Convencional'!$I$15:$I$167)</f>
        <v>0</v>
      </c>
      <c r="R186" s="168">
        <f>SUMIF('Libro Diario Convencional'!$B$15:$B$167,P180,'Libro Diario Convencional'!$J$15:$J$167)</f>
        <v>0</v>
      </c>
      <c r="T186" s="236">
        <v>41670</v>
      </c>
      <c r="U186" s="171"/>
      <c r="V186" s="166" t="s">
        <v>470</v>
      </c>
      <c r="W186" s="167">
        <f>SUMIF('Libro Diario Convencional'!$B$15:$B$167,V180,'Libro Diario Convencional'!$I$15:$I$167)</f>
        <v>0</v>
      </c>
      <c r="X186" s="168">
        <f>SUMIF('Libro Diario Convencional'!$B$15:$B$167,V180,'Libro Diario Convencional'!$J$15:$J$167)</f>
        <v>0</v>
      </c>
      <c r="Z186" s="236">
        <v>41670</v>
      </c>
      <c r="AA186" s="171"/>
      <c r="AB186" s="166" t="s">
        <v>470</v>
      </c>
      <c r="AC186" s="167">
        <f>SUMIF('Libro Diario Convencional'!$B$15:$B$167,AB180,'Libro Diario Convencional'!$I$15:$I$167)</f>
        <v>0</v>
      </c>
      <c r="AD186" s="168">
        <f>SUMIF('Libro Diario Convencional'!$B$15:$B$167,AB180,'Libro Diario Convencional'!$J$15:$J$167)</f>
        <v>0</v>
      </c>
      <c r="AF186" s="236">
        <v>41670</v>
      </c>
      <c r="AG186" s="171"/>
      <c r="AH186" s="166" t="s">
        <v>470</v>
      </c>
      <c r="AI186" s="167">
        <f>SUMIF('Libro Diario Convencional'!$B$15:$B$167,AH180,'Libro Diario Convencional'!$I$15:$I$167)</f>
        <v>0</v>
      </c>
      <c r="AJ186" s="168">
        <f>SUMIF('Libro Diario Convencional'!$B$15:$B$167,AH180,'Libro Diario Convencional'!$J$15:$J$167)</f>
        <v>0</v>
      </c>
      <c r="AL186" s="236">
        <v>41670</v>
      </c>
      <c r="AM186" s="171"/>
      <c r="AN186" s="166" t="s">
        <v>470</v>
      </c>
      <c r="AO186" s="167">
        <f>SUMIF('Libro Diario Convencional'!$B$15:$B$167,AN180,'Libro Diario Convencional'!$I$15:$I$167)</f>
        <v>0</v>
      </c>
      <c r="AP186" s="168">
        <f>SUMIF('Libro Diario Convencional'!$B$15:$B$167,AN180,'Libro Diario Convencional'!$J$15:$J$167)</f>
        <v>0</v>
      </c>
      <c r="AR186" s="236">
        <v>41670</v>
      </c>
      <c r="AS186" s="171"/>
      <c r="AT186" s="166" t="s">
        <v>470</v>
      </c>
      <c r="AU186" s="167">
        <f>SUMIF('Libro Diario Convencional'!$B$15:$B$167,AT180,'Libro Diario Convencional'!$I$15:$I$167)</f>
        <v>0</v>
      </c>
      <c r="AV186" s="168">
        <f>SUMIF('Libro Diario Convencional'!$B$15:$B$167,AT180,'Libro Diario Convencional'!$J$15:$J$167)</f>
        <v>0</v>
      </c>
      <c r="AX186" s="236">
        <v>41670</v>
      </c>
      <c r="AY186" s="171"/>
      <c r="AZ186" s="166" t="s">
        <v>470</v>
      </c>
      <c r="BA186" s="167">
        <f>SUMIF('Libro Diario Convencional'!$B$15:$B$167,AZ180,'Libro Diario Convencional'!$I$15:$I$167)</f>
        <v>0</v>
      </c>
      <c r="BB186" s="168">
        <f>SUMIF('Libro Diario Convencional'!$B$15:$B$167,AZ180,'Libro Diario Convencional'!$J$15:$J$167)</f>
        <v>0</v>
      </c>
      <c r="BD186" s="177"/>
      <c r="BE186" s="178"/>
      <c r="BF186" s="179"/>
      <c r="BG186" s="180"/>
      <c r="BH186" s="181"/>
    </row>
    <row r="187" spans="2:63" x14ac:dyDescent="0.25">
      <c r="B187" s="169">
        <v>41670</v>
      </c>
      <c r="C187" s="172"/>
      <c r="D187" s="161" t="s">
        <v>474</v>
      </c>
      <c r="E187" s="162">
        <f>SUMIF('Asientos de Cierre'!$B$6:$B$549,D180,'Asientos de Cierre'!$J$6:$J$549)</f>
        <v>154100</v>
      </c>
      <c r="F187" s="163">
        <f>SUMIF('Asientos de Cierre'!$B$6:$B$549,D180,'Asientos de Cierre'!$K$6:$K$549)</f>
        <v>154100</v>
      </c>
      <c r="H187" s="169">
        <v>41670</v>
      </c>
      <c r="I187" s="172"/>
      <c r="J187" s="161" t="s">
        <v>474</v>
      </c>
      <c r="K187" s="162">
        <f>SUMIF('Asientos de Cierre'!$B$6:$B$549,J180,'Asientos de Cierre'!$J$6:$J$549)</f>
        <v>0</v>
      </c>
      <c r="L187" s="163">
        <f>SUMIF('Asientos de Cierre'!$B$6:$B$549,J180,'Asientos de Cierre'!$K$6:$K$549)</f>
        <v>0</v>
      </c>
      <c r="N187" s="169">
        <v>41670</v>
      </c>
      <c r="O187" s="172"/>
      <c r="P187" s="161" t="s">
        <v>474</v>
      </c>
      <c r="Q187" s="162">
        <f>SUMIF('Asientos de Cierre'!$B$6:$B$549,P180,'Asientos de Cierre'!$J$6:$J$549)</f>
        <v>154100</v>
      </c>
      <c r="R187" s="163">
        <f>SUMIF('Asientos de Cierre'!$B$6:$B$549,P180,'Asientos de Cierre'!$K$6:$K$549)</f>
        <v>154100</v>
      </c>
      <c r="T187" s="169">
        <v>41670</v>
      </c>
      <c r="U187" s="172"/>
      <c r="V187" s="161" t="s">
        <v>474</v>
      </c>
      <c r="W187" s="162">
        <f>SUMIF('Asientos de Cierre'!$B$6:$B$549,V180,'Asientos de Cierre'!$J$6:$J$549)</f>
        <v>327000</v>
      </c>
      <c r="X187" s="163">
        <f>SUMIF('Asientos de Cierre'!$B$6:$B$549,V180,'Asientos de Cierre'!$K$6:$K$549)</f>
        <v>327000</v>
      </c>
      <c r="Z187" s="169">
        <v>41670</v>
      </c>
      <c r="AA187" s="172"/>
      <c r="AB187" s="161" t="s">
        <v>474</v>
      </c>
      <c r="AC187" s="162">
        <f>SUMIF('Asientos de Cierre'!$B$6:$B$549,AB180,'Asientos de Cierre'!$J$6:$J$549)</f>
        <v>201892.37288135593</v>
      </c>
      <c r="AD187" s="163">
        <f>SUMIF('Asientos de Cierre'!$B$6:$B$549,AB180,'Asientos de Cierre'!$K$6:$K$549)</f>
        <v>201892.37288135593</v>
      </c>
      <c r="AF187" s="169">
        <v>41670</v>
      </c>
      <c r="AG187" s="172"/>
      <c r="AH187" s="161" t="s">
        <v>474</v>
      </c>
      <c r="AI187" s="162">
        <f>SUMIF('Asientos de Cierre'!$B$6:$B$549,AH180,'Asientos de Cierre'!$J$6:$J$549)</f>
        <v>201892.37288135593</v>
      </c>
      <c r="AJ187" s="163">
        <f>SUMIF('Asientos de Cierre'!$B$6:$B$549,AH180,'Asientos de Cierre'!$K$6:$K$549)</f>
        <v>201892.37288135593</v>
      </c>
      <c r="AL187" s="169">
        <v>41670</v>
      </c>
      <c r="AM187" s="172"/>
      <c r="AN187" s="161" t="s">
        <v>474</v>
      </c>
      <c r="AO187" s="162">
        <f>SUMIF('Asientos de Cierre'!$B$6:$B$549,AN180,'Asientos de Cierre'!$J$6:$J$549)</f>
        <v>0</v>
      </c>
      <c r="AP187" s="163">
        <f>SUMIF('Asientos de Cierre'!$B$6:$B$549,AN180,'Asientos de Cierre'!$K$6:$K$549)</f>
        <v>0</v>
      </c>
      <c r="AR187" s="169">
        <v>41670</v>
      </c>
      <c r="AS187" s="172"/>
      <c r="AT187" s="161" t="s">
        <v>474</v>
      </c>
      <c r="AU187" s="162">
        <f>SUMIF('Asientos de Cierre'!$B$6:$B$549,AT180,'Asientos de Cierre'!$J$6:$J$549)</f>
        <v>0</v>
      </c>
      <c r="AV187" s="163">
        <f>SUMIF('Asientos de Cierre'!$B$6:$B$549,AT180,'Asientos de Cierre'!$K$6:$K$549)</f>
        <v>0</v>
      </c>
      <c r="AX187" s="169">
        <v>41670</v>
      </c>
      <c r="AY187" s="172"/>
      <c r="AZ187" s="161" t="s">
        <v>474</v>
      </c>
      <c r="BA187" s="162">
        <f>SUMIF('Asientos de Cierre'!$B$6:$B$549,AZ180,'Asientos de Cierre'!$J$6:$J$549)</f>
        <v>201892.37288135593</v>
      </c>
      <c r="BB187" s="163">
        <f>SUMIF('Asientos de Cierre'!$B$6:$B$549,AZ180,'Asientos de Cierre'!$K$6:$K$549)</f>
        <v>201892.37288135593</v>
      </c>
      <c r="BD187" s="177"/>
      <c r="BE187" s="178"/>
      <c r="BF187" s="179"/>
      <c r="BG187" s="180"/>
      <c r="BH187" s="181"/>
    </row>
    <row r="188" spans="2:63" x14ac:dyDescent="0.25">
      <c r="B188" s="169"/>
      <c r="C188" s="172"/>
      <c r="D188" s="161"/>
      <c r="E188" s="162"/>
      <c r="F188" s="163"/>
      <c r="H188" s="169"/>
      <c r="I188" s="172"/>
      <c r="J188" s="161"/>
      <c r="K188" s="162"/>
      <c r="L188" s="163"/>
      <c r="N188" s="169"/>
      <c r="O188" s="172"/>
      <c r="P188" s="161"/>
      <c r="Q188" s="162"/>
      <c r="R188" s="163"/>
      <c r="T188" s="169"/>
      <c r="U188" s="172"/>
      <c r="V188" s="161"/>
      <c r="W188" s="162"/>
      <c r="X188" s="163"/>
      <c r="Z188" s="169"/>
      <c r="AA188" s="172"/>
      <c r="AB188" s="161"/>
      <c r="AC188" s="162"/>
      <c r="AD188" s="163"/>
      <c r="AF188" s="169"/>
      <c r="AG188" s="172"/>
      <c r="AH188" s="161"/>
      <c r="AI188" s="162"/>
      <c r="AJ188" s="163"/>
      <c r="AL188" s="169"/>
      <c r="AM188" s="172"/>
      <c r="AN188" s="161"/>
      <c r="AO188" s="162"/>
      <c r="AP188" s="163"/>
      <c r="AR188" s="169"/>
      <c r="AS188" s="172"/>
      <c r="AT188" s="161"/>
      <c r="AU188" s="162"/>
      <c r="AV188" s="163"/>
      <c r="AX188" s="169"/>
      <c r="AY188" s="172"/>
      <c r="AZ188" s="161"/>
      <c r="BA188" s="162"/>
      <c r="BB188" s="163"/>
      <c r="BD188" s="177"/>
      <c r="BE188" s="178"/>
      <c r="BF188" s="179"/>
      <c r="BG188" s="180"/>
      <c r="BH188" s="181"/>
    </row>
    <row r="189" spans="2:63" ht="14.4" thickBot="1" x14ac:dyDescent="0.3">
      <c r="B189" s="169"/>
      <c r="C189" s="172"/>
      <c r="D189" s="161"/>
      <c r="E189" s="162"/>
      <c r="F189" s="163"/>
      <c r="H189" s="169"/>
      <c r="I189" s="172"/>
      <c r="J189" s="161"/>
      <c r="K189" s="162"/>
      <c r="L189" s="163"/>
      <c r="N189" s="169"/>
      <c r="O189" s="172"/>
      <c r="P189" s="161"/>
      <c r="Q189" s="162"/>
      <c r="R189" s="163"/>
      <c r="T189" s="169"/>
      <c r="U189" s="172"/>
      <c r="V189" s="161"/>
      <c r="W189" s="162"/>
      <c r="X189" s="163"/>
      <c r="Z189" s="169"/>
      <c r="AA189" s="172"/>
      <c r="AB189" s="161"/>
      <c r="AC189" s="162"/>
      <c r="AD189" s="163"/>
      <c r="AF189" s="169"/>
      <c r="AG189" s="172"/>
      <c r="AH189" s="161"/>
      <c r="AI189" s="162"/>
      <c r="AJ189" s="163"/>
      <c r="AL189" s="169"/>
      <c r="AM189" s="172"/>
      <c r="AN189" s="161"/>
      <c r="AO189" s="162"/>
      <c r="AP189" s="163"/>
      <c r="AR189" s="169"/>
      <c r="AS189" s="172"/>
      <c r="AT189" s="161"/>
      <c r="AU189" s="162"/>
      <c r="AV189" s="163"/>
      <c r="AX189" s="169"/>
      <c r="AY189" s="172"/>
      <c r="AZ189" s="161"/>
      <c r="BA189" s="162"/>
      <c r="BB189" s="163"/>
      <c r="BD189" s="177"/>
      <c r="BE189" s="178"/>
      <c r="BF189" s="179"/>
      <c r="BG189" s="180"/>
      <c r="BH189" s="181"/>
    </row>
    <row r="190" spans="2:63" ht="15" thickBot="1" x14ac:dyDescent="0.3">
      <c r="B190" s="169"/>
      <c r="C190" s="172"/>
      <c r="D190" s="161" t="s">
        <v>471</v>
      </c>
      <c r="E190" s="162">
        <f>SUM(E186:E189)</f>
        <v>154100</v>
      </c>
      <c r="F190" s="163">
        <f>SUM(F186:F189)</f>
        <v>154100</v>
      </c>
      <c r="H190" s="169"/>
      <c r="I190" s="172"/>
      <c r="J190" s="161" t="s">
        <v>471</v>
      </c>
      <c r="K190" s="162">
        <f>SUM(K186:K189)</f>
        <v>0</v>
      </c>
      <c r="L190" s="163">
        <f>SUM(L186:L189)</f>
        <v>0</v>
      </c>
      <c r="N190" s="169"/>
      <c r="O190" s="172"/>
      <c r="P190" s="161" t="s">
        <v>471</v>
      </c>
      <c r="Q190" s="162">
        <f>SUM(Q186:Q189)</f>
        <v>154100</v>
      </c>
      <c r="R190" s="163">
        <f>SUM(R186:R189)</f>
        <v>154100</v>
      </c>
      <c r="T190" s="169"/>
      <c r="U190" s="172"/>
      <c r="V190" s="161" t="s">
        <v>471</v>
      </c>
      <c r="W190" s="162">
        <f>SUM(W186:W189)</f>
        <v>327000</v>
      </c>
      <c r="X190" s="163">
        <f>SUM(X186:X189)</f>
        <v>327000</v>
      </c>
      <c r="Z190" s="169"/>
      <c r="AA190" s="172"/>
      <c r="AB190" s="161" t="s">
        <v>471</v>
      </c>
      <c r="AC190" s="162">
        <f>SUM(AC186:AC189)</f>
        <v>201892.37288135593</v>
      </c>
      <c r="AD190" s="163">
        <f>SUM(AD186:AD189)</f>
        <v>201892.37288135593</v>
      </c>
      <c r="AF190" s="169"/>
      <c r="AG190" s="172"/>
      <c r="AH190" s="161" t="s">
        <v>471</v>
      </c>
      <c r="AI190" s="162">
        <f>SUM(AI186:AI189)</f>
        <v>201892.37288135593</v>
      </c>
      <c r="AJ190" s="163">
        <f>SUM(AJ186:AJ189)</f>
        <v>201892.37288135593</v>
      </c>
      <c r="AL190" s="169"/>
      <c r="AM190" s="172"/>
      <c r="AN190" s="161" t="s">
        <v>471</v>
      </c>
      <c r="AO190" s="162">
        <f>SUM(AO186:AO189)</f>
        <v>0</v>
      </c>
      <c r="AP190" s="163">
        <f>SUM(AP186:AP189)</f>
        <v>0</v>
      </c>
      <c r="AR190" s="169"/>
      <c r="AS190" s="172"/>
      <c r="AT190" s="161" t="s">
        <v>471</v>
      </c>
      <c r="AU190" s="162">
        <f>SUM(AU186:AU189)</f>
        <v>0</v>
      </c>
      <c r="AV190" s="163">
        <f>SUM(AV186:AV189)</f>
        <v>0</v>
      </c>
      <c r="AX190" s="169"/>
      <c r="AY190" s="172"/>
      <c r="AZ190" s="161" t="s">
        <v>471</v>
      </c>
      <c r="BA190" s="162">
        <f>SUM(BA186:BA189)</f>
        <v>201892.37288135593</v>
      </c>
      <c r="BB190" s="163">
        <f>SUM(BB186:BB189)</f>
        <v>201892.37288135593</v>
      </c>
      <c r="BD190" s="177"/>
      <c r="BE190" s="178"/>
      <c r="BF190" s="179"/>
      <c r="BG190" s="180"/>
      <c r="BH190" s="181"/>
      <c r="BJ190" s="157">
        <f>SUM(E190,K190,Q190,W190,AC190,AI190,AO190,AU190,BA190,BG190)</f>
        <v>1240877.1186440678</v>
      </c>
      <c r="BK190" s="158">
        <f>SUM(F190,L190,R190,X190,AD190,AJ190,AP190,AV190,BB190,BH190)</f>
        <v>1240877.1186440678</v>
      </c>
    </row>
    <row r="191" spans="2:63" ht="14.4" thickBot="1" x14ac:dyDescent="0.3">
      <c r="B191" s="170"/>
      <c r="C191" s="173"/>
      <c r="D191" s="164" t="str">
        <f>IF(E190=F190,"",IF(E190&gt;F190,"Saldo Deudor","Saldo Acreedor"))</f>
        <v/>
      </c>
      <c r="E191" s="165" t="str">
        <f>IF(E190&gt;F190,E190-F190,"")</f>
        <v/>
      </c>
      <c r="F191" s="176" t="str">
        <f>IF(E190&lt;F190,F190-E190,"")</f>
        <v/>
      </c>
      <c r="H191" s="170"/>
      <c r="I191" s="173"/>
      <c r="J191" s="164" t="str">
        <f>IF(K190=L190,"",IF(K190&gt;L190,"Saldo Deudor","Saldo Acreedor"))</f>
        <v/>
      </c>
      <c r="K191" s="165" t="str">
        <f>IF(K190&gt;L190,K190-L190,"")</f>
        <v/>
      </c>
      <c r="L191" s="176" t="str">
        <f>IF(K190&lt;L190,L190-K190,"")</f>
        <v/>
      </c>
      <c r="N191" s="170"/>
      <c r="O191" s="173"/>
      <c r="P191" s="164" t="str">
        <f>IF(Q190=R190,"",IF(Q190&gt;R190,"Saldo Deudor","Saldo Acreedor"))</f>
        <v/>
      </c>
      <c r="Q191" s="165" t="str">
        <f>IF(Q190&gt;R190,Q190-R190,"")</f>
        <v/>
      </c>
      <c r="R191" s="176" t="str">
        <f>IF(Q190&lt;R190,R190-Q190,"")</f>
        <v/>
      </c>
      <c r="T191" s="170"/>
      <c r="U191" s="173"/>
      <c r="V191" s="164" t="str">
        <f>IF(W190=X190,"",IF(W190&gt;X190,"Saldo Deudor","Saldo Acreedor"))</f>
        <v/>
      </c>
      <c r="W191" s="165" t="str">
        <f>IF(W190&gt;X190,W190-X190,"")</f>
        <v/>
      </c>
      <c r="X191" s="176" t="str">
        <f>IF(W190&lt;X190,X190-W190,"")</f>
        <v/>
      </c>
      <c r="Z191" s="170"/>
      <c r="AA191" s="173"/>
      <c r="AB191" s="164" t="str">
        <f>IF(AC190=AD190,"",IF(AC190&gt;AD190,"Saldo Deudor","Saldo Acreedor"))</f>
        <v/>
      </c>
      <c r="AC191" s="165" t="str">
        <f>IF(AC190&gt;AD190,AC190-AD190,"")</f>
        <v/>
      </c>
      <c r="AD191" s="176" t="str">
        <f>IF(AC190&lt;AD190,AD190-AC190,"")</f>
        <v/>
      </c>
      <c r="AF191" s="170"/>
      <c r="AG191" s="173"/>
      <c r="AH191" s="164" t="str">
        <f>IF(AI190=AJ190,"",IF(AI190&gt;AJ190,"Saldo Deudor","Saldo Acreedor"))</f>
        <v/>
      </c>
      <c r="AI191" s="165" t="str">
        <f>IF(AI190&gt;AJ190,AI190-AJ190,"")</f>
        <v/>
      </c>
      <c r="AJ191" s="176" t="str">
        <f>IF(AI190&lt;AJ190,AJ190-AI190,"")</f>
        <v/>
      </c>
      <c r="AL191" s="170"/>
      <c r="AM191" s="173"/>
      <c r="AN191" s="164" t="str">
        <f>IF(AO190=AP190,"",IF(AO190&gt;AP190,"Saldo Deudor","Saldo Acreedor"))</f>
        <v/>
      </c>
      <c r="AO191" s="165" t="str">
        <f>IF(AO190&gt;AP190,AO190-AP190,"")</f>
        <v/>
      </c>
      <c r="AP191" s="176" t="str">
        <f>IF(AO190&lt;AP190,AP190-AO190,"")</f>
        <v/>
      </c>
      <c r="AR191" s="170"/>
      <c r="AS191" s="173"/>
      <c r="AT191" s="164" t="str">
        <f>IF(AU190=AV190,"",IF(AU190&gt;AV190,"Saldo Deudor","Saldo Acreedor"))</f>
        <v/>
      </c>
      <c r="AU191" s="165" t="str">
        <f>IF(AU190&gt;AV190,AU190-AV190,"")</f>
        <v/>
      </c>
      <c r="AV191" s="176" t="str">
        <f>IF(AU190&lt;AV190,AV190-AU190,"")</f>
        <v/>
      </c>
      <c r="AX191" s="170"/>
      <c r="AY191" s="173"/>
      <c r="AZ191" s="164" t="str">
        <f>IF(BA190=BB190,"",IF(BA190&gt;BB190,"Saldo Deudor","Saldo Acreedor"))</f>
        <v/>
      </c>
      <c r="BA191" s="165" t="str">
        <f>IF(BA190&gt;BB190,BA190-BB190,"")</f>
        <v/>
      </c>
      <c r="BB191" s="176" t="str">
        <f>IF(BA190&lt;BB190,BB190-BA190,"")</f>
        <v/>
      </c>
      <c r="BD191" s="177"/>
      <c r="BE191" s="178"/>
      <c r="BF191" s="179"/>
      <c r="BG191" s="180"/>
      <c r="BH191" s="181"/>
    </row>
    <row r="194" spans="2:24" ht="15.6" x14ac:dyDescent="0.25">
      <c r="B194" s="324" t="s">
        <v>321</v>
      </c>
      <c r="C194" s="324"/>
      <c r="D194" s="233" t="str">
        <f>'Base de Datos'!$C$756</f>
        <v>LIBRO MAYOR</v>
      </c>
      <c r="H194" s="324" t="s">
        <v>321</v>
      </c>
      <c r="I194" s="324"/>
      <c r="J194" s="233" t="str">
        <f>'Base de Datos'!$C$756</f>
        <v>LIBRO MAYOR</v>
      </c>
      <c r="N194" s="324" t="s">
        <v>321</v>
      </c>
      <c r="O194" s="324"/>
      <c r="P194" s="233" t="str">
        <f>'Base de Datos'!$C$756</f>
        <v>LIBRO MAYOR</v>
      </c>
      <c r="T194" s="324" t="s">
        <v>321</v>
      </c>
      <c r="U194" s="324"/>
      <c r="V194" s="233" t="str">
        <f>'Base de Datos'!$C$756</f>
        <v>LIBRO MAYOR</v>
      </c>
    </row>
    <row r="195" spans="2:24" x14ac:dyDescent="0.25">
      <c r="C195" s="2"/>
      <c r="D195" s="2"/>
      <c r="E195" s="2"/>
      <c r="I195" s="2"/>
      <c r="J195" s="2"/>
      <c r="K195" s="2"/>
      <c r="O195" s="2"/>
      <c r="P195" s="2"/>
      <c r="Q195" s="2"/>
      <c r="U195" s="2"/>
      <c r="V195" s="2"/>
      <c r="W195" s="2"/>
    </row>
    <row r="196" spans="2:24" ht="15.6" x14ac:dyDescent="0.25">
      <c r="B196" s="324" t="s">
        <v>322</v>
      </c>
      <c r="C196" s="324"/>
      <c r="D196" s="234" t="str">
        <f>'Base de Datos'!$C$8</f>
        <v>MARZO</v>
      </c>
      <c r="E196" s="160"/>
      <c r="H196" s="324" t="s">
        <v>322</v>
      </c>
      <c r="I196" s="324"/>
      <c r="J196" s="234" t="str">
        <f>'Base de Datos'!$C$8</f>
        <v>MARZO</v>
      </c>
      <c r="K196" s="160"/>
      <c r="N196" s="324" t="s">
        <v>322</v>
      </c>
      <c r="O196" s="324"/>
      <c r="P196" s="234" t="str">
        <f>'Base de Datos'!$C$8</f>
        <v>MARZO</v>
      </c>
      <c r="Q196" s="160"/>
      <c r="T196" s="324" t="s">
        <v>322</v>
      </c>
      <c r="U196" s="324"/>
      <c r="V196" s="234" t="str">
        <f>'Base de Datos'!$C$8</f>
        <v>MARZO</v>
      </c>
      <c r="W196" s="160"/>
    </row>
    <row r="197" spans="2:24" x14ac:dyDescent="0.25">
      <c r="C197" s="2"/>
      <c r="D197" s="2"/>
      <c r="E197" s="2"/>
      <c r="I197" s="2"/>
      <c r="J197" s="2"/>
      <c r="K197" s="2"/>
      <c r="O197" s="2"/>
      <c r="P197" s="2"/>
      <c r="Q197" s="2"/>
      <c r="U197" s="2"/>
      <c r="V197" s="2"/>
      <c r="W197" s="2"/>
    </row>
    <row r="198" spans="2:24" ht="15.6" x14ac:dyDescent="0.25">
      <c r="B198" s="324" t="s">
        <v>323</v>
      </c>
      <c r="C198" s="324"/>
      <c r="D198" s="231">
        <f>'Base de Datos'!$C$9</f>
        <v>2015</v>
      </c>
      <c r="E198" s="2"/>
      <c r="H198" s="324" t="s">
        <v>323</v>
      </c>
      <c r="I198" s="324"/>
      <c r="J198" s="231">
        <f>'Base de Datos'!$C$9</f>
        <v>2015</v>
      </c>
      <c r="K198" s="2"/>
      <c r="N198" s="324" t="s">
        <v>323</v>
      </c>
      <c r="O198" s="324"/>
      <c r="P198" s="231">
        <f>'Base de Datos'!$C$9</f>
        <v>2015</v>
      </c>
      <c r="Q198" s="2"/>
      <c r="T198" s="324" t="s">
        <v>323</v>
      </c>
      <c r="U198" s="324"/>
      <c r="V198" s="231">
        <f>'Base de Datos'!$C$9</f>
        <v>2015</v>
      </c>
      <c r="W198" s="2"/>
    </row>
    <row r="199" spans="2:24" x14ac:dyDescent="0.25">
      <c r="C199" s="2"/>
      <c r="D199" s="2"/>
      <c r="E199" s="2"/>
      <c r="I199" s="2"/>
      <c r="J199" s="2"/>
      <c r="K199" s="2"/>
      <c r="O199" s="2"/>
      <c r="P199" s="2"/>
      <c r="Q199" s="2"/>
      <c r="U199" s="2"/>
      <c r="V199" s="2"/>
      <c r="W199" s="2"/>
    </row>
    <row r="200" spans="2:24" ht="15.6" x14ac:dyDescent="0.25">
      <c r="B200" s="324" t="s">
        <v>324</v>
      </c>
      <c r="C200" s="324"/>
      <c r="D200" s="316">
        <f>'Base de Datos'!$C$6</f>
        <v>20411074561</v>
      </c>
      <c r="E200" s="316"/>
      <c r="H200" s="324" t="s">
        <v>324</v>
      </c>
      <c r="I200" s="324"/>
      <c r="J200" s="316">
        <f>'Base de Datos'!$C$6</f>
        <v>20411074561</v>
      </c>
      <c r="K200" s="316"/>
      <c r="N200" s="324" t="s">
        <v>324</v>
      </c>
      <c r="O200" s="324"/>
      <c r="P200" s="316">
        <f>'Base de Datos'!$C$6</f>
        <v>20411074561</v>
      </c>
      <c r="Q200" s="316"/>
      <c r="T200" s="324" t="s">
        <v>324</v>
      </c>
      <c r="U200" s="324"/>
      <c r="V200" s="316">
        <f>'Base de Datos'!$C$6</f>
        <v>20411074561</v>
      </c>
      <c r="W200" s="316"/>
    </row>
    <row r="201" spans="2:24" x14ac:dyDescent="0.25">
      <c r="C201" s="2"/>
      <c r="D201" s="2"/>
      <c r="E201" s="2"/>
      <c r="I201" s="2"/>
      <c r="J201" s="2"/>
      <c r="K201" s="2"/>
      <c r="O201" s="2"/>
      <c r="P201" s="2"/>
      <c r="Q201" s="2"/>
      <c r="U201" s="2"/>
      <c r="V201" s="2"/>
      <c r="W201" s="2"/>
    </row>
    <row r="202" spans="2:24" ht="15.6" x14ac:dyDescent="0.25">
      <c r="B202" s="324" t="s">
        <v>325</v>
      </c>
      <c r="C202" s="324"/>
      <c r="D202" s="234" t="str">
        <f>'Base de Datos'!$C$5</f>
        <v>LOS BAILARINES SRL</v>
      </c>
      <c r="E202" s="2"/>
      <c r="H202" s="324" t="s">
        <v>325</v>
      </c>
      <c r="I202" s="324"/>
      <c r="J202" s="234" t="str">
        <f>'Base de Datos'!$C$5</f>
        <v>LOS BAILARINES SRL</v>
      </c>
      <c r="K202" s="2"/>
      <c r="N202" s="324" t="s">
        <v>325</v>
      </c>
      <c r="O202" s="324"/>
      <c r="P202" s="234" t="str">
        <f>'Base de Datos'!$C$5</f>
        <v>LOS BAILARINES SRL</v>
      </c>
      <c r="Q202" s="2"/>
      <c r="T202" s="324" t="s">
        <v>325</v>
      </c>
      <c r="U202" s="324"/>
      <c r="V202" s="234" t="str">
        <f>'Base de Datos'!$C$5</f>
        <v>LOS BAILARINES SRL</v>
      </c>
      <c r="W202" s="2"/>
    </row>
    <row r="203" spans="2:24" x14ac:dyDescent="0.25">
      <c r="B203" s="160"/>
      <c r="C203" s="160"/>
      <c r="D203" s="160"/>
      <c r="E203" s="160"/>
      <c r="H203" s="160"/>
      <c r="I203" s="160"/>
      <c r="J203" s="160"/>
      <c r="K203" s="160"/>
      <c r="N203" s="160"/>
      <c r="O203" s="160"/>
      <c r="P203" s="160"/>
      <c r="Q203" s="160"/>
      <c r="T203" s="160"/>
      <c r="U203" s="160"/>
      <c r="V203" s="160"/>
      <c r="W203" s="160"/>
    </row>
    <row r="204" spans="2:24" ht="15.6" x14ac:dyDescent="0.25">
      <c r="B204" s="324" t="s">
        <v>472</v>
      </c>
      <c r="C204" s="324"/>
      <c r="D204" s="175">
        <v>93</v>
      </c>
      <c r="H204" s="324" t="s">
        <v>472</v>
      </c>
      <c r="I204" s="324"/>
      <c r="J204" s="175">
        <v>94</v>
      </c>
      <c r="N204" s="324" t="s">
        <v>472</v>
      </c>
      <c r="O204" s="324"/>
      <c r="P204" s="175">
        <v>95</v>
      </c>
      <c r="T204" s="324" t="s">
        <v>472</v>
      </c>
      <c r="U204" s="324"/>
      <c r="V204" s="175">
        <v>97</v>
      </c>
    </row>
    <row r="205" spans="2:24" x14ac:dyDescent="0.25">
      <c r="B205" s="160"/>
      <c r="C205" s="160"/>
      <c r="D205" s="160"/>
      <c r="E205" s="160"/>
      <c r="H205" s="160"/>
      <c r="I205" s="160"/>
      <c r="J205" s="160"/>
      <c r="K205" s="160"/>
      <c r="N205" s="160"/>
      <c r="O205" s="160"/>
      <c r="P205" s="160"/>
      <c r="Q205" s="160"/>
      <c r="T205" s="160"/>
      <c r="U205" s="160"/>
      <c r="V205" s="160"/>
      <c r="W205" s="160"/>
    </row>
    <row r="206" spans="2:24" ht="15.6" x14ac:dyDescent="0.25">
      <c r="B206" s="324" t="s">
        <v>473</v>
      </c>
      <c r="C206" s="324"/>
      <c r="D206" s="234" t="str">
        <f>VLOOKUP(D204,CuentasContables,5,FALSE)</f>
        <v>CENTROS DE COSTOS</v>
      </c>
      <c r="E206" s="160"/>
      <c r="H206" s="324" t="s">
        <v>473</v>
      </c>
      <c r="I206" s="324"/>
      <c r="J206" s="234" t="str">
        <f>VLOOKUP(J204,CuentasContables,5,FALSE)</f>
        <v>GASTOS ADMINISTRATIVOS</v>
      </c>
      <c r="K206" s="160"/>
      <c r="N206" s="324" t="s">
        <v>473</v>
      </c>
      <c r="O206" s="324"/>
      <c r="P206" s="234" t="str">
        <f>VLOOKUP(P204,CuentasContables,5,FALSE)</f>
        <v>GASTOS DE VENTAS</v>
      </c>
      <c r="Q206" s="160"/>
      <c r="T206" s="324" t="s">
        <v>473</v>
      </c>
      <c r="U206" s="324"/>
      <c r="V206" s="234" t="str">
        <f>VLOOKUP(V204,CuentasContables,5,FALSE)</f>
        <v>GASTOS FINANCIEROS</v>
      </c>
      <c r="W206" s="160"/>
    </row>
    <row r="207" spans="2:24" ht="14.4" thickBot="1" x14ac:dyDescent="0.3">
      <c r="B207" s="160"/>
      <c r="C207" s="160"/>
      <c r="D207" s="160"/>
      <c r="E207" s="160"/>
      <c r="H207" s="160"/>
      <c r="I207" s="160"/>
      <c r="J207" s="160"/>
      <c r="K207" s="160"/>
      <c r="N207" s="160"/>
      <c r="O207" s="160"/>
      <c r="P207" s="160"/>
      <c r="Q207" s="160"/>
      <c r="T207" s="160"/>
      <c r="U207" s="160"/>
      <c r="V207" s="160"/>
      <c r="W207" s="160"/>
    </row>
    <row r="208" spans="2:24" x14ac:dyDescent="0.25">
      <c r="B208" s="325" t="s">
        <v>466</v>
      </c>
      <c r="C208" s="327" t="s">
        <v>467</v>
      </c>
      <c r="D208" s="327" t="s">
        <v>468</v>
      </c>
      <c r="E208" s="329" t="s">
        <v>469</v>
      </c>
      <c r="F208" s="330"/>
      <c r="H208" s="325" t="s">
        <v>466</v>
      </c>
      <c r="I208" s="327" t="s">
        <v>467</v>
      </c>
      <c r="J208" s="327" t="s">
        <v>468</v>
      </c>
      <c r="K208" s="329" t="s">
        <v>469</v>
      </c>
      <c r="L208" s="330"/>
      <c r="N208" s="325" t="s">
        <v>466</v>
      </c>
      <c r="O208" s="327" t="s">
        <v>467</v>
      </c>
      <c r="P208" s="327" t="s">
        <v>468</v>
      </c>
      <c r="Q208" s="329" t="s">
        <v>469</v>
      </c>
      <c r="R208" s="330"/>
      <c r="T208" s="325" t="s">
        <v>466</v>
      </c>
      <c r="U208" s="327" t="s">
        <v>467</v>
      </c>
      <c r="V208" s="327" t="s">
        <v>468</v>
      </c>
      <c r="W208" s="329" t="s">
        <v>469</v>
      </c>
      <c r="X208" s="330"/>
    </row>
    <row r="209" spans="2:63" ht="14.4" thickBot="1" x14ac:dyDescent="0.3">
      <c r="B209" s="326"/>
      <c r="C209" s="328"/>
      <c r="D209" s="328"/>
      <c r="E209" s="232" t="s">
        <v>403</v>
      </c>
      <c r="F209" s="174" t="s">
        <v>402</v>
      </c>
      <c r="H209" s="326"/>
      <c r="I209" s="328"/>
      <c r="J209" s="328"/>
      <c r="K209" s="232" t="s">
        <v>403</v>
      </c>
      <c r="L209" s="174" t="s">
        <v>402</v>
      </c>
      <c r="N209" s="326"/>
      <c r="O209" s="328"/>
      <c r="P209" s="328"/>
      <c r="Q209" s="232" t="s">
        <v>403</v>
      </c>
      <c r="R209" s="174" t="s">
        <v>402</v>
      </c>
      <c r="T209" s="326"/>
      <c r="U209" s="328"/>
      <c r="V209" s="328"/>
      <c r="W209" s="232" t="s">
        <v>403</v>
      </c>
      <c r="X209" s="174" t="s">
        <v>402</v>
      </c>
    </row>
    <row r="210" spans="2:63" ht="14.4" thickTop="1" x14ac:dyDescent="0.25">
      <c r="B210" s="236">
        <v>41670</v>
      </c>
      <c r="C210" s="171"/>
      <c r="D210" s="166" t="s">
        <v>470</v>
      </c>
      <c r="E210" s="167">
        <f>SUMIF('Libro Diario Convencional'!$B$15:$B$167,D204,'Libro Diario Convencional'!$I$15:$I$167)</f>
        <v>0</v>
      </c>
      <c r="F210" s="168">
        <f>SUMIF('Libro Diario Convencional'!$B$15:$B$167,D204,'Libro Diario Convencional'!$J$15:$J$167)</f>
        <v>0</v>
      </c>
      <c r="G210" s="9"/>
      <c r="H210" s="236">
        <v>41670</v>
      </c>
      <c r="I210" s="171"/>
      <c r="J210" s="166" t="s">
        <v>470</v>
      </c>
      <c r="K210" s="167">
        <f>SUMIF('Libro Diario Convencional'!$B$15:$B$167,J204,'Libro Diario Convencional'!$I$15:$I$167)</f>
        <v>387534.87288135593</v>
      </c>
      <c r="L210" s="168">
        <f>SUMIF('Libro Diario Convencional'!$B$15:$B$167,J204,'Libro Diario Convencional'!$J$15:$J$167)</f>
        <v>0</v>
      </c>
      <c r="M210" s="9"/>
      <c r="N210" s="236">
        <v>41670</v>
      </c>
      <c r="O210" s="171"/>
      <c r="P210" s="166" t="s">
        <v>470</v>
      </c>
      <c r="Q210" s="167">
        <f>SUMIF('Libro Diario Convencional'!$B$15:$B$167,P204,'Libro Diario Convencional'!$I$15:$I$167)</f>
        <v>0</v>
      </c>
      <c r="R210" s="168">
        <f>SUMIF('Libro Diario Convencional'!$B$15:$B$167,P204,'Libro Diario Convencional'!$J$15:$J$167)</f>
        <v>0</v>
      </c>
      <c r="S210" s="9"/>
      <c r="T210" s="236">
        <v>41670</v>
      </c>
      <c r="U210" s="171"/>
      <c r="V210" s="166" t="s">
        <v>470</v>
      </c>
      <c r="W210" s="167">
        <f>SUMIF('Libro Diario Convencional'!$B$15:$B$167,V204,'Libro Diario Convencional'!$I$15:$I$167)</f>
        <v>0</v>
      </c>
      <c r="X210" s="168">
        <f>SUMIF('Libro Diario Convencional'!$B$15:$B$167,V204,'Libro Diario Convencional'!$J$15:$J$167)</f>
        <v>0</v>
      </c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</row>
    <row r="211" spans="2:63" x14ac:dyDescent="0.25">
      <c r="B211" s="169">
        <v>41670</v>
      </c>
      <c r="C211" s="172"/>
      <c r="D211" s="161" t="s">
        <v>474</v>
      </c>
      <c r="E211" s="162">
        <f>SUMIF('Asientos de Cierre'!$B$6:$B$549,D204,'Asientos de Cierre'!$J$6:$J$549)</f>
        <v>0</v>
      </c>
      <c r="F211" s="163">
        <f>SUMIF('Asientos de Cierre'!$B$6:$B$549,D204,'Asientos de Cierre'!$K$6:$K$549)</f>
        <v>0</v>
      </c>
      <c r="G211" s="9"/>
      <c r="H211" s="169">
        <v>41670</v>
      </c>
      <c r="I211" s="172"/>
      <c r="J211" s="161" t="s">
        <v>474</v>
      </c>
      <c r="K211" s="162">
        <f>SUMIF('Asientos de Cierre'!$B$6:$B$549,J204,'Asientos de Cierre'!$J$6:$J$549)</f>
        <v>0</v>
      </c>
      <c r="L211" s="163">
        <f>SUMIF('Asientos de Cierre'!$B$6:$B$549,J204,'Asientos de Cierre'!$K$6:$K$549)</f>
        <v>366992.5</v>
      </c>
      <c r="M211" s="9"/>
      <c r="N211" s="169">
        <v>41670</v>
      </c>
      <c r="O211" s="172"/>
      <c r="P211" s="161" t="s">
        <v>474</v>
      </c>
      <c r="Q211" s="162">
        <f>SUMIF('Asientos de Cierre'!$B$6:$B$549,P204,'Asientos de Cierre'!$J$6:$J$549)</f>
        <v>0</v>
      </c>
      <c r="R211" s="163">
        <f>SUMIF('Asientos de Cierre'!$B$6:$B$549,P204,'Asientos de Cierre'!$K$6:$K$549)</f>
        <v>0</v>
      </c>
      <c r="S211" s="9"/>
      <c r="T211" s="169">
        <v>41670</v>
      </c>
      <c r="U211" s="172"/>
      <c r="V211" s="161" t="s">
        <v>474</v>
      </c>
      <c r="W211" s="162">
        <f>SUMIF('Asientos de Cierre'!$B$6:$B$549,V204,'Asientos de Cierre'!$J$6:$J$549)</f>
        <v>0</v>
      </c>
      <c r="X211" s="163">
        <f>SUMIF('Asientos de Cierre'!$B$6:$B$549,V204,'Asientos de Cierre'!$K$6:$K$549)</f>
        <v>0</v>
      </c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</row>
    <row r="212" spans="2:63" x14ac:dyDescent="0.25">
      <c r="B212" s="169"/>
      <c r="C212" s="172"/>
      <c r="D212" s="161"/>
      <c r="E212" s="162"/>
      <c r="F212" s="163"/>
      <c r="G212" s="9"/>
      <c r="H212" s="169"/>
      <c r="I212" s="172"/>
      <c r="J212" s="161"/>
      <c r="K212" s="162"/>
      <c r="L212" s="163"/>
      <c r="M212" s="9"/>
      <c r="N212" s="169"/>
      <c r="O212" s="172"/>
      <c r="P212" s="161"/>
      <c r="Q212" s="162"/>
      <c r="R212" s="163"/>
      <c r="S212" s="9"/>
      <c r="T212" s="169"/>
      <c r="U212" s="172"/>
      <c r="V212" s="161"/>
      <c r="W212" s="162"/>
      <c r="X212" s="163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</row>
    <row r="213" spans="2:63" ht="14.4" thickBot="1" x14ac:dyDescent="0.3">
      <c r="B213" s="169"/>
      <c r="C213" s="172"/>
      <c r="D213" s="161"/>
      <c r="E213" s="162"/>
      <c r="F213" s="163"/>
      <c r="G213" s="9"/>
      <c r="H213" s="169"/>
      <c r="I213" s="172"/>
      <c r="J213" s="161"/>
      <c r="K213" s="162"/>
      <c r="L213" s="163"/>
      <c r="M213" s="9"/>
      <c r="N213" s="169"/>
      <c r="O213" s="172"/>
      <c r="P213" s="161"/>
      <c r="Q213" s="162"/>
      <c r="R213" s="163"/>
      <c r="S213" s="9"/>
      <c r="T213" s="169"/>
      <c r="U213" s="172"/>
      <c r="V213" s="161"/>
      <c r="W213" s="162"/>
      <c r="X213" s="163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</row>
    <row r="214" spans="2:63" ht="15" thickBot="1" x14ac:dyDescent="0.3">
      <c r="B214" s="169"/>
      <c r="C214" s="172"/>
      <c r="D214" s="161" t="s">
        <v>471</v>
      </c>
      <c r="E214" s="162">
        <f>SUM(E210:E213)</f>
        <v>0</v>
      </c>
      <c r="F214" s="163">
        <f>SUM(F210:F213)</f>
        <v>0</v>
      </c>
      <c r="G214" s="9"/>
      <c r="H214" s="169"/>
      <c r="I214" s="172"/>
      <c r="J214" s="161" t="s">
        <v>471</v>
      </c>
      <c r="K214" s="162">
        <f>SUM(K210:K213)</f>
        <v>387534.87288135593</v>
      </c>
      <c r="L214" s="163">
        <f>SUM(L210:L213)</f>
        <v>366992.5</v>
      </c>
      <c r="M214" s="9"/>
      <c r="N214" s="169"/>
      <c r="O214" s="172"/>
      <c r="P214" s="161" t="s">
        <v>471</v>
      </c>
      <c r="Q214" s="162">
        <f>SUM(Q210:Q213)</f>
        <v>0</v>
      </c>
      <c r="R214" s="163">
        <f>SUM(R210:R213)</f>
        <v>0</v>
      </c>
      <c r="S214" s="9"/>
      <c r="T214" s="169"/>
      <c r="U214" s="172"/>
      <c r="V214" s="161" t="s">
        <v>471</v>
      </c>
      <c r="W214" s="162">
        <f>SUM(W210:W213)</f>
        <v>0</v>
      </c>
      <c r="X214" s="163">
        <f>SUM(X210:X213)</f>
        <v>0</v>
      </c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J214" s="157">
        <f>SUM(E214,K214,Q214,W214,AC214,AI214,AO214,AU214,BA214,BG214)</f>
        <v>387534.87288135593</v>
      </c>
      <c r="BK214" s="158">
        <f>SUM(F214,L214,R214,X214,AD214,AJ214,AP214,AV214,BB214,BH214)</f>
        <v>366992.5</v>
      </c>
    </row>
    <row r="215" spans="2:63" ht="15" thickBot="1" x14ac:dyDescent="0.3">
      <c r="B215" s="170"/>
      <c r="C215" s="173"/>
      <c r="D215" s="164" t="str">
        <f>IF(E214=F214,"",IF(E214&gt;F214,"Saldo Deudor","Saldo Acreedor"))</f>
        <v/>
      </c>
      <c r="E215" s="165" t="str">
        <f>IF(E214&gt;F214,E214-F214,"")</f>
        <v/>
      </c>
      <c r="F215" s="176" t="str">
        <f>IF(E214&lt;F214,F214-E214,"")</f>
        <v/>
      </c>
      <c r="H215" s="170"/>
      <c r="I215" s="173"/>
      <c r="J215" s="164" t="str">
        <f>IF(K214=L214,"",IF(K214&gt;L214,"Saldo Deudor","Saldo Acreedor"))</f>
        <v>Saldo Deudor</v>
      </c>
      <c r="K215" s="165">
        <f>IF(K214&gt;L214,K214-L214,"")</f>
        <v>20542.372881355928</v>
      </c>
      <c r="L215" s="176" t="str">
        <f>IF(K214&lt;L214,L214-K214,"")</f>
        <v/>
      </c>
      <c r="N215" s="170"/>
      <c r="O215" s="173"/>
      <c r="P215" s="164" t="str">
        <f>IF(Q214=R214,"",IF(Q214&gt;R214,"Saldo Deudor","Saldo Acreedor"))</f>
        <v/>
      </c>
      <c r="Q215" s="165" t="str">
        <f>IF(Q214&gt;R214,Q214-R214,"")</f>
        <v/>
      </c>
      <c r="R215" s="176" t="str">
        <f>IF(Q214&lt;R214,R214-Q214,"")</f>
        <v/>
      </c>
      <c r="T215" s="170"/>
      <c r="U215" s="173"/>
      <c r="V215" s="164" t="str">
        <f>IF(W214=X214,"",IF(W214&gt;X214,"Saldo Deudor","Saldo Acreedor"))</f>
        <v/>
      </c>
      <c r="W215" s="165" t="str">
        <f>IF(W214&gt;X214,W214-X214,"")</f>
        <v/>
      </c>
      <c r="X215" s="176" t="str">
        <f>IF(W214&lt;X214,X214-W214,"")</f>
        <v/>
      </c>
      <c r="BJ215" s="10">
        <f>SUM(BJ22,BJ46,BJ70,BJ94,BJ118,BJ142,BJ166,BJ190,BJ214)</f>
        <v>5903679.8644067794</v>
      </c>
      <c r="BK215" s="11">
        <f>SUM(BK22,BK46,BK70,BK94,BK118,BK142,BK166,BK190,BK214)</f>
        <v>5369725.9915254237</v>
      </c>
    </row>
  </sheetData>
  <mergeCells count="948">
    <mergeCell ref="AX6:AY6"/>
    <mergeCell ref="Z2:AA2"/>
    <mergeCell ref="AF2:AG2"/>
    <mergeCell ref="AL2:AM2"/>
    <mergeCell ref="AR2:AS2"/>
    <mergeCell ref="AX2:AY2"/>
    <mergeCell ref="B4:C4"/>
    <mergeCell ref="H4:I4"/>
    <mergeCell ref="N4:O4"/>
    <mergeCell ref="T4:U4"/>
    <mergeCell ref="Z4:AA4"/>
    <mergeCell ref="B2:C2"/>
    <mergeCell ref="H2:I2"/>
    <mergeCell ref="N2:O2"/>
    <mergeCell ref="T2:U2"/>
    <mergeCell ref="AF4:AG4"/>
    <mergeCell ref="AL4:AM4"/>
    <mergeCell ref="AR4:AS4"/>
    <mergeCell ref="AX4:AY4"/>
    <mergeCell ref="T8:U8"/>
    <mergeCell ref="AN8:AO8"/>
    <mergeCell ref="AR8:AS8"/>
    <mergeCell ref="B6:C6"/>
    <mergeCell ref="H6:I6"/>
    <mergeCell ref="N6:O6"/>
    <mergeCell ref="T6:U6"/>
    <mergeCell ref="Z6:AA6"/>
    <mergeCell ref="AF6:AG6"/>
    <mergeCell ref="AL6:AM6"/>
    <mergeCell ref="AR6:AS6"/>
    <mergeCell ref="AT8:AU8"/>
    <mergeCell ref="AX8:AY8"/>
    <mergeCell ref="AZ8:BA8"/>
    <mergeCell ref="B10:C10"/>
    <mergeCell ref="H10:I10"/>
    <mergeCell ref="N10:O10"/>
    <mergeCell ref="T10:U10"/>
    <mergeCell ref="Z10:AA10"/>
    <mergeCell ref="V8:W8"/>
    <mergeCell ref="Z8:AA8"/>
    <mergeCell ref="AB8:AC8"/>
    <mergeCell ref="AF8:AG8"/>
    <mergeCell ref="AH8:AI8"/>
    <mergeCell ref="AL8:AM8"/>
    <mergeCell ref="AF10:AG10"/>
    <mergeCell ref="AL10:AM10"/>
    <mergeCell ref="AR10:AS10"/>
    <mergeCell ref="AX10:AY10"/>
    <mergeCell ref="B8:C8"/>
    <mergeCell ref="D8:E8"/>
    <mergeCell ref="H8:I8"/>
    <mergeCell ref="J8:K8"/>
    <mergeCell ref="N8:O8"/>
    <mergeCell ref="P8:Q8"/>
    <mergeCell ref="B12:C12"/>
    <mergeCell ref="H12:I12"/>
    <mergeCell ref="N12:O12"/>
    <mergeCell ref="T12:U12"/>
    <mergeCell ref="Z12:AA12"/>
    <mergeCell ref="AF12:AG12"/>
    <mergeCell ref="AL12:AM12"/>
    <mergeCell ref="AR12:AS12"/>
    <mergeCell ref="AX12:AY12"/>
    <mergeCell ref="B14:C14"/>
    <mergeCell ref="H14:I14"/>
    <mergeCell ref="N14:O14"/>
    <mergeCell ref="T14:U14"/>
    <mergeCell ref="Z14:AA14"/>
    <mergeCell ref="AF14:AG14"/>
    <mergeCell ref="AL14:AM14"/>
    <mergeCell ref="AR14:AS14"/>
    <mergeCell ref="AX14:AY14"/>
    <mergeCell ref="B16:B17"/>
    <mergeCell ref="C16:C17"/>
    <mergeCell ref="D16:D17"/>
    <mergeCell ref="E16:F16"/>
    <mergeCell ref="H16:H17"/>
    <mergeCell ref="I16:I17"/>
    <mergeCell ref="J16:J17"/>
    <mergeCell ref="K16:L16"/>
    <mergeCell ref="Z16:Z17"/>
    <mergeCell ref="AA16:AA17"/>
    <mergeCell ref="AB16:AB17"/>
    <mergeCell ref="AC16:AD16"/>
    <mergeCell ref="N16:N17"/>
    <mergeCell ref="O16:O17"/>
    <mergeCell ref="P16:P17"/>
    <mergeCell ref="Q16:R16"/>
    <mergeCell ref="T16:T17"/>
    <mergeCell ref="U16:U17"/>
    <mergeCell ref="AX16:AX17"/>
    <mergeCell ref="AY16:AY17"/>
    <mergeCell ref="AZ16:AZ17"/>
    <mergeCell ref="BA16:BB16"/>
    <mergeCell ref="B26:C26"/>
    <mergeCell ref="H26:I26"/>
    <mergeCell ref="N26:O26"/>
    <mergeCell ref="T26:U26"/>
    <mergeCell ref="Z26:AA26"/>
    <mergeCell ref="AF26:AG26"/>
    <mergeCell ref="AN16:AN17"/>
    <mergeCell ref="AO16:AP16"/>
    <mergeCell ref="AR16:AR17"/>
    <mergeCell ref="AS16:AS17"/>
    <mergeCell ref="AT16:AT17"/>
    <mergeCell ref="AU16:AV16"/>
    <mergeCell ref="AF16:AF17"/>
    <mergeCell ref="AG16:AG17"/>
    <mergeCell ref="AH16:AH17"/>
    <mergeCell ref="AI16:AJ16"/>
    <mergeCell ref="AL16:AL17"/>
    <mergeCell ref="AM16:AM17"/>
    <mergeCell ref="V16:V17"/>
    <mergeCell ref="W16:X16"/>
    <mergeCell ref="AL26:AM26"/>
    <mergeCell ref="AR26:AS26"/>
    <mergeCell ref="AX26:AY26"/>
    <mergeCell ref="BD26:BE26"/>
    <mergeCell ref="B28:C28"/>
    <mergeCell ref="H28:I28"/>
    <mergeCell ref="N28:O28"/>
    <mergeCell ref="T28:U28"/>
    <mergeCell ref="Z28:AA28"/>
    <mergeCell ref="AF28:AG28"/>
    <mergeCell ref="AL28:AM28"/>
    <mergeCell ref="AR28:AS28"/>
    <mergeCell ref="AX28:AY28"/>
    <mergeCell ref="BD28:BE28"/>
    <mergeCell ref="BD30:BE30"/>
    <mergeCell ref="B32:C32"/>
    <mergeCell ref="D32:E32"/>
    <mergeCell ref="H32:I32"/>
    <mergeCell ref="J32:K32"/>
    <mergeCell ref="N32:O32"/>
    <mergeCell ref="P32:Q32"/>
    <mergeCell ref="BD32:BE32"/>
    <mergeCell ref="BF32:BG32"/>
    <mergeCell ref="AT32:AU32"/>
    <mergeCell ref="AX32:AY32"/>
    <mergeCell ref="AZ32:BA32"/>
    <mergeCell ref="B30:C30"/>
    <mergeCell ref="H30:I30"/>
    <mergeCell ref="N30:O30"/>
    <mergeCell ref="T30:U30"/>
    <mergeCell ref="Z30:AA30"/>
    <mergeCell ref="AF30:AG30"/>
    <mergeCell ref="AL30:AM30"/>
    <mergeCell ref="AR30:AS30"/>
    <mergeCell ref="AX30:AY30"/>
    <mergeCell ref="AL32:AM32"/>
    <mergeCell ref="AN32:AO32"/>
    <mergeCell ref="AR32:AS32"/>
    <mergeCell ref="T32:U32"/>
    <mergeCell ref="V32:W32"/>
    <mergeCell ref="Z32:AA32"/>
    <mergeCell ref="AB32:AC32"/>
    <mergeCell ref="AF32:AG32"/>
    <mergeCell ref="AH32:AI32"/>
    <mergeCell ref="AX34:AY34"/>
    <mergeCell ref="BD34:BE34"/>
    <mergeCell ref="B36:C36"/>
    <mergeCell ref="H36:I36"/>
    <mergeCell ref="N36:O36"/>
    <mergeCell ref="T36:U36"/>
    <mergeCell ref="Z36:AA36"/>
    <mergeCell ref="AF36:AG36"/>
    <mergeCell ref="AL36:AM36"/>
    <mergeCell ref="AR36:AS36"/>
    <mergeCell ref="AX36:AY36"/>
    <mergeCell ref="BD36:BE36"/>
    <mergeCell ref="B34:C34"/>
    <mergeCell ref="H34:I34"/>
    <mergeCell ref="N34:O34"/>
    <mergeCell ref="T34:U34"/>
    <mergeCell ref="Z34:AA34"/>
    <mergeCell ref="AF34:AG34"/>
    <mergeCell ref="AL34:AM34"/>
    <mergeCell ref="AR34:AS34"/>
    <mergeCell ref="Z38:AA38"/>
    <mergeCell ref="AF38:AG38"/>
    <mergeCell ref="AL38:AM38"/>
    <mergeCell ref="AR38:AS38"/>
    <mergeCell ref="N40:N41"/>
    <mergeCell ref="O40:O41"/>
    <mergeCell ref="P40:P41"/>
    <mergeCell ref="Q40:R40"/>
    <mergeCell ref="T40:T41"/>
    <mergeCell ref="U40:U41"/>
    <mergeCell ref="AX38:AY38"/>
    <mergeCell ref="BD38:BE38"/>
    <mergeCell ref="B40:B41"/>
    <mergeCell ref="C40:C41"/>
    <mergeCell ref="D40:D41"/>
    <mergeCell ref="E40:F40"/>
    <mergeCell ref="H40:H41"/>
    <mergeCell ref="I40:I41"/>
    <mergeCell ref="J40:J41"/>
    <mergeCell ref="K40:L40"/>
    <mergeCell ref="AH40:AH41"/>
    <mergeCell ref="AI40:AJ40"/>
    <mergeCell ref="AL40:AL41"/>
    <mergeCell ref="AM40:AM41"/>
    <mergeCell ref="V40:V41"/>
    <mergeCell ref="W40:X40"/>
    <mergeCell ref="Z40:Z41"/>
    <mergeCell ref="AA40:AA41"/>
    <mergeCell ref="AB40:AB41"/>
    <mergeCell ref="AC40:AD40"/>
    <mergeCell ref="B38:C38"/>
    <mergeCell ref="H38:I38"/>
    <mergeCell ref="N38:O38"/>
    <mergeCell ref="T38:U38"/>
    <mergeCell ref="BF40:BF41"/>
    <mergeCell ref="BG40:BH40"/>
    <mergeCell ref="B50:C50"/>
    <mergeCell ref="H50:I50"/>
    <mergeCell ref="N50:O50"/>
    <mergeCell ref="T50:U50"/>
    <mergeCell ref="Z50:AA50"/>
    <mergeCell ref="AF50:AG50"/>
    <mergeCell ref="AL50:AM50"/>
    <mergeCell ref="AR50:AS50"/>
    <mergeCell ref="AX40:AX41"/>
    <mergeCell ref="AY40:AY41"/>
    <mergeCell ref="AZ40:AZ41"/>
    <mergeCell ref="BA40:BB40"/>
    <mergeCell ref="BD40:BD41"/>
    <mergeCell ref="BE40:BE41"/>
    <mergeCell ref="AN40:AN41"/>
    <mergeCell ref="AO40:AP40"/>
    <mergeCell ref="AR40:AR41"/>
    <mergeCell ref="AS40:AS41"/>
    <mergeCell ref="AT40:AT41"/>
    <mergeCell ref="AU40:AV40"/>
    <mergeCell ref="AF40:AF41"/>
    <mergeCell ref="AG40:AG41"/>
    <mergeCell ref="AX50:AY50"/>
    <mergeCell ref="BD50:BE50"/>
    <mergeCell ref="B52:C52"/>
    <mergeCell ref="H52:I52"/>
    <mergeCell ref="N52:O52"/>
    <mergeCell ref="T52:U52"/>
    <mergeCell ref="Z52:AA52"/>
    <mergeCell ref="AF52:AG52"/>
    <mergeCell ref="AL52:AM52"/>
    <mergeCell ref="AR52:AS52"/>
    <mergeCell ref="AX52:AY52"/>
    <mergeCell ref="BD52:BE52"/>
    <mergeCell ref="BD54:BE54"/>
    <mergeCell ref="B56:C56"/>
    <mergeCell ref="D56:E56"/>
    <mergeCell ref="H56:I56"/>
    <mergeCell ref="J56:K56"/>
    <mergeCell ref="N56:O56"/>
    <mergeCell ref="P56:Q56"/>
    <mergeCell ref="T56:U56"/>
    <mergeCell ref="V56:W56"/>
    <mergeCell ref="AR56:AS56"/>
    <mergeCell ref="AT56:AU56"/>
    <mergeCell ref="AX56:AY56"/>
    <mergeCell ref="AZ56:BA56"/>
    <mergeCell ref="BD56:BE56"/>
    <mergeCell ref="B54:C54"/>
    <mergeCell ref="H54:I54"/>
    <mergeCell ref="N54:O54"/>
    <mergeCell ref="T54:U54"/>
    <mergeCell ref="Z54:AA54"/>
    <mergeCell ref="AF54:AG54"/>
    <mergeCell ref="AL54:AM54"/>
    <mergeCell ref="AR54:AS54"/>
    <mergeCell ref="AX54:AY54"/>
    <mergeCell ref="BF56:BG56"/>
    <mergeCell ref="Z56:AA56"/>
    <mergeCell ref="AB56:AC56"/>
    <mergeCell ref="AF56:AG56"/>
    <mergeCell ref="AH56:AI56"/>
    <mergeCell ref="AL56:AM56"/>
    <mergeCell ref="AN56:AO56"/>
    <mergeCell ref="AL58:AM58"/>
    <mergeCell ref="AR58:AS58"/>
    <mergeCell ref="AX58:AY58"/>
    <mergeCell ref="BD58:BE58"/>
    <mergeCell ref="B60:C60"/>
    <mergeCell ref="H60:I60"/>
    <mergeCell ref="N60:O60"/>
    <mergeCell ref="T60:U60"/>
    <mergeCell ref="Z60:AA60"/>
    <mergeCell ref="AF60:AG60"/>
    <mergeCell ref="B58:C58"/>
    <mergeCell ref="H58:I58"/>
    <mergeCell ref="N58:O58"/>
    <mergeCell ref="T58:U58"/>
    <mergeCell ref="Z58:AA58"/>
    <mergeCell ref="AF58:AG58"/>
    <mergeCell ref="BD62:BE62"/>
    <mergeCell ref="B64:B65"/>
    <mergeCell ref="C64:C65"/>
    <mergeCell ref="D64:D65"/>
    <mergeCell ref="E64:F64"/>
    <mergeCell ref="H64:H65"/>
    <mergeCell ref="I64:I65"/>
    <mergeCell ref="AL60:AM60"/>
    <mergeCell ref="AR60:AS60"/>
    <mergeCell ref="AX60:AY60"/>
    <mergeCell ref="BD60:BE60"/>
    <mergeCell ref="B62:C62"/>
    <mergeCell ref="H62:I62"/>
    <mergeCell ref="N62:O62"/>
    <mergeCell ref="T62:U62"/>
    <mergeCell ref="Z62:AA62"/>
    <mergeCell ref="AF62:AG62"/>
    <mergeCell ref="J64:J65"/>
    <mergeCell ref="K64:L64"/>
    <mergeCell ref="N64:N65"/>
    <mergeCell ref="O64:O65"/>
    <mergeCell ref="P64:P65"/>
    <mergeCell ref="Q64:R64"/>
    <mergeCell ref="AL62:AM62"/>
    <mergeCell ref="AR62:AS62"/>
    <mergeCell ref="AX62:AY62"/>
    <mergeCell ref="AF64:AF65"/>
    <mergeCell ref="AG64:AG65"/>
    <mergeCell ref="AH64:AH65"/>
    <mergeCell ref="AI64:AJ64"/>
    <mergeCell ref="T64:T65"/>
    <mergeCell ref="U64:U65"/>
    <mergeCell ref="V64:V65"/>
    <mergeCell ref="W64:X64"/>
    <mergeCell ref="Z64:Z65"/>
    <mergeCell ref="AA64:AA65"/>
    <mergeCell ref="BD64:BD65"/>
    <mergeCell ref="BE64:BE65"/>
    <mergeCell ref="BF64:BF65"/>
    <mergeCell ref="BG64:BH64"/>
    <mergeCell ref="B74:C74"/>
    <mergeCell ref="H74:I74"/>
    <mergeCell ref="N74:O74"/>
    <mergeCell ref="T74:U74"/>
    <mergeCell ref="Z74:AA74"/>
    <mergeCell ref="AF74:AG74"/>
    <mergeCell ref="AT64:AT65"/>
    <mergeCell ref="AU64:AV64"/>
    <mergeCell ref="AX64:AX65"/>
    <mergeCell ref="AY64:AY65"/>
    <mergeCell ref="AZ64:AZ65"/>
    <mergeCell ref="BA64:BB64"/>
    <mergeCell ref="AL64:AL65"/>
    <mergeCell ref="AM64:AM65"/>
    <mergeCell ref="AN64:AN65"/>
    <mergeCell ref="AO64:AP64"/>
    <mergeCell ref="AR64:AR65"/>
    <mergeCell ref="AS64:AS65"/>
    <mergeCell ref="AB64:AB65"/>
    <mergeCell ref="AC64:AD64"/>
    <mergeCell ref="AL74:AM74"/>
    <mergeCell ref="AR74:AS74"/>
    <mergeCell ref="AX74:AY74"/>
    <mergeCell ref="BD74:BE74"/>
    <mergeCell ref="B76:C76"/>
    <mergeCell ref="H76:I76"/>
    <mergeCell ref="N76:O76"/>
    <mergeCell ref="T76:U76"/>
    <mergeCell ref="Z76:AA76"/>
    <mergeCell ref="AF76:AG76"/>
    <mergeCell ref="AL76:AM76"/>
    <mergeCell ref="AR76:AS76"/>
    <mergeCell ref="AX76:AY76"/>
    <mergeCell ref="BD76:BE76"/>
    <mergeCell ref="BD78:BE78"/>
    <mergeCell ref="B80:C80"/>
    <mergeCell ref="D80:E80"/>
    <mergeCell ref="H80:I80"/>
    <mergeCell ref="J80:K80"/>
    <mergeCell ref="N80:O80"/>
    <mergeCell ref="P80:Q80"/>
    <mergeCell ref="BD80:BE80"/>
    <mergeCell ref="BF80:BG80"/>
    <mergeCell ref="AT80:AU80"/>
    <mergeCell ref="AX80:AY80"/>
    <mergeCell ref="AZ80:BA80"/>
    <mergeCell ref="B78:C78"/>
    <mergeCell ref="H78:I78"/>
    <mergeCell ref="N78:O78"/>
    <mergeCell ref="T78:U78"/>
    <mergeCell ref="Z78:AA78"/>
    <mergeCell ref="AF78:AG78"/>
    <mergeCell ref="AL78:AM78"/>
    <mergeCell ref="AR78:AS78"/>
    <mergeCell ref="AX78:AY78"/>
    <mergeCell ref="AL80:AM80"/>
    <mergeCell ref="AN80:AO80"/>
    <mergeCell ref="AR80:AS80"/>
    <mergeCell ref="T80:U80"/>
    <mergeCell ref="V80:W80"/>
    <mergeCell ref="Z80:AA80"/>
    <mergeCell ref="AB80:AC80"/>
    <mergeCell ref="AF80:AG80"/>
    <mergeCell ref="AH80:AI80"/>
    <mergeCell ref="AX82:AY82"/>
    <mergeCell ref="BD82:BE82"/>
    <mergeCell ref="B84:C84"/>
    <mergeCell ref="H84:I84"/>
    <mergeCell ref="N84:O84"/>
    <mergeCell ref="T84:U84"/>
    <mergeCell ref="Z84:AA84"/>
    <mergeCell ref="AF84:AG84"/>
    <mergeCell ref="AL84:AM84"/>
    <mergeCell ref="AR84:AS84"/>
    <mergeCell ref="AX84:AY84"/>
    <mergeCell ref="BD84:BE84"/>
    <mergeCell ref="B82:C82"/>
    <mergeCell ref="H82:I82"/>
    <mergeCell ref="N82:O82"/>
    <mergeCell ref="T82:U82"/>
    <mergeCell ref="Z82:AA82"/>
    <mergeCell ref="AF82:AG82"/>
    <mergeCell ref="AL82:AM82"/>
    <mergeCell ref="AR82:AS82"/>
    <mergeCell ref="AF86:AG86"/>
    <mergeCell ref="AL86:AM86"/>
    <mergeCell ref="AR86:AS86"/>
    <mergeCell ref="N88:N89"/>
    <mergeCell ref="O88:O89"/>
    <mergeCell ref="P88:P89"/>
    <mergeCell ref="Q88:R88"/>
    <mergeCell ref="T88:T89"/>
    <mergeCell ref="U88:U89"/>
    <mergeCell ref="AX86:AY86"/>
    <mergeCell ref="BD86:BE86"/>
    <mergeCell ref="B88:B89"/>
    <mergeCell ref="C88:C89"/>
    <mergeCell ref="D88:D89"/>
    <mergeCell ref="E88:F88"/>
    <mergeCell ref="H88:H89"/>
    <mergeCell ref="I88:I89"/>
    <mergeCell ref="J88:J89"/>
    <mergeCell ref="K88:L88"/>
    <mergeCell ref="AI88:AJ88"/>
    <mergeCell ref="AL88:AL89"/>
    <mergeCell ref="AM88:AM89"/>
    <mergeCell ref="V88:V89"/>
    <mergeCell ref="W88:X88"/>
    <mergeCell ref="Z88:Z89"/>
    <mergeCell ref="AA88:AA89"/>
    <mergeCell ref="AB88:AB89"/>
    <mergeCell ref="AC88:AD88"/>
    <mergeCell ref="B86:C86"/>
    <mergeCell ref="H86:I86"/>
    <mergeCell ref="N86:O86"/>
    <mergeCell ref="T86:U86"/>
    <mergeCell ref="Z86:AA86"/>
    <mergeCell ref="BF88:BF89"/>
    <mergeCell ref="BG88:BH88"/>
    <mergeCell ref="B98:C98"/>
    <mergeCell ref="H98:I98"/>
    <mergeCell ref="N98:O98"/>
    <mergeCell ref="T98:U98"/>
    <mergeCell ref="Z98:AA98"/>
    <mergeCell ref="AF98:AG98"/>
    <mergeCell ref="AL98:AM98"/>
    <mergeCell ref="AX88:AX89"/>
    <mergeCell ref="AY88:AY89"/>
    <mergeCell ref="AZ88:AZ89"/>
    <mergeCell ref="BA88:BB88"/>
    <mergeCell ref="BD88:BD89"/>
    <mergeCell ref="BE88:BE89"/>
    <mergeCell ref="AN88:AN89"/>
    <mergeCell ref="AO88:AP88"/>
    <mergeCell ref="AR88:AR89"/>
    <mergeCell ref="AS88:AS89"/>
    <mergeCell ref="AT88:AT89"/>
    <mergeCell ref="AU88:AV88"/>
    <mergeCell ref="AF88:AF89"/>
    <mergeCell ref="AG88:AG89"/>
    <mergeCell ref="AH88:AH89"/>
    <mergeCell ref="AL100:AM100"/>
    <mergeCell ref="B102:C102"/>
    <mergeCell ref="H102:I102"/>
    <mergeCell ref="N102:O102"/>
    <mergeCell ref="T102:U102"/>
    <mergeCell ref="Z102:AA102"/>
    <mergeCell ref="AF102:AG102"/>
    <mergeCell ref="AL102:AM102"/>
    <mergeCell ref="B100:C100"/>
    <mergeCell ref="H100:I100"/>
    <mergeCell ref="N100:O100"/>
    <mergeCell ref="T100:U100"/>
    <mergeCell ref="Z100:AA100"/>
    <mergeCell ref="AF100:AG100"/>
    <mergeCell ref="AL104:AM104"/>
    <mergeCell ref="AN104:AO104"/>
    <mergeCell ref="B106:C106"/>
    <mergeCell ref="H106:I106"/>
    <mergeCell ref="N106:O106"/>
    <mergeCell ref="T106:U106"/>
    <mergeCell ref="Z106:AA106"/>
    <mergeCell ref="AF106:AG106"/>
    <mergeCell ref="AL106:AM106"/>
    <mergeCell ref="T104:U104"/>
    <mergeCell ref="V104:W104"/>
    <mergeCell ref="Z104:AA104"/>
    <mergeCell ref="AB104:AC104"/>
    <mergeCell ref="AF104:AG104"/>
    <mergeCell ref="AH104:AI104"/>
    <mergeCell ref="B104:C104"/>
    <mergeCell ref="D104:E104"/>
    <mergeCell ref="H104:I104"/>
    <mergeCell ref="J104:K104"/>
    <mergeCell ref="N104:O104"/>
    <mergeCell ref="P104:Q104"/>
    <mergeCell ref="AL108:AM108"/>
    <mergeCell ref="B110:C110"/>
    <mergeCell ref="H110:I110"/>
    <mergeCell ref="N110:O110"/>
    <mergeCell ref="T110:U110"/>
    <mergeCell ref="Z110:AA110"/>
    <mergeCell ref="AF110:AG110"/>
    <mergeCell ref="AL110:AM110"/>
    <mergeCell ref="B108:C108"/>
    <mergeCell ref="H108:I108"/>
    <mergeCell ref="N108:O108"/>
    <mergeCell ref="T108:U108"/>
    <mergeCell ref="Z108:AA108"/>
    <mergeCell ref="AF108:AG108"/>
    <mergeCell ref="N112:N113"/>
    <mergeCell ref="O112:O113"/>
    <mergeCell ref="P112:P113"/>
    <mergeCell ref="Q112:R112"/>
    <mergeCell ref="B112:B113"/>
    <mergeCell ref="C112:C113"/>
    <mergeCell ref="D112:D113"/>
    <mergeCell ref="E112:F112"/>
    <mergeCell ref="H112:H113"/>
    <mergeCell ref="I112:I113"/>
    <mergeCell ref="AL112:AL113"/>
    <mergeCell ref="AM112:AM113"/>
    <mergeCell ref="AN112:AN113"/>
    <mergeCell ref="AO112:AP112"/>
    <mergeCell ref="B122:C122"/>
    <mergeCell ref="H122:I122"/>
    <mergeCell ref="N122:O122"/>
    <mergeCell ref="T122:U122"/>
    <mergeCell ref="Z122:AA122"/>
    <mergeCell ref="AF122:AG122"/>
    <mergeCell ref="AB112:AB113"/>
    <mergeCell ref="AC112:AD112"/>
    <mergeCell ref="AF112:AF113"/>
    <mergeCell ref="AG112:AG113"/>
    <mergeCell ref="AH112:AH113"/>
    <mergeCell ref="AI112:AJ112"/>
    <mergeCell ref="T112:T113"/>
    <mergeCell ref="U112:U113"/>
    <mergeCell ref="V112:V113"/>
    <mergeCell ref="W112:X112"/>
    <mergeCell ref="Z112:Z113"/>
    <mergeCell ref="AA112:AA113"/>
    <mergeCell ref="J112:J113"/>
    <mergeCell ref="K112:L112"/>
    <mergeCell ref="AL122:AM122"/>
    <mergeCell ref="AR122:AS122"/>
    <mergeCell ref="AX122:AY122"/>
    <mergeCell ref="BD122:BE122"/>
    <mergeCell ref="B124:C124"/>
    <mergeCell ref="H124:I124"/>
    <mergeCell ref="N124:O124"/>
    <mergeCell ref="T124:U124"/>
    <mergeCell ref="Z124:AA124"/>
    <mergeCell ref="AF124:AG124"/>
    <mergeCell ref="AL124:AM124"/>
    <mergeCell ref="AR124:AS124"/>
    <mergeCell ref="AX124:AY124"/>
    <mergeCell ref="BD124:BE124"/>
    <mergeCell ref="BD126:BE126"/>
    <mergeCell ref="B128:C128"/>
    <mergeCell ref="D128:E128"/>
    <mergeCell ref="H128:I128"/>
    <mergeCell ref="J128:K128"/>
    <mergeCell ref="N128:O128"/>
    <mergeCell ref="P128:Q128"/>
    <mergeCell ref="BD128:BE128"/>
    <mergeCell ref="BF128:BG128"/>
    <mergeCell ref="AT128:AU128"/>
    <mergeCell ref="AX128:AY128"/>
    <mergeCell ref="AZ128:BA128"/>
    <mergeCell ref="B126:C126"/>
    <mergeCell ref="H126:I126"/>
    <mergeCell ref="N126:O126"/>
    <mergeCell ref="T126:U126"/>
    <mergeCell ref="Z126:AA126"/>
    <mergeCell ref="AF126:AG126"/>
    <mergeCell ref="AL126:AM126"/>
    <mergeCell ref="AR126:AS126"/>
    <mergeCell ref="AX126:AY126"/>
    <mergeCell ref="AL128:AM128"/>
    <mergeCell ref="AN128:AO128"/>
    <mergeCell ref="AR128:AS128"/>
    <mergeCell ref="T128:U128"/>
    <mergeCell ref="V128:W128"/>
    <mergeCell ref="Z128:AA128"/>
    <mergeCell ref="AB128:AC128"/>
    <mergeCell ref="AF128:AG128"/>
    <mergeCell ref="AH128:AI128"/>
    <mergeCell ref="AX130:AY130"/>
    <mergeCell ref="BD130:BE130"/>
    <mergeCell ref="B132:C132"/>
    <mergeCell ref="H132:I132"/>
    <mergeCell ref="N132:O132"/>
    <mergeCell ref="T132:U132"/>
    <mergeCell ref="Z132:AA132"/>
    <mergeCell ref="AF132:AG132"/>
    <mergeCell ref="AL132:AM132"/>
    <mergeCell ref="AR132:AS132"/>
    <mergeCell ref="AX132:AY132"/>
    <mergeCell ref="BD132:BE132"/>
    <mergeCell ref="B130:C130"/>
    <mergeCell ref="H130:I130"/>
    <mergeCell ref="N130:O130"/>
    <mergeCell ref="T130:U130"/>
    <mergeCell ref="Z130:AA130"/>
    <mergeCell ref="AF130:AG130"/>
    <mergeCell ref="AL130:AM130"/>
    <mergeCell ref="AR130:AS130"/>
    <mergeCell ref="Z134:AA134"/>
    <mergeCell ref="AF134:AG134"/>
    <mergeCell ref="AL134:AM134"/>
    <mergeCell ref="AR134:AS134"/>
    <mergeCell ref="N136:N137"/>
    <mergeCell ref="O136:O137"/>
    <mergeCell ref="P136:P137"/>
    <mergeCell ref="Q136:R136"/>
    <mergeCell ref="T136:T137"/>
    <mergeCell ref="U136:U137"/>
    <mergeCell ref="AX134:AY134"/>
    <mergeCell ref="BD134:BE134"/>
    <mergeCell ref="B136:B137"/>
    <mergeCell ref="C136:C137"/>
    <mergeCell ref="D136:D137"/>
    <mergeCell ref="E136:F136"/>
    <mergeCell ref="H136:H137"/>
    <mergeCell ref="I136:I137"/>
    <mergeCell ref="J136:J137"/>
    <mergeCell ref="K136:L136"/>
    <mergeCell ref="AH136:AH137"/>
    <mergeCell ref="AI136:AJ136"/>
    <mergeCell ref="AL136:AL137"/>
    <mergeCell ref="AM136:AM137"/>
    <mergeCell ref="V136:V137"/>
    <mergeCell ref="W136:X136"/>
    <mergeCell ref="Z136:Z137"/>
    <mergeCell ref="AA136:AA137"/>
    <mergeCell ref="AB136:AB137"/>
    <mergeCell ref="AC136:AD136"/>
    <mergeCell ref="B134:C134"/>
    <mergeCell ref="H134:I134"/>
    <mergeCell ref="N134:O134"/>
    <mergeCell ref="T134:U134"/>
    <mergeCell ref="BF136:BF137"/>
    <mergeCell ref="BG136:BH136"/>
    <mergeCell ref="B146:C146"/>
    <mergeCell ref="H146:I146"/>
    <mergeCell ref="N146:O146"/>
    <mergeCell ref="T146:U146"/>
    <mergeCell ref="Z146:AA146"/>
    <mergeCell ref="AF146:AG146"/>
    <mergeCell ref="AL146:AM146"/>
    <mergeCell ref="AR146:AS146"/>
    <mergeCell ref="AX136:AX137"/>
    <mergeCell ref="AY136:AY137"/>
    <mergeCell ref="AZ136:AZ137"/>
    <mergeCell ref="BA136:BB136"/>
    <mergeCell ref="BD136:BD137"/>
    <mergeCell ref="BE136:BE137"/>
    <mergeCell ref="AN136:AN137"/>
    <mergeCell ref="AO136:AP136"/>
    <mergeCell ref="AR136:AR137"/>
    <mergeCell ref="AS136:AS137"/>
    <mergeCell ref="AT136:AT137"/>
    <mergeCell ref="AU136:AV136"/>
    <mergeCell ref="AF136:AF137"/>
    <mergeCell ref="AG136:AG137"/>
    <mergeCell ref="AX146:AY146"/>
    <mergeCell ref="BD146:BE146"/>
    <mergeCell ref="B148:C148"/>
    <mergeCell ref="H148:I148"/>
    <mergeCell ref="N148:O148"/>
    <mergeCell ref="T148:U148"/>
    <mergeCell ref="Z148:AA148"/>
    <mergeCell ref="AF148:AG148"/>
    <mergeCell ref="AL148:AM148"/>
    <mergeCell ref="AR148:AS148"/>
    <mergeCell ref="AX148:AY148"/>
    <mergeCell ref="BD148:BE148"/>
    <mergeCell ref="BD150:BE150"/>
    <mergeCell ref="B152:C152"/>
    <mergeCell ref="D152:E152"/>
    <mergeCell ref="H152:I152"/>
    <mergeCell ref="J152:K152"/>
    <mergeCell ref="N152:O152"/>
    <mergeCell ref="P152:Q152"/>
    <mergeCell ref="T152:U152"/>
    <mergeCell ref="V152:W152"/>
    <mergeCell ref="AR152:AS152"/>
    <mergeCell ref="AT152:AU152"/>
    <mergeCell ref="AX152:AY152"/>
    <mergeCell ref="AZ152:BA152"/>
    <mergeCell ref="BD152:BE152"/>
    <mergeCell ref="B150:C150"/>
    <mergeCell ref="H150:I150"/>
    <mergeCell ref="N150:O150"/>
    <mergeCell ref="T150:U150"/>
    <mergeCell ref="Z150:AA150"/>
    <mergeCell ref="AF150:AG150"/>
    <mergeCell ref="AL150:AM150"/>
    <mergeCell ref="AR150:AS150"/>
    <mergeCell ref="AX150:AY150"/>
    <mergeCell ref="B154:C154"/>
    <mergeCell ref="H154:I154"/>
    <mergeCell ref="N154:O154"/>
    <mergeCell ref="T154:U154"/>
    <mergeCell ref="Z154:AA154"/>
    <mergeCell ref="AF154:AG154"/>
    <mergeCell ref="BF152:BG152"/>
    <mergeCell ref="Z152:AA152"/>
    <mergeCell ref="AB152:AC152"/>
    <mergeCell ref="AF152:AG152"/>
    <mergeCell ref="AH152:AI152"/>
    <mergeCell ref="AL152:AM152"/>
    <mergeCell ref="AN152:AO152"/>
    <mergeCell ref="AL154:AM154"/>
    <mergeCell ref="AR154:AS154"/>
    <mergeCell ref="AX154:AY154"/>
    <mergeCell ref="BD154:BE154"/>
    <mergeCell ref="AL156:AM156"/>
    <mergeCell ref="AR156:AS156"/>
    <mergeCell ref="AX156:AY156"/>
    <mergeCell ref="BD156:BE156"/>
    <mergeCell ref="B158:C158"/>
    <mergeCell ref="H158:I158"/>
    <mergeCell ref="N158:O158"/>
    <mergeCell ref="T158:U158"/>
    <mergeCell ref="Z158:AA158"/>
    <mergeCell ref="AF158:AG158"/>
    <mergeCell ref="AL158:AM158"/>
    <mergeCell ref="AR158:AS158"/>
    <mergeCell ref="AX158:AY158"/>
    <mergeCell ref="BD158:BE158"/>
    <mergeCell ref="B156:C156"/>
    <mergeCell ref="H156:I156"/>
    <mergeCell ref="N156:O156"/>
    <mergeCell ref="T156:U156"/>
    <mergeCell ref="Z156:AA156"/>
    <mergeCell ref="AF156:AG156"/>
    <mergeCell ref="B160:B161"/>
    <mergeCell ref="C160:C161"/>
    <mergeCell ref="D160:D161"/>
    <mergeCell ref="E160:F160"/>
    <mergeCell ref="H160:H161"/>
    <mergeCell ref="I160:I161"/>
    <mergeCell ref="BE160:BE161"/>
    <mergeCell ref="BF160:BF161"/>
    <mergeCell ref="BG160:BH160"/>
    <mergeCell ref="AY160:AY161"/>
    <mergeCell ref="AZ160:AZ161"/>
    <mergeCell ref="BA160:BB160"/>
    <mergeCell ref="B194:C194"/>
    <mergeCell ref="H194:I194"/>
    <mergeCell ref="N194:O194"/>
    <mergeCell ref="T194:U194"/>
    <mergeCell ref="B180:C180"/>
    <mergeCell ref="B182:C182"/>
    <mergeCell ref="AT160:AT161"/>
    <mergeCell ref="AU160:AV160"/>
    <mergeCell ref="AX160:AX161"/>
    <mergeCell ref="AL160:AL161"/>
    <mergeCell ref="AM160:AM161"/>
    <mergeCell ref="AN160:AN161"/>
    <mergeCell ref="AO160:AP160"/>
    <mergeCell ref="AR160:AR161"/>
    <mergeCell ref="AS160:AS161"/>
    <mergeCell ref="AB160:AB161"/>
    <mergeCell ref="AC160:AD160"/>
    <mergeCell ref="AF160:AF161"/>
    <mergeCell ref="H170:I170"/>
    <mergeCell ref="H172:I172"/>
    <mergeCell ref="H174:I174"/>
    <mergeCell ref="H176:I176"/>
    <mergeCell ref="J184:J185"/>
    <mergeCell ref="K184:L184"/>
    <mergeCell ref="B196:C196"/>
    <mergeCell ref="H196:I196"/>
    <mergeCell ref="N196:O196"/>
    <mergeCell ref="T196:U196"/>
    <mergeCell ref="B198:C198"/>
    <mergeCell ref="H198:I198"/>
    <mergeCell ref="N198:O198"/>
    <mergeCell ref="T198:U198"/>
    <mergeCell ref="BD160:BD161"/>
    <mergeCell ref="AG160:AG161"/>
    <mergeCell ref="AH160:AH161"/>
    <mergeCell ref="AI160:AJ160"/>
    <mergeCell ref="T160:T161"/>
    <mergeCell ref="U160:U161"/>
    <mergeCell ref="V160:V161"/>
    <mergeCell ref="W160:X160"/>
    <mergeCell ref="Z160:Z161"/>
    <mergeCell ref="AA160:AA161"/>
    <mergeCell ref="J160:J161"/>
    <mergeCell ref="K160:L160"/>
    <mergeCell ref="N160:N161"/>
    <mergeCell ref="O160:O161"/>
    <mergeCell ref="P160:P161"/>
    <mergeCell ref="Q160:R160"/>
    <mergeCell ref="T200:U200"/>
    <mergeCell ref="V200:W200"/>
    <mergeCell ref="B202:C202"/>
    <mergeCell ref="H202:I202"/>
    <mergeCell ref="N202:O202"/>
    <mergeCell ref="T202:U202"/>
    <mergeCell ref="B200:C200"/>
    <mergeCell ref="D200:E200"/>
    <mergeCell ref="H200:I200"/>
    <mergeCell ref="J200:K200"/>
    <mergeCell ref="N200:O200"/>
    <mergeCell ref="P200:Q200"/>
    <mergeCell ref="H208:H209"/>
    <mergeCell ref="I208:I209"/>
    <mergeCell ref="B204:C204"/>
    <mergeCell ref="H204:I204"/>
    <mergeCell ref="N204:O204"/>
    <mergeCell ref="T204:U204"/>
    <mergeCell ref="B206:C206"/>
    <mergeCell ref="H206:I206"/>
    <mergeCell ref="N206:O206"/>
    <mergeCell ref="T206:U206"/>
    <mergeCell ref="T208:T209"/>
    <mergeCell ref="U208:U209"/>
    <mergeCell ref="V208:V209"/>
    <mergeCell ref="W208:X208"/>
    <mergeCell ref="B170:C170"/>
    <mergeCell ref="B172:C172"/>
    <mergeCell ref="B174:C174"/>
    <mergeCell ref="B176:C176"/>
    <mergeCell ref="D176:E176"/>
    <mergeCell ref="B178:C178"/>
    <mergeCell ref="J208:J209"/>
    <mergeCell ref="K208:L208"/>
    <mergeCell ref="N208:N209"/>
    <mergeCell ref="O208:O209"/>
    <mergeCell ref="P208:P209"/>
    <mergeCell ref="Q208:R208"/>
    <mergeCell ref="B208:B209"/>
    <mergeCell ref="C208:C209"/>
    <mergeCell ref="D208:D209"/>
    <mergeCell ref="E208:F208"/>
    <mergeCell ref="J176:K176"/>
    <mergeCell ref="H178:I178"/>
    <mergeCell ref="H180:I180"/>
    <mergeCell ref="H182:I182"/>
    <mergeCell ref="H184:H185"/>
    <mergeCell ref="I184:I185"/>
    <mergeCell ref="B184:B185"/>
    <mergeCell ref="C184:C185"/>
    <mergeCell ref="D184:D185"/>
    <mergeCell ref="E184:F184"/>
    <mergeCell ref="P176:Q176"/>
    <mergeCell ref="N178:O178"/>
    <mergeCell ref="N180:O180"/>
    <mergeCell ref="N182:O182"/>
    <mergeCell ref="P184:P185"/>
    <mergeCell ref="Q184:R184"/>
    <mergeCell ref="N184:N185"/>
    <mergeCell ref="O184:O185"/>
    <mergeCell ref="N170:O170"/>
    <mergeCell ref="N172:O172"/>
    <mergeCell ref="N174:O174"/>
    <mergeCell ref="N176:O176"/>
    <mergeCell ref="T180:U180"/>
    <mergeCell ref="T182:U182"/>
    <mergeCell ref="T184:T185"/>
    <mergeCell ref="U184:U185"/>
    <mergeCell ref="V184:V185"/>
    <mergeCell ref="W184:X184"/>
    <mergeCell ref="T170:U170"/>
    <mergeCell ref="T172:U172"/>
    <mergeCell ref="T174:U174"/>
    <mergeCell ref="T176:U176"/>
    <mergeCell ref="V176:W176"/>
    <mergeCell ref="T178:U178"/>
    <mergeCell ref="Z180:AA180"/>
    <mergeCell ref="Z182:AA182"/>
    <mergeCell ref="Z184:Z185"/>
    <mergeCell ref="AA184:AA185"/>
    <mergeCell ref="AB184:AB185"/>
    <mergeCell ref="AC184:AD184"/>
    <mergeCell ref="Z170:AA170"/>
    <mergeCell ref="Z172:AA172"/>
    <mergeCell ref="Z174:AA174"/>
    <mergeCell ref="Z176:AA176"/>
    <mergeCell ref="AB176:AC176"/>
    <mergeCell ref="Z178:AA178"/>
    <mergeCell ref="AF180:AG180"/>
    <mergeCell ref="AF182:AG182"/>
    <mergeCell ref="AF184:AF185"/>
    <mergeCell ref="AG184:AG185"/>
    <mergeCell ref="AH184:AH185"/>
    <mergeCell ref="AI184:AJ184"/>
    <mergeCell ref="AF170:AG170"/>
    <mergeCell ref="AF172:AG172"/>
    <mergeCell ref="AF174:AG174"/>
    <mergeCell ref="AF176:AG176"/>
    <mergeCell ref="AH176:AI176"/>
    <mergeCell ref="AF178:AG178"/>
    <mergeCell ref="AL180:AM180"/>
    <mergeCell ref="AL182:AM182"/>
    <mergeCell ref="AL184:AL185"/>
    <mergeCell ref="AM184:AM185"/>
    <mergeCell ref="AN184:AN185"/>
    <mergeCell ref="AO184:AP184"/>
    <mergeCell ref="AL170:AM170"/>
    <mergeCell ref="AL172:AM172"/>
    <mergeCell ref="AL174:AM174"/>
    <mergeCell ref="AL176:AM176"/>
    <mergeCell ref="AN176:AO176"/>
    <mergeCell ref="AL178:AM178"/>
    <mergeCell ref="AR180:AS180"/>
    <mergeCell ref="AR182:AS182"/>
    <mergeCell ref="AR184:AR185"/>
    <mergeCell ref="AS184:AS185"/>
    <mergeCell ref="AR170:AS170"/>
    <mergeCell ref="AR172:AS172"/>
    <mergeCell ref="AR174:AS174"/>
    <mergeCell ref="AR176:AS176"/>
    <mergeCell ref="AT176:AU176"/>
    <mergeCell ref="AR178:AS178"/>
    <mergeCell ref="AX180:AY180"/>
    <mergeCell ref="AX182:AY182"/>
    <mergeCell ref="AX184:AX185"/>
    <mergeCell ref="AY184:AY185"/>
    <mergeCell ref="AZ184:AZ185"/>
    <mergeCell ref="BA184:BB184"/>
    <mergeCell ref="AX170:AY170"/>
    <mergeCell ref="AX172:AY172"/>
    <mergeCell ref="AX174:AY174"/>
    <mergeCell ref="AX176:AY176"/>
    <mergeCell ref="AZ176:BA176"/>
    <mergeCell ref="AX178:AY178"/>
    <mergeCell ref="AT184:AT185"/>
    <mergeCell ref="AU184:AV184"/>
  </mergeCells>
  <conditionalFormatting sqref="BJ215">
    <cfRule type="cellIs" dxfId="3" priority="2" stopIfTrue="1" operator="notEqual">
      <formula>BK215</formula>
    </cfRule>
  </conditionalFormatting>
  <conditionalFormatting sqref="BK215">
    <cfRule type="cellIs" dxfId="2" priority="1" stopIfTrue="1" operator="notEqual">
      <formula>BJ215</formula>
    </cfRule>
  </conditionalFormatting>
  <printOptions horizontalCentered="1"/>
  <pageMargins left="0.19685039370078741" right="0.19685039370078741" top="0.39370078740157483" bottom="0.39370078740157483" header="0" footer="0"/>
  <pageSetup paperSize="9" scale="85" orientation="landscape" verticalDpi="72" r:id="rId1"/>
  <headerFooter alignWithMargins="0">
    <oddFooter>&amp;C&amp;A&amp;R&amp;P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8"/>
  </sheetPr>
  <dimension ref="B1:BK1967"/>
  <sheetViews>
    <sheetView showGridLines="0" zoomScale="85" zoomScaleNormal="85" zoomScaleSheetLayoutView="25" workbookViewId="0"/>
  </sheetViews>
  <sheetFormatPr baseColWidth="10" defaultColWidth="11.44140625" defaultRowHeight="13.8" x14ac:dyDescent="0.25"/>
  <cols>
    <col min="1" max="1" width="3.6640625" style="1" customWidth="1"/>
    <col min="2" max="3" width="12.6640625" style="1" customWidth="1"/>
    <col min="4" max="4" width="25.6640625" style="1" customWidth="1"/>
    <col min="5" max="5" width="14.44140625" style="1" customWidth="1"/>
    <col min="6" max="6" width="15.109375" style="1" customWidth="1"/>
    <col min="7" max="7" width="3" style="1" customWidth="1"/>
    <col min="8" max="9" width="12.6640625" style="1" customWidth="1"/>
    <col min="10" max="10" width="25.6640625" style="1" customWidth="1"/>
    <col min="11" max="11" width="14.44140625" style="1" customWidth="1"/>
    <col min="12" max="12" width="15.109375" style="1" customWidth="1"/>
    <col min="13" max="13" width="3" style="1" customWidth="1"/>
    <col min="14" max="15" width="12.6640625" style="1" customWidth="1"/>
    <col min="16" max="16" width="25.6640625" style="1" customWidth="1"/>
    <col min="17" max="17" width="14.44140625" style="1" customWidth="1"/>
    <col min="18" max="18" width="15.109375" style="1" customWidth="1"/>
    <col min="19" max="19" width="3" style="1" customWidth="1"/>
    <col min="20" max="21" width="12.6640625" style="1" customWidth="1"/>
    <col min="22" max="22" width="25.6640625" style="1" customWidth="1"/>
    <col min="23" max="23" width="14.44140625" style="1" customWidth="1"/>
    <col min="24" max="24" width="15.109375" style="1" customWidth="1"/>
    <col min="25" max="25" width="3" style="1" customWidth="1"/>
    <col min="26" max="27" width="12.6640625" style="1" customWidth="1"/>
    <col min="28" max="28" width="25.6640625" style="1" customWidth="1"/>
    <col min="29" max="29" width="14.44140625" style="1" customWidth="1"/>
    <col min="30" max="30" width="15.109375" style="1" customWidth="1"/>
    <col min="31" max="31" width="3" style="1" customWidth="1"/>
    <col min="32" max="33" width="12.6640625" style="1" customWidth="1"/>
    <col min="34" max="34" width="25.6640625" style="1" customWidth="1"/>
    <col min="35" max="35" width="14.44140625" style="1" customWidth="1"/>
    <col min="36" max="36" width="15.109375" style="1" customWidth="1"/>
    <col min="37" max="37" width="3" style="1" customWidth="1"/>
    <col min="38" max="39" width="12.6640625" style="1" customWidth="1"/>
    <col min="40" max="40" width="25.6640625" style="1" customWidth="1"/>
    <col min="41" max="41" width="14.44140625" style="1" customWidth="1"/>
    <col min="42" max="42" width="15.109375" style="1" customWidth="1"/>
    <col min="43" max="43" width="3" style="1" customWidth="1"/>
    <col min="44" max="45" width="12.6640625" style="1" customWidth="1"/>
    <col min="46" max="46" width="25.6640625" style="1" customWidth="1"/>
    <col min="47" max="47" width="14.44140625" style="1" customWidth="1"/>
    <col min="48" max="48" width="15.109375" style="1" customWidth="1"/>
    <col min="49" max="49" width="3" style="1" customWidth="1"/>
    <col min="50" max="51" width="12.6640625" style="1" customWidth="1"/>
    <col min="52" max="52" width="25.6640625" style="1" customWidth="1"/>
    <col min="53" max="53" width="14.44140625" style="1" customWidth="1"/>
    <col min="54" max="54" width="15.109375" style="1" customWidth="1"/>
    <col min="55" max="55" width="3" style="1" customWidth="1"/>
    <col min="56" max="57" width="12.6640625" style="1" customWidth="1"/>
    <col min="58" max="58" width="25.6640625" style="1" customWidth="1"/>
    <col min="59" max="59" width="14.44140625" style="1" customWidth="1"/>
    <col min="60" max="60" width="15.109375" style="1" customWidth="1"/>
    <col min="61" max="61" width="3" style="1" customWidth="1"/>
    <col min="62" max="63" width="16.88671875" style="1" customWidth="1"/>
    <col min="64" max="64" width="3.6640625" style="1" customWidth="1"/>
    <col min="65" max="16384" width="11.44140625" style="1"/>
  </cols>
  <sheetData>
    <row r="1" spans="2:49" x14ac:dyDescent="0.25">
      <c r="C1" s="2"/>
      <c r="D1" s="2"/>
      <c r="E1" s="2"/>
    </row>
    <row r="2" spans="2:49" ht="15.6" x14ac:dyDescent="0.25">
      <c r="B2" s="324" t="s">
        <v>321</v>
      </c>
      <c r="C2" s="324"/>
      <c r="D2" s="233" t="str">
        <f>'Base de Datos'!$C$756</f>
        <v>LIBRO MAYOR</v>
      </c>
    </row>
    <row r="3" spans="2:49" x14ac:dyDescent="0.25">
      <c r="C3" s="2"/>
      <c r="D3" s="2"/>
      <c r="E3" s="2"/>
    </row>
    <row r="4" spans="2:49" ht="15.6" x14ac:dyDescent="0.25">
      <c r="B4" s="324" t="s">
        <v>323</v>
      </c>
      <c r="C4" s="324"/>
      <c r="D4" s="231">
        <f>'Base de Datos'!$C$9</f>
        <v>2015</v>
      </c>
      <c r="E4" s="2"/>
    </row>
    <row r="5" spans="2:49" x14ac:dyDescent="0.25">
      <c r="C5" s="2"/>
      <c r="D5" s="2"/>
      <c r="E5" s="2"/>
    </row>
    <row r="6" spans="2:49" ht="15.6" x14ac:dyDescent="0.25">
      <c r="B6" s="324" t="s">
        <v>324</v>
      </c>
      <c r="C6" s="324"/>
      <c r="D6" s="316">
        <f>'Base de Datos'!$C$6</f>
        <v>20411074561</v>
      </c>
      <c r="E6" s="316"/>
    </row>
    <row r="7" spans="2:49" x14ac:dyDescent="0.25">
      <c r="C7" s="2"/>
      <c r="D7" s="2"/>
      <c r="E7" s="2"/>
    </row>
    <row r="8" spans="2:49" ht="15.6" x14ac:dyDescent="0.25">
      <c r="B8" s="324" t="s">
        <v>325</v>
      </c>
      <c r="C8" s="324"/>
      <c r="D8" s="234" t="str">
        <f>'Base de Datos'!$C$5</f>
        <v>LOS BAILARINES SRL</v>
      </c>
      <c r="E8" s="2"/>
    </row>
    <row r="9" spans="2:49" x14ac:dyDescent="0.25">
      <c r="B9" s="160"/>
      <c r="C9" s="160"/>
      <c r="D9" s="160"/>
      <c r="E9" s="160"/>
    </row>
    <row r="10" spans="2:49" ht="15.6" x14ac:dyDescent="0.25">
      <c r="B10" s="324" t="s">
        <v>472</v>
      </c>
      <c r="C10" s="324"/>
      <c r="D10" s="175">
        <v>1011</v>
      </c>
      <c r="E10" s="160"/>
    </row>
    <row r="11" spans="2:49" x14ac:dyDescent="0.25">
      <c r="B11" s="160"/>
      <c r="C11" s="160"/>
      <c r="D11" s="160"/>
      <c r="E11" s="160"/>
    </row>
    <row r="12" spans="2:49" ht="15.6" x14ac:dyDescent="0.25">
      <c r="B12" s="324" t="s">
        <v>473</v>
      </c>
      <c r="C12" s="324"/>
      <c r="D12" s="234" t="str">
        <f>VLOOKUP(D10,DivisionariasContables,3,FALSE)</f>
        <v>Dinero en Efectivo</v>
      </c>
      <c r="E12" s="160"/>
    </row>
    <row r="13" spans="2:49" ht="14.4" thickBot="1" x14ac:dyDescent="0.3"/>
    <row r="14" spans="2:49" ht="12.75" customHeight="1" x14ac:dyDescent="0.25">
      <c r="B14" s="331" t="s">
        <v>466</v>
      </c>
      <c r="C14" s="333" t="s">
        <v>467</v>
      </c>
      <c r="D14" s="333" t="s">
        <v>468</v>
      </c>
      <c r="E14" s="329" t="s">
        <v>469</v>
      </c>
      <c r="F14" s="330"/>
    </row>
    <row r="15" spans="2:49" ht="14.4" thickBot="1" x14ac:dyDescent="0.3">
      <c r="B15" s="332"/>
      <c r="C15" s="334"/>
      <c r="D15" s="334"/>
      <c r="E15" s="232" t="s">
        <v>403</v>
      </c>
      <c r="F15" s="174" t="s">
        <v>402</v>
      </c>
    </row>
    <row r="16" spans="2:49" ht="14.4" thickTop="1" x14ac:dyDescent="0.25">
      <c r="B16" s="236">
        <v>41670</v>
      </c>
      <c r="C16" s="171"/>
      <c r="D16" s="166" t="s">
        <v>470</v>
      </c>
      <c r="E16" s="167">
        <f>SUMIF('Libro Diario Convencional'!$D$15:$D$167,D10,'Libro Diario Convencional'!$G$15:$G$167)</f>
        <v>0</v>
      </c>
      <c r="F16" s="168">
        <f>SUMIF('Libro Diario Convencional'!$D$15:$D$167,D10,'Libro Diario Convencional'!$H$15:$H$167)</f>
        <v>0</v>
      </c>
      <c r="G16" s="9"/>
      <c r="H16" s="9"/>
      <c r="I16" s="9"/>
      <c r="J16" s="9"/>
      <c r="M16" s="9"/>
      <c r="N16" s="9"/>
      <c r="O16" s="9"/>
      <c r="P16" s="9"/>
      <c r="S16" s="9"/>
      <c r="T16" s="9"/>
      <c r="U16" s="9"/>
      <c r="V16" s="9"/>
      <c r="Y16" s="9"/>
      <c r="Z16" s="9"/>
      <c r="AA16" s="9"/>
      <c r="AB16" s="9"/>
      <c r="AE16" s="9"/>
      <c r="AF16" s="9"/>
      <c r="AG16" s="9"/>
      <c r="AH16" s="9"/>
      <c r="AK16" s="9"/>
      <c r="AL16" s="9"/>
      <c r="AM16" s="9"/>
      <c r="AN16" s="9"/>
      <c r="AQ16" s="9"/>
      <c r="AR16" s="9"/>
      <c r="AS16" s="9"/>
      <c r="AT16" s="9"/>
      <c r="AW16" s="9"/>
    </row>
    <row r="17" spans="2:63" x14ac:dyDescent="0.25">
      <c r="B17" s="169">
        <v>41670</v>
      </c>
      <c r="C17" s="172"/>
      <c r="D17" s="161" t="s">
        <v>474</v>
      </c>
      <c r="E17" s="162">
        <f>SUMIF('Asientos de Cierre'!$D$6:$D$549,D10,'Asientos de Cierre'!$G$6:$G$549)</f>
        <v>0</v>
      </c>
      <c r="F17" s="163">
        <f>SUMIF('Asientos de Cierre'!$D$6:$D$549,D10,'Asientos de Cierre'!$H$6:$H$549)</f>
        <v>0</v>
      </c>
      <c r="G17" s="9"/>
      <c r="H17" s="9"/>
      <c r="I17" s="9"/>
      <c r="J17" s="9"/>
      <c r="M17" s="9"/>
      <c r="N17" s="9"/>
      <c r="O17" s="9"/>
      <c r="P17" s="9"/>
      <c r="S17" s="9"/>
      <c r="T17" s="9"/>
      <c r="U17" s="9"/>
      <c r="V17" s="9"/>
      <c r="Y17" s="9"/>
      <c r="Z17" s="9"/>
      <c r="AA17" s="9"/>
      <c r="AB17" s="9"/>
      <c r="AE17" s="9"/>
      <c r="AF17" s="9"/>
      <c r="AG17" s="9"/>
      <c r="AH17" s="9"/>
      <c r="AK17" s="9"/>
      <c r="AL17" s="9"/>
      <c r="AM17" s="9"/>
      <c r="AN17" s="9"/>
      <c r="AQ17" s="9"/>
      <c r="AR17" s="9"/>
      <c r="AS17" s="9"/>
      <c r="AT17" s="9"/>
      <c r="AW17" s="9"/>
    </row>
    <row r="18" spans="2:63" x14ac:dyDescent="0.25">
      <c r="B18" s="169"/>
      <c r="C18" s="172"/>
      <c r="D18" s="161"/>
      <c r="E18" s="162"/>
      <c r="F18" s="163"/>
      <c r="G18" s="9"/>
      <c r="H18" s="9"/>
      <c r="I18" s="9"/>
      <c r="J18" s="9"/>
      <c r="M18" s="9"/>
      <c r="N18" s="9"/>
      <c r="O18" s="9"/>
      <c r="P18" s="9"/>
      <c r="S18" s="9"/>
      <c r="T18" s="9"/>
      <c r="U18" s="9"/>
      <c r="V18" s="9"/>
      <c r="Y18" s="9"/>
      <c r="Z18" s="9"/>
      <c r="AA18" s="9"/>
      <c r="AB18" s="9"/>
      <c r="AE18" s="9"/>
      <c r="AF18" s="9"/>
      <c r="AG18" s="9"/>
      <c r="AH18" s="9"/>
      <c r="AK18" s="9"/>
      <c r="AL18" s="9"/>
      <c r="AM18" s="9"/>
      <c r="AN18" s="9"/>
      <c r="AQ18" s="9"/>
      <c r="AR18" s="9"/>
      <c r="AS18" s="9"/>
      <c r="AT18" s="9"/>
      <c r="AW18" s="9"/>
    </row>
    <row r="19" spans="2:63" ht="14.4" thickBot="1" x14ac:dyDescent="0.3">
      <c r="B19" s="169"/>
      <c r="C19" s="172"/>
      <c r="D19" s="161"/>
      <c r="E19" s="162"/>
      <c r="F19" s="163"/>
      <c r="G19" s="9"/>
      <c r="H19" s="9"/>
      <c r="I19" s="9"/>
      <c r="J19" s="9"/>
      <c r="M19" s="9"/>
      <c r="N19" s="9"/>
      <c r="O19" s="9"/>
      <c r="P19" s="9"/>
      <c r="S19" s="9"/>
      <c r="T19" s="9"/>
      <c r="U19" s="9"/>
      <c r="V19" s="9"/>
      <c r="Y19" s="9"/>
      <c r="Z19" s="9"/>
      <c r="AA19" s="9"/>
      <c r="AB19" s="9"/>
      <c r="AE19" s="9"/>
      <c r="AF19" s="9"/>
      <c r="AG19" s="9"/>
      <c r="AH19" s="9"/>
      <c r="AK19" s="9"/>
      <c r="AL19" s="9"/>
      <c r="AM19" s="9"/>
      <c r="AN19" s="9"/>
      <c r="AQ19" s="9"/>
      <c r="AR19" s="9"/>
      <c r="AS19" s="9"/>
      <c r="AT19" s="9"/>
      <c r="AW19" s="9"/>
    </row>
    <row r="20" spans="2:63" ht="15" thickBot="1" x14ac:dyDescent="0.3">
      <c r="B20" s="169"/>
      <c r="C20" s="172"/>
      <c r="D20" s="161" t="s">
        <v>471</v>
      </c>
      <c r="E20" s="162">
        <f>SUM(E16:E19)</f>
        <v>0</v>
      </c>
      <c r="F20" s="163">
        <f>SUM(F16:F19)</f>
        <v>0</v>
      </c>
      <c r="G20" s="9"/>
      <c r="H20" s="9"/>
      <c r="I20" s="9"/>
      <c r="J20" s="9"/>
      <c r="M20" s="9"/>
      <c r="N20" s="9"/>
      <c r="O20" s="9"/>
      <c r="P20" s="9"/>
      <c r="S20" s="9"/>
      <c r="T20" s="9"/>
      <c r="U20" s="9"/>
      <c r="V20" s="9"/>
      <c r="Y20" s="9"/>
      <c r="Z20" s="9"/>
      <c r="AA20" s="9"/>
      <c r="AB20" s="9"/>
      <c r="AE20" s="9"/>
      <c r="AF20" s="9"/>
      <c r="AG20" s="9"/>
      <c r="AH20" s="9"/>
      <c r="AK20" s="9"/>
      <c r="AL20" s="9"/>
      <c r="AM20" s="9"/>
      <c r="AN20" s="9"/>
      <c r="AQ20" s="9"/>
      <c r="AR20" s="9"/>
      <c r="AS20" s="9"/>
      <c r="AT20" s="9"/>
      <c r="AW20" s="9"/>
      <c r="BJ20" s="157">
        <f>SUM(E20,K20,Q20,W20,AC20,AI20,AO20,AU20,BA20,BG20)</f>
        <v>0</v>
      </c>
      <c r="BK20" s="158">
        <f>SUM(F20,L20,R20,X20,AD20,AJ20,AP20,AV20,BB20,BH20)</f>
        <v>0</v>
      </c>
    </row>
    <row r="21" spans="2:63" ht="14.4" thickBot="1" x14ac:dyDescent="0.3">
      <c r="B21" s="170"/>
      <c r="C21" s="173"/>
      <c r="D21" s="164" t="str">
        <f>IF(E20=F20,"",IF(E20&gt;F20,"Saldo Deudor","Saldo Acreedor"))</f>
        <v/>
      </c>
      <c r="E21" s="165" t="str">
        <f>IF(E20&gt;F20,E20-F20,"")</f>
        <v/>
      </c>
      <c r="F21" s="176" t="str">
        <f>IF(E20&lt;F20,F20-E20,"")</f>
        <v/>
      </c>
    </row>
    <row r="24" spans="2:63" ht="15.6" x14ac:dyDescent="0.25">
      <c r="B24" s="324" t="s">
        <v>472</v>
      </c>
      <c r="C24" s="324"/>
      <c r="D24" s="175">
        <v>1041</v>
      </c>
      <c r="E24" s="160"/>
    </row>
    <row r="25" spans="2:63" x14ac:dyDescent="0.25">
      <c r="B25" s="160"/>
      <c r="C25" s="160"/>
      <c r="D25" s="160"/>
      <c r="E25" s="160"/>
    </row>
    <row r="26" spans="2:63" ht="15.6" x14ac:dyDescent="0.25">
      <c r="B26" s="324" t="s">
        <v>473</v>
      </c>
      <c r="C26" s="324"/>
      <c r="D26" s="234" t="str">
        <f>VLOOKUP(D24,DivisionariasContables,3,FALSE)</f>
        <v>Cuentas Corrientes Operativas</v>
      </c>
      <c r="E26" s="160"/>
    </row>
    <row r="27" spans="2:63" ht="14.4" thickBot="1" x14ac:dyDescent="0.3"/>
    <row r="28" spans="2:63" ht="12.75" customHeight="1" x14ac:dyDescent="0.25">
      <c r="B28" s="331" t="s">
        <v>466</v>
      </c>
      <c r="C28" s="333" t="s">
        <v>467</v>
      </c>
      <c r="D28" s="333" t="s">
        <v>468</v>
      </c>
      <c r="E28" s="329" t="s">
        <v>469</v>
      </c>
      <c r="F28" s="330"/>
    </row>
    <row r="29" spans="2:63" ht="14.4" thickBot="1" x14ac:dyDescent="0.3">
      <c r="B29" s="332"/>
      <c r="C29" s="334"/>
      <c r="D29" s="334"/>
      <c r="E29" s="232" t="s">
        <v>403</v>
      </c>
      <c r="F29" s="174" t="s">
        <v>402</v>
      </c>
    </row>
    <row r="30" spans="2:63" ht="14.4" thickTop="1" x14ac:dyDescent="0.25">
      <c r="B30" s="236">
        <v>41670</v>
      </c>
      <c r="C30" s="171"/>
      <c r="D30" s="166" t="s">
        <v>470</v>
      </c>
      <c r="E30" s="167">
        <f>SUMIF('Libro Diario Convencional'!$D$15:$D$167,D24,'Libro Diario Convencional'!$G$15:$G$167)</f>
        <v>0</v>
      </c>
      <c r="F30" s="168">
        <f>SUMIF('Libro Diario Convencional'!$D$15:$D$167,D24,'Libro Diario Convencional'!$H$15:$H$167)</f>
        <v>191809</v>
      </c>
      <c r="G30" s="9"/>
      <c r="H30" s="9"/>
      <c r="I30" s="9"/>
      <c r="J30" s="9"/>
      <c r="M30" s="9"/>
      <c r="N30" s="9"/>
      <c r="O30" s="9"/>
      <c r="P30" s="9"/>
      <c r="S30" s="9"/>
      <c r="T30" s="9"/>
      <c r="U30" s="9"/>
      <c r="V30" s="9"/>
      <c r="Y30" s="9"/>
      <c r="Z30" s="9"/>
      <c r="AA30" s="9"/>
      <c r="AB30" s="9"/>
      <c r="AE30" s="9"/>
      <c r="AF30" s="9"/>
      <c r="AG30" s="9"/>
      <c r="AH30" s="9"/>
      <c r="AK30" s="9"/>
      <c r="AL30" s="9"/>
      <c r="AM30" s="9"/>
      <c r="AN30" s="9"/>
      <c r="AQ30" s="9"/>
      <c r="AR30" s="9"/>
      <c r="AS30" s="9"/>
      <c r="AT30" s="9"/>
      <c r="AW30" s="9"/>
    </row>
    <row r="31" spans="2:63" x14ac:dyDescent="0.25">
      <c r="B31" s="169">
        <v>41670</v>
      </c>
      <c r="C31" s="172"/>
      <c r="D31" s="161" t="s">
        <v>474</v>
      </c>
      <c r="E31" s="162">
        <f>SUMIF('Asientos de Cierre'!$D$6:$D$549,D24,'Asientos de Cierre'!$G$6:$G$549)</f>
        <v>191809</v>
      </c>
      <c r="F31" s="163">
        <f>SUMIF('Asientos de Cierre'!$D$6:$D$549,D24,'Asientos de Cierre'!$H$6:$H$549)</f>
        <v>0</v>
      </c>
      <c r="G31" s="9"/>
      <c r="H31" s="9"/>
      <c r="I31" s="9"/>
      <c r="J31" s="9"/>
      <c r="M31" s="9"/>
      <c r="N31" s="9"/>
      <c r="O31" s="9"/>
      <c r="P31" s="9"/>
      <c r="S31" s="9"/>
      <c r="T31" s="9"/>
      <c r="U31" s="9"/>
      <c r="V31" s="9"/>
      <c r="Y31" s="9"/>
      <c r="Z31" s="9"/>
      <c r="AA31" s="9"/>
      <c r="AB31" s="9"/>
      <c r="AE31" s="9"/>
      <c r="AF31" s="9"/>
      <c r="AG31" s="9"/>
      <c r="AH31" s="9"/>
      <c r="AK31" s="9"/>
      <c r="AL31" s="9"/>
      <c r="AM31" s="9"/>
      <c r="AN31" s="9"/>
      <c r="AQ31" s="9"/>
      <c r="AR31" s="9"/>
      <c r="AS31" s="9"/>
      <c r="AT31" s="9"/>
      <c r="AW31" s="9"/>
    </row>
    <row r="32" spans="2:63" x14ac:dyDescent="0.25">
      <c r="B32" s="169"/>
      <c r="C32" s="172"/>
      <c r="D32" s="161"/>
      <c r="E32" s="162"/>
      <c r="F32" s="163"/>
      <c r="G32" s="9"/>
      <c r="H32" s="9"/>
      <c r="I32" s="9"/>
      <c r="J32" s="9"/>
      <c r="M32" s="9"/>
      <c r="N32" s="9"/>
      <c r="O32" s="9"/>
      <c r="P32" s="9"/>
      <c r="S32" s="9"/>
      <c r="T32" s="9"/>
      <c r="U32" s="9"/>
      <c r="V32" s="9"/>
      <c r="Y32" s="9"/>
      <c r="Z32" s="9"/>
      <c r="AA32" s="9"/>
      <c r="AB32" s="9"/>
      <c r="AE32" s="9"/>
      <c r="AF32" s="9"/>
      <c r="AG32" s="9"/>
      <c r="AH32" s="9"/>
      <c r="AK32" s="9"/>
      <c r="AL32" s="9"/>
      <c r="AM32" s="9"/>
      <c r="AN32" s="9"/>
      <c r="AQ32" s="9"/>
      <c r="AR32" s="9"/>
      <c r="AS32" s="9"/>
      <c r="AT32" s="9"/>
      <c r="AW32" s="9"/>
    </row>
    <row r="33" spans="2:63" ht="14.4" thickBot="1" x14ac:dyDescent="0.3">
      <c r="B33" s="169"/>
      <c r="C33" s="172"/>
      <c r="D33" s="161"/>
      <c r="E33" s="162"/>
      <c r="F33" s="163"/>
      <c r="G33" s="9"/>
      <c r="H33" s="9"/>
      <c r="I33" s="9"/>
      <c r="J33" s="9"/>
      <c r="M33" s="9"/>
      <c r="N33" s="9"/>
      <c r="O33" s="9"/>
      <c r="P33" s="9"/>
      <c r="S33" s="9"/>
      <c r="T33" s="9"/>
      <c r="U33" s="9"/>
      <c r="V33" s="9"/>
      <c r="Y33" s="9"/>
      <c r="Z33" s="9"/>
      <c r="AA33" s="9"/>
      <c r="AB33" s="9"/>
      <c r="AE33" s="9"/>
      <c r="AF33" s="9"/>
      <c r="AG33" s="9"/>
      <c r="AH33" s="9"/>
      <c r="AK33" s="9"/>
      <c r="AL33" s="9"/>
      <c r="AM33" s="9"/>
      <c r="AN33" s="9"/>
      <c r="AQ33" s="9"/>
      <c r="AR33" s="9"/>
      <c r="AS33" s="9"/>
      <c r="AT33" s="9"/>
      <c r="AW33" s="9"/>
    </row>
    <row r="34" spans="2:63" ht="15" thickBot="1" x14ac:dyDescent="0.3">
      <c r="B34" s="169"/>
      <c r="C34" s="172"/>
      <c r="D34" s="161" t="s">
        <v>471</v>
      </c>
      <c r="E34" s="162">
        <f>SUM(E30:E33)</f>
        <v>191809</v>
      </c>
      <c r="F34" s="163">
        <f>SUM(F30:F33)</f>
        <v>191809</v>
      </c>
      <c r="G34" s="9"/>
      <c r="H34" s="9"/>
      <c r="I34" s="9"/>
      <c r="J34" s="9"/>
      <c r="M34" s="9"/>
      <c r="N34" s="9"/>
      <c r="O34" s="9"/>
      <c r="P34" s="9"/>
      <c r="S34" s="9"/>
      <c r="T34" s="9"/>
      <c r="U34" s="9"/>
      <c r="V34" s="9"/>
      <c r="Y34" s="9"/>
      <c r="Z34" s="9"/>
      <c r="AA34" s="9"/>
      <c r="AB34" s="9"/>
      <c r="AE34" s="9"/>
      <c r="AF34" s="9"/>
      <c r="AG34" s="9"/>
      <c r="AH34" s="9"/>
      <c r="AK34" s="9"/>
      <c r="AL34" s="9"/>
      <c r="AM34" s="9"/>
      <c r="AN34" s="9"/>
      <c r="AQ34" s="9"/>
      <c r="AR34" s="9"/>
      <c r="AS34" s="9"/>
      <c r="AT34" s="9"/>
      <c r="AW34" s="9"/>
      <c r="BJ34" s="157">
        <f>SUM(E34,K34,Q34,W34,AC34,AI34,AO34,AU34,BA34,BG34)</f>
        <v>191809</v>
      </c>
      <c r="BK34" s="158">
        <f>SUM(F34,L34,R34,X34,AD34,AJ34,AP34,AV34,BB34,BH34)</f>
        <v>191809</v>
      </c>
    </row>
    <row r="35" spans="2:63" ht="14.4" thickBot="1" x14ac:dyDescent="0.3">
      <c r="B35" s="170"/>
      <c r="C35" s="173"/>
      <c r="D35" s="164" t="str">
        <f>IF(E34=F34,"",IF(E34&gt;F34,"Saldo Deudor","Saldo Acreedor"))</f>
        <v/>
      </c>
      <c r="E35" s="165" t="str">
        <f>IF(E34&gt;F34,E34-F34,"")</f>
        <v/>
      </c>
      <c r="F35" s="176" t="str">
        <f>IF(E34&lt;F34,F34-E34,"")</f>
        <v/>
      </c>
    </row>
    <row r="38" spans="2:63" ht="15.6" x14ac:dyDescent="0.25">
      <c r="B38" s="324" t="s">
        <v>472</v>
      </c>
      <c r="C38" s="324"/>
      <c r="D38" s="175">
        <v>1212</v>
      </c>
      <c r="E38" s="160"/>
    </row>
    <row r="39" spans="2:63" x14ac:dyDescent="0.25">
      <c r="B39" s="160"/>
      <c r="C39" s="160"/>
      <c r="D39" s="160"/>
      <c r="E39" s="160"/>
    </row>
    <row r="40" spans="2:63" ht="15.6" x14ac:dyDescent="0.25">
      <c r="B40" s="324" t="s">
        <v>473</v>
      </c>
      <c r="C40" s="324"/>
      <c r="D40" s="234" t="str">
        <f>VLOOKUP(D38,DivisionariasContables,3,FALSE)</f>
        <v>Facturas, Boletas y Otros Comprobantes por Cobrar - Emitidas en Cartera</v>
      </c>
      <c r="E40" s="160"/>
    </row>
    <row r="41" spans="2:63" ht="14.4" thickBot="1" x14ac:dyDescent="0.3"/>
    <row r="42" spans="2:63" ht="12.75" customHeight="1" x14ac:dyDescent="0.25">
      <c r="B42" s="331" t="s">
        <v>466</v>
      </c>
      <c r="C42" s="333" t="s">
        <v>467</v>
      </c>
      <c r="D42" s="333" t="s">
        <v>468</v>
      </c>
      <c r="E42" s="329" t="s">
        <v>469</v>
      </c>
      <c r="F42" s="330"/>
    </row>
    <row r="43" spans="2:63" ht="14.4" thickBot="1" x14ac:dyDescent="0.3">
      <c r="B43" s="332"/>
      <c r="C43" s="334"/>
      <c r="D43" s="334"/>
      <c r="E43" s="232" t="s">
        <v>403</v>
      </c>
      <c r="F43" s="174" t="s">
        <v>402</v>
      </c>
    </row>
    <row r="44" spans="2:63" ht="14.4" thickTop="1" x14ac:dyDescent="0.25">
      <c r="B44" s="236">
        <v>41670</v>
      </c>
      <c r="C44" s="171"/>
      <c r="D44" s="166" t="s">
        <v>470</v>
      </c>
      <c r="E44" s="167">
        <f>SUMIF('Libro Diario Convencional'!$D$15:$D$167,D38,'Libro Diario Convencional'!$G$15:$G$167)</f>
        <v>0</v>
      </c>
      <c r="F44" s="168">
        <f>SUMIF('Libro Diario Convencional'!$D$15:$D$167,D38,'Libro Diario Convencional'!$H$15:$H$167)</f>
        <v>0</v>
      </c>
      <c r="G44" s="9"/>
      <c r="H44" s="9"/>
      <c r="I44" s="9"/>
      <c r="J44" s="9"/>
      <c r="M44" s="9"/>
      <c r="N44" s="9"/>
      <c r="O44" s="9"/>
      <c r="P44" s="9"/>
      <c r="S44" s="9"/>
      <c r="T44" s="9"/>
      <c r="U44" s="9"/>
      <c r="V44" s="9"/>
      <c r="Y44" s="9"/>
      <c r="Z44" s="9"/>
      <c r="AA44" s="9"/>
      <c r="AB44" s="9"/>
      <c r="AE44" s="9"/>
      <c r="AF44" s="9"/>
      <c r="AG44" s="9"/>
      <c r="AH44" s="9"/>
      <c r="AK44" s="9"/>
      <c r="AL44" s="9"/>
      <c r="AM44" s="9"/>
      <c r="AN44" s="9"/>
      <c r="AQ44" s="9"/>
      <c r="AR44" s="9"/>
      <c r="AS44" s="9"/>
      <c r="AT44" s="9"/>
      <c r="AW44" s="9"/>
    </row>
    <row r="45" spans="2:63" x14ac:dyDescent="0.25">
      <c r="B45" s="169">
        <v>41670</v>
      </c>
      <c r="C45" s="172"/>
      <c r="D45" s="161" t="s">
        <v>474</v>
      </c>
      <c r="E45" s="162">
        <f>SUMIF('Asientos de Cierre'!$D$6:$D$549,D38,'Asientos de Cierre'!$G$6:$G$549)</f>
        <v>0</v>
      </c>
      <c r="F45" s="163">
        <f>SUMIF('Asientos de Cierre'!$D$6:$D$549,D38,'Asientos de Cierre'!$H$6:$H$549)</f>
        <v>0</v>
      </c>
      <c r="G45" s="9"/>
      <c r="H45" s="9"/>
      <c r="I45" s="9"/>
      <c r="J45" s="9"/>
      <c r="M45" s="9"/>
      <c r="N45" s="9"/>
      <c r="O45" s="9"/>
      <c r="P45" s="9"/>
      <c r="S45" s="9"/>
      <c r="T45" s="9"/>
      <c r="U45" s="9"/>
      <c r="V45" s="9"/>
      <c r="Y45" s="9"/>
      <c r="Z45" s="9"/>
      <c r="AA45" s="9"/>
      <c r="AB45" s="9"/>
      <c r="AE45" s="9"/>
      <c r="AF45" s="9"/>
      <c r="AG45" s="9"/>
      <c r="AH45" s="9"/>
      <c r="AK45" s="9"/>
      <c r="AL45" s="9"/>
      <c r="AM45" s="9"/>
      <c r="AN45" s="9"/>
      <c r="AQ45" s="9"/>
      <c r="AR45" s="9"/>
      <c r="AS45" s="9"/>
      <c r="AT45" s="9"/>
      <c r="AW45" s="9"/>
    </row>
    <row r="46" spans="2:63" x14ac:dyDescent="0.25">
      <c r="B46" s="169"/>
      <c r="C46" s="172"/>
      <c r="D46" s="161"/>
      <c r="E46" s="162"/>
      <c r="F46" s="163"/>
      <c r="G46" s="9"/>
      <c r="H46" s="9"/>
      <c r="I46" s="9"/>
      <c r="J46" s="9"/>
      <c r="M46" s="9"/>
      <c r="N46" s="9"/>
      <c r="O46" s="9"/>
      <c r="P46" s="9"/>
      <c r="S46" s="9"/>
      <c r="T46" s="9"/>
      <c r="U46" s="9"/>
      <c r="V46" s="9"/>
      <c r="Y46" s="9"/>
      <c r="Z46" s="9"/>
      <c r="AA46" s="9"/>
      <c r="AB46" s="9"/>
      <c r="AE46" s="9"/>
      <c r="AF46" s="9"/>
      <c r="AG46" s="9"/>
      <c r="AH46" s="9"/>
      <c r="AK46" s="9"/>
      <c r="AL46" s="9"/>
      <c r="AM46" s="9"/>
      <c r="AN46" s="9"/>
      <c r="AQ46" s="9"/>
      <c r="AR46" s="9"/>
      <c r="AS46" s="9"/>
      <c r="AT46" s="9"/>
      <c r="AW46" s="9"/>
    </row>
    <row r="47" spans="2:63" ht="14.4" thickBot="1" x14ac:dyDescent="0.3">
      <c r="B47" s="169"/>
      <c r="C47" s="172"/>
      <c r="D47" s="161"/>
      <c r="E47" s="162"/>
      <c r="F47" s="163"/>
      <c r="G47" s="9"/>
      <c r="H47" s="9"/>
      <c r="I47" s="9"/>
      <c r="J47" s="9"/>
      <c r="M47" s="9"/>
      <c r="N47" s="9"/>
      <c r="O47" s="9"/>
      <c r="P47" s="9"/>
      <c r="S47" s="9"/>
      <c r="T47" s="9"/>
      <c r="U47" s="9"/>
      <c r="V47" s="9"/>
      <c r="Y47" s="9"/>
      <c r="Z47" s="9"/>
      <c r="AA47" s="9"/>
      <c r="AB47" s="9"/>
      <c r="AE47" s="9"/>
      <c r="AF47" s="9"/>
      <c r="AG47" s="9"/>
      <c r="AH47" s="9"/>
      <c r="AK47" s="9"/>
      <c r="AL47" s="9"/>
      <c r="AM47" s="9"/>
      <c r="AN47" s="9"/>
      <c r="AQ47" s="9"/>
      <c r="AR47" s="9"/>
      <c r="AS47" s="9"/>
      <c r="AT47" s="9"/>
      <c r="AW47" s="9"/>
    </row>
    <row r="48" spans="2:63" ht="15" thickBot="1" x14ac:dyDescent="0.3">
      <c r="B48" s="169"/>
      <c r="C48" s="172"/>
      <c r="D48" s="161" t="s">
        <v>471</v>
      </c>
      <c r="E48" s="162">
        <f>SUM(E44:E47)</f>
        <v>0</v>
      </c>
      <c r="F48" s="163">
        <f>SUM(F44:F47)</f>
        <v>0</v>
      </c>
      <c r="G48" s="9"/>
      <c r="H48" s="9"/>
      <c r="I48" s="9"/>
      <c r="J48" s="9"/>
      <c r="M48" s="9"/>
      <c r="N48" s="9"/>
      <c r="O48" s="9"/>
      <c r="P48" s="9"/>
      <c r="S48" s="9"/>
      <c r="T48" s="9"/>
      <c r="U48" s="9"/>
      <c r="V48" s="9"/>
      <c r="Y48" s="9"/>
      <c r="Z48" s="9"/>
      <c r="AA48" s="9"/>
      <c r="AB48" s="9"/>
      <c r="AE48" s="9"/>
      <c r="AF48" s="9"/>
      <c r="AG48" s="9"/>
      <c r="AH48" s="9"/>
      <c r="AK48" s="9"/>
      <c r="AL48" s="9"/>
      <c r="AM48" s="9"/>
      <c r="AN48" s="9"/>
      <c r="AQ48" s="9"/>
      <c r="AR48" s="9"/>
      <c r="AS48" s="9"/>
      <c r="AT48" s="9"/>
      <c r="AW48" s="9"/>
      <c r="BJ48" s="157">
        <f>SUM(E48,K48,Q48,W48,AC48,AI48,AO48,AU48,BA48,BG48)</f>
        <v>0</v>
      </c>
      <c r="BK48" s="158">
        <f>SUM(F48,L48,R48,X48,AD48,AJ48,AP48,AV48,BB48,BH48)</f>
        <v>0</v>
      </c>
    </row>
    <row r="49" spans="2:63" ht="14.4" thickBot="1" x14ac:dyDescent="0.3">
      <c r="B49" s="170"/>
      <c r="C49" s="173"/>
      <c r="D49" s="164" t="str">
        <f>IF(E48=F48,"",IF(E48&gt;F48,"Saldo Deudor","Saldo Acreedor"))</f>
        <v/>
      </c>
      <c r="E49" s="165" t="str">
        <f>IF(E48&gt;F48,E48-F48,"")</f>
        <v/>
      </c>
      <c r="F49" s="176" t="str">
        <f>IF(E48&lt;F48,F48-E48,"")</f>
        <v/>
      </c>
    </row>
    <row r="52" spans="2:63" ht="15.6" x14ac:dyDescent="0.25">
      <c r="B52" s="324" t="s">
        <v>472</v>
      </c>
      <c r="C52" s="324"/>
      <c r="D52" s="175">
        <v>1411</v>
      </c>
      <c r="E52" s="160"/>
      <c r="H52" s="324" t="s">
        <v>472</v>
      </c>
      <c r="I52" s="324"/>
      <c r="J52" s="175">
        <v>1412</v>
      </c>
      <c r="K52" s="160"/>
    </row>
    <row r="53" spans="2:63" x14ac:dyDescent="0.25">
      <c r="B53" s="160"/>
      <c r="C53" s="160"/>
      <c r="D53" s="160"/>
      <c r="E53" s="160"/>
      <c r="H53" s="160"/>
      <c r="I53" s="160"/>
      <c r="J53" s="160"/>
      <c r="K53" s="160"/>
    </row>
    <row r="54" spans="2:63" ht="15.6" x14ac:dyDescent="0.25">
      <c r="B54" s="324" t="s">
        <v>473</v>
      </c>
      <c r="C54" s="324"/>
      <c r="D54" s="234" t="str">
        <f>VLOOKUP(D52,DivisionariasContables,3,FALSE)</f>
        <v>Personal - Préstamos</v>
      </c>
      <c r="E54" s="160"/>
      <c r="H54" s="324" t="s">
        <v>473</v>
      </c>
      <c r="I54" s="324"/>
      <c r="J54" s="234" t="str">
        <f>VLOOKUP(J52,DivisionariasContables,3,FALSE)</f>
        <v>Personal - Adelanto de Remuneraciones</v>
      </c>
      <c r="K54" s="160"/>
    </row>
    <row r="55" spans="2:63" ht="14.4" thickBot="1" x14ac:dyDescent="0.3"/>
    <row r="56" spans="2:63" ht="12.75" customHeight="1" x14ac:dyDescent="0.25">
      <c r="B56" s="331" t="s">
        <v>466</v>
      </c>
      <c r="C56" s="333" t="s">
        <v>467</v>
      </c>
      <c r="D56" s="333" t="s">
        <v>468</v>
      </c>
      <c r="E56" s="329" t="s">
        <v>469</v>
      </c>
      <c r="F56" s="330"/>
      <c r="H56" s="331" t="s">
        <v>466</v>
      </c>
      <c r="I56" s="333" t="s">
        <v>467</v>
      </c>
      <c r="J56" s="333" t="s">
        <v>468</v>
      </c>
      <c r="K56" s="329" t="s">
        <v>469</v>
      </c>
      <c r="L56" s="330"/>
    </row>
    <row r="57" spans="2:63" ht="14.4" thickBot="1" x14ac:dyDescent="0.3">
      <c r="B57" s="332"/>
      <c r="C57" s="334"/>
      <c r="D57" s="334"/>
      <c r="E57" s="232" t="s">
        <v>403</v>
      </c>
      <c r="F57" s="174" t="s">
        <v>402</v>
      </c>
      <c r="H57" s="332"/>
      <c r="I57" s="334"/>
      <c r="J57" s="334"/>
      <c r="K57" s="232" t="s">
        <v>403</v>
      </c>
      <c r="L57" s="174" t="s">
        <v>402</v>
      </c>
    </row>
    <row r="58" spans="2:63" ht="14.4" thickTop="1" x14ac:dyDescent="0.25">
      <c r="B58" s="236">
        <v>41670</v>
      </c>
      <c r="C58" s="171"/>
      <c r="D58" s="166" t="s">
        <v>470</v>
      </c>
      <c r="E58" s="167">
        <f>SUMIF('Libro Diario Convencional'!$D$15:$D$167,D52,'Libro Diario Convencional'!$G$15:$G$167)</f>
        <v>0</v>
      </c>
      <c r="F58" s="168">
        <f>SUMIF('Libro Diario Convencional'!$D$15:$D$167,D52,'Libro Diario Convencional'!$H$15:$H$167)</f>
        <v>0</v>
      </c>
      <c r="H58" s="236">
        <v>41670</v>
      </c>
      <c r="I58" s="171"/>
      <c r="J58" s="166" t="s">
        <v>470</v>
      </c>
      <c r="K58" s="167">
        <f>SUMIF('Libro Diario Convencional'!$D$15:$D$167,J52,'Libro Diario Convencional'!$G$15:$G$167)</f>
        <v>0</v>
      </c>
      <c r="L58" s="168">
        <f>SUMIF('Libro Diario Convencional'!$D$15:$D$167,J52,'Libro Diario Convencional'!$H$15:$H$167)</f>
        <v>0</v>
      </c>
    </row>
    <row r="59" spans="2:63" x14ac:dyDescent="0.25">
      <c r="B59" s="169">
        <v>41670</v>
      </c>
      <c r="C59" s="172"/>
      <c r="D59" s="161" t="s">
        <v>474</v>
      </c>
      <c r="E59" s="162">
        <f>SUMIF('Asientos de Cierre'!$D$6:$D$549,D52,'Asientos de Cierre'!$G$6:$G$549)</f>
        <v>0</v>
      </c>
      <c r="F59" s="163">
        <f>SUMIF('Asientos de Cierre'!$D$6:$D$549,D52,'Asientos de Cierre'!$H$6:$H$549)</f>
        <v>0</v>
      </c>
      <c r="H59" s="169">
        <v>41670</v>
      </c>
      <c r="I59" s="172"/>
      <c r="J59" s="161" t="s">
        <v>474</v>
      </c>
      <c r="K59" s="162">
        <f>SUMIF('Asientos de Cierre'!$D$6:$D$549,J52,'Asientos de Cierre'!$G$6:$G$549)</f>
        <v>0</v>
      </c>
      <c r="L59" s="163">
        <f>SUMIF('Asientos de Cierre'!$D$6:$D$549,J52,'Asientos de Cierre'!$H$6:$H$549)</f>
        <v>0</v>
      </c>
    </row>
    <row r="60" spans="2:63" x14ac:dyDescent="0.25">
      <c r="B60" s="169"/>
      <c r="C60" s="172"/>
      <c r="D60" s="161"/>
      <c r="E60" s="162"/>
      <c r="F60" s="163"/>
      <c r="H60" s="169"/>
      <c r="I60" s="172"/>
      <c r="J60" s="161"/>
      <c r="K60" s="162"/>
      <c r="L60" s="163"/>
    </row>
    <row r="61" spans="2:63" ht="14.4" thickBot="1" x14ac:dyDescent="0.3">
      <c r="B61" s="169"/>
      <c r="C61" s="172"/>
      <c r="D61" s="161"/>
      <c r="E61" s="162"/>
      <c r="F61" s="163"/>
      <c r="H61" s="169"/>
      <c r="I61" s="172"/>
      <c r="J61" s="161"/>
      <c r="K61" s="162"/>
      <c r="L61" s="163"/>
    </row>
    <row r="62" spans="2:63" ht="15" thickBot="1" x14ac:dyDescent="0.3">
      <c r="B62" s="169"/>
      <c r="C62" s="172"/>
      <c r="D62" s="161" t="s">
        <v>471</v>
      </c>
      <c r="E62" s="162">
        <f>SUM(E58:E61)</f>
        <v>0</v>
      </c>
      <c r="F62" s="163">
        <f>SUM(F58:F61)</f>
        <v>0</v>
      </c>
      <c r="H62" s="169"/>
      <c r="I62" s="172"/>
      <c r="J62" s="161" t="s">
        <v>471</v>
      </c>
      <c r="K62" s="162">
        <f>SUM(K58:K61)</f>
        <v>0</v>
      </c>
      <c r="L62" s="163">
        <f>SUM(L58:L61)</f>
        <v>0</v>
      </c>
      <c r="BJ62" s="157">
        <f>SUM(E62,K62,Q62,W62,AC62,AI62,AO62,AU62,BA62,BG62)</f>
        <v>0</v>
      </c>
      <c r="BK62" s="158">
        <f>SUM(F62,L62,R62,X62,AD62,AJ62,AP62,AV62,BB62,BH62)</f>
        <v>0</v>
      </c>
    </row>
    <row r="63" spans="2:63" ht="14.4" thickBot="1" x14ac:dyDescent="0.3">
      <c r="B63" s="170"/>
      <c r="C63" s="173"/>
      <c r="D63" s="164" t="str">
        <f>IF(E62=F62,"",IF(E62&gt;F62,"Saldo Deudor","Saldo Acreedor"))</f>
        <v/>
      </c>
      <c r="E63" s="165" t="str">
        <f>IF(E62&gt;F62,E62-F62,"")</f>
        <v/>
      </c>
      <c r="F63" s="176" t="str">
        <f>IF(E62&lt;F62,F62-E62,"")</f>
        <v/>
      </c>
      <c r="H63" s="170"/>
      <c r="I63" s="173"/>
      <c r="J63" s="164" t="str">
        <f>IF(K62=L62,"",IF(K62&gt;L62,"Saldo Deudor","Saldo Acreedor"))</f>
        <v/>
      </c>
      <c r="K63" s="165" t="str">
        <f>IF(K62&gt;L62,K62-L62,"")</f>
        <v/>
      </c>
      <c r="L63" s="176" t="str">
        <f>IF(K62&lt;L62,L62-K62,"")</f>
        <v/>
      </c>
    </row>
    <row r="66" spans="2:63" ht="15.6" x14ac:dyDescent="0.25">
      <c r="B66" s="324" t="s">
        <v>472</v>
      </c>
      <c r="C66" s="324"/>
      <c r="D66" s="175">
        <v>1421</v>
      </c>
      <c r="E66" s="160"/>
    </row>
    <row r="67" spans="2:63" x14ac:dyDescent="0.25">
      <c r="B67" s="160"/>
      <c r="C67" s="160"/>
      <c r="D67" s="160"/>
      <c r="E67" s="160"/>
    </row>
    <row r="68" spans="2:63" ht="15.6" x14ac:dyDescent="0.25">
      <c r="B68" s="324" t="s">
        <v>473</v>
      </c>
      <c r="C68" s="324"/>
      <c r="D68" s="234" t="str">
        <f>VLOOKUP(D66,DivisionariasContables,3,FALSE)</f>
        <v>Accionistas (O Socios) - Suscripciones por Cobrar a Socios o Accionistas</v>
      </c>
      <c r="E68" s="160"/>
    </row>
    <row r="69" spans="2:63" ht="14.4" thickBot="1" x14ac:dyDescent="0.3"/>
    <row r="70" spans="2:63" ht="12.75" customHeight="1" x14ac:dyDescent="0.25">
      <c r="B70" s="331" t="s">
        <v>466</v>
      </c>
      <c r="C70" s="333" t="s">
        <v>467</v>
      </c>
      <c r="D70" s="333" t="s">
        <v>468</v>
      </c>
      <c r="E70" s="329" t="s">
        <v>469</v>
      </c>
      <c r="F70" s="330"/>
    </row>
    <row r="71" spans="2:63" ht="14.4" thickBot="1" x14ac:dyDescent="0.3">
      <c r="B71" s="332"/>
      <c r="C71" s="334"/>
      <c r="D71" s="334"/>
      <c r="E71" s="232" t="s">
        <v>403</v>
      </c>
      <c r="F71" s="174" t="s">
        <v>402</v>
      </c>
    </row>
    <row r="72" spans="2:63" ht="14.4" thickTop="1" x14ac:dyDescent="0.25">
      <c r="B72" s="236">
        <v>41670</v>
      </c>
      <c r="C72" s="171"/>
      <c r="D72" s="166" t="s">
        <v>470</v>
      </c>
      <c r="E72" s="167">
        <f>SUMIF('Libro Diario Convencional'!$D$15:$D$167,D66,'Libro Diario Convencional'!$G$15:$G$167)</f>
        <v>0</v>
      </c>
      <c r="F72" s="168">
        <f>SUMIF('Libro Diario Convencional'!$D$15:$D$167,D66,'Libro Diario Convencional'!$H$15:$H$167)</f>
        <v>0</v>
      </c>
    </row>
    <row r="73" spans="2:63" x14ac:dyDescent="0.25">
      <c r="B73" s="169">
        <v>41670</v>
      </c>
      <c r="C73" s="172"/>
      <c r="D73" s="161" t="s">
        <v>474</v>
      </c>
      <c r="E73" s="162">
        <f>SUMIF('Asientos de Cierre'!$D$6:$D$549,D66,'Asientos de Cierre'!$G$6:$G$549)</f>
        <v>0</v>
      </c>
      <c r="F73" s="163">
        <f>SUMIF('Asientos de Cierre'!$D$6:$D$549,D66,'Asientos de Cierre'!$H$6:$H$549)</f>
        <v>0</v>
      </c>
    </row>
    <row r="74" spans="2:63" x14ac:dyDescent="0.25">
      <c r="B74" s="169"/>
      <c r="C74" s="172"/>
      <c r="D74" s="161"/>
      <c r="E74" s="162"/>
      <c r="F74" s="163"/>
    </row>
    <row r="75" spans="2:63" ht="14.4" thickBot="1" x14ac:dyDescent="0.3">
      <c r="B75" s="169"/>
      <c r="C75" s="172"/>
      <c r="D75" s="161"/>
      <c r="E75" s="162"/>
      <c r="F75" s="163"/>
    </row>
    <row r="76" spans="2:63" ht="15" thickBot="1" x14ac:dyDescent="0.3">
      <c r="B76" s="169"/>
      <c r="C76" s="172"/>
      <c r="D76" s="161" t="s">
        <v>471</v>
      </c>
      <c r="E76" s="162">
        <f>SUM(E72:E75)</f>
        <v>0</v>
      </c>
      <c r="F76" s="163">
        <f>SUM(F72:F75)</f>
        <v>0</v>
      </c>
      <c r="BJ76" s="157">
        <f>SUM(E76,K76,Q76,W76,AC76,AI76,AO76,AU76,BA76,BG76)</f>
        <v>0</v>
      </c>
      <c r="BK76" s="158">
        <f>SUM(F76,L76,R76,X76,AD76,AJ76,AP76,AV76,BB76,BH76)</f>
        <v>0</v>
      </c>
    </row>
    <row r="77" spans="2:63" ht="14.4" thickBot="1" x14ac:dyDescent="0.3">
      <c r="B77" s="170"/>
      <c r="C77" s="173"/>
      <c r="D77" s="164" t="str">
        <f>IF(E76=F76,"",IF(E76&gt;F76,"Saldo Deudor","Saldo Acreedor"))</f>
        <v/>
      </c>
      <c r="E77" s="165" t="str">
        <f>IF(E76&gt;F76,E76-F76,"")</f>
        <v/>
      </c>
      <c r="F77" s="176" t="str">
        <f>IF(E76&lt;F76,F76-E76,"")</f>
        <v/>
      </c>
    </row>
    <row r="80" spans="2:63" ht="15.6" x14ac:dyDescent="0.25">
      <c r="B80" s="324" t="s">
        <v>472</v>
      </c>
      <c r="C80" s="324"/>
      <c r="D80" s="175">
        <v>1631</v>
      </c>
      <c r="E80" s="160"/>
    </row>
    <row r="81" spans="2:63" x14ac:dyDescent="0.25">
      <c r="B81" s="160"/>
      <c r="C81" s="160"/>
      <c r="D81" s="160"/>
      <c r="E81" s="160"/>
    </row>
    <row r="82" spans="2:63" ht="15.6" x14ac:dyDescent="0.25">
      <c r="B82" s="324" t="s">
        <v>473</v>
      </c>
      <c r="C82" s="324"/>
      <c r="D82" s="234" t="str">
        <f>VLOOKUP(D80,DivisionariasContables,3,FALSE)</f>
        <v>Intereses, Regalías y Dividendos - Intereses</v>
      </c>
      <c r="E82" s="160"/>
    </row>
    <row r="83" spans="2:63" ht="14.4" thickBot="1" x14ac:dyDescent="0.3"/>
    <row r="84" spans="2:63" ht="12.75" customHeight="1" x14ac:dyDescent="0.25">
      <c r="B84" s="331" t="s">
        <v>466</v>
      </c>
      <c r="C84" s="333" t="s">
        <v>467</v>
      </c>
      <c r="D84" s="333" t="s">
        <v>468</v>
      </c>
      <c r="E84" s="329" t="s">
        <v>469</v>
      </c>
      <c r="F84" s="330"/>
    </row>
    <row r="85" spans="2:63" ht="14.4" thickBot="1" x14ac:dyDescent="0.3">
      <c r="B85" s="332"/>
      <c r="C85" s="334"/>
      <c r="D85" s="334"/>
      <c r="E85" s="232" t="s">
        <v>403</v>
      </c>
      <c r="F85" s="174" t="s">
        <v>402</v>
      </c>
    </row>
    <row r="86" spans="2:63" ht="14.4" thickTop="1" x14ac:dyDescent="0.25">
      <c r="B86" s="236">
        <v>41670</v>
      </c>
      <c r="C86" s="171"/>
      <c r="D86" s="166" t="s">
        <v>470</v>
      </c>
      <c r="E86" s="167">
        <f>SUMIF('Libro Diario Convencional'!$D$15:$D$167,D80,'Libro Diario Convencional'!$G$15:$G$167)</f>
        <v>0</v>
      </c>
      <c r="F86" s="168">
        <f>SUMIF('Libro Diario Convencional'!$D$15:$D$167,D80,'Libro Diario Convencional'!$H$15:$H$167)</f>
        <v>0</v>
      </c>
    </row>
    <row r="87" spans="2:63" x14ac:dyDescent="0.25">
      <c r="B87" s="169">
        <v>41670</v>
      </c>
      <c r="C87" s="172"/>
      <c r="D87" s="161" t="s">
        <v>474</v>
      </c>
      <c r="E87" s="162">
        <f>SUMIF('Asientos de Cierre'!$D$6:$D$549,D80,'Asientos de Cierre'!$G$6:$G$549)</f>
        <v>0</v>
      </c>
      <c r="F87" s="163">
        <f>SUMIF('Asientos de Cierre'!$D$6:$D$549,D80,'Asientos de Cierre'!$H$6:$H$549)</f>
        <v>0</v>
      </c>
    </row>
    <row r="88" spans="2:63" x14ac:dyDescent="0.25">
      <c r="B88" s="169"/>
      <c r="C88" s="172"/>
      <c r="D88" s="161"/>
      <c r="E88" s="162"/>
      <c r="F88" s="163"/>
    </row>
    <row r="89" spans="2:63" ht="14.4" thickBot="1" x14ac:dyDescent="0.3">
      <c r="B89" s="169"/>
      <c r="C89" s="172"/>
      <c r="D89" s="161"/>
      <c r="E89" s="162"/>
      <c r="F89" s="163"/>
    </row>
    <row r="90" spans="2:63" ht="15" thickBot="1" x14ac:dyDescent="0.3">
      <c r="B90" s="169"/>
      <c r="C90" s="172"/>
      <c r="D90" s="161" t="s">
        <v>471</v>
      </c>
      <c r="E90" s="162">
        <f>SUM(E86:E89)</f>
        <v>0</v>
      </c>
      <c r="F90" s="163">
        <f>SUM(F86:F89)</f>
        <v>0</v>
      </c>
      <c r="BJ90" s="157">
        <f>SUM(E90,K90,Q90,W90,AC90,AI90,AO90,AU90,BA90,BG90)</f>
        <v>0</v>
      </c>
      <c r="BK90" s="158">
        <f>SUM(F90,L90,R90,X90,AD90,AJ90,AP90,AV90,BB90,BH90)</f>
        <v>0</v>
      </c>
    </row>
    <row r="91" spans="2:63" ht="14.4" thickBot="1" x14ac:dyDescent="0.3">
      <c r="B91" s="170"/>
      <c r="C91" s="173"/>
      <c r="D91" s="164" t="str">
        <f>IF(E90=F90,"",IF(E90&gt;F90,"Saldo Deudor","Saldo Acreedor"))</f>
        <v/>
      </c>
      <c r="E91" s="165" t="str">
        <f>IF(E90&gt;F90,E90-F90,"")</f>
        <v/>
      </c>
      <c r="F91" s="176" t="str">
        <f>IF(E90&lt;F90,F90-E90,"")</f>
        <v/>
      </c>
    </row>
    <row r="94" spans="2:63" ht="15.6" x14ac:dyDescent="0.25">
      <c r="B94" s="324" t="s">
        <v>472</v>
      </c>
      <c r="C94" s="324"/>
      <c r="D94" s="175">
        <v>1651</v>
      </c>
      <c r="E94" s="160"/>
    </row>
    <row r="95" spans="2:63" x14ac:dyDescent="0.25">
      <c r="B95" s="160"/>
      <c r="C95" s="160"/>
      <c r="D95" s="160"/>
      <c r="E95" s="160"/>
    </row>
    <row r="96" spans="2:63" ht="15.6" x14ac:dyDescent="0.25">
      <c r="B96" s="324" t="s">
        <v>473</v>
      </c>
      <c r="C96" s="324"/>
      <c r="D96" s="234" t="str">
        <f>VLOOKUP(D94,DivisionariasContables,3,FALSE)</f>
        <v>Venta de Activo Inmovilizado - Inversión Mobiliaria</v>
      </c>
      <c r="E96" s="160"/>
    </row>
    <row r="97" spans="2:63" ht="14.4" thickBot="1" x14ac:dyDescent="0.3"/>
    <row r="98" spans="2:63" x14ac:dyDescent="0.25">
      <c r="B98" s="325" t="s">
        <v>466</v>
      </c>
      <c r="C98" s="327" t="s">
        <v>467</v>
      </c>
      <c r="D98" s="327" t="s">
        <v>468</v>
      </c>
      <c r="E98" s="329" t="s">
        <v>469</v>
      </c>
      <c r="F98" s="330"/>
    </row>
    <row r="99" spans="2:63" ht="14.4" thickBot="1" x14ac:dyDescent="0.3">
      <c r="B99" s="326"/>
      <c r="C99" s="328"/>
      <c r="D99" s="328"/>
      <c r="E99" s="232" t="s">
        <v>403</v>
      </c>
      <c r="F99" s="174" t="s">
        <v>402</v>
      </c>
    </row>
    <row r="100" spans="2:63" ht="14.4" thickTop="1" x14ac:dyDescent="0.25">
      <c r="B100" s="236">
        <v>41670</v>
      </c>
      <c r="C100" s="171"/>
      <c r="D100" s="166" t="s">
        <v>470</v>
      </c>
      <c r="E100" s="167">
        <f>SUMIF('Libro Diario Convencional'!$D$15:$D$167,D94,'Libro Diario Convencional'!$G$15:$G$167)</f>
        <v>0</v>
      </c>
      <c r="F100" s="168">
        <f>SUMIF('Libro Diario Convencional'!$D$15:$D$167,D94,'Libro Diario Convencional'!$H$15:$H$167)</f>
        <v>0</v>
      </c>
    </row>
    <row r="101" spans="2:63" x14ac:dyDescent="0.25">
      <c r="B101" s="169">
        <v>41670</v>
      </c>
      <c r="C101" s="172"/>
      <c r="D101" s="161" t="s">
        <v>474</v>
      </c>
      <c r="E101" s="162">
        <f>SUMIF('Asientos de Cierre'!$D$6:$D$549,D94,'Asientos de Cierre'!$G$6:$G$549)</f>
        <v>0</v>
      </c>
      <c r="F101" s="163">
        <f>SUMIF('Asientos de Cierre'!$D$6:$D$549,D94,'Asientos de Cierre'!$H$6:$H$549)</f>
        <v>0</v>
      </c>
    </row>
    <row r="102" spans="2:63" x14ac:dyDescent="0.25">
      <c r="B102" s="169"/>
      <c r="C102" s="172"/>
      <c r="D102" s="161"/>
      <c r="E102" s="162"/>
      <c r="F102" s="163"/>
    </row>
    <row r="103" spans="2:63" ht="14.4" thickBot="1" x14ac:dyDescent="0.3">
      <c r="B103" s="169"/>
      <c r="C103" s="172"/>
      <c r="D103" s="161"/>
      <c r="E103" s="162"/>
      <c r="F103" s="163"/>
    </row>
    <row r="104" spans="2:63" ht="15" thickBot="1" x14ac:dyDescent="0.3">
      <c r="B104" s="169"/>
      <c r="C104" s="172"/>
      <c r="D104" s="161" t="s">
        <v>471</v>
      </c>
      <c r="E104" s="162">
        <f>SUM(E100:E103)</f>
        <v>0</v>
      </c>
      <c r="F104" s="163">
        <f>SUM(F100:F103)</f>
        <v>0</v>
      </c>
      <c r="BJ104" s="157">
        <f>SUM(E104,K104,Q104,W104,AC104,AI104,AO104,AU104,BA104,BG104)</f>
        <v>0</v>
      </c>
      <c r="BK104" s="158">
        <f>SUM(F104,L104,R104,X104,AD104,AJ104,AP104,AV104,BB104,BH104)</f>
        <v>0</v>
      </c>
    </row>
    <row r="105" spans="2:63" ht="14.4" thickBot="1" x14ac:dyDescent="0.3">
      <c r="B105" s="170"/>
      <c r="C105" s="173"/>
      <c r="D105" s="164" t="str">
        <f>IF(E104=F104,"",IF(E104&gt;F104,"Saldo Deudor","Saldo Acreedor"))</f>
        <v/>
      </c>
      <c r="E105" s="165" t="str">
        <f>IF(E104&gt;F104,E104-F104,"")</f>
        <v/>
      </c>
      <c r="F105" s="176" t="str">
        <f>IF(E104&lt;F104,F104-E104,"")</f>
        <v/>
      </c>
    </row>
    <row r="108" spans="2:63" ht="15.6" x14ac:dyDescent="0.25">
      <c r="B108" s="324" t="s">
        <v>472</v>
      </c>
      <c r="C108" s="324"/>
      <c r="D108" s="175">
        <v>1689</v>
      </c>
      <c r="E108" s="160"/>
    </row>
    <row r="109" spans="2:63" x14ac:dyDescent="0.25">
      <c r="B109" s="160"/>
      <c r="C109" s="160"/>
      <c r="D109" s="160"/>
      <c r="E109" s="160"/>
    </row>
    <row r="110" spans="2:63" ht="15.6" x14ac:dyDescent="0.25">
      <c r="B110" s="324" t="s">
        <v>473</v>
      </c>
      <c r="C110" s="324"/>
      <c r="D110" s="234" t="str">
        <f>VLOOKUP(D108,DivisionariasContables,3,FALSE)</f>
        <v>Otras Cuentas por Cobrar Diversas - Otras</v>
      </c>
      <c r="E110" s="160"/>
    </row>
    <row r="111" spans="2:63" ht="14.4" thickBot="1" x14ac:dyDescent="0.3"/>
    <row r="112" spans="2:63" x14ac:dyDescent="0.25">
      <c r="B112" s="325" t="s">
        <v>466</v>
      </c>
      <c r="C112" s="327" t="s">
        <v>467</v>
      </c>
      <c r="D112" s="327" t="s">
        <v>468</v>
      </c>
      <c r="E112" s="329" t="s">
        <v>469</v>
      </c>
      <c r="F112" s="330"/>
    </row>
    <row r="113" spans="2:63" ht="14.4" thickBot="1" x14ac:dyDescent="0.3">
      <c r="B113" s="326"/>
      <c r="C113" s="328"/>
      <c r="D113" s="328"/>
      <c r="E113" s="232" t="s">
        <v>403</v>
      </c>
      <c r="F113" s="174" t="s">
        <v>402</v>
      </c>
    </row>
    <row r="114" spans="2:63" ht="14.4" thickTop="1" x14ac:dyDescent="0.25">
      <c r="B114" s="236">
        <v>41670</v>
      </c>
      <c r="C114" s="171"/>
      <c r="D114" s="166" t="s">
        <v>470</v>
      </c>
      <c r="E114" s="167">
        <f>SUMIF('Libro Diario Convencional'!$D$15:$D$167,D108,'Libro Diario Convencional'!$G$15:$G$167)</f>
        <v>0</v>
      </c>
      <c r="F114" s="168">
        <f>SUMIF('Libro Diario Convencional'!$D$15:$D$167,D108,'Libro Diario Convencional'!$H$15:$H$167)</f>
        <v>0</v>
      </c>
      <c r="G114" s="9"/>
      <c r="H114" s="9"/>
      <c r="I114" s="9"/>
      <c r="J114" s="9"/>
      <c r="M114" s="9"/>
      <c r="N114" s="9"/>
      <c r="O114" s="9"/>
      <c r="P114" s="9"/>
      <c r="S114" s="9"/>
      <c r="T114" s="9"/>
      <c r="U114" s="9"/>
      <c r="V114" s="9"/>
      <c r="Y114" s="9"/>
      <c r="Z114" s="9"/>
      <c r="AA114" s="9"/>
      <c r="AB114" s="9"/>
      <c r="AE114" s="9"/>
      <c r="AF114" s="9"/>
      <c r="AG114" s="9"/>
      <c r="AH114" s="9"/>
      <c r="AK114" s="9"/>
      <c r="AL114" s="9"/>
      <c r="AM114" s="9"/>
      <c r="AN114" s="9"/>
      <c r="AQ114" s="9"/>
      <c r="AR114" s="9"/>
      <c r="AS114" s="9"/>
      <c r="AT114" s="9"/>
      <c r="AW114" s="9"/>
    </row>
    <row r="115" spans="2:63" x14ac:dyDescent="0.25">
      <c r="B115" s="169">
        <v>41670</v>
      </c>
      <c r="C115" s="172"/>
      <c r="D115" s="161" t="s">
        <v>474</v>
      </c>
      <c r="E115" s="162">
        <f>SUMIF('Asientos de Cierre'!$D$6:$D$549,D108,'Asientos de Cierre'!$G$6:$G$549)</f>
        <v>0</v>
      </c>
      <c r="F115" s="163">
        <f>SUMIF('Asientos de Cierre'!$D$6:$D$549,D108,'Asientos de Cierre'!$H$6:$H$549)</f>
        <v>0</v>
      </c>
      <c r="G115" s="9"/>
      <c r="H115" s="9"/>
      <c r="I115" s="9"/>
      <c r="J115" s="9"/>
      <c r="M115" s="9"/>
      <c r="N115" s="9"/>
      <c r="O115" s="9"/>
      <c r="P115" s="9"/>
      <c r="S115" s="9"/>
      <c r="T115" s="9"/>
      <c r="U115" s="9"/>
      <c r="V115" s="9"/>
      <c r="Y115" s="9"/>
      <c r="Z115" s="9"/>
      <c r="AA115" s="9"/>
      <c r="AB115" s="9"/>
      <c r="AE115" s="9"/>
      <c r="AF115" s="9"/>
      <c r="AG115" s="9"/>
      <c r="AH115" s="9"/>
      <c r="AK115" s="9"/>
      <c r="AL115" s="9"/>
      <c r="AM115" s="9"/>
      <c r="AN115" s="9"/>
      <c r="AQ115" s="9"/>
      <c r="AR115" s="9"/>
      <c r="AS115" s="9"/>
      <c r="AT115" s="9"/>
      <c r="AW115" s="9"/>
    </row>
    <row r="116" spans="2:63" x14ac:dyDescent="0.25">
      <c r="B116" s="169"/>
      <c r="C116" s="172"/>
      <c r="D116" s="161"/>
      <c r="E116" s="162"/>
      <c r="F116" s="163"/>
      <c r="G116" s="9"/>
      <c r="H116" s="9"/>
      <c r="I116" s="9"/>
      <c r="J116" s="9"/>
      <c r="M116" s="9"/>
      <c r="N116" s="9"/>
      <c r="O116" s="9"/>
      <c r="P116" s="9"/>
      <c r="S116" s="9"/>
      <c r="T116" s="9"/>
      <c r="U116" s="9"/>
      <c r="V116" s="9"/>
      <c r="Y116" s="9"/>
      <c r="Z116" s="9"/>
      <c r="AA116" s="9"/>
      <c r="AB116" s="9"/>
      <c r="AE116" s="9"/>
      <c r="AF116" s="9"/>
      <c r="AG116" s="9"/>
      <c r="AH116" s="9"/>
      <c r="AK116" s="9"/>
      <c r="AL116" s="9"/>
      <c r="AM116" s="9"/>
      <c r="AN116" s="9"/>
      <c r="AQ116" s="9"/>
      <c r="AR116" s="9"/>
      <c r="AS116" s="9"/>
      <c r="AT116" s="9"/>
      <c r="AW116" s="9"/>
    </row>
    <row r="117" spans="2:63" ht="14.4" thickBot="1" x14ac:dyDescent="0.3">
      <c r="B117" s="169"/>
      <c r="C117" s="172"/>
      <c r="D117" s="161"/>
      <c r="E117" s="162"/>
      <c r="F117" s="163"/>
      <c r="G117" s="9"/>
      <c r="H117" s="9"/>
      <c r="I117" s="9"/>
      <c r="J117" s="9"/>
      <c r="M117" s="9"/>
      <c r="N117" s="9"/>
      <c r="O117" s="9"/>
      <c r="P117" s="9"/>
      <c r="S117" s="9"/>
      <c r="T117" s="9"/>
      <c r="U117" s="9"/>
      <c r="V117" s="9"/>
      <c r="Y117" s="9"/>
      <c r="Z117" s="9"/>
      <c r="AA117" s="9"/>
      <c r="AB117" s="9"/>
      <c r="AE117" s="9"/>
      <c r="AF117" s="9"/>
      <c r="AG117" s="9"/>
      <c r="AH117" s="9"/>
      <c r="AK117" s="9"/>
      <c r="AL117" s="9"/>
      <c r="AM117" s="9"/>
      <c r="AN117" s="9"/>
      <c r="AQ117" s="9"/>
      <c r="AR117" s="9"/>
      <c r="AS117" s="9"/>
      <c r="AT117" s="9"/>
      <c r="AW117" s="9"/>
    </row>
    <row r="118" spans="2:63" ht="15" thickBot="1" x14ac:dyDescent="0.3">
      <c r="B118" s="169"/>
      <c r="C118" s="172"/>
      <c r="D118" s="161" t="s">
        <v>471</v>
      </c>
      <c r="E118" s="162">
        <f>SUM(E114:E117)</f>
        <v>0</v>
      </c>
      <c r="F118" s="163">
        <f>SUM(F114:F117)</f>
        <v>0</v>
      </c>
      <c r="G118" s="9"/>
      <c r="H118" s="9"/>
      <c r="I118" s="9"/>
      <c r="J118" s="9"/>
      <c r="M118" s="9"/>
      <c r="N118" s="9"/>
      <c r="O118" s="9"/>
      <c r="P118" s="9"/>
      <c r="S118" s="9"/>
      <c r="T118" s="9"/>
      <c r="U118" s="9"/>
      <c r="V118" s="9"/>
      <c r="Y118" s="9"/>
      <c r="Z118" s="9"/>
      <c r="AA118" s="9"/>
      <c r="AB118" s="9"/>
      <c r="AE118" s="9"/>
      <c r="AF118" s="9"/>
      <c r="AG118" s="9"/>
      <c r="AH118" s="9"/>
      <c r="AK118" s="9"/>
      <c r="AL118" s="9"/>
      <c r="AM118" s="9"/>
      <c r="AN118" s="9"/>
      <c r="AQ118" s="9"/>
      <c r="AR118" s="9"/>
      <c r="AS118" s="9"/>
      <c r="AT118" s="9"/>
      <c r="AW118" s="9"/>
      <c r="BJ118" s="157">
        <f>SUM(E118,K118,Q118,W118,AC118,AI118,AO118,AU118,BA118,BG118)</f>
        <v>0</v>
      </c>
      <c r="BK118" s="158">
        <f>SUM(F118,L118,R118,X118,AD118,AJ118,AP118,AV118,BB118,BH118)</f>
        <v>0</v>
      </c>
    </row>
    <row r="119" spans="2:63" ht="14.4" thickBot="1" x14ac:dyDescent="0.3">
      <c r="B119" s="170"/>
      <c r="C119" s="173"/>
      <c r="D119" s="164" t="str">
        <f>IF(E118=F118,"",IF(E118&gt;F118,"Saldo Deudor","Saldo Acreedor"))</f>
        <v/>
      </c>
      <c r="E119" s="165" t="str">
        <f>IF(E118&gt;F118,E118-F118,"")</f>
        <v/>
      </c>
      <c r="F119" s="176" t="str">
        <f>IF(E118&lt;F118,F118-E118,"")</f>
        <v/>
      </c>
    </row>
    <row r="122" spans="2:63" ht="15.6" x14ac:dyDescent="0.25">
      <c r="B122" s="324" t="s">
        <v>472</v>
      </c>
      <c r="C122" s="324"/>
      <c r="D122" s="175">
        <v>1811</v>
      </c>
      <c r="E122" s="160"/>
    </row>
    <row r="123" spans="2:63" x14ac:dyDescent="0.25">
      <c r="B123" s="160"/>
      <c r="C123" s="160"/>
      <c r="D123" s="160"/>
      <c r="E123" s="160"/>
    </row>
    <row r="124" spans="2:63" ht="15.6" x14ac:dyDescent="0.25">
      <c r="B124" s="324" t="s">
        <v>473</v>
      </c>
      <c r="C124" s="324"/>
      <c r="D124" s="234" t="str">
        <f>VLOOKUP(D122,DivisionariasContables,3,FALSE)</f>
        <v>Servicios y Otros Contratados por Anticipado - Costos Financieros</v>
      </c>
      <c r="E124" s="160"/>
    </row>
    <row r="125" spans="2:63" ht="14.4" thickBot="1" x14ac:dyDescent="0.3"/>
    <row r="126" spans="2:63" x14ac:dyDescent="0.25">
      <c r="B126" s="325" t="s">
        <v>466</v>
      </c>
      <c r="C126" s="327" t="s">
        <v>467</v>
      </c>
      <c r="D126" s="327" t="s">
        <v>468</v>
      </c>
      <c r="E126" s="329" t="s">
        <v>469</v>
      </c>
      <c r="F126" s="330"/>
    </row>
    <row r="127" spans="2:63" ht="14.4" thickBot="1" x14ac:dyDescent="0.3">
      <c r="B127" s="326"/>
      <c r="C127" s="328"/>
      <c r="D127" s="328"/>
      <c r="E127" s="232" t="s">
        <v>403</v>
      </c>
      <c r="F127" s="174" t="s">
        <v>402</v>
      </c>
    </row>
    <row r="128" spans="2:63" ht="14.4" thickTop="1" x14ac:dyDescent="0.25">
      <c r="B128" s="236">
        <v>41670</v>
      </c>
      <c r="C128" s="171"/>
      <c r="D128" s="166" t="s">
        <v>470</v>
      </c>
      <c r="E128" s="167">
        <f>SUMIF('Libro Diario Convencional'!$D$15:$D$167,D122,'Libro Diario Convencional'!$G$15:$G$167)</f>
        <v>0</v>
      </c>
      <c r="F128" s="168">
        <f>SUMIF('Libro Diario Convencional'!$D$15:$D$167,D122,'Libro Diario Convencional'!$H$15:$H$167)</f>
        <v>0</v>
      </c>
      <c r="G128" s="9"/>
      <c r="H128" s="9"/>
      <c r="I128" s="9"/>
      <c r="J128" s="9"/>
      <c r="M128" s="9"/>
      <c r="N128" s="9"/>
      <c r="O128" s="9"/>
      <c r="P128" s="9"/>
      <c r="S128" s="9"/>
      <c r="T128" s="9"/>
      <c r="U128" s="9"/>
      <c r="V128" s="9"/>
      <c r="Y128" s="9"/>
      <c r="Z128" s="9"/>
      <c r="AA128" s="9"/>
      <c r="AB128" s="9"/>
      <c r="AE128" s="9"/>
      <c r="AF128" s="9"/>
      <c r="AG128" s="9"/>
      <c r="AH128" s="9"/>
      <c r="AK128" s="9"/>
      <c r="AL128" s="9"/>
      <c r="AM128" s="9"/>
      <c r="AN128" s="9"/>
      <c r="AQ128" s="9"/>
      <c r="AR128" s="9"/>
      <c r="AS128" s="9"/>
      <c r="AT128" s="9"/>
      <c r="AW128" s="9"/>
    </row>
    <row r="129" spans="2:63" x14ac:dyDescent="0.25">
      <c r="B129" s="169">
        <v>41670</v>
      </c>
      <c r="C129" s="172"/>
      <c r="D129" s="161" t="s">
        <v>474</v>
      </c>
      <c r="E129" s="162">
        <f>SUMIF('Asientos de Cierre'!$D$6:$D$549,D122,'Asientos de Cierre'!$G$6:$G$549)</f>
        <v>0</v>
      </c>
      <c r="F129" s="163">
        <f>SUMIF('Asientos de Cierre'!$D$6:$D$549,D122,'Asientos de Cierre'!$H$6:$H$549)</f>
        <v>0</v>
      </c>
      <c r="G129" s="9"/>
      <c r="H129" s="9"/>
      <c r="I129" s="9"/>
      <c r="J129" s="9"/>
      <c r="M129" s="9"/>
      <c r="N129" s="9"/>
      <c r="O129" s="9"/>
      <c r="P129" s="9"/>
      <c r="S129" s="9"/>
      <c r="T129" s="9"/>
      <c r="U129" s="9"/>
      <c r="V129" s="9"/>
      <c r="Y129" s="9"/>
      <c r="Z129" s="9"/>
      <c r="AA129" s="9"/>
      <c r="AB129" s="9"/>
      <c r="AE129" s="9"/>
      <c r="AF129" s="9"/>
      <c r="AG129" s="9"/>
      <c r="AH129" s="9"/>
      <c r="AK129" s="9"/>
      <c r="AL129" s="9"/>
      <c r="AM129" s="9"/>
      <c r="AN129" s="9"/>
      <c r="AQ129" s="9"/>
      <c r="AR129" s="9"/>
      <c r="AS129" s="9"/>
      <c r="AT129" s="9"/>
      <c r="AW129" s="9"/>
    </row>
    <row r="130" spans="2:63" x14ac:dyDescent="0.25">
      <c r="B130" s="169"/>
      <c r="C130" s="172"/>
      <c r="D130" s="161"/>
      <c r="E130" s="162"/>
      <c r="F130" s="163"/>
      <c r="G130" s="9"/>
      <c r="H130" s="9"/>
      <c r="I130" s="9"/>
      <c r="J130" s="9"/>
      <c r="M130" s="9"/>
      <c r="N130" s="9"/>
      <c r="O130" s="9"/>
      <c r="P130" s="9"/>
      <c r="S130" s="9"/>
      <c r="T130" s="9"/>
      <c r="U130" s="9"/>
      <c r="V130" s="9"/>
      <c r="Y130" s="9"/>
      <c r="Z130" s="9"/>
      <c r="AA130" s="9"/>
      <c r="AB130" s="9"/>
      <c r="AE130" s="9"/>
      <c r="AF130" s="9"/>
      <c r="AG130" s="9"/>
      <c r="AH130" s="9"/>
      <c r="AK130" s="9"/>
      <c r="AL130" s="9"/>
      <c r="AM130" s="9"/>
      <c r="AN130" s="9"/>
      <c r="AQ130" s="9"/>
      <c r="AR130" s="9"/>
      <c r="AS130" s="9"/>
      <c r="AT130" s="9"/>
      <c r="AW130" s="9"/>
    </row>
    <row r="131" spans="2:63" ht="14.4" thickBot="1" x14ac:dyDescent="0.3">
      <c r="B131" s="169"/>
      <c r="C131" s="172"/>
      <c r="D131" s="161"/>
      <c r="E131" s="162"/>
      <c r="F131" s="163"/>
      <c r="G131" s="9"/>
      <c r="H131" s="9"/>
      <c r="I131" s="9"/>
      <c r="J131" s="9"/>
      <c r="M131" s="9"/>
      <c r="N131" s="9"/>
      <c r="O131" s="9"/>
      <c r="P131" s="9"/>
      <c r="S131" s="9"/>
      <c r="T131" s="9"/>
      <c r="U131" s="9"/>
      <c r="V131" s="9"/>
      <c r="Y131" s="9"/>
      <c r="Z131" s="9"/>
      <c r="AA131" s="9"/>
      <c r="AB131" s="9"/>
      <c r="AE131" s="9"/>
      <c r="AF131" s="9"/>
      <c r="AG131" s="9"/>
      <c r="AH131" s="9"/>
      <c r="AK131" s="9"/>
      <c r="AL131" s="9"/>
      <c r="AM131" s="9"/>
      <c r="AN131" s="9"/>
      <c r="AQ131" s="9"/>
      <c r="AR131" s="9"/>
      <c r="AS131" s="9"/>
      <c r="AT131" s="9"/>
      <c r="AW131" s="9"/>
    </row>
    <row r="132" spans="2:63" ht="15" thickBot="1" x14ac:dyDescent="0.3">
      <c r="B132" s="169"/>
      <c r="C132" s="172"/>
      <c r="D132" s="161" t="s">
        <v>471</v>
      </c>
      <c r="E132" s="162">
        <f>SUM(E128:E131)</f>
        <v>0</v>
      </c>
      <c r="F132" s="163">
        <f>SUM(F128:F131)</f>
        <v>0</v>
      </c>
      <c r="G132" s="9"/>
      <c r="H132" s="9"/>
      <c r="I132" s="9"/>
      <c r="J132" s="9"/>
      <c r="M132" s="9"/>
      <c r="N132" s="9"/>
      <c r="O132" s="9"/>
      <c r="P132" s="9"/>
      <c r="S132" s="9"/>
      <c r="T132" s="9"/>
      <c r="U132" s="9"/>
      <c r="V132" s="9"/>
      <c r="Y132" s="9"/>
      <c r="Z132" s="9"/>
      <c r="AA132" s="9"/>
      <c r="AB132" s="9"/>
      <c r="AE132" s="9"/>
      <c r="AF132" s="9"/>
      <c r="AG132" s="9"/>
      <c r="AH132" s="9"/>
      <c r="AK132" s="9"/>
      <c r="AL132" s="9"/>
      <c r="AM132" s="9"/>
      <c r="AN132" s="9"/>
      <c r="AQ132" s="9"/>
      <c r="AR132" s="9"/>
      <c r="AS132" s="9"/>
      <c r="AT132" s="9"/>
      <c r="AW132" s="9"/>
      <c r="BJ132" s="157">
        <f>SUM(E132,K132,Q132,W132,AC132,AI132,AO132,AU132,BA132,BG132)</f>
        <v>0</v>
      </c>
      <c r="BK132" s="158">
        <f>SUM(F132,L132,R132,X132,AD132,AJ132,AP132,AV132,BB132,BH132)</f>
        <v>0</v>
      </c>
    </row>
    <row r="133" spans="2:63" ht="14.4" thickBot="1" x14ac:dyDescent="0.3">
      <c r="B133" s="170"/>
      <c r="C133" s="173"/>
      <c r="D133" s="164" t="str">
        <f>IF(E132=F132,"",IF(E132&gt;F132,"Saldo Deudor","Saldo Acreedor"))</f>
        <v/>
      </c>
      <c r="E133" s="165" t="str">
        <f>IF(E132&gt;F132,E132-F132,"")</f>
        <v/>
      </c>
      <c r="F133" s="176" t="str">
        <f>IF(E132&lt;F132,F132-E132,"")</f>
        <v/>
      </c>
    </row>
    <row r="136" spans="2:63" ht="15.6" x14ac:dyDescent="0.25">
      <c r="B136" s="324" t="s">
        <v>472</v>
      </c>
      <c r="C136" s="324"/>
      <c r="D136" s="175">
        <v>1821</v>
      </c>
      <c r="E136" s="160"/>
    </row>
    <row r="137" spans="2:63" x14ac:dyDescent="0.25">
      <c r="B137" s="160"/>
      <c r="C137" s="160"/>
      <c r="D137" s="160"/>
      <c r="E137" s="160"/>
    </row>
    <row r="138" spans="2:63" ht="15.6" x14ac:dyDescent="0.25">
      <c r="B138" s="324" t="s">
        <v>473</v>
      </c>
      <c r="C138" s="324"/>
      <c r="D138" s="234" t="str">
        <f>VLOOKUP(D136,DivisionariasContables,3,FALSE)</f>
        <v>Servicios y Otros Contratados por Anticipado - Seguros</v>
      </c>
      <c r="E138" s="160"/>
    </row>
    <row r="139" spans="2:63" ht="14.4" thickBot="1" x14ac:dyDescent="0.3"/>
    <row r="140" spans="2:63" x14ac:dyDescent="0.25">
      <c r="B140" s="325" t="s">
        <v>466</v>
      </c>
      <c r="C140" s="327" t="s">
        <v>467</v>
      </c>
      <c r="D140" s="327" t="s">
        <v>468</v>
      </c>
      <c r="E140" s="329" t="s">
        <v>469</v>
      </c>
      <c r="F140" s="330"/>
    </row>
    <row r="141" spans="2:63" ht="14.4" thickBot="1" x14ac:dyDescent="0.3">
      <c r="B141" s="326"/>
      <c r="C141" s="328"/>
      <c r="D141" s="328"/>
      <c r="E141" s="232" t="s">
        <v>403</v>
      </c>
      <c r="F141" s="174" t="s">
        <v>402</v>
      </c>
    </row>
    <row r="142" spans="2:63" ht="14.4" thickTop="1" x14ac:dyDescent="0.25">
      <c r="B142" s="236">
        <v>41670</v>
      </c>
      <c r="C142" s="171"/>
      <c r="D142" s="166" t="s">
        <v>470</v>
      </c>
      <c r="E142" s="167">
        <f>SUMIF('Libro Diario Convencional'!$D$15:$D$167,D136,'Libro Diario Convencional'!$G$15:$G$167)</f>
        <v>0</v>
      </c>
      <c r="F142" s="168">
        <f>SUMIF('Libro Diario Convencional'!$D$15:$D$167,D136,'Libro Diario Convencional'!$H$15:$H$167)</f>
        <v>0</v>
      </c>
      <c r="G142" s="9"/>
      <c r="H142" s="9"/>
      <c r="I142" s="9"/>
      <c r="J142" s="9"/>
      <c r="M142" s="9"/>
      <c r="N142" s="9"/>
      <c r="O142" s="9"/>
      <c r="P142" s="9"/>
      <c r="S142" s="9"/>
      <c r="T142" s="9"/>
      <c r="U142" s="9"/>
      <c r="V142" s="9"/>
      <c r="Y142" s="9"/>
      <c r="Z142" s="9"/>
      <c r="AA142" s="9"/>
      <c r="AB142" s="9"/>
      <c r="AE142" s="9"/>
      <c r="AF142" s="9"/>
      <c r="AG142" s="9"/>
      <c r="AH142" s="9"/>
      <c r="AK142" s="9"/>
      <c r="AL142" s="9"/>
      <c r="AM142" s="9"/>
      <c r="AN142" s="9"/>
      <c r="AQ142" s="9"/>
      <c r="AR142" s="9"/>
      <c r="AS142" s="9"/>
      <c r="AT142" s="9"/>
      <c r="AW142" s="9"/>
    </row>
    <row r="143" spans="2:63" x14ac:dyDescent="0.25">
      <c r="B143" s="169">
        <v>41670</v>
      </c>
      <c r="C143" s="172"/>
      <c r="D143" s="161" t="s">
        <v>474</v>
      </c>
      <c r="E143" s="162">
        <f>SUMIF('Asientos de Cierre'!$D$6:$D$549,D136,'Asientos de Cierre'!$G$6:$G$549)</f>
        <v>0</v>
      </c>
      <c r="F143" s="163">
        <f>SUMIF('Asientos de Cierre'!$D$6:$D$549,D136,'Asientos de Cierre'!$H$6:$H$549)</f>
        <v>0</v>
      </c>
      <c r="G143" s="9"/>
      <c r="H143" s="9"/>
      <c r="I143" s="9"/>
      <c r="J143" s="9"/>
      <c r="M143" s="9"/>
      <c r="N143" s="9"/>
      <c r="O143" s="9"/>
      <c r="P143" s="9"/>
      <c r="S143" s="9"/>
      <c r="T143" s="9"/>
      <c r="U143" s="9"/>
      <c r="V143" s="9"/>
      <c r="Y143" s="9"/>
      <c r="Z143" s="9"/>
      <c r="AA143" s="9"/>
      <c r="AB143" s="9"/>
      <c r="AE143" s="9"/>
      <c r="AF143" s="9"/>
      <c r="AG143" s="9"/>
      <c r="AH143" s="9"/>
      <c r="AK143" s="9"/>
      <c r="AL143" s="9"/>
      <c r="AM143" s="9"/>
      <c r="AN143" s="9"/>
      <c r="AQ143" s="9"/>
      <c r="AR143" s="9"/>
      <c r="AS143" s="9"/>
      <c r="AT143" s="9"/>
      <c r="AW143" s="9"/>
    </row>
    <row r="144" spans="2:63" x14ac:dyDescent="0.25">
      <c r="B144" s="169"/>
      <c r="C144" s="172"/>
      <c r="D144" s="161"/>
      <c r="E144" s="162"/>
      <c r="F144" s="163"/>
      <c r="G144" s="9"/>
      <c r="H144" s="9"/>
      <c r="I144" s="9"/>
      <c r="J144" s="9"/>
      <c r="M144" s="9"/>
      <c r="N144" s="9"/>
      <c r="O144" s="9"/>
      <c r="P144" s="9"/>
      <c r="S144" s="9"/>
      <c r="T144" s="9"/>
      <c r="U144" s="9"/>
      <c r="V144" s="9"/>
      <c r="Y144" s="9"/>
      <c r="Z144" s="9"/>
      <c r="AA144" s="9"/>
      <c r="AB144" s="9"/>
      <c r="AE144" s="9"/>
      <c r="AF144" s="9"/>
      <c r="AG144" s="9"/>
      <c r="AH144" s="9"/>
      <c r="AK144" s="9"/>
      <c r="AL144" s="9"/>
      <c r="AM144" s="9"/>
      <c r="AN144" s="9"/>
      <c r="AQ144" s="9"/>
      <c r="AR144" s="9"/>
      <c r="AS144" s="9"/>
      <c r="AT144" s="9"/>
      <c r="AW144" s="9"/>
    </row>
    <row r="145" spans="2:63" ht="14.4" thickBot="1" x14ac:dyDescent="0.3">
      <c r="B145" s="169"/>
      <c r="C145" s="172"/>
      <c r="D145" s="161"/>
      <c r="E145" s="162"/>
      <c r="F145" s="163"/>
      <c r="G145" s="9"/>
      <c r="H145" s="9"/>
      <c r="I145" s="9"/>
      <c r="J145" s="9"/>
      <c r="M145" s="9"/>
      <c r="N145" s="9"/>
      <c r="O145" s="9"/>
      <c r="P145" s="9"/>
      <c r="S145" s="9"/>
      <c r="T145" s="9"/>
      <c r="U145" s="9"/>
      <c r="V145" s="9"/>
      <c r="Y145" s="9"/>
      <c r="Z145" s="9"/>
      <c r="AA145" s="9"/>
      <c r="AB145" s="9"/>
      <c r="AE145" s="9"/>
      <c r="AF145" s="9"/>
      <c r="AG145" s="9"/>
      <c r="AH145" s="9"/>
      <c r="AK145" s="9"/>
      <c r="AL145" s="9"/>
      <c r="AM145" s="9"/>
      <c r="AN145" s="9"/>
      <c r="AQ145" s="9"/>
      <c r="AR145" s="9"/>
      <c r="AS145" s="9"/>
      <c r="AT145" s="9"/>
      <c r="AW145" s="9"/>
    </row>
    <row r="146" spans="2:63" ht="15" thickBot="1" x14ac:dyDescent="0.3">
      <c r="B146" s="169"/>
      <c r="C146" s="172"/>
      <c r="D146" s="161" t="s">
        <v>471</v>
      </c>
      <c r="E146" s="162">
        <f>SUM(E142:E145)</f>
        <v>0</v>
      </c>
      <c r="F146" s="163">
        <f>SUM(F142:F145)</f>
        <v>0</v>
      </c>
      <c r="G146" s="9"/>
      <c r="H146" s="9"/>
      <c r="I146" s="9"/>
      <c r="J146" s="9"/>
      <c r="M146" s="9"/>
      <c r="N146" s="9"/>
      <c r="O146" s="9"/>
      <c r="P146" s="9"/>
      <c r="S146" s="9"/>
      <c r="T146" s="9"/>
      <c r="U146" s="9"/>
      <c r="V146" s="9"/>
      <c r="Y146" s="9"/>
      <c r="Z146" s="9"/>
      <c r="AA146" s="9"/>
      <c r="AB146" s="9"/>
      <c r="AE146" s="9"/>
      <c r="AF146" s="9"/>
      <c r="AG146" s="9"/>
      <c r="AH146" s="9"/>
      <c r="AK146" s="9"/>
      <c r="AL146" s="9"/>
      <c r="AM146" s="9"/>
      <c r="AN146" s="9"/>
      <c r="AQ146" s="9"/>
      <c r="AR146" s="9"/>
      <c r="AS146" s="9"/>
      <c r="AT146" s="9"/>
      <c r="AW146" s="9"/>
      <c r="BJ146" s="157">
        <f>SUM(E146,K146,Q146,W146,AC146,AI146,AO146,AU146,BA146,BG146)</f>
        <v>0</v>
      </c>
      <c r="BK146" s="158">
        <f>SUM(F146,L146,R146,X146,AD146,AJ146,AP146,AV146,BB146,BH146)</f>
        <v>0</v>
      </c>
    </row>
    <row r="147" spans="2:63" ht="14.4" thickBot="1" x14ac:dyDescent="0.3">
      <c r="B147" s="170"/>
      <c r="C147" s="173"/>
      <c r="D147" s="164" t="str">
        <f>IF(E146=F146,"",IF(E146&gt;F146,"Saldo Deudor","Saldo Acreedor"))</f>
        <v/>
      </c>
      <c r="E147" s="165" t="str">
        <f>IF(E146&gt;F146,E146-F146,"")</f>
        <v/>
      </c>
      <c r="F147" s="176" t="str">
        <f>IF(E146&lt;F146,F146-E146,"")</f>
        <v/>
      </c>
    </row>
    <row r="150" spans="2:63" ht="15.6" x14ac:dyDescent="0.25">
      <c r="B150" s="324" t="s">
        <v>472</v>
      </c>
      <c r="C150" s="324"/>
      <c r="D150" s="175">
        <v>1831</v>
      </c>
      <c r="E150" s="160"/>
    </row>
    <row r="151" spans="2:63" x14ac:dyDescent="0.25">
      <c r="B151" s="160"/>
      <c r="C151" s="160"/>
      <c r="D151" s="160"/>
      <c r="E151" s="160"/>
    </row>
    <row r="152" spans="2:63" ht="15.6" x14ac:dyDescent="0.25">
      <c r="B152" s="324" t="s">
        <v>473</v>
      </c>
      <c r="C152" s="324"/>
      <c r="D152" s="234" t="str">
        <f>VLOOKUP(D150,DivisionariasContables,3,FALSE)</f>
        <v>Servicios y Otros Contratados por Anticipado - Alquileres</v>
      </c>
      <c r="E152" s="160"/>
    </row>
    <row r="153" spans="2:63" ht="14.4" thickBot="1" x14ac:dyDescent="0.3"/>
    <row r="154" spans="2:63" x14ac:dyDescent="0.25">
      <c r="B154" s="325" t="s">
        <v>466</v>
      </c>
      <c r="C154" s="327" t="s">
        <v>467</v>
      </c>
      <c r="D154" s="327" t="s">
        <v>468</v>
      </c>
      <c r="E154" s="329" t="s">
        <v>469</v>
      </c>
      <c r="F154" s="330"/>
    </row>
    <row r="155" spans="2:63" ht="14.4" thickBot="1" x14ac:dyDescent="0.3">
      <c r="B155" s="326"/>
      <c r="C155" s="328"/>
      <c r="D155" s="328"/>
      <c r="E155" s="232" t="s">
        <v>403</v>
      </c>
      <c r="F155" s="174" t="s">
        <v>402</v>
      </c>
    </row>
    <row r="156" spans="2:63" ht="14.4" thickTop="1" x14ac:dyDescent="0.25">
      <c r="B156" s="236">
        <v>41670</v>
      </c>
      <c r="C156" s="171"/>
      <c r="D156" s="166" t="s">
        <v>470</v>
      </c>
      <c r="E156" s="167">
        <f>SUMIF('Libro Diario Convencional'!$D$15:$D$167,D150,'Libro Diario Convencional'!$G$15:$G$167)</f>
        <v>0</v>
      </c>
      <c r="F156" s="168">
        <f>SUMIF('Libro Diario Convencional'!$D$15:$D$167,D150,'Libro Diario Convencional'!$H$15:$H$167)</f>
        <v>0</v>
      </c>
      <c r="G156" s="9"/>
      <c r="H156" s="9"/>
      <c r="I156" s="9"/>
      <c r="J156" s="9"/>
      <c r="M156" s="9"/>
      <c r="N156" s="9"/>
      <c r="O156" s="9"/>
      <c r="P156" s="9"/>
      <c r="S156" s="9"/>
      <c r="T156" s="9"/>
      <c r="U156" s="9"/>
      <c r="V156" s="9"/>
      <c r="Y156" s="9"/>
      <c r="Z156" s="9"/>
      <c r="AA156" s="9"/>
      <c r="AB156" s="9"/>
      <c r="AE156" s="9"/>
      <c r="AF156" s="9"/>
      <c r="AG156" s="9"/>
      <c r="AH156" s="9"/>
      <c r="AK156" s="9"/>
      <c r="AL156" s="9"/>
      <c r="AM156" s="9"/>
      <c r="AN156" s="9"/>
      <c r="AQ156" s="9"/>
      <c r="AR156" s="9"/>
      <c r="AS156" s="9"/>
      <c r="AT156" s="9"/>
      <c r="AW156" s="9"/>
    </row>
    <row r="157" spans="2:63" x14ac:dyDescent="0.25">
      <c r="B157" s="169">
        <v>41670</v>
      </c>
      <c r="C157" s="172"/>
      <c r="D157" s="161" t="s">
        <v>474</v>
      </c>
      <c r="E157" s="162">
        <f>SUMIF('Asientos de Cierre'!$D$6:$D$549,D150,'Asientos de Cierre'!$G$6:$G$549)</f>
        <v>0</v>
      </c>
      <c r="F157" s="163">
        <f>SUMIF('Asientos de Cierre'!$D$6:$D$549,D150,'Asientos de Cierre'!$H$6:$H$549)</f>
        <v>0</v>
      </c>
      <c r="G157" s="9"/>
      <c r="H157" s="9"/>
      <c r="I157" s="9"/>
      <c r="J157" s="9"/>
      <c r="M157" s="9"/>
      <c r="N157" s="9"/>
      <c r="O157" s="9"/>
      <c r="P157" s="9"/>
      <c r="S157" s="9"/>
      <c r="T157" s="9"/>
      <c r="U157" s="9"/>
      <c r="V157" s="9"/>
      <c r="Y157" s="9"/>
      <c r="Z157" s="9"/>
      <c r="AA157" s="9"/>
      <c r="AB157" s="9"/>
      <c r="AE157" s="9"/>
      <c r="AF157" s="9"/>
      <c r="AG157" s="9"/>
      <c r="AH157" s="9"/>
      <c r="AK157" s="9"/>
      <c r="AL157" s="9"/>
      <c r="AM157" s="9"/>
      <c r="AN157" s="9"/>
      <c r="AQ157" s="9"/>
      <c r="AR157" s="9"/>
      <c r="AS157" s="9"/>
      <c r="AT157" s="9"/>
      <c r="AW157" s="9"/>
    </row>
    <row r="158" spans="2:63" x14ac:dyDescent="0.25">
      <c r="B158" s="169"/>
      <c r="C158" s="172"/>
      <c r="D158" s="161"/>
      <c r="E158" s="162"/>
      <c r="F158" s="163"/>
      <c r="G158" s="9"/>
      <c r="H158" s="9"/>
      <c r="I158" s="9"/>
      <c r="J158" s="9"/>
      <c r="M158" s="9"/>
      <c r="N158" s="9"/>
      <c r="O158" s="9"/>
      <c r="P158" s="9"/>
      <c r="S158" s="9"/>
      <c r="T158" s="9"/>
      <c r="U158" s="9"/>
      <c r="V158" s="9"/>
      <c r="Y158" s="9"/>
      <c r="Z158" s="9"/>
      <c r="AA158" s="9"/>
      <c r="AB158" s="9"/>
      <c r="AE158" s="9"/>
      <c r="AF158" s="9"/>
      <c r="AG158" s="9"/>
      <c r="AH158" s="9"/>
      <c r="AK158" s="9"/>
      <c r="AL158" s="9"/>
      <c r="AM158" s="9"/>
      <c r="AN158" s="9"/>
      <c r="AQ158" s="9"/>
      <c r="AR158" s="9"/>
      <c r="AS158" s="9"/>
      <c r="AT158" s="9"/>
      <c r="AW158" s="9"/>
    </row>
    <row r="159" spans="2:63" ht="14.4" thickBot="1" x14ac:dyDescent="0.3">
      <c r="B159" s="169"/>
      <c r="C159" s="172"/>
      <c r="D159" s="161"/>
      <c r="E159" s="162"/>
      <c r="F159" s="163"/>
      <c r="G159" s="9"/>
      <c r="H159" s="9"/>
      <c r="I159" s="9"/>
      <c r="J159" s="9"/>
      <c r="M159" s="9"/>
      <c r="N159" s="9"/>
      <c r="O159" s="9"/>
      <c r="P159" s="9"/>
      <c r="S159" s="9"/>
      <c r="T159" s="9"/>
      <c r="U159" s="9"/>
      <c r="V159" s="9"/>
      <c r="Y159" s="9"/>
      <c r="Z159" s="9"/>
      <c r="AA159" s="9"/>
      <c r="AB159" s="9"/>
      <c r="AE159" s="9"/>
      <c r="AF159" s="9"/>
      <c r="AG159" s="9"/>
      <c r="AH159" s="9"/>
      <c r="AK159" s="9"/>
      <c r="AL159" s="9"/>
      <c r="AM159" s="9"/>
      <c r="AN159" s="9"/>
      <c r="AQ159" s="9"/>
      <c r="AR159" s="9"/>
      <c r="AS159" s="9"/>
      <c r="AT159" s="9"/>
      <c r="AW159" s="9"/>
    </row>
    <row r="160" spans="2:63" ht="15" thickBot="1" x14ac:dyDescent="0.3">
      <c r="B160" s="169"/>
      <c r="C160" s="172"/>
      <c r="D160" s="161" t="s">
        <v>471</v>
      </c>
      <c r="E160" s="162">
        <f>SUM(E156:E159)</f>
        <v>0</v>
      </c>
      <c r="F160" s="163">
        <f>SUM(F156:F159)</f>
        <v>0</v>
      </c>
      <c r="G160" s="9"/>
      <c r="H160" s="9"/>
      <c r="I160" s="9"/>
      <c r="J160" s="9"/>
      <c r="M160" s="9"/>
      <c r="N160" s="9"/>
      <c r="O160" s="9"/>
      <c r="P160" s="9"/>
      <c r="S160" s="9"/>
      <c r="T160" s="9"/>
      <c r="U160" s="9"/>
      <c r="V160" s="9"/>
      <c r="Y160" s="9"/>
      <c r="Z160" s="9"/>
      <c r="AA160" s="9"/>
      <c r="AB160" s="9"/>
      <c r="AE160" s="9"/>
      <c r="AF160" s="9"/>
      <c r="AG160" s="9"/>
      <c r="AH160" s="9"/>
      <c r="AK160" s="9"/>
      <c r="AL160" s="9"/>
      <c r="AM160" s="9"/>
      <c r="AN160" s="9"/>
      <c r="AQ160" s="9"/>
      <c r="AR160" s="9"/>
      <c r="AS160" s="9"/>
      <c r="AT160" s="9"/>
      <c r="AW160" s="9"/>
      <c r="BJ160" s="157">
        <f>SUM(E160,K160,Q160,W160,AC160,AI160,AO160,AU160,BA160,BG160)</f>
        <v>0</v>
      </c>
      <c r="BK160" s="158">
        <f>SUM(F160,L160,R160,X160,AD160,AJ160,AP160,AV160,BB160,BH160)</f>
        <v>0</v>
      </c>
    </row>
    <row r="161" spans="2:63" ht="14.4" thickBot="1" x14ac:dyDescent="0.3">
      <c r="B161" s="170"/>
      <c r="C161" s="173"/>
      <c r="D161" s="164" t="str">
        <f>IF(E160=F160,"",IF(E160&gt;F160,"Saldo Deudor","Saldo Acreedor"))</f>
        <v/>
      </c>
      <c r="E161" s="165" t="str">
        <f>IF(E160&gt;F160,E160-F160,"")</f>
        <v/>
      </c>
      <c r="F161" s="176" t="str">
        <f>IF(E160&lt;F160,F160-E160,"")</f>
        <v/>
      </c>
    </row>
    <row r="164" spans="2:63" ht="15.6" x14ac:dyDescent="0.25">
      <c r="B164" s="324" t="s">
        <v>472</v>
      </c>
      <c r="C164" s="324"/>
      <c r="D164" s="175">
        <v>1841</v>
      </c>
      <c r="E164" s="160"/>
    </row>
    <row r="165" spans="2:63" x14ac:dyDescent="0.25">
      <c r="B165" s="160"/>
      <c r="C165" s="160"/>
      <c r="D165" s="160"/>
      <c r="E165" s="160"/>
    </row>
    <row r="166" spans="2:63" ht="15.6" x14ac:dyDescent="0.25">
      <c r="B166" s="324" t="s">
        <v>473</v>
      </c>
      <c r="C166" s="324"/>
      <c r="D166" s="234" t="str">
        <f>VLOOKUP(D164,DivisionariasContables,3,FALSE)</f>
        <v>Servicios y Otros Contratados por Anticipado - Primas Pagadas por Opciones</v>
      </c>
      <c r="E166" s="160"/>
    </row>
    <row r="167" spans="2:63" ht="14.4" thickBot="1" x14ac:dyDescent="0.3"/>
    <row r="168" spans="2:63" x14ac:dyDescent="0.25">
      <c r="B168" s="325" t="s">
        <v>466</v>
      </c>
      <c r="C168" s="327" t="s">
        <v>467</v>
      </c>
      <c r="D168" s="327" t="s">
        <v>468</v>
      </c>
      <c r="E168" s="329" t="s">
        <v>469</v>
      </c>
      <c r="F168" s="330"/>
    </row>
    <row r="169" spans="2:63" ht="14.4" thickBot="1" x14ac:dyDescent="0.3">
      <c r="B169" s="326"/>
      <c r="C169" s="328"/>
      <c r="D169" s="328"/>
      <c r="E169" s="232" t="s">
        <v>403</v>
      </c>
      <c r="F169" s="174" t="s">
        <v>402</v>
      </c>
    </row>
    <row r="170" spans="2:63" ht="14.4" thickTop="1" x14ac:dyDescent="0.25">
      <c r="B170" s="236">
        <v>41670</v>
      </c>
      <c r="C170" s="171"/>
      <c r="D170" s="166" t="s">
        <v>470</v>
      </c>
      <c r="E170" s="167">
        <f>SUMIF('Libro Diario Convencional'!$D$15:$D$167,D164,'Libro Diario Convencional'!$G$15:$G$167)</f>
        <v>0</v>
      </c>
      <c r="F170" s="168">
        <f>SUMIF('Libro Diario Convencional'!$D$15:$D$167,D164,'Libro Diario Convencional'!$H$15:$H$167)</f>
        <v>0</v>
      </c>
      <c r="G170" s="9"/>
      <c r="H170" s="9"/>
      <c r="I170" s="9"/>
      <c r="J170" s="9"/>
      <c r="M170" s="9"/>
      <c r="N170" s="9"/>
      <c r="O170" s="9"/>
      <c r="P170" s="9"/>
      <c r="S170" s="9"/>
      <c r="T170" s="9"/>
      <c r="U170" s="9"/>
      <c r="V170" s="9"/>
      <c r="Y170" s="9"/>
      <c r="Z170" s="9"/>
      <c r="AA170" s="9"/>
      <c r="AB170" s="9"/>
      <c r="AE170" s="9"/>
      <c r="AF170" s="9"/>
      <c r="AG170" s="9"/>
      <c r="AH170" s="9"/>
      <c r="AK170" s="9"/>
      <c r="AL170" s="9"/>
      <c r="AM170" s="9"/>
      <c r="AN170" s="9"/>
      <c r="AQ170" s="9"/>
      <c r="AR170" s="9"/>
      <c r="AS170" s="9"/>
      <c r="AT170" s="9"/>
      <c r="AW170" s="9"/>
    </row>
    <row r="171" spans="2:63" x14ac:dyDescent="0.25">
      <c r="B171" s="169">
        <v>41670</v>
      </c>
      <c r="C171" s="172"/>
      <c r="D171" s="161" t="s">
        <v>474</v>
      </c>
      <c r="E171" s="162">
        <f>SUMIF('Asientos de Cierre'!$D$6:$D$549,D164,'Asientos de Cierre'!$G$6:$G$549)</f>
        <v>0</v>
      </c>
      <c r="F171" s="163">
        <f>SUMIF('Asientos de Cierre'!$D$6:$D$549,D164,'Asientos de Cierre'!$H$6:$H$549)</f>
        <v>0</v>
      </c>
      <c r="G171" s="9"/>
      <c r="H171" s="9"/>
      <c r="I171" s="9"/>
      <c r="J171" s="9"/>
      <c r="M171" s="9"/>
      <c r="N171" s="9"/>
      <c r="O171" s="9"/>
      <c r="P171" s="9"/>
      <c r="S171" s="9"/>
      <c r="T171" s="9"/>
      <c r="U171" s="9"/>
      <c r="V171" s="9"/>
      <c r="Y171" s="9"/>
      <c r="Z171" s="9"/>
      <c r="AA171" s="9"/>
      <c r="AB171" s="9"/>
      <c r="AE171" s="9"/>
      <c r="AF171" s="9"/>
      <c r="AG171" s="9"/>
      <c r="AH171" s="9"/>
      <c r="AK171" s="9"/>
      <c r="AL171" s="9"/>
      <c r="AM171" s="9"/>
      <c r="AN171" s="9"/>
      <c r="AQ171" s="9"/>
      <c r="AR171" s="9"/>
      <c r="AS171" s="9"/>
      <c r="AT171" s="9"/>
      <c r="AW171" s="9"/>
    </row>
    <row r="172" spans="2:63" x14ac:dyDescent="0.25">
      <c r="B172" s="169"/>
      <c r="C172" s="172"/>
      <c r="D172" s="161"/>
      <c r="E172" s="162"/>
      <c r="F172" s="163"/>
      <c r="G172" s="9"/>
      <c r="H172" s="9"/>
      <c r="I172" s="9"/>
      <c r="J172" s="9"/>
      <c r="M172" s="9"/>
      <c r="N172" s="9"/>
      <c r="O172" s="9"/>
      <c r="P172" s="9"/>
      <c r="S172" s="9"/>
      <c r="T172" s="9"/>
      <c r="U172" s="9"/>
      <c r="V172" s="9"/>
      <c r="Y172" s="9"/>
      <c r="Z172" s="9"/>
      <c r="AA172" s="9"/>
      <c r="AB172" s="9"/>
      <c r="AE172" s="9"/>
      <c r="AF172" s="9"/>
      <c r="AG172" s="9"/>
      <c r="AH172" s="9"/>
      <c r="AK172" s="9"/>
      <c r="AL172" s="9"/>
      <c r="AM172" s="9"/>
      <c r="AN172" s="9"/>
      <c r="AQ172" s="9"/>
      <c r="AR172" s="9"/>
      <c r="AS172" s="9"/>
      <c r="AT172" s="9"/>
      <c r="AW172" s="9"/>
    </row>
    <row r="173" spans="2:63" ht="14.4" thickBot="1" x14ac:dyDescent="0.3">
      <c r="B173" s="169"/>
      <c r="C173" s="172"/>
      <c r="D173" s="161"/>
      <c r="E173" s="162"/>
      <c r="F173" s="163"/>
      <c r="G173" s="9"/>
      <c r="H173" s="9"/>
      <c r="I173" s="9"/>
      <c r="J173" s="9"/>
      <c r="M173" s="9"/>
      <c r="N173" s="9"/>
      <c r="O173" s="9"/>
      <c r="P173" s="9"/>
      <c r="S173" s="9"/>
      <c r="T173" s="9"/>
      <c r="U173" s="9"/>
      <c r="V173" s="9"/>
      <c r="Y173" s="9"/>
      <c r="Z173" s="9"/>
      <c r="AA173" s="9"/>
      <c r="AB173" s="9"/>
      <c r="AE173" s="9"/>
      <c r="AF173" s="9"/>
      <c r="AG173" s="9"/>
      <c r="AH173" s="9"/>
      <c r="AK173" s="9"/>
      <c r="AL173" s="9"/>
      <c r="AM173" s="9"/>
      <c r="AN173" s="9"/>
      <c r="AQ173" s="9"/>
      <c r="AR173" s="9"/>
      <c r="AS173" s="9"/>
      <c r="AT173" s="9"/>
      <c r="AW173" s="9"/>
    </row>
    <row r="174" spans="2:63" ht="15" thickBot="1" x14ac:dyDescent="0.3">
      <c r="B174" s="169"/>
      <c r="C174" s="172"/>
      <c r="D174" s="161" t="s">
        <v>471</v>
      </c>
      <c r="E174" s="162">
        <f>SUM(E170:E173)</f>
        <v>0</v>
      </c>
      <c r="F174" s="163">
        <f>SUM(F170:F173)</f>
        <v>0</v>
      </c>
      <c r="G174" s="9"/>
      <c r="H174" s="9"/>
      <c r="I174" s="9"/>
      <c r="J174" s="9"/>
      <c r="M174" s="9"/>
      <c r="N174" s="9"/>
      <c r="O174" s="9"/>
      <c r="P174" s="9"/>
      <c r="S174" s="9"/>
      <c r="T174" s="9"/>
      <c r="U174" s="9"/>
      <c r="V174" s="9"/>
      <c r="Y174" s="9"/>
      <c r="Z174" s="9"/>
      <c r="AA174" s="9"/>
      <c r="AB174" s="9"/>
      <c r="AE174" s="9"/>
      <c r="AF174" s="9"/>
      <c r="AG174" s="9"/>
      <c r="AH174" s="9"/>
      <c r="AK174" s="9"/>
      <c r="AL174" s="9"/>
      <c r="AM174" s="9"/>
      <c r="AN174" s="9"/>
      <c r="AQ174" s="9"/>
      <c r="AR174" s="9"/>
      <c r="AS174" s="9"/>
      <c r="AT174" s="9"/>
      <c r="AW174" s="9"/>
      <c r="BJ174" s="157">
        <f>SUM(E174,K174,Q174,W174,AC174,AI174,AO174,AU174,BA174,BG174)</f>
        <v>0</v>
      </c>
      <c r="BK174" s="158">
        <f>SUM(F174,L174,R174,X174,AD174,AJ174,AP174,AV174,BB174,BH174)</f>
        <v>0</v>
      </c>
    </row>
    <row r="175" spans="2:63" ht="14.4" thickBot="1" x14ac:dyDescent="0.3">
      <c r="B175" s="170"/>
      <c r="C175" s="173"/>
      <c r="D175" s="164" t="str">
        <f>IF(E174=F174,"",IF(E174&gt;F174,"Saldo Deudor","Saldo Acreedor"))</f>
        <v/>
      </c>
      <c r="E175" s="165" t="str">
        <f>IF(E174&gt;F174,E174-F174,"")</f>
        <v/>
      </c>
      <c r="F175" s="176" t="str">
        <f>IF(E174&lt;F174,F174-E174,"")</f>
        <v/>
      </c>
    </row>
    <row r="178" spans="2:63" ht="15.6" x14ac:dyDescent="0.25">
      <c r="B178" s="324" t="s">
        <v>472</v>
      </c>
      <c r="C178" s="324"/>
      <c r="D178" s="175">
        <v>1851</v>
      </c>
      <c r="E178" s="160"/>
    </row>
    <row r="179" spans="2:63" x14ac:dyDescent="0.25">
      <c r="B179" s="160"/>
      <c r="C179" s="160"/>
      <c r="D179" s="160"/>
      <c r="E179" s="160"/>
    </row>
    <row r="180" spans="2:63" ht="15.6" x14ac:dyDescent="0.25">
      <c r="B180" s="324" t="s">
        <v>473</v>
      </c>
      <c r="C180" s="324"/>
      <c r="D180" s="234" t="str">
        <f>VLOOKUP(D178,DivisionariasContables,3,FALSE)</f>
        <v>Servicios y Otros Contratados por Anticipado - Mantenimiento de Activos Inmovilizados</v>
      </c>
      <c r="E180" s="160"/>
    </row>
    <row r="181" spans="2:63" ht="14.4" thickBot="1" x14ac:dyDescent="0.3"/>
    <row r="182" spans="2:63" x14ac:dyDescent="0.25">
      <c r="B182" s="325" t="s">
        <v>466</v>
      </c>
      <c r="C182" s="327" t="s">
        <v>467</v>
      </c>
      <c r="D182" s="327" t="s">
        <v>468</v>
      </c>
      <c r="E182" s="329" t="s">
        <v>469</v>
      </c>
      <c r="F182" s="330"/>
    </row>
    <row r="183" spans="2:63" ht="14.4" thickBot="1" x14ac:dyDescent="0.3">
      <c r="B183" s="326"/>
      <c r="C183" s="328"/>
      <c r="D183" s="328"/>
      <c r="E183" s="232" t="s">
        <v>403</v>
      </c>
      <c r="F183" s="174" t="s">
        <v>402</v>
      </c>
    </row>
    <row r="184" spans="2:63" ht="14.4" thickTop="1" x14ac:dyDescent="0.25">
      <c r="B184" s="236">
        <v>41670</v>
      </c>
      <c r="C184" s="171"/>
      <c r="D184" s="166" t="s">
        <v>470</v>
      </c>
      <c r="E184" s="167">
        <f>SUMIF('Libro Diario Convencional'!$D$15:$D$167,D178,'Libro Diario Convencional'!$G$15:$G$167)</f>
        <v>0</v>
      </c>
      <c r="F184" s="168">
        <f>SUMIF('Libro Diario Convencional'!$D$15:$D$167,D178,'Libro Diario Convencional'!$H$15:$H$167)</f>
        <v>0</v>
      </c>
    </row>
    <row r="185" spans="2:63" x14ac:dyDescent="0.25">
      <c r="B185" s="169">
        <v>41670</v>
      </c>
      <c r="C185" s="172"/>
      <c r="D185" s="161" t="s">
        <v>474</v>
      </c>
      <c r="E185" s="162">
        <f>SUMIF('Asientos de Cierre'!$D$6:$D$549,D178,'Asientos de Cierre'!$G$6:$G$549)</f>
        <v>0</v>
      </c>
      <c r="F185" s="163">
        <f>SUMIF('Asientos de Cierre'!$D$6:$D$549,D178,'Asientos de Cierre'!$H$6:$H$549)</f>
        <v>0</v>
      </c>
    </row>
    <row r="186" spans="2:63" x14ac:dyDescent="0.25">
      <c r="B186" s="169"/>
      <c r="C186" s="172"/>
      <c r="D186" s="161"/>
      <c r="E186" s="162"/>
      <c r="F186" s="163"/>
    </row>
    <row r="187" spans="2:63" ht="14.4" thickBot="1" x14ac:dyDescent="0.3">
      <c r="B187" s="169"/>
      <c r="C187" s="172"/>
      <c r="D187" s="161"/>
      <c r="E187" s="162"/>
      <c r="F187" s="163"/>
    </row>
    <row r="188" spans="2:63" ht="15" thickBot="1" x14ac:dyDescent="0.3">
      <c r="B188" s="169"/>
      <c r="C188" s="172"/>
      <c r="D188" s="161" t="s">
        <v>471</v>
      </c>
      <c r="E188" s="162">
        <f>SUM(E184:E187)</f>
        <v>0</v>
      </c>
      <c r="F188" s="163">
        <f>SUM(F184:F187)</f>
        <v>0</v>
      </c>
      <c r="BJ188" s="157">
        <f>SUM(E188,K188,Q188,W188,AC188,AI188,AO188,AU188,BA188,BG188)</f>
        <v>0</v>
      </c>
      <c r="BK188" s="158">
        <f>SUM(F188,L188,R188,X188,AD188,AJ188,AP188,AV188,BB188,BH188)</f>
        <v>0</v>
      </c>
    </row>
    <row r="189" spans="2:63" ht="14.4" thickBot="1" x14ac:dyDescent="0.3">
      <c r="B189" s="170"/>
      <c r="C189" s="173"/>
      <c r="D189" s="164" t="str">
        <f>IF(E188=F188,"",IF(E188&gt;F188,"Saldo Deudor","Saldo Acreedor"))</f>
        <v/>
      </c>
      <c r="E189" s="165" t="str">
        <f>IF(E188&gt;F188,E188-F188,"")</f>
        <v/>
      </c>
      <c r="F189" s="176" t="str">
        <f>IF(E188&lt;F188,F188-E188,"")</f>
        <v/>
      </c>
    </row>
    <row r="192" spans="2:63" ht="15.6" x14ac:dyDescent="0.25">
      <c r="B192" s="324" t="s">
        <v>472</v>
      </c>
      <c r="C192" s="324"/>
      <c r="D192" s="175">
        <v>1891</v>
      </c>
      <c r="E192" s="160"/>
      <c r="H192" s="324" t="s">
        <v>472</v>
      </c>
      <c r="I192" s="324"/>
      <c r="J192" s="175">
        <v>1899</v>
      </c>
      <c r="K192" s="160"/>
    </row>
    <row r="193" spans="2:63" x14ac:dyDescent="0.25">
      <c r="B193" s="160"/>
      <c r="C193" s="160"/>
      <c r="D193" s="160"/>
      <c r="E193" s="160"/>
      <c r="H193" s="160"/>
      <c r="I193" s="160"/>
      <c r="J193" s="160"/>
      <c r="K193" s="160"/>
    </row>
    <row r="194" spans="2:63" ht="15.6" x14ac:dyDescent="0.25">
      <c r="B194" s="324" t="s">
        <v>473</v>
      </c>
      <c r="C194" s="324"/>
      <c r="D194" s="234" t="str">
        <f>VLOOKUP(D192,DivisionariasContables,3,FALSE)</f>
        <v>Servicios y Otros Contratados por Anticipado - Otros Gastos Contratados por Anticipado</v>
      </c>
      <c r="E194" s="160"/>
      <c r="H194" s="324" t="s">
        <v>473</v>
      </c>
      <c r="I194" s="324"/>
      <c r="J194" s="234" t="str">
        <f>VLOOKUP(J192,DivisionariasContables,3,FALSE)</f>
        <v>Servicios y Otros Contratados por Anticipado - Reclasificación de IGV al Gasto Anticipado</v>
      </c>
      <c r="K194" s="160"/>
    </row>
    <row r="195" spans="2:63" ht="14.4" thickBot="1" x14ac:dyDescent="0.3"/>
    <row r="196" spans="2:63" x14ac:dyDescent="0.25">
      <c r="B196" s="325" t="s">
        <v>466</v>
      </c>
      <c r="C196" s="327" t="s">
        <v>467</v>
      </c>
      <c r="D196" s="327" t="s">
        <v>468</v>
      </c>
      <c r="E196" s="329" t="s">
        <v>469</v>
      </c>
      <c r="F196" s="330"/>
      <c r="H196" s="325" t="s">
        <v>466</v>
      </c>
      <c r="I196" s="327" t="s">
        <v>467</v>
      </c>
      <c r="J196" s="327" t="s">
        <v>468</v>
      </c>
      <c r="K196" s="329" t="s">
        <v>469</v>
      </c>
      <c r="L196" s="330"/>
    </row>
    <row r="197" spans="2:63" ht="14.4" thickBot="1" x14ac:dyDescent="0.3">
      <c r="B197" s="326"/>
      <c r="C197" s="328"/>
      <c r="D197" s="328"/>
      <c r="E197" s="232" t="s">
        <v>403</v>
      </c>
      <c r="F197" s="174" t="s">
        <v>402</v>
      </c>
      <c r="H197" s="326"/>
      <c r="I197" s="328"/>
      <c r="J197" s="328"/>
      <c r="K197" s="232" t="s">
        <v>403</v>
      </c>
      <c r="L197" s="174" t="s">
        <v>402</v>
      </c>
    </row>
    <row r="198" spans="2:63" ht="14.4" thickTop="1" x14ac:dyDescent="0.25">
      <c r="B198" s="236">
        <v>41670</v>
      </c>
      <c r="C198" s="171"/>
      <c r="D198" s="166" t="s">
        <v>470</v>
      </c>
      <c r="E198" s="167">
        <f>SUMIF('Libro Diario Convencional'!$D$15:$D$167,D192,'Libro Diario Convencional'!$G$15:$G$167)</f>
        <v>0</v>
      </c>
      <c r="F198" s="168">
        <f>SUMIF('Libro Diario Convencional'!$D$15:$D$167,D192,'Libro Diario Convencional'!$H$15:$H$167)</f>
        <v>0</v>
      </c>
      <c r="H198" s="236">
        <v>41670</v>
      </c>
      <c r="I198" s="171"/>
      <c r="J198" s="166" t="s">
        <v>470</v>
      </c>
      <c r="K198" s="167">
        <f>SUMIF('Libro Diario Convencional'!$D$15:$D$167,J192,'Libro Diario Convencional'!$G$15:$G$167)</f>
        <v>0</v>
      </c>
      <c r="L198" s="168">
        <f>SUMIF('Libro Diario Convencional'!$D$15:$D$167,J192,'Libro Diario Convencional'!$H$15:$H$167)</f>
        <v>0</v>
      </c>
    </row>
    <row r="199" spans="2:63" x14ac:dyDescent="0.25">
      <c r="B199" s="169">
        <v>41670</v>
      </c>
      <c r="C199" s="172"/>
      <c r="D199" s="161" t="s">
        <v>474</v>
      </c>
      <c r="E199" s="162">
        <f>SUMIF('Asientos de Cierre'!$D$6:$D$549,D192,'Asientos de Cierre'!$G$6:$G$549)</f>
        <v>0</v>
      </c>
      <c r="F199" s="163">
        <f>SUMIF('Asientos de Cierre'!$D$6:$D$549,D192,'Asientos de Cierre'!$H$6:$H$549)</f>
        <v>0</v>
      </c>
      <c r="H199" s="169">
        <v>41670</v>
      </c>
      <c r="I199" s="172"/>
      <c r="J199" s="161" t="s">
        <v>474</v>
      </c>
      <c r="K199" s="162">
        <f>SUMIF('Asientos de Cierre'!$D$6:$D$549,J192,'Asientos de Cierre'!$G$6:$G$549)</f>
        <v>0</v>
      </c>
      <c r="L199" s="163">
        <f>SUMIF('Asientos de Cierre'!$D$6:$D$549,J192,'Asientos de Cierre'!$H$6:$H$549)</f>
        <v>0</v>
      </c>
    </row>
    <row r="200" spans="2:63" x14ac:dyDescent="0.25">
      <c r="B200" s="169"/>
      <c r="C200" s="172"/>
      <c r="D200" s="161"/>
      <c r="E200" s="162"/>
      <c r="F200" s="163"/>
      <c r="H200" s="169"/>
      <c r="I200" s="172"/>
      <c r="J200" s="161"/>
      <c r="K200" s="162"/>
      <c r="L200" s="163"/>
    </row>
    <row r="201" spans="2:63" ht="14.4" thickBot="1" x14ac:dyDescent="0.3">
      <c r="B201" s="169"/>
      <c r="C201" s="172"/>
      <c r="D201" s="161"/>
      <c r="E201" s="162"/>
      <c r="F201" s="163"/>
      <c r="H201" s="169"/>
      <c r="I201" s="172"/>
      <c r="J201" s="161"/>
      <c r="K201" s="162"/>
      <c r="L201" s="163"/>
    </row>
    <row r="202" spans="2:63" ht="15" thickBot="1" x14ac:dyDescent="0.3">
      <c r="B202" s="169"/>
      <c r="C202" s="172"/>
      <c r="D202" s="161" t="s">
        <v>471</v>
      </c>
      <c r="E202" s="162">
        <f>SUM(E198:E201)</f>
        <v>0</v>
      </c>
      <c r="F202" s="163">
        <f>SUM(F198:F201)</f>
        <v>0</v>
      </c>
      <c r="H202" s="169"/>
      <c r="I202" s="172"/>
      <c r="J202" s="161" t="s">
        <v>471</v>
      </c>
      <c r="K202" s="162">
        <f>SUM(K198:K201)</f>
        <v>0</v>
      </c>
      <c r="L202" s="163">
        <f>SUM(L198:L201)</f>
        <v>0</v>
      </c>
      <c r="BJ202" s="157">
        <f>SUM(E202,K202,Q202,W202,AC202,AI202,AO202,AU202,BA202,BG202)</f>
        <v>0</v>
      </c>
      <c r="BK202" s="158">
        <f>SUM(F202,L202,R202,X202,AD202,AJ202,AP202,AV202,BB202,BH202)</f>
        <v>0</v>
      </c>
    </row>
    <row r="203" spans="2:63" ht="14.4" thickBot="1" x14ac:dyDescent="0.3">
      <c r="B203" s="170"/>
      <c r="C203" s="173"/>
      <c r="D203" s="164" t="str">
        <f>IF(E202=F202,"",IF(E202&gt;F202,"Saldo Deudor","Saldo Acreedor"))</f>
        <v/>
      </c>
      <c r="E203" s="165" t="str">
        <f>IF(E202&gt;F202,E202-F202,"")</f>
        <v/>
      </c>
      <c r="F203" s="176" t="str">
        <f>IF(E202&lt;F202,F202-E202,"")</f>
        <v/>
      </c>
      <c r="H203" s="170"/>
      <c r="I203" s="173"/>
      <c r="J203" s="164" t="str">
        <f>IF(K202=L202,"",IF(K202&gt;L202,"Saldo Deudor","Saldo Acreedor"))</f>
        <v/>
      </c>
      <c r="K203" s="165" t="str">
        <f>IF(K202&gt;L202,K202-L202,"")</f>
        <v/>
      </c>
      <c r="L203" s="176" t="str">
        <f>IF(K202&lt;L202,L202-K202,"")</f>
        <v/>
      </c>
    </row>
    <row r="206" spans="2:63" ht="15.6" x14ac:dyDescent="0.25">
      <c r="B206" s="324" t="s">
        <v>472</v>
      </c>
      <c r="C206" s="324"/>
      <c r="D206" s="175">
        <v>2011</v>
      </c>
      <c r="E206" s="160"/>
    </row>
    <row r="207" spans="2:63" x14ac:dyDescent="0.25">
      <c r="B207" s="160"/>
      <c r="C207" s="160"/>
      <c r="D207" s="160"/>
      <c r="E207" s="160"/>
    </row>
    <row r="208" spans="2:63" ht="15.6" x14ac:dyDescent="0.25">
      <c r="B208" s="324" t="s">
        <v>473</v>
      </c>
      <c r="C208" s="324"/>
      <c r="D208" s="234" t="str">
        <f>VLOOKUP(D206,DivisionariasContables,3,FALSE)</f>
        <v>Mercaderías Manufacturadas</v>
      </c>
      <c r="E208" s="160"/>
    </row>
    <row r="209" spans="2:63" ht="14.4" thickBot="1" x14ac:dyDescent="0.3"/>
    <row r="210" spans="2:63" x14ac:dyDescent="0.25">
      <c r="B210" s="325" t="s">
        <v>466</v>
      </c>
      <c r="C210" s="327" t="s">
        <v>467</v>
      </c>
      <c r="D210" s="327" t="s">
        <v>468</v>
      </c>
      <c r="E210" s="329" t="s">
        <v>469</v>
      </c>
      <c r="F210" s="330"/>
    </row>
    <row r="211" spans="2:63" ht="14.4" thickBot="1" x14ac:dyDescent="0.3">
      <c r="B211" s="326"/>
      <c r="C211" s="328"/>
      <c r="D211" s="328"/>
      <c r="E211" s="232" t="s">
        <v>403</v>
      </c>
      <c r="F211" s="174" t="s">
        <v>402</v>
      </c>
    </row>
    <row r="212" spans="2:63" ht="14.4" thickTop="1" x14ac:dyDescent="0.25">
      <c r="B212" s="236">
        <v>41670</v>
      </c>
      <c r="C212" s="171"/>
      <c r="D212" s="166" t="s">
        <v>470</v>
      </c>
      <c r="E212" s="167">
        <f>SUMIF('Libro Diario Convencional'!$D$15:$D$167,D206,'Libro Diario Convencional'!$G$15:$G$167)</f>
        <v>0</v>
      </c>
      <c r="F212" s="168">
        <f>SUMIF('Libro Diario Convencional'!$D$15:$D$167,D206,'Libro Diario Convencional'!$H$15:$H$167)</f>
        <v>0</v>
      </c>
    </row>
    <row r="213" spans="2:63" x14ac:dyDescent="0.25">
      <c r="B213" s="169">
        <v>41670</v>
      </c>
      <c r="C213" s="172"/>
      <c r="D213" s="161" t="s">
        <v>474</v>
      </c>
      <c r="E213" s="162">
        <f>SUMIF('Asientos de Cierre'!$D$6:$D$549,D206,'Asientos de Cierre'!$G$6:$G$549)</f>
        <v>0</v>
      </c>
      <c r="F213" s="163">
        <f>SUMIF('Asientos de Cierre'!$D$6:$D$549,D206,'Asientos de Cierre'!$H$6:$H$549)</f>
        <v>0</v>
      </c>
    </row>
    <row r="214" spans="2:63" x14ac:dyDescent="0.25">
      <c r="B214" s="169"/>
      <c r="C214" s="172"/>
      <c r="D214" s="161"/>
      <c r="E214" s="162"/>
      <c r="F214" s="163"/>
    </row>
    <row r="215" spans="2:63" ht="14.4" thickBot="1" x14ac:dyDescent="0.3">
      <c r="B215" s="169"/>
      <c r="C215" s="172"/>
      <c r="D215" s="161"/>
      <c r="E215" s="162"/>
      <c r="F215" s="163"/>
    </row>
    <row r="216" spans="2:63" ht="15" thickBot="1" x14ac:dyDescent="0.3">
      <c r="B216" s="169"/>
      <c r="C216" s="172"/>
      <c r="D216" s="161" t="s">
        <v>471</v>
      </c>
      <c r="E216" s="162">
        <f>SUM(E212:E215)</f>
        <v>0</v>
      </c>
      <c r="F216" s="163">
        <f>SUM(F212:F215)</f>
        <v>0</v>
      </c>
      <c r="BJ216" s="157">
        <f>SUM(E216,K216,Q216,W216,AC216,AI216,AO216,AU216,BA216,BG216)</f>
        <v>0</v>
      </c>
      <c r="BK216" s="158">
        <f>SUM(F216,L216,R216,X216,AD216,AJ216,AP216,AV216,BB216,BH216)</f>
        <v>0</v>
      </c>
    </row>
    <row r="217" spans="2:63" ht="14.4" thickBot="1" x14ac:dyDescent="0.3">
      <c r="B217" s="170"/>
      <c r="C217" s="173"/>
      <c r="D217" s="164" t="str">
        <f>IF(E216=F216,"",IF(E216&gt;F216,"Saldo Deudor","Saldo Acreedor"))</f>
        <v/>
      </c>
      <c r="E217" s="165" t="str">
        <f>IF(E216&gt;F216,E216-F216,"")</f>
        <v/>
      </c>
      <c r="F217" s="176" t="str">
        <f>IF(E216&lt;F216,F216-E216,"")</f>
        <v/>
      </c>
    </row>
    <row r="220" spans="2:63" ht="15.6" x14ac:dyDescent="0.25">
      <c r="B220" s="324" t="s">
        <v>472</v>
      </c>
      <c r="C220" s="324"/>
      <c r="D220" s="175">
        <v>2021</v>
      </c>
      <c r="E220" s="160"/>
    </row>
    <row r="221" spans="2:63" x14ac:dyDescent="0.25">
      <c r="B221" s="160"/>
      <c r="C221" s="160"/>
      <c r="D221" s="160"/>
      <c r="E221" s="160"/>
    </row>
    <row r="222" spans="2:63" ht="15.6" x14ac:dyDescent="0.25">
      <c r="B222" s="324" t="s">
        <v>473</v>
      </c>
      <c r="C222" s="324"/>
      <c r="D222" s="234" t="str">
        <f>VLOOKUP(D220,DivisionariasContables,3,FALSE)</f>
        <v>Mercaderías de Extracción</v>
      </c>
      <c r="E222" s="160"/>
    </row>
    <row r="223" spans="2:63" ht="14.4" thickBot="1" x14ac:dyDescent="0.3"/>
    <row r="224" spans="2:63" x14ac:dyDescent="0.25">
      <c r="B224" s="325" t="s">
        <v>466</v>
      </c>
      <c r="C224" s="327" t="s">
        <v>467</v>
      </c>
      <c r="D224" s="327" t="s">
        <v>468</v>
      </c>
      <c r="E224" s="329" t="s">
        <v>469</v>
      </c>
      <c r="F224" s="330"/>
    </row>
    <row r="225" spans="2:63" ht="14.4" thickBot="1" x14ac:dyDescent="0.3">
      <c r="B225" s="326"/>
      <c r="C225" s="328"/>
      <c r="D225" s="328"/>
      <c r="E225" s="232" t="s">
        <v>403</v>
      </c>
      <c r="F225" s="174" t="s">
        <v>402</v>
      </c>
    </row>
    <row r="226" spans="2:63" ht="14.4" thickTop="1" x14ac:dyDescent="0.25">
      <c r="B226" s="236">
        <v>41670</v>
      </c>
      <c r="C226" s="171"/>
      <c r="D226" s="166" t="s">
        <v>470</v>
      </c>
      <c r="E226" s="167">
        <f>SUMIF('Libro Diario Convencional'!$D$15:$D$167,D220,'Libro Diario Convencional'!$G$15:$G$167)</f>
        <v>0</v>
      </c>
      <c r="F226" s="168">
        <f>SUMIF('Libro Diario Convencional'!$D$15:$D$167,D220,'Libro Diario Convencional'!$H$15:$H$167)</f>
        <v>0</v>
      </c>
    </row>
    <row r="227" spans="2:63" x14ac:dyDescent="0.25">
      <c r="B227" s="169">
        <v>41670</v>
      </c>
      <c r="C227" s="172"/>
      <c r="D227" s="161" t="s">
        <v>474</v>
      </c>
      <c r="E227" s="162">
        <f>SUMIF('Asientos de Cierre'!$D$6:$D$549,D220,'Asientos de Cierre'!$G$6:$G$549)</f>
        <v>0</v>
      </c>
      <c r="F227" s="163">
        <f>SUMIF('Asientos de Cierre'!$D$6:$D$549,D220,'Asientos de Cierre'!$H$6:$H$549)</f>
        <v>0</v>
      </c>
    </row>
    <row r="228" spans="2:63" x14ac:dyDescent="0.25">
      <c r="B228" s="169"/>
      <c r="C228" s="172"/>
      <c r="D228" s="161"/>
      <c r="E228" s="162"/>
      <c r="F228" s="163"/>
    </row>
    <row r="229" spans="2:63" ht="14.4" thickBot="1" x14ac:dyDescent="0.3">
      <c r="B229" s="169"/>
      <c r="C229" s="172"/>
      <c r="D229" s="161"/>
      <c r="E229" s="162"/>
      <c r="F229" s="163"/>
    </row>
    <row r="230" spans="2:63" ht="15" thickBot="1" x14ac:dyDescent="0.3">
      <c r="B230" s="169"/>
      <c r="C230" s="172"/>
      <c r="D230" s="161" t="s">
        <v>471</v>
      </c>
      <c r="E230" s="162">
        <f>SUM(E226:E229)</f>
        <v>0</v>
      </c>
      <c r="F230" s="163">
        <f>SUM(F226:F229)</f>
        <v>0</v>
      </c>
      <c r="BJ230" s="157">
        <f>SUM(E230,K230,Q230,W230,AC230,AI230,AO230,AU230,BA230,BG230)</f>
        <v>0</v>
      </c>
      <c r="BK230" s="158">
        <f>SUM(F230,L230,R230,X230,AD230,AJ230,AP230,AV230,BB230,BH230)</f>
        <v>0</v>
      </c>
    </row>
    <row r="231" spans="2:63" ht="14.4" thickBot="1" x14ac:dyDescent="0.3">
      <c r="B231" s="170"/>
      <c r="C231" s="173"/>
      <c r="D231" s="164" t="str">
        <f>IF(E230=F230,"",IF(E230&gt;F230,"Saldo Deudor","Saldo Acreedor"))</f>
        <v/>
      </c>
      <c r="E231" s="165" t="str">
        <f>IF(E230&gt;F230,E230-F230,"")</f>
        <v/>
      </c>
      <c r="F231" s="176" t="str">
        <f>IF(E230&lt;F230,F230-E230,"")</f>
        <v/>
      </c>
    </row>
    <row r="234" spans="2:63" ht="15.6" x14ac:dyDescent="0.25">
      <c r="B234" s="324" t="s">
        <v>472</v>
      </c>
      <c r="C234" s="324"/>
      <c r="D234" s="175">
        <v>2031</v>
      </c>
      <c r="E234" s="160"/>
      <c r="H234" s="324" t="s">
        <v>472</v>
      </c>
      <c r="I234" s="324"/>
      <c r="J234" s="175">
        <v>2032</v>
      </c>
      <c r="K234" s="160"/>
    </row>
    <row r="235" spans="2:63" x14ac:dyDescent="0.25">
      <c r="B235" s="160"/>
      <c r="C235" s="160"/>
      <c r="D235" s="160"/>
      <c r="E235" s="160"/>
      <c r="H235" s="160"/>
      <c r="I235" s="160"/>
      <c r="J235" s="160"/>
      <c r="K235" s="160"/>
    </row>
    <row r="236" spans="2:63" ht="15.6" x14ac:dyDescent="0.25">
      <c r="B236" s="324" t="s">
        <v>473</v>
      </c>
      <c r="C236" s="324"/>
      <c r="D236" s="234" t="str">
        <f>VLOOKUP(D234,DivisionariasContables,3,FALSE)</f>
        <v>De Origen Animal</v>
      </c>
      <c r="E236" s="160"/>
      <c r="H236" s="324" t="s">
        <v>473</v>
      </c>
      <c r="I236" s="324"/>
      <c r="J236" s="234" t="str">
        <f>VLOOKUP(J234,DivisionariasContables,3,FALSE)</f>
        <v>De Origen Vegetal</v>
      </c>
      <c r="K236" s="160"/>
    </row>
    <row r="237" spans="2:63" ht="14.4" thickBot="1" x14ac:dyDescent="0.3"/>
    <row r="238" spans="2:63" x14ac:dyDescent="0.25">
      <c r="B238" s="325" t="s">
        <v>466</v>
      </c>
      <c r="C238" s="327" t="s">
        <v>467</v>
      </c>
      <c r="D238" s="327" t="s">
        <v>468</v>
      </c>
      <c r="E238" s="329" t="s">
        <v>469</v>
      </c>
      <c r="F238" s="330"/>
      <c r="H238" s="325" t="s">
        <v>466</v>
      </c>
      <c r="I238" s="327" t="s">
        <v>467</v>
      </c>
      <c r="J238" s="327" t="s">
        <v>468</v>
      </c>
      <c r="K238" s="329" t="s">
        <v>469</v>
      </c>
      <c r="L238" s="330"/>
    </row>
    <row r="239" spans="2:63" ht="14.4" thickBot="1" x14ac:dyDescent="0.3">
      <c r="B239" s="326"/>
      <c r="C239" s="328"/>
      <c r="D239" s="328"/>
      <c r="E239" s="232" t="s">
        <v>403</v>
      </c>
      <c r="F239" s="174" t="s">
        <v>402</v>
      </c>
      <c r="H239" s="326"/>
      <c r="I239" s="328"/>
      <c r="J239" s="328"/>
      <c r="K239" s="232" t="s">
        <v>403</v>
      </c>
      <c r="L239" s="174" t="s">
        <v>402</v>
      </c>
    </row>
    <row r="240" spans="2:63" ht="14.4" thickTop="1" x14ac:dyDescent="0.25">
      <c r="B240" s="236">
        <v>41670</v>
      </c>
      <c r="C240" s="171"/>
      <c r="D240" s="166" t="s">
        <v>470</v>
      </c>
      <c r="E240" s="167">
        <f>SUMIF('Libro Diario Convencional'!$D$15:$D$167,D234,'Libro Diario Convencional'!$G$15:$G$167)</f>
        <v>0</v>
      </c>
      <c r="F240" s="168">
        <f>SUMIF('Libro Diario Convencional'!$D$15:$D$167,D234,'Libro Diario Convencional'!$H$15:$H$167)</f>
        <v>0</v>
      </c>
      <c r="H240" s="236">
        <v>41670</v>
      </c>
      <c r="I240" s="171"/>
      <c r="J240" s="166" t="s">
        <v>470</v>
      </c>
      <c r="K240" s="167">
        <f>SUMIF('Libro Diario Convencional'!$D$15:$D$167,J234,'Libro Diario Convencional'!$G$15:$G$167)</f>
        <v>0</v>
      </c>
      <c r="L240" s="168">
        <f>SUMIF('Libro Diario Convencional'!$D$15:$D$167,J234,'Libro Diario Convencional'!$H$15:$H$167)</f>
        <v>0</v>
      </c>
    </row>
    <row r="241" spans="2:63" x14ac:dyDescent="0.25">
      <c r="B241" s="169">
        <v>41670</v>
      </c>
      <c r="C241" s="172"/>
      <c r="D241" s="161" t="s">
        <v>474</v>
      </c>
      <c r="E241" s="162">
        <f>SUMIF('Asientos de Cierre'!$D$6:$D$549,D234,'Asientos de Cierre'!$G$6:$G$549)</f>
        <v>0</v>
      </c>
      <c r="F241" s="163">
        <f>SUMIF('Asientos de Cierre'!$D$6:$D$549,D234,'Asientos de Cierre'!$H$6:$H$549)</f>
        <v>0</v>
      </c>
      <c r="H241" s="169">
        <v>41670</v>
      </c>
      <c r="I241" s="172"/>
      <c r="J241" s="161" t="s">
        <v>474</v>
      </c>
      <c r="K241" s="162">
        <f>SUMIF('Asientos de Cierre'!$D$6:$D$549,J234,'Asientos de Cierre'!$G$6:$G$549)</f>
        <v>0</v>
      </c>
      <c r="L241" s="163">
        <f>SUMIF('Asientos de Cierre'!$D$6:$D$549,J234,'Asientos de Cierre'!$H$6:$H$549)</f>
        <v>0</v>
      </c>
    </row>
    <row r="242" spans="2:63" x14ac:dyDescent="0.25">
      <c r="B242" s="169"/>
      <c r="C242" s="172"/>
      <c r="D242" s="161"/>
      <c r="E242" s="162"/>
      <c r="F242" s="163"/>
      <c r="H242" s="169"/>
      <c r="I242" s="172"/>
      <c r="J242" s="161"/>
      <c r="K242" s="162"/>
      <c r="L242" s="163"/>
    </row>
    <row r="243" spans="2:63" ht="14.4" thickBot="1" x14ac:dyDescent="0.3">
      <c r="B243" s="169"/>
      <c r="C243" s="172"/>
      <c r="D243" s="161"/>
      <c r="E243" s="162"/>
      <c r="F243" s="163"/>
      <c r="H243" s="169"/>
      <c r="I243" s="172"/>
      <c r="J243" s="161"/>
      <c r="K243" s="162"/>
      <c r="L243" s="163"/>
    </row>
    <row r="244" spans="2:63" ht="15" thickBot="1" x14ac:dyDescent="0.3">
      <c r="B244" s="169"/>
      <c r="C244" s="172"/>
      <c r="D244" s="161" t="s">
        <v>471</v>
      </c>
      <c r="E244" s="162">
        <f>SUM(E240:E243)</f>
        <v>0</v>
      </c>
      <c r="F244" s="163">
        <f>SUM(F240:F243)</f>
        <v>0</v>
      </c>
      <c r="H244" s="169"/>
      <c r="I244" s="172"/>
      <c r="J244" s="161" t="s">
        <v>471</v>
      </c>
      <c r="K244" s="162">
        <f>SUM(K240:K243)</f>
        <v>0</v>
      </c>
      <c r="L244" s="163">
        <f>SUM(L240:L243)</f>
        <v>0</v>
      </c>
      <c r="BJ244" s="157">
        <f>SUM(E244,K244,Q244,W244,AC244,AI244,AO244,AU244,BA244,BG244)</f>
        <v>0</v>
      </c>
      <c r="BK244" s="158">
        <f>SUM(F244,L244,R244,X244,AD244,AJ244,AP244,AV244,BB244,BH244)</f>
        <v>0</v>
      </c>
    </row>
    <row r="245" spans="2:63" ht="14.4" thickBot="1" x14ac:dyDescent="0.3">
      <c r="B245" s="170"/>
      <c r="C245" s="173"/>
      <c r="D245" s="164" t="str">
        <f>IF(E244=F244,"",IF(E244&gt;F244,"Saldo Deudor","Saldo Acreedor"))</f>
        <v/>
      </c>
      <c r="E245" s="165" t="str">
        <f>IF(E244&gt;F244,E244-F244,"")</f>
        <v/>
      </c>
      <c r="F245" s="176" t="str">
        <f>IF(E244&lt;F244,F244-E244,"")</f>
        <v/>
      </c>
      <c r="H245" s="170"/>
      <c r="I245" s="173"/>
      <c r="J245" s="164" t="str">
        <f>IF(K244=L244,"",IF(K244&gt;L244,"Saldo Deudor","Saldo Acreedor"))</f>
        <v/>
      </c>
      <c r="K245" s="165" t="str">
        <f>IF(K244&gt;L244,K244-L244,"")</f>
        <v/>
      </c>
      <c r="L245" s="176" t="str">
        <f>IF(K244&lt;L244,L244-K244,"")</f>
        <v/>
      </c>
    </row>
    <row r="248" spans="2:63" ht="15.6" x14ac:dyDescent="0.25">
      <c r="B248" s="324" t="s">
        <v>472</v>
      </c>
      <c r="C248" s="324"/>
      <c r="D248" s="175">
        <v>2041</v>
      </c>
      <c r="E248" s="160"/>
    </row>
    <row r="249" spans="2:63" x14ac:dyDescent="0.25">
      <c r="B249" s="160"/>
      <c r="C249" s="160"/>
      <c r="D249" s="160"/>
      <c r="E249" s="160"/>
    </row>
    <row r="250" spans="2:63" ht="15.6" x14ac:dyDescent="0.25">
      <c r="B250" s="324" t="s">
        <v>473</v>
      </c>
      <c r="C250" s="324"/>
      <c r="D250" s="234" t="str">
        <f>VLOOKUP(D248,DivisionariasContables,3,FALSE)</f>
        <v>Mercaderías Inmuebles</v>
      </c>
      <c r="E250" s="160"/>
    </row>
    <row r="251" spans="2:63" ht="14.4" thickBot="1" x14ac:dyDescent="0.3"/>
    <row r="252" spans="2:63" x14ac:dyDescent="0.25">
      <c r="B252" s="325" t="s">
        <v>466</v>
      </c>
      <c r="C252" s="327" t="s">
        <v>467</v>
      </c>
      <c r="D252" s="327" t="s">
        <v>468</v>
      </c>
      <c r="E252" s="329" t="s">
        <v>469</v>
      </c>
      <c r="F252" s="330"/>
    </row>
    <row r="253" spans="2:63" ht="14.4" thickBot="1" x14ac:dyDescent="0.3">
      <c r="B253" s="326"/>
      <c r="C253" s="328"/>
      <c r="D253" s="328"/>
      <c r="E253" s="232" t="s">
        <v>403</v>
      </c>
      <c r="F253" s="174" t="s">
        <v>402</v>
      </c>
    </row>
    <row r="254" spans="2:63" ht="14.4" thickTop="1" x14ac:dyDescent="0.25">
      <c r="B254" s="236">
        <v>41670</v>
      </c>
      <c r="C254" s="171"/>
      <c r="D254" s="166" t="s">
        <v>470</v>
      </c>
      <c r="E254" s="167">
        <f>SUMIF('Libro Diario Convencional'!$D$15:$D$167,D248,'Libro Diario Convencional'!$G$15:$G$167)</f>
        <v>0</v>
      </c>
      <c r="F254" s="168">
        <f>SUMIF('Libro Diario Convencional'!$D$15:$D$167,D248,'Libro Diario Convencional'!$H$15:$H$167)</f>
        <v>0</v>
      </c>
    </row>
    <row r="255" spans="2:63" x14ac:dyDescent="0.25">
      <c r="B255" s="169">
        <v>41670</v>
      </c>
      <c r="C255" s="172"/>
      <c r="D255" s="161" t="s">
        <v>474</v>
      </c>
      <c r="E255" s="162">
        <f>SUMIF('Asientos de Cierre'!$D$6:$D$549,D248,'Asientos de Cierre'!$G$6:$G$549)</f>
        <v>0</v>
      </c>
      <c r="F255" s="163">
        <f>SUMIF('Asientos de Cierre'!$D$6:$D$549,D248,'Asientos de Cierre'!$H$6:$H$549)</f>
        <v>0</v>
      </c>
    </row>
    <row r="256" spans="2:63" x14ac:dyDescent="0.25">
      <c r="B256" s="169"/>
      <c r="C256" s="172"/>
      <c r="D256" s="161"/>
      <c r="E256" s="162"/>
      <c r="F256" s="163"/>
    </row>
    <row r="257" spans="2:63" ht="14.4" thickBot="1" x14ac:dyDescent="0.3">
      <c r="B257" s="169"/>
      <c r="C257" s="172"/>
      <c r="D257" s="161"/>
      <c r="E257" s="162"/>
      <c r="F257" s="163"/>
    </row>
    <row r="258" spans="2:63" ht="15" thickBot="1" x14ac:dyDescent="0.3">
      <c r="B258" s="169"/>
      <c r="C258" s="172"/>
      <c r="D258" s="161" t="s">
        <v>471</v>
      </c>
      <c r="E258" s="162">
        <f>SUM(E254:E257)</f>
        <v>0</v>
      </c>
      <c r="F258" s="163">
        <f>SUM(F254:F257)</f>
        <v>0</v>
      </c>
      <c r="BJ258" s="157">
        <f>SUM(E258,K258,Q258,W258,AC258,AI258,AO258,AU258,BA258,BG258)</f>
        <v>0</v>
      </c>
      <c r="BK258" s="158">
        <f>SUM(F258,L258,R258,X258,AD258,AJ258,AP258,AV258,BB258,BH258)</f>
        <v>0</v>
      </c>
    </row>
    <row r="259" spans="2:63" ht="14.4" thickBot="1" x14ac:dyDescent="0.3">
      <c r="B259" s="170"/>
      <c r="C259" s="173"/>
      <c r="D259" s="164" t="str">
        <f>IF(E258=F258,"",IF(E258&gt;F258,"Saldo Deudor","Saldo Acreedor"))</f>
        <v/>
      </c>
      <c r="E259" s="165" t="str">
        <f>IF(E258&gt;F258,E258-F258,"")</f>
        <v/>
      </c>
      <c r="F259" s="176" t="str">
        <f>IF(E258&lt;F258,F258-E258,"")</f>
        <v/>
      </c>
    </row>
    <row r="262" spans="2:63" ht="15.6" x14ac:dyDescent="0.25">
      <c r="B262" s="324" t="s">
        <v>472</v>
      </c>
      <c r="C262" s="324"/>
      <c r="D262" s="175">
        <v>2081</v>
      </c>
      <c r="E262" s="160"/>
    </row>
    <row r="263" spans="2:63" x14ac:dyDescent="0.25">
      <c r="B263" s="160"/>
      <c r="C263" s="160"/>
      <c r="D263" s="160"/>
      <c r="E263" s="160"/>
    </row>
    <row r="264" spans="2:63" ht="15.6" x14ac:dyDescent="0.25">
      <c r="B264" s="324" t="s">
        <v>473</v>
      </c>
      <c r="C264" s="324"/>
      <c r="D264" s="234" t="str">
        <f>VLOOKUP(D262,DivisionariasContables,3,FALSE)</f>
        <v>Otras Mercaderías</v>
      </c>
      <c r="E264" s="160"/>
    </row>
    <row r="265" spans="2:63" ht="14.4" thickBot="1" x14ac:dyDescent="0.3"/>
    <row r="266" spans="2:63" x14ac:dyDescent="0.25">
      <c r="B266" s="325" t="s">
        <v>466</v>
      </c>
      <c r="C266" s="327" t="s">
        <v>467</v>
      </c>
      <c r="D266" s="327" t="s">
        <v>468</v>
      </c>
      <c r="E266" s="329" t="s">
        <v>469</v>
      </c>
      <c r="F266" s="330"/>
    </row>
    <row r="267" spans="2:63" ht="14.4" thickBot="1" x14ac:dyDescent="0.3">
      <c r="B267" s="326"/>
      <c r="C267" s="328"/>
      <c r="D267" s="328"/>
      <c r="E267" s="232" t="s">
        <v>403</v>
      </c>
      <c r="F267" s="174" t="s">
        <v>402</v>
      </c>
    </row>
    <row r="268" spans="2:63" ht="14.4" thickTop="1" x14ac:dyDescent="0.25">
      <c r="B268" s="236">
        <v>41670</v>
      </c>
      <c r="C268" s="171"/>
      <c r="D268" s="166" t="s">
        <v>470</v>
      </c>
      <c r="E268" s="167">
        <f>SUMIF('Libro Diario Convencional'!$D$15:$D$167,D262,'Libro Diario Convencional'!$G$15:$G$167)</f>
        <v>0</v>
      </c>
      <c r="F268" s="168">
        <f>SUMIF('Libro Diario Convencional'!$D$15:$D$167,D262,'Libro Diario Convencional'!$H$15:$H$167)</f>
        <v>0</v>
      </c>
    </row>
    <row r="269" spans="2:63" x14ac:dyDescent="0.25">
      <c r="B269" s="169">
        <v>41670</v>
      </c>
      <c r="C269" s="172"/>
      <c r="D269" s="161" t="s">
        <v>474</v>
      </c>
      <c r="E269" s="162">
        <f>SUMIF('Asientos de Cierre'!$D$6:$D$549,D262,'Asientos de Cierre'!$G$6:$G$549)</f>
        <v>0</v>
      </c>
      <c r="F269" s="163">
        <f>SUMIF('Asientos de Cierre'!$D$6:$D$549,D262,'Asientos de Cierre'!$H$6:$H$549)</f>
        <v>0</v>
      </c>
    </row>
    <row r="270" spans="2:63" x14ac:dyDescent="0.25">
      <c r="B270" s="169"/>
      <c r="C270" s="172"/>
      <c r="D270" s="161"/>
      <c r="E270" s="162"/>
      <c r="F270" s="163"/>
    </row>
    <row r="271" spans="2:63" ht="14.4" thickBot="1" x14ac:dyDescent="0.3">
      <c r="B271" s="169"/>
      <c r="C271" s="172"/>
      <c r="D271" s="161"/>
      <c r="E271" s="162"/>
      <c r="F271" s="163"/>
    </row>
    <row r="272" spans="2:63" ht="15" thickBot="1" x14ac:dyDescent="0.3">
      <c r="B272" s="169"/>
      <c r="C272" s="172"/>
      <c r="D272" s="161" t="s">
        <v>471</v>
      </c>
      <c r="E272" s="162">
        <f>SUM(E268:E271)</f>
        <v>0</v>
      </c>
      <c r="F272" s="163">
        <f>SUM(F268:F271)</f>
        <v>0</v>
      </c>
      <c r="BJ272" s="157">
        <f>SUM(E272,K272,Q272,W272,AC272,AI272,AO272,AU272,BA272,BG272)</f>
        <v>0</v>
      </c>
      <c r="BK272" s="158">
        <f>SUM(F272,L272,R272,X272,AD272,AJ272,AP272,AV272,BB272,BH272)</f>
        <v>0</v>
      </c>
    </row>
    <row r="273" spans="2:63" ht="14.4" thickBot="1" x14ac:dyDescent="0.3">
      <c r="B273" s="170"/>
      <c r="C273" s="173"/>
      <c r="D273" s="164" t="str">
        <f>IF(E272=F272,"",IF(E272&gt;F272,"Saldo Deudor","Saldo Acreedor"))</f>
        <v/>
      </c>
      <c r="E273" s="165" t="str">
        <f>IF(E272&gt;F272,E272-F272,"")</f>
        <v/>
      </c>
      <c r="F273" s="176" t="str">
        <f>IF(E272&lt;F272,F272-E272,"")</f>
        <v/>
      </c>
    </row>
    <row r="276" spans="2:63" ht="15.6" x14ac:dyDescent="0.25">
      <c r="B276" s="324" t="s">
        <v>472</v>
      </c>
      <c r="C276" s="324"/>
      <c r="D276" s="175">
        <v>2111</v>
      </c>
      <c r="E276" s="160"/>
    </row>
    <row r="277" spans="2:63" x14ac:dyDescent="0.25">
      <c r="B277" s="160"/>
      <c r="C277" s="160"/>
      <c r="D277" s="160"/>
      <c r="E277" s="160"/>
    </row>
    <row r="278" spans="2:63" ht="15.6" x14ac:dyDescent="0.25">
      <c r="B278" s="324" t="s">
        <v>473</v>
      </c>
      <c r="C278" s="324"/>
      <c r="D278" s="234" t="str">
        <f>VLOOKUP(D276,DivisionariasContables,3,FALSE)</f>
        <v>Productos Manufacturados</v>
      </c>
      <c r="E278" s="160"/>
    </row>
    <row r="279" spans="2:63" ht="14.4" thickBot="1" x14ac:dyDescent="0.3"/>
    <row r="280" spans="2:63" x14ac:dyDescent="0.25">
      <c r="B280" s="325" t="s">
        <v>466</v>
      </c>
      <c r="C280" s="327" t="s">
        <v>467</v>
      </c>
      <c r="D280" s="327" t="s">
        <v>468</v>
      </c>
      <c r="E280" s="329" t="s">
        <v>469</v>
      </c>
      <c r="F280" s="330"/>
    </row>
    <row r="281" spans="2:63" ht="14.4" thickBot="1" x14ac:dyDescent="0.3">
      <c r="B281" s="326"/>
      <c r="C281" s="328"/>
      <c r="D281" s="328"/>
      <c r="E281" s="232" t="s">
        <v>403</v>
      </c>
      <c r="F281" s="174" t="s">
        <v>402</v>
      </c>
    </row>
    <row r="282" spans="2:63" ht="14.4" thickTop="1" x14ac:dyDescent="0.25">
      <c r="B282" s="236">
        <v>41670</v>
      </c>
      <c r="C282" s="171"/>
      <c r="D282" s="166" t="s">
        <v>470</v>
      </c>
      <c r="E282" s="167">
        <f>SUMIF('Libro Diario Convencional'!$D$15:$D$167,D276,'Libro Diario Convencional'!$G$15:$G$167)</f>
        <v>0</v>
      </c>
      <c r="F282" s="168">
        <f>SUMIF('Libro Diario Convencional'!$D$15:$D$167,D276,'Libro Diario Convencional'!$H$15:$H$167)</f>
        <v>0</v>
      </c>
    </row>
    <row r="283" spans="2:63" x14ac:dyDescent="0.25">
      <c r="B283" s="169">
        <v>41670</v>
      </c>
      <c r="C283" s="172"/>
      <c r="D283" s="161" t="s">
        <v>474</v>
      </c>
      <c r="E283" s="162">
        <f>SUMIF('Asientos de Cierre'!$D$6:$D$549,D276,'Asientos de Cierre'!$G$6:$G$549)</f>
        <v>0</v>
      </c>
      <c r="F283" s="163">
        <f>SUMIF('Asientos de Cierre'!$D$6:$D$549,D276,'Asientos de Cierre'!$H$6:$H$549)</f>
        <v>0</v>
      </c>
    </row>
    <row r="284" spans="2:63" x14ac:dyDescent="0.25">
      <c r="B284" s="169"/>
      <c r="C284" s="172"/>
      <c r="D284" s="161"/>
      <c r="E284" s="162"/>
      <c r="F284" s="163"/>
    </row>
    <row r="285" spans="2:63" ht="14.4" thickBot="1" x14ac:dyDescent="0.3">
      <c r="B285" s="169"/>
      <c r="C285" s="172"/>
      <c r="D285" s="161"/>
      <c r="E285" s="162"/>
      <c r="F285" s="163"/>
    </row>
    <row r="286" spans="2:63" ht="15" thickBot="1" x14ac:dyDescent="0.3">
      <c r="B286" s="169"/>
      <c r="C286" s="172"/>
      <c r="D286" s="161" t="s">
        <v>471</v>
      </c>
      <c r="E286" s="162">
        <f>SUM(E282:E285)</f>
        <v>0</v>
      </c>
      <c r="F286" s="163">
        <f>SUM(F282:F285)</f>
        <v>0</v>
      </c>
      <c r="BJ286" s="157">
        <f>SUM(E286,K286,Q286,W286,AC286,AI286,AO286,AU286,BA286,BG286)</f>
        <v>0</v>
      </c>
      <c r="BK286" s="158">
        <f>SUM(F286,L286,R286,X286,AD286,AJ286,AP286,AV286,BB286,BH286)</f>
        <v>0</v>
      </c>
    </row>
    <row r="287" spans="2:63" ht="14.4" thickBot="1" x14ac:dyDescent="0.3">
      <c r="B287" s="170"/>
      <c r="C287" s="173"/>
      <c r="D287" s="164" t="str">
        <f>IF(E286=F286,"",IF(E286&gt;F286,"Saldo Deudor","Saldo Acreedor"))</f>
        <v/>
      </c>
      <c r="E287" s="165" t="str">
        <f>IF(E286&gt;F286,E286-F286,"")</f>
        <v/>
      </c>
      <c r="F287" s="176" t="str">
        <f>IF(E286&lt;F286,F286-E286,"")</f>
        <v/>
      </c>
    </row>
    <row r="290" spans="2:63" ht="15.6" x14ac:dyDescent="0.25">
      <c r="B290" s="324" t="s">
        <v>472</v>
      </c>
      <c r="C290" s="324"/>
      <c r="D290" s="175">
        <v>2411</v>
      </c>
      <c r="E290" s="160"/>
    </row>
    <row r="291" spans="2:63" x14ac:dyDescent="0.25">
      <c r="B291" s="160"/>
      <c r="C291" s="160"/>
      <c r="D291" s="160"/>
      <c r="E291" s="160"/>
    </row>
    <row r="292" spans="2:63" ht="15.6" x14ac:dyDescent="0.25">
      <c r="B292" s="324" t="s">
        <v>473</v>
      </c>
      <c r="C292" s="324"/>
      <c r="D292" s="234" t="str">
        <f>VLOOKUP(D290,DivisionariasContables,3,FALSE)</f>
        <v>Materias Primas para Productos Manufacturados</v>
      </c>
      <c r="E292" s="160"/>
    </row>
    <row r="293" spans="2:63" ht="14.4" thickBot="1" x14ac:dyDescent="0.3"/>
    <row r="294" spans="2:63" x14ac:dyDescent="0.25">
      <c r="B294" s="325" t="s">
        <v>466</v>
      </c>
      <c r="C294" s="327" t="s">
        <v>467</v>
      </c>
      <c r="D294" s="327" t="s">
        <v>468</v>
      </c>
      <c r="E294" s="329" t="s">
        <v>469</v>
      </c>
      <c r="F294" s="330"/>
    </row>
    <row r="295" spans="2:63" ht="14.4" thickBot="1" x14ac:dyDescent="0.3">
      <c r="B295" s="326"/>
      <c r="C295" s="328"/>
      <c r="D295" s="328"/>
      <c r="E295" s="232" t="s">
        <v>403</v>
      </c>
      <c r="F295" s="174" t="s">
        <v>402</v>
      </c>
    </row>
    <row r="296" spans="2:63" ht="14.4" thickTop="1" x14ac:dyDescent="0.25">
      <c r="B296" s="236">
        <v>41670</v>
      </c>
      <c r="C296" s="171"/>
      <c r="D296" s="166" t="s">
        <v>470</v>
      </c>
      <c r="E296" s="167">
        <f>SUMIF('Libro Diario Convencional'!$D$15:$D$167,D290,'Libro Diario Convencional'!$G$15:$G$167)</f>
        <v>0</v>
      </c>
      <c r="F296" s="168">
        <f>SUMIF('Libro Diario Convencional'!$D$15:$D$167,D290,'Libro Diario Convencional'!$H$15:$H$167)</f>
        <v>0</v>
      </c>
    </row>
    <row r="297" spans="2:63" x14ac:dyDescent="0.25">
      <c r="B297" s="169">
        <v>41670</v>
      </c>
      <c r="C297" s="172"/>
      <c r="D297" s="161" t="s">
        <v>474</v>
      </c>
      <c r="E297" s="162">
        <f>SUMIF('Asientos de Cierre'!$D$6:$D$549,D290,'Asientos de Cierre'!$G$6:$G$549)</f>
        <v>0</v>
      </c>
      <c r="F297" s="163">
        <f>SUMIF('Asientos de Cierre'!$D$6:$D$549,D290,'Asientos de Cierre'!$H$6:$H$549)</f>
        <v>0</v>
      </c>
    </row>
    <row r="298" spans="2:63" x14ac:dyDescent="0.25">
      <c r="B298" s="169"/>
      <c r="C298" s="172"/>
      <c r="D298" s="161"/>
      <c r="E298" s="162"/>
      <c r="F298" s="163"/>
    </row>
    <row r="299" spans="2:63" ht="14.4" thickBot="1" x14ac:dyDescent="0.3">
      <c r="B299" s="169"/>
      <c r="C299" s="172"/>
      <c r="D299" s="161"/>
      <c r="E299" s="162"/>
      <c r="F299" s="163"/>
    </row>
    <row r="300" spans="2:63" ht="15" thickBot="1" x14ac:dyDescent="0.3">
      <c r="B300" s="169"/>
      <c r="C300" s="172"/>
      <c r="D300" s="161" t="s">
        <v>471</v>
      </c>
      <c r="E300" s="162">
        <f>SUM(E296:E299)</f>
        <v>0</v>
      </c>
      <c r="F300" s="163">
        <f>SUM(F296:F299)</f>
        <v>0</v>
      </c>
      <c r="BJ300" s="157">
        <f>SUM(E300,K300,Q300,W300,AC300,AI300,AO300,AU300,BA300,BG300)</f>
        <v>0</v>
      </c>
      <c r="BK300" s="158">
        <f>SUM(F300,L300,R300,X300,AD300,AJ300,AP300,AV300,BB300,BH300)</f>
        <v>0</v>
      </c>
    </row>
    <row r="301" spans="2:63" ht="14.4" thickBot="1" x14ac:dyDescent="0.3">
      <c r="B301" s="170"/>
      <c r="C301" s="173"/>
      <c r="D301" s="164" t="str">
        <f>IF(E300=F300,"",IF(E300&gt;F300,"Saldo Deudor","Saldo Acreedor"))</f>
        <v/>
      </c>
      <c r="E301" s="165" t="str">
        <f>IF(E300&gt;F300,E300-F300,"")</f>
        <v/>
      </c>
      <c r="F301" s="176" t="str">
        <f>IF(E300&lt;F300,F300-E300,"")</f>
        <v/>
      </c>
    </row>
    <row r="304" spans="2:63" ht="15.6" x14ac:dyDescent="0.25">
      <c r="B304" s="324" t="s">
        <v>472</v>
      </c>
      <c r="C304" s="324"/>
      <c r="D304" s="175">
        <v>2421</v>
      </c>
      <c r="E304" s="160"/>
    </row>
    <row r="305" spans="2:63" x14ac:dyDescent="0.25">
      <c r="B305" s="160"/>
      <c r="C305" s="160"/>
      <c r="D305" s="160"/>
      <c r="E305" s="160"/>
    </row>
    <row r="306" spans="2:63" ht="15.6" x14ac:dyDescent="0.25">
      <c r="B306" s="324" t="s">
        <v>473</v>
      </c>
      <c r="C306" s="324"/>
      <c r="D306" s="234" t="str">
        <f>VLOOKUP(D304,DivisionariasContables,3,FALSE)</f>
        <v>Materias Primas para Productos de Extracción</v>
      </c>
      <c r="E306" s="160"/>
    </row>
    <row r="307" spans="2:63" ht="14.4" thickBot="1" x14ac:dyDescent="0.3"/>
    <row r="308" spans="2:63" x14ac:dyDescent="0.25">
      <c r="B308" s="325" t="s">
        <v>466</v>
      </c>
      <c r="C308" s="327" t="s">
        <v>467</v>
      </c>
      <c r="D308" s="327" t="s">
        <v>468</v>
      </c>
      <c r="E308" s="329" t="s">
        <v>469</v>
      </c>
      <c r="F308" s="330"/>
    </row>
    <row r="309" spans="2:63" ht="14.4" thickBot="1" x14ac:dyDescent="0.3">
      <c r="B309" s="326"/>
      <c r="C309" s="328"/>
      <c r="D309" s="328"/>
      <c r="E309" s="232" t="s">
        <v>403</v>
      </c>
      <c r="F309" s="174" t="s">
        <v>402</v>
      </c>
    </row>
    <row r="310" spans="2:63" ht="14.4" thickTop="1" x14ac:dyDescent="0.25">
      <c r="B310" s="236">
        <v>41670</v>
      </c>
      <c r="C310" s="171"/>
      <c r="D310" s="166" t="s">
        <v>470</v>
      </c>
      <c r="E310" s="167">
        <f>SUMIF('Libro Diario Convencional'!$D$15:$D$167,D304,'Libro Diario Convencional'!$G$15:$G$167)</f>
        <v>0</v>
      </c>
      <c r="F310" s="168">
        <f>SUMIF('Libro Diario Convencional'!$D$15:$D$167,D304,'Libro Diario Convencional'!$H$15:$H$167)</f>
        <v>0</v>
      </c>
    </row>
    <row r="311" spans="2:63" x14ac:dyDescent="0.25">
      <c r="B311" s="169">
        <v>41670</v>
      </c>
      <c r="C311" s="172"/>
      <c r="D311" s="161" t="s">
        <v>474</v>
      </c>
      <c r="E311" s="162">
        <f>SUMIF('Asientos de Cierre'!$D$6:$D$549,D304,'Asientos de Cierre'!$G$6:$G$549)</f>
        <v>0</v>
      </c>
      <c r="F311" s="163">
        <f>SUMIF('Asientos de Cierre'!$D$6:$D$549,D304,'Asientos de Cierre'!$H$6:$H$549)</f>
        <v>0</v>
      </c>
    </row>
    <row r="312" spans="2:63" x14ac:dyDescent="0.25">
      <c r="B312" s="169"/>
      <c r="C312" s="172"/>
      <c r="D312" s="161"/>
      <c r="E312" s="162"/>
      <c r="F312" s="163"/>
    </row>
    <row r="313" spans="2:63" ht="14.4" thickBot="1" x14ac:dyDescent="0.3">
      <c r="B313" s="169"/>
      <c r="C313" s="172"/>
      <c r="D313" s="161"/>
      <c r="E313" s="162"/>
      <c r="F313" s="163"/>
    </row>
    <row r="314" spans="2:63" ht="15" thickBot="1" x14ac:dyDescent="0.3">
      <c r="B314" s="169"/>
      <c r="C314" s="172"/>
      <c r="D314" s="161" t="s">
        <v>471</v>
      </c>
      <c r="E314" s="162">
        <f>SUM(E310:E313)</f>
        <v>0</v>
      </c>
      <c r="F314" s="163">
        <f>SUM(F310:F313)</f>
        <v>0</v>
      </c>
      <c r="BJ314" s="157">
        <f>SUM(E314,K314,Q314,W314,AC314,AI314,AO314,AU314,BA314,BG314)</f>
        <v>0</v>
      </c>
      <c r="BK314" s="158">
        <f>SUM(F314,L314,R314,X314,AD314,AJ314,AP314,AV314,BB314,BH314)</f>
        <v>0</v>
      </c>
    </row>
    <row r="315" spans="2:63" ht="14.4" thickBot="1" x14ac:dyDescent="0.3">
      <c r="B315" s="170"/>
      <c r="C315" s="173"/>
      <c r="D315" s="164" t="str">
        <f>IF(E314=F314,"",IF(E314&gt;F314,"Saldo Deudor","Saldo Acreedor"))</f>
        <v/>
      </c>
      <c r="E315" s="165" t="str">
        <f>IF(E314&gt;F314,E314-F314,"")</f>
        <v/>
      </c>
      <c r="F315" s="176" t="str">
        <f>IF(E314&lt;F314,F314-E314,"")</f>
        <v/>
      </c>
    </row>
    <row r="318" spans="2:63" ht="15.6" x14ac:dyDescent="0.25">
      <c r="B318" s="324" t="s">
        <v>472</v>
      </c>
      <c r="C318" s="324"/>
      <c r="D318" s="175">
        <v>2431</v>
      </c>
      <c r="E318" s="160"/>
    </row>
    <row r="319" spans="2:63" x14ac:dyDescent="0.25">
      <c r="B319" s="160"/>
      <c r="C319" s="160"/>
      <c r="D319" s="160"/>
      <c r="E319" s="160"/>
    </row>
    <row r="320" spans="2:63" ht="15.6" x14ac:dyDescent="0.25">
      <c r="B320" s="324" t="s">
        <v>473</v>
      </c>
      <c r="C320" s="324"/>
      <c r="D320" s="234" t="str">
        <f>VLOOKUP(D318,DivisionariasContables,3,FALSE)</f>
        <v>Materias Primas para Productos Agropecuarios y Piscícolas</v>
      </c>
      <c r="E320" s="160"/>
    </row>
    <row r="321" spans="2:63" ht="14.4" thickBot="1" x14ac:dyDescent="0.3"/>
    <row r="322" spans="2:63" x14ac:dyDescent="0.25">
      <c r="B322" s="325" t="s">
        <v>466</v>
      </c>
      <c r="C322" s="327" t="s">
        <v>467</v>
      </c>
      <c r="D322" s="327" t="s">
        <v>468</v>
      </c>
      <c r="E322" s="329" t="s">
        <v>469</v>
      </c>
      <c r="F322" s="330"/>
    </row>
    <row r="323" spans="2:63" ht="14.4" thickBot="1" x14ac:dyDescent="0.3">
      <c r="B323" s="326"/>
      <c r="C323" s="328"/>
      <c r="D323" s="328"/>
      <c r="E323" s="232" t="s">
        <v>403</v>
      </c>
      <c r="F323" s="174" t="s">
        <v>402</v>
      </c>
    </row>
    <row r="324" spans="2:63" ht="14.4" thickTop="1" x14ac:dyDescent="0.25">
      <c r="B324" s="236">
        <v>41670</v>
      </c>
      <c r="C324" s="171"/>
      <c r="D324" s="166" t="s">
        <v>470</v>
      </c>
      <c r="E324" s="167">
        <f>SUMIF('Libro Diario Convencional'!$D$15:$D$167,D318,'Libro Diario Convencional'!$G$15:$G$167)</f>
        <v>0</v>
      </c>
      <c r="F324" s="168">
        <f>SUMIF('Libro Diario Convencional'!$D$15:$D$167,D318,'Libro Diario Convencional'!$H$15:$H$167)</f>
        <v>0</v>
      </c>
    </row>
    <row r="325" spans="2:63" x14ac:dyDescent="0.25">
      <c r="B325" s="169">
        <v>41670</v>
      </c>
      <c r="C325" s="172"/>
      <c r="D325" s="161" t="s">
        <v>474</v>
      </c>
      <c r="E325" s="162">
        <f>SUMIF('Asientos de Cierre'!$D$6:$D$549,D318,'Asientos de Cierre'!$G$6:$G$549)</f>
        <v>0</v>
      </c>
      <c r="F325" s="163">
        <f>SUMIF('Asientos de Cierre'!$D$6:$D$549,D318,'Asientos de Cierre'!$H$6:$H$549)</f>
        <v>0</v>
      </c>
    </row>
    <row r="326" spans="2:63" x14ac:dyDescent="0.25">
      <c r="B326" s="169"/>
      <c r="C326" s="172"/>
      <c r="D326" s="161"/>
      <c r="E326" s="162"/>
      <c r="F326" s="163"/>
    </row>
    <row r="327" spans="2:63" ht="14.4" thickBot="1" x14ac:dyDescent="0.3">
      <c r="B327" s="169"/>
      <c r="C327" s="172"/>
      <c r="D327" s="161"/>
      <c r="E327" s="162"/>
      <c r="F327" s="163"/>
    </row>
    <row r="328" spans="2:63" ht="15" thickBot="1" x14ac:dyDescent="0.3">
      <c r="B328" s="169"/>
      <c r="C328" s="172"/>
      <c r="D328" s="161" t="s">
        <v>471</v>
      </c>
      <c r="E328" s="162">
        <f>SUM(E324:E327)</f>
        <v>0</v>
      </c>
      <c r="F328" s="163">
        <f>SUM(F324:F327)</f>
        <v>0</v>
      </c>
      <c r="BJ328" s="157">
        <f>SUM(E328,K328,Q328,W328,AC328,AI328,AO328,AU328,BA328,BG328)</f>
        <v>0</v>
      </c>
      <c r="BK328" s="158">
        <f>SUM(F328,L328,R328,X328,AD328,AJ328,AP328,AV328,BB328,BH328)</f>
        <v>0</v>
      </c>
    </row>
    <row r="329" spans="2:63" ht="14.4" thickBot="1" x14ac:dyDescent="0.3">
      <c r="B329" s="170"/>
      <c r="C329" s="173"/>
      <c r="D329" s="164" t="str">
        <f>IF(E328=F328,"",IF(E328&gt;F328,"Saldo Deudor","Saldo Acreedor"))</f>
        <v/>
      </c>
      <c r="E329" s="165" t="str">
        <f>IF(E328&gt;F328,E328-F328,"")</f>
        <v/>
      </c>
      <c r="F329" s="176" t="str">
        <f>IF(E328&lt;F328,F328-E328,"")</f>
        <v/>
      </c>
    </row>
    <row r="332" spans="2:63" ht="15.6" x14ac:dyDescent="0.25">
      <c r="B332" s="324" t="s">
        <v>472</v>
      </c>
      <c r="C332" s="324"/>
      <c r="D332" s="175">
        <v>2441</v>
      </c>
      <c r="E332" s="160"/>
    </row>
    <row r="333" spans="2:63" x14ac:dyDescent="0.25">
      <c r="B333" s="160"/>
      <c r="C333" s="160"/>
      <c r="D333" s="160"/>
      <c r="E333" s="160"/>
    </row>
    <row r="334" spans="2:63" ht="15.6" x14ac:dyDescent="0.25">
      <c r="B334" s="324" t="s">
        <v>473</v>
      </c>
      <c r="C334" s="324"/>
      <c r="D334" s="234" t="str">
        <f>VLOOKUP(D332,DivisionariasContables,3,FALSE)</f>
        <v>Materias Primas para Productos Inmuebles</v>
      </c>
      <c r="E334" s="160"/>
    </row>
    <row r="335" spans="2:63" ht="14.4" thickBot="1" x14ac:dyDescent="0.3"/>
    <row r="336" spans="2:63" x14ac:dyDescent="0.25">
      <c r="B336" s="325" t="s">
        <v>466</v>
      </c>
      <c r="C336" s="327" t="s">
        <v>467</v>
      </c>
      <c r="D336" s="327" t="s">
        <v>468</v>
      </c>
      <c r="E336" s="329" t="s">
        <v>469</v>
      </c>
      <c r="F336" s="330"/>
    </row>
    <row r="337" spans="2:63" ht="14.4" thickBot="1" x14ac:dyDescent="0.3">
      <c r="B337" s="326"/>
      <c r="C337" s="328"/>
      <c r="D337" s="328"/>
      <c r="E337" s="232" t="s">
        <v>403</v>
      </c>
      <c r="F337" s="174" t="s">
        <v>402</v>
      </c>
    </row>
    <row r="338" spans="2:63" ht="14.4" thickTop="1" x14ac:dyDescent="0.25">
      <c r="B338" s="236">
        <v>41670</v>
      </c>
      <c r="C338" s="171"/>
      <c r="D338" s="166" t="s">
        <v>470</v>
      </c>
      <c r="E338" s="167">
        <f>SUMIF('Libro Diario Convencional'!$D$15:$D$167,D332,'Libro Diario Convencional'!$G$15:$G$167)</f>
        <v>0</v>
      </c>
      <c r="F338" s="168">
        <f>SUMIF('Libro Diario Convencional'!$D$15:$D$167,D332,'Libro Diario Convencional'!$H$15:$H$167)</f>
        <v>0</v>
      </c>
    </row>
    <row r="339" spans="2:63" x14ac:dyDescent="0.25">
      <c r="B339" s="169">
        <v>41670</v>
      </c>
      <c r="C339" s="172"/>
      <c r="D339" s="161" t="s">
        <v>474</v>
      </c>
      <c r="E339" s="162">
        <f>SUMIF('Asientos de Cierre'!$D$6:$D$549,D332,'Asientos de Cierre'!$G$6:$G$549)</f>
        <v>0</v>
      </c>
      <c r="F339" s="163">
        <f>SUMIF('Asientos de Cierre'!$D$6:$D$549,D332,'Asientos de Cierre'!$H$6:$H$549)</f>
        <v>0</v>
      </c>
    </row>
    <row r="340" spans="2:63" x14ac:dyDescent="0.25">
      <c r="B340" s="169"/>
      <c r="C340" s="172"/>
      <c r="D340" s="161"/>
      <c r="E340" s="162"/>
      <c r="F340" s="163"/>
    </row>
    <row r="341" spans="2:63" ht="14.4" thickBot="1" x14ac:dyDescent="0.3">
      <c r="B341" s="169"/>
      <c r="C341" s="172"/>
      <c r="D341" s="161"/>
      <c r="E341" s="162"/>
      <c r="F341" s="163"/>
    </row>
    <row r="342" spans="2:63" ht="15" thickBot="1" x14ac:dyDescent="0.3">
      <c r="B342" s="169"/>
      <c r="C342" s="172"/>
      <c r="D342" s="161" t="s">
        <v>471</v>
      </c>
      <c r="E342" s="162">
        <f>SUM(E338:E341)</f>
        <v>0</v>
      </c>
      <c r="F342" s="163">
        <f>SUM(F338:F341)</f>
        <v>0</v>
      </c>
      <c r="BJ342" s="157">
        <f>SUM(E342,K342,Q342,W342,AC342,AI342,AO342,AU342,BA342,BG342)</f>
        <v>0</v>
      </c>
      <c r="BK342" s="158">
        <f>SUM(F342,L342,R342,X342,AD342,AJ342,AP342,AV342,BB342,BH342)</f>
        <v>0</v>
      </c>
    </row>
    <row r="343" spans="2:63" ht="14.4" thickBot="1" x14ac:dyDescent="0.3">
      <c r="B343" s="170"/>
      <c r="C343" s="173"/>
      <c r="D343" s="164" t="str">
        <f>IF(E342=F342,"",IF(E342&gt;F342,"Saldo Deudor","Saldo Acreedor"))</f>
        <v/>
      </c>
      <c r="E343" s="165" t="str">
        <f>IF(E342&gt;F342,E342-F342,"")</f>
        <v/>
      </c>
      <c r="F343" s="176" t="str">
        <f>IF(E342&lt;F342,F342-E342,"")</f>
        <v/>
      </c>
    </row>
    <row r="346" spans="2:63" ht="15.6" x14ac:dyDescent="0.25">
      <c r="B346" s="324" t="s">
        <v>472</v>
      </c>
      <c r="C346" s="324"/>
      <c r="D346" s="175">
        <v>2511</v>
      </c>
      <c r="E346" s="160"/>
    </row>
    <row r="347" spans="2:63" x14ac:dyDescent="0.25">
      <c r="B347" s="160"/>
      <c r="C347" s="160"/>
      <c r="D347" s="160"/>
      <c r="E347" s="160"/>
    </row>
    <row r="348" spans="2:63" ht="15.6" x14ac:dyDescent="0.25">
      <c r="B348" s="324" t="s">
        <v>473</v>
      </c>
      <c r="C348" s="324"/>
      <c r="D348" s="234" t="str">
        <f>VLOOKUP(D346,DivisionariasContables,3,FALSE)</f>
        <v>Materiales Auxiliares</v>
      </c>
      <c r="E348" s="160"/>
    </row>
    <row r="349" spans="2:63" ht="14.4" thickBot="1" x14ac:dyDescent="0.3"/>
    <row r="350" spans="2:63" x14ac:dyDescent="0.25">
      <c r="B350" s="325" t="s">
        <v>466</v>
      </c>
      <c r="C350" s="327" t="s">
        <v>467</v>
      </c>
      <c r="D350" s="327" t="s">
        <v>468</v>
      </c>
      <c r="E350" s="329" t="s">
        <v>469</v>
      </c>
      <c r="F350" s="330"/>
    </row>
    <row r="351" spans="2:63" ht="14.4" thickBot="1" x14ac:dyDescent="0.3">
      <c r="B351" s="326"/>
      <c r="C351" s="328"/>
      <c r="D351" s="328"/>
      <c r="E351" s="232" t="s">
        <v>403</v>
      </c>
      <c r="F351" s="174" t="s">
        <v>402</v>
      </c>
    </row>
    <row r="352" spans="2:63" ht="14.4" thickTop="1" x14ac:dyDescent="0.25">
      <c r="B352" s="236">
        <v>41670</v>
      </c>
      <c r="C352" s="171"/>
      <c r="D352" s="166" t="s">
        <v>470</v>
      </c>
      <c r="E352" s="167">
        <f>SUMIF('Libro Diario Convencional'!$D$15:$D$167,D346,'Libro Diario Convencional'!$G$15:$G$167)</f>
        <v>0</v>
      </c>
      <c r="F352" s="168">
        <f>SUMIF('Libro Diario Convencional'!$D$15:$D$167,D346,'Libro Diario Convencional'!$H$15:$H$167)</f>
        <v>0</v>
      </c>
    </row>
    <row r="353" spans="2:63" x14ac:dyDescent="0.25">
      <c r="B353" s="169">
        <v>41670</v>
      </c>
      <c r="C353" s="172"/>
      <c r="D353" s="161" t="s">
        <v>474</v>
      </c>
      <c r="E353" s="162">
        <f>SUMIF('Asientos de Cierre'!$D$6:$D$549,D346,'Asientos de Cierre'!$G$6:$G$549)</f>
        <v>0</v>
      </c>
      <c r="F353" s="163">
        <f>SUMIF('Asientos de Cierre'!$D$6:$D$549,D346,'Asientos de Cierre'!$H$6:$H$549)</f>
        <v>0</v>
      </c>
    </row>
    <row r="354" spans="2:63" x14ac:dyDescent="0.25">
      <c r="B354" s="169"/>
      <c r="C354" s="172"/>
      <c r="D354" s="161"/>
      <c r="E354" s="162"/>
      <c r="F354" s="163"/>
    </row>
    <row r="355" spans="2:63" ht="14.4" thickBot="1" x14ac:dyDescent="0.3">
      <c r="B355" s="169"/>
      <c r="C355" s="172"/>
      <c r="D355" s="161"/>
      <c r="E355" s="162"/>
      <c r="F355" s="163"/>
    </row>
    <row r="356" spans="2:63" ht="15" thickBot="1" x14ac:dyDescent="0.3">
      <c r="B356" s="169"/>
      <c r="C356" s="172"/>
      <c r="D356" s="161" t="s">
        <v>471</v>
      </c>
      <c r="E356" s="162">
        <f>SUM(E352:E355)</f>
        <v>0</v>
      </c>
      <c r="F356" s="163">
        <f>SUM(F352:F355)</f>
        <v>0</v>
      </c>
      <c r="BJ356" s="157">
        <f>SUM(E356,K356,Q356,W356,AC356,AI356,AO356,AU356,BA356,BG356)</f>
        <v>0</v>
      </c>
      <c r="BK356" s="158">
        <f>SUM(F356,L356,R356,X356,AD356,AJ356,AP356,AV356,BB356,BH356)</f>
        <v>0</v>
      </c>
    </row>
    <row r="357" spans="2:63" ht="14.4" thickBot="1" x14ac:dyDescent="0.3">
      <c r="B357" s="170"/>
      <c r="C357" s="173"/>
      <c r="D357" s="164" t="str">
        <f>IF(E356=F356,"",IF(E356&gt;F356,"Saldo Deudor","Saldo Acreedor"))</f>
        <v/>
      </c>
      <c r="E357" s="165" t="str">
        <f>IF(E356&gt;F356,E356-F356,"")</f>
        <v/>
      </c>
      <c r="F357" s="176" t="str">
        <f>IF(E356&lt;F356,F356-E356,"")</f>
        <v/>
      </c>
    </row>
    <row r="360" spans="2:63" ht="15.6" x14ac:dyDescent="0.25">
      <c r="B360" s="324" t="s">
        <v>472</v>
      </c>
      <c r="C360" s="324"/>
      <c r="D360" s="175">
        <v>2521</v>
      </c>
      <c r="E360" s="160"/>
      <c r="H360" s="324" t="s">
        <v>472</v>
      </c>
      <c r="I360" s="324"/>
      <c r="J360" s="175">
        <v>2522</v>
      </c>
      <c r="K360" s="160"/>
      <c r="N360" s="324" t="s">
        <v>472</v>
      </c>
      <c r="O360" s="324"/>
      <c r="P360" s="175">
        <v>2523</v>
      </c>
      <c r="Q360" s="160"/>
      <c r="T360" s="324" t="s">
        <v>472</v>
      </c>
      <c r="U360" s="324"/>
      <c r="V360" s="175">
        <v>2524</v>
      </c>
      <c r="W360" s="160"/>
    </row>
    <row r="361" spans="2:63" x14ac:dyDescent="0.25">
      <c r="B361" s="160"/>
      <c r="C361" s="160"/>
      <c r="D361" s="160"/>
      <c r="E361" s="160"/>
      <c r="H361" s="160"/>
      <c r="I361" s="160"/>
      <c r="J361" s="160"/>
      <c r="K361" s="160"/>
      <c r="N361" s="160"/>
      <c r="O361" s="160"/>
      <c r="P361" s="160"/>
      <c r="Q361" s="160"/>
      <c r="T361" s="160"/>
      <c r="U361" s="160"/>
      <c r="V361" s="160"/>
      <c r="W361" s="160"/>
    </row>
    <row r="362" spans="2:63" ht="15.6" x14ac:dyDescent="0.25">
      <c r="B362" s="324" t="s">
        <v>473</v>
      </c>
      <c r="C362" s="324"/>
      <c r="D362" s="234" t="str">
        <f>VLOOKUP(D360,DivisionariasContables,3,FALSE)</f>
        <v>Combustibles</v>
      </c>
      <c r="E362" s="160"/>
      <c r="H362" s="324" t="s">
        <v>473</v>
      </c>
      <c r="I362" s="324"/>
      <c r="J362" s="234" t="str">
        <f>VLOOKUP(J360,DivisionariasContables,3,FALSE)</f>
        <v>Lubricantes</v>
      </c>
      <c r="K362" s="160"/>
      <c r="N362" s="324" t="s">
        <v>473</v>
      </c>
      <c r="O362" s="324"/>
      <c r="P362" s="234" t="str">
        <f>VLOOKUP(P360,DivisionariasContables,3,FALSE)</f>
        <v>Energía</v>
      </c>
      <c r="Q362" s="160"/>
      <c r="T362" s="324" t="s">
        <v>473</v>
      </c>
      <c r="U362" s="324"/>
      <c r="V362" s="234" t="str">
        <f>VLOOKUP(V360,DivisionariasContables,3,FALSE)</f>
        <v>Otros Suministros</v>
      </c>
      <c r="W362" s="160"/>
    </row>
    <row r="363" spans="2:63" ht="14.4" thickBot="1" x14ac:dyDescent="0.3"/>
    <row r="364" spans="2:63" x14ac:dyDescent="0.25">
      <c r="B364" s="325" t="s">
        <v>466</v>
      </c>
      <c r="C364" s="327" t="s">
        <v>467</v>
      </c>
      <c r="D364" s="327" t="s">
        <v>468</v>
      </c>
      <c r="E364" s="329" t="s">
        <v>469</v>
      </c>
      <c r="F364" s="330"/>
      <c r="H364" s="325" t="s">
        <v>466</v>
      </c>
      <c r="I364" s="327" t="s">
        <v>467</v>
      </c>
      <c r="J364" s="327" t="s">
        <v>468</v>
      </c>
      <c r="K364" s="329" t="s">
        <v>469</v>
      </c>
      <c r="L364" s="330"/>
      <c r="N364" s="325" t="s">
        <v>466</v>
      </c>
      <c r="O364" s="327" t="s">
        <v>467</v>
      </c>
      <c r="P364" s="327" t="s">
        <v>468</v>
      </c>
      <c r="Q364" s="329" t="s">
        <v>469</v>
      </c>
      <c r="R364" s="330"/>
      <c r="T364" s="325" t="s">
        <v>466</v>
      </c>
      <c r="U364" s="327" t="s">
        <v>467</v>
      </c>
      <c r="V364" s="327" t="s">
        <v>468</v>
      </c>
      <c r="W364" s="329" t="s">
        <v>469</v>
      </c>
      <c r="X364" s="330"/>
    </row>
    <row r="365" spans="2:63" ht="14.4" thickBot="1" x14ac:dyDescent="0.3">
      <c r="B365" s="326"/>
      <c r="C365" s="328"/>
      <c r="D365" s="328"/>
      <c r="E365" s="232" t="s">
        <v>403</v>
      </c>
      <c r="F365" s="174" t="s">
        <v>402</v>
      </c>
      <c r="H365" s="326"/>
      <c r="I365" s="328"/>
      <c r="J365" s="328"/>
      <c r="K365" s="232" t="s">
        <v>403</v>
      </c>
      <c r="L365" s="174" t="s">
        <v>402</v>
      </c>
      <c r="N365" s="326"/>
      <c r="O365" s="328"/>
      <c r="P365" s="328"/>
      <c r="Q365" s="232" t="s">
        <v>403</v>
      </c>
      <c r="R365" s="174" t="s">
        <v>402</v>
      </c>
      <c r="T365" s="326"/>
      <c r="U365" s="328"/>
      <c r="V365" s="328"/>
      <c r="W365" s="232" t="s">
        <v>403</v>
      </c>
      <c r="X365" s="174" t="s">
        <v>402</v>
      </c>
    </row>
    <row r="366" spans="2:63" ht="14.4" thickTop="1" x14ac:dyDescent="0.25">
      <c r="B366" s="236">
        <v>41670</v>
      </c>
      <c r="C366" s="171"/>
      <c r="D366" s="166" t="s">
        <v>470</v>
      </c>
      <c r="E366" s="167">
        <f>SUMIF('Libro Diario Convencional'!$D$15:$D$167,D360,'Libro Diario Convencional'!$G$15:$G$167)</f>
        <v>0</v>
      </c>
      <c r="F366" s="168">
        <f>SUMIF('Libro Diario Convencional'!$D$15:$D$167,D360,'Libro Diario Convencional'!$H$15:$H$167)</f>
        <v>0</v>
      </c>
      <c r="H366" s="236">
        <v>41670</v>
      </c>
      <c r="I366" s="171"/>
      <c r="J366" s="166" t="s">
        <v>470</v>
      </c>
      <c r="K366" s="167">
        <f>SUMIF('Libro Diario Convencional'!$D$15:$D$167,J360,'Libro Diario Convencional'!$G$15:$G$167)</f>
        <v>0</v>
      </c>
      <c r="L366" s="168">
        <f>SUMIF('Libro Diario Convencional'!$D$15:$D$167,J360,'Libro Diario Convencional'!$H$15:$H$167)</f>
        <v>0</v>
      </c>
      <c r="N366" s="236">
        <v>41670</v>
      </c>
      <c r="O366" s="171"/>
      <c r="P366" s="166" t="s">
        <v>470</v>
      </c>
      <c r="Q366" s="167">
        <f>SUMIF('Libro Diario Convencional'!$D$15:$D$167,P360,'Libro Diario Convencional'!$G$15:$G$167)</f>
        <v>0</v>
      </c>
      <c r="R366" s="168">
        <f>SUMIF('Libro Diario Convencional'!$D$15:$D$167,P360,'Libro Diario Convencional'!$H$15:$H$167)</f>
        <v>0</v>
      </c>
      <c r="T366" s="236">
        <v>41670</v>
      </c>
      <c r="U366" s="171"/>
      <c r="V366" s="166" t="s">
        <v>470</v>
      </c>
      <c r="W366" s="167">
        <f>SUMIF('Libro Diario Convencional'!$D$15:$D$167,V360,'Libro Diario Convencional'!$G$15:$G$167)</f>
        <v>0</v>
      </c>
      <c r="X366" s="168">
        <f>SUMIF('Libro Diario Convencional'!$D$15:$D$167,V360,'Libro Diario Convencional'!$H$15:$H$167)</f>
        <v>0</v>
      </c>
    </row>
    <row r="367" spans="2:63" x14ac:dyDescent="0.25">
      <c r="B367" s="169">
        <v>41670</v>
      </c>
      <c r="C367" s="172"/>
      <c r="D367" s="161" t="s">
        <v>474</v>
      </c>
      <c r="E367" s="162">
        <f>SUMIF('Asientos de Cierre'!$D$6:$D$549,D360,'Asientos de Cierre'!$G$6:$G$549)</f>
        <v>0</v>
      </c>
      <c r="F367" s="163">
        <f>SUMIF('Asientos de Cierre'!$D$6:$D$549,D360,'Asientos de Cierre'!$H$6:$H$549)</f>
        <v>0</v>
      </c>
      <c r="H367" s="169">
        <v>41670</v>
      </c>
      <c r="I367" s="172"/>
      <c r="J367" s="161" t="s">
        <v>474</v>
      </c>
      <c r="K367" s="162">
        <f>SUMIF('Asientos de Cierre'!$D$6:$D$549,J360,'Asientos de Cierre'!$G$6:$G$549)</f>
        <v>0</v>
      </c>
      <c r="L367" s="163">
        <f>SUMIF('Asientos de Cierre'!$D$6:$D$549,J360,'Asientos de Cierre'!$H$6:$H$549)</f>
        <v>0</v>
      </c>
      <c r="N367" s="169">
        <v>41670</v>
      </c>
      <c r="O367" s="172"/>
      <c r="P367" s="161" t="s">
        <v>474</v>
      </c>
      <c r="Q367" s="162">
        <f>SUMIF('Asientos de Cierre'!$D$6:$D$549,P360,'Asientos de Cierre'!$G$6:$G$549)</f>
        <v>0</v>
      </c>
      <c r="R367" s="163">
        <f>SUMIF('Asientos de Cierre'!$D$6:$D$549,P360,'Asientos de Cierre'!$H$6:$H$549)</f>
        <v>0</v>
      </c>
      <c r="T367" s="169">
        <v>41670</v>
      </c>
      <c r="U367" s="172"/>
      <c r="V367" s="161" t="s">
        <v>474</v>
      </c>
      <c r="W367" s="162">
        <f>SUMIF('Asientos de Cierre'!$D$6:$D$549,V360,'Asientos de Cierre'!$G$6:$G$549)</f>
        <v>0</v>
      </c>
      <c r="X367" s="163">
        <f>SUMIF('Asientos de Cierre'!$D$6:$D$549,V360,'Asientos de Cierre'!$H$6:$H$549)</f>
        <v>0</v>
      </c>
    </row>
    <row r="368" spans="2:63" x14ac:dyDescent="0.25">
      <c r="B368" s="169"/>
      <c r="C368" s="172"/>
      <c r="D368" s="161"/>
      <c r="E368" s="162"/>
      <c r="F368" s="163"/>
      <c r="H368" s="169"/>
      <c r="I368" s="172"/>
      <c r="J368" s="161"/>
      <c r="K368" s="162"/>
      <c r="L368" s="163"/>
      <c r="N368" s="169"/>
      <c r="O368" s="172"/>
      <c r="P368" s="161"/>
      <c r="Q368" s="162"/>
      <c r="R368" s="163"/>
      <c r="T368" s="169"/>
      <c r="U368" s="172"/>
      <c r="V368" s="161"/>
      <c r="W368" s="162"/>
      <c r="X368" s="163"/>
    </row>
    <row r="369" spans="2:63" ht="14.4" thickBot="1" x14ac:dyDescent="0.3">
      <c r="B369" s="169"/>
      <c r="C369" s="172"/>
      <c r="D369" s="161"/>
      <c r="E369" s="162"/>
      <c r="F369" s="163"/>
      <c r="H369" s="169"/>
      <c r="I369" s="172"/>
      <c r="J369" s="161"/>
      <c r="K369" s="162"/>
      <c r="L369" s="163"/>
      <c r="N369" s="169"/>
      <c r="O369" s="172"/>
      <c r="P369" s="161"/>
      <c r="Q369" s="162"/>
      <c r="R369" s="163"/>
      <c r="T369" s="169"/>
      <c r="U369" s="172"/>
      <c r="V369" s="161"/>
      <c r="W369" s="162"/>
      <c r="X369" s="163"/>
    </row>
    <row r="370" spans="2:63" ht="15" thickBot="1" x14ac:dyDescent="0.3">
      <c r="B370" s="169"/>
      <c r="C370" s="172"/>
      <c r="D370" s="161" t="s">
        <v>471</v>
      </c>
      <c r="E370" s="162">
        <f>SUM(E366:E369)</f>
        <v>0</v>
      </c>
      <c r="F370" s="163">
        <f>SUM(F366:F369)</f>
        <v>0</v>
      </c>
      <c r="H370" s="169"/>
      <c r="I370" s="172"/>
      <c r="J370" s="161" t="s">
        <v>471</v>
      </c>
      <c r="K370" s="162">
        <f>SUM(K366:K369)</f>
        <v>0</v>
      </c>
      <c r="L370" s="163">
        <f>SUM(L366:L369)</f>
        <v>0</v>
      </c>
      <c r="N370" s="169"/>
      <c r="O370" s="172"/>
      <c r="P370" s="161" t="s">
        <v>471</v>
      </c>
      <c r="Q370" s="162">
        <f>SUM(Q366:Q369)</f>
        <v>0</v>
      </c>
      <c r="R370" s="163">
        <f>SUM(R366:R369)</f>
        <v>0</v>
      </c>
      <c r="T370" s="169"/>
      <c r="U370" s="172"/>
      <c r="V370" s="161" t="s">
        <v>471</v>
      </c>
      <c r="W370" s="162">
        <f>SUM(W366:W369)</f>
        <v>0</v>
      </c>
      <c r="X370" s="163">
        <f>SUM(X366:X369)</f>
        <v>0</v>
      </c>
      <c r="BJ370" s="157">
        <f>SUM(E370,K370,Q370,W370,AC370,AI370,AO370,AU370,BA370,BG370)</f>
        <v>0</v>
      </c>
      <c r="BK370" s="158">
        <f>SUM(F370,L370,R370,X370,AD370,AJ370,AP370,AV370,BB370,BH370)</f>
        <v>0</v>
      </c>
    </row>
    <row r="371" spans="2:63" ht="14.4" thickBot="1" x14ac:dyDescent="0.3">
      <c r="B371" s="170"/>
      <c r="C371" s="173"/>
      <c r="D371" s="164" t="str">
        <f>IF(E370=F370,"",IF(E370&gt;F370,"Saldo Deudor","Saldo Acreedor"))</f>
        <v/>
      </c>
      <c r="E371" s="165" t="str">
        <f>IF(E370&gt;F370,E370-F370,"")</f>
        <v/>
      </c>
      <c r="F371" s="176" t="str">
        <f>IF(E370&lt;F370,F370-E370,"")</f>
        <v/>
      </c>
      <c r="H371" s="170"/>
      <c r="I371" s="173"/>
      <c r="J371" s="164" t="str">
        <f>IF(K370=L370,"",IF(K370&gt;L370,"Saldo Deudor","Saldo Acreedor"))</f>
        <v/>
      </c>
      <c r="K371" s="165" t="str">
        <f>IF(K370&gt;L370,K370-L370,"")</f>
        <v/>
      </c>
      <c r="L371" s="176" t="str">
        <f>IF(K370&lt;L370,L370-K370,"")</f>
        <v/>
      </c>
      <c r="N371" s="170"/>
      <c r="O371" s="173"/>
      <c r="P371" s="164" t="str">
        <f>IF(Q370=R370,"",IF(Q370&gt;R370,"Saldo Deudor","Saldo Acreedor"))</f>
        <v/>
      </c>
      <c r="Q371" s="165" t="str">
        <f>IF(Q370&gt;R370,Q370-R370,"")</f>
        <v/>
      </c>
      <c r="R371" s="176" t="str">
        <f>IF(Q370&lt;R370,R370-Q370,"")</f>
        <v/>
      </c>
      <c r="T371" s="170"/>
      <c r="U371" s="173"/>
      <c r="V371" s="164" t="str">
        <f>IF(W370=X370,"",IF(W370&gt;X370,"Saldo Deudor","Saldo Acreedor"))</f>
        <v/>
      </c>
      <c r="W371" s="165" t="str">
        <f>IF(W370&gt;X370,W370-X370,"")</f>
        <v/>
      </c>
      <c r="X371" s="176" t="str">
        <f>IF(W370&lt;X370,X370-W370,"")</f>
        <v/>
      </c>
    </row>
    <row r="374" spans="2:63" ht="15.6" x14ac:dyDescent="0.25">
      <c r="B374" s="324" t="s">
        <v>472</v>
      </c>
      <c r="C374" s="324"/>
      <c r="D374" s="175">
        <v>2531</v>
      </c>
      <c r="E374" s="160"/>
    </row>
    <row r="375" spans="2:63" x14ac:dyDescent="0.25">
      <c r="B375" s="160"/>
      <c r="C375" s="160"/>
      <c r="D375" s="160"/>
      <c r="E375" s="160"/>
    </row>
    <row r="376" spans="2:63" ht="15.6" x14ac:dyDescent="0.25">
      <c r="B376" s="324" t="s">
        <v>473</v>
      </c>
      <c r="C376" s="324"/>
      <c r="D376" s="234" t="str">
        <f>VLOOKUP(D374,DivisionariasContables,3,FALSE)</f>
        <v>Repuestos</v>
      </c>
      <c r="E376" s="160"/>
    </row>
    <row r="377" spans="2:63" ht="14.4" thickBot="1" x14ac:dyDescent="0.3"/>
    <row r="378" spans="2:63" x14ac:dyDescent="0.25">
      <c r="B378" s="325" t="s">
        <v>466</v>
      </c>
      <c r="C378" s="327" t="s">
        <v>467</v>
      </c>
      <c r="D378" s="327" t="s">
        <v>468</v>
      </c>
      <c r="E378" s="329" t="s">
        <v>469</v>
      </c>
      <c r="F378" s="330"/>
    </row>
    <row r="379" spans="2:63" ht="14.4" thickBot="1" x14ac:dyDescent="0.3">
      <c r="B379" s="326"/>
      <c r="C379" s="328"/>
      <c r="D379" s="328"/>
      <c r="E379" s="232" t="s">
        <v>403</v>
      </c>
      <c r="F379" s="174" t="s">
        <v>402</v>
      </c>
    </row>
    <row r="380" spans="2:63" ht="14.4" thickTop="1" x14ac:dyDescent="0.25">
      <c r="B380" s="236">
        <v>41670</v>
      </c>
      <c r="C380" s="171"/>
      <c r="D380" s="166" t="s">
        <v>470</v>
      </c>
      <c r="E380" s="167">
        <f>SUMIF('Libro Diario Convencional'!$D$15:$D$167,D374,'Libro Diario Convencional'!$G$15:$G$167)</f>
        <v>0</v>
      </c>
      <c r="F380" s="168">
        <f>SUMIF('Libro Diario Convencional'!$D$15:$D$167,D374,'Libro Diario Convencional'!$H$15:$H$167)</f>
        <v>0</v>
      </c>
    </row>
    <row r="381" spans="2:63" x14ac:dyDescent="0.25">
      <c r="B381" s="169">
        <v>41670</v>
      </c>
      <c r="C381" s="172"/>
      <c r="D381" s="161" t="s">
        <v>474</v>
      </c>
      <c r="E381" s="162">
        <f>SUMIF('Asientos de Cierre'!$D$6:$D$549,D374,'Asientos de Cierre'!$G$6:$G$549)</f>
        <v>0</v>
      </c>
      <c r="F381" s="163">
        <f>SUMIF('Asientos de Cierre'!$D$6:$D$549,D374,'Asientos de Cierre'!$H$6:$H$549)</f>
        <v>0</v>
      </c>
    </row>
    <row r="382" spans="2:63" x14ac:dyDescent="0.25">
      <c r="B382" s="169"/>
      <c r="C382" s="172"/>
      <c r="D382" s="161"/>
      <c r="E382" s="162"/>
      <c r="F382" s="163"/>
    </row>
    <row r="383" spans="2:63" ht="14.4" thickBot="1" x14ac:dyDescent="0.3">
      <c r="B383" s="169"/>
      <c r="C383" s="172"/>
      <c r="D383" s="161"/>
      <c r="E383" s="162"/>
      <c r="F383" s="163"/>
    </row>
    <row r="384" spans="2:63" ht="15" thickBot="1" x14ac:dyDescent="0.3">
      <c r="B384" s="169"/>
      <c r="C384" s="172"/>
      <c r="D384" s="161" t="s">
        <v>471</v>
      </c>
      <c r="E384" s="162">
        <f>SUM(E380:E383)</f>
        <v>0</v>
      </c>
      <c r="F384" s="163">
        <f>SUM(F380:F383)</f>
        <v>0</v>
      </c>
      <c r="BJ384" s="157">
        <f>SUM(E384,K384,Q384,W384,AC384,AI384,AO384,AU384,BA384,BG384)</f>
        <v>0</v>
      </c>
      <c r="BK384" s="158">
        <f>SUM(F384,L384,R384,X384,AD384,AJ384,AP384,AV384,BB384,BH384)</f>
        <v>0</v>
      </c>
    </row>
    <row r="385" spans="2:63" ht="14.4" thickBot="1" x14ac:dyDescent="0.3">
      <c r="B385" s="170"/>
      <c r="C385" s="173"/>
      <c r="D385" s="164" t="str">
        <f>IF(E384=F384,"",IF(E384&gt;F384,"Saldo Deudor","Saldo Acreedor"))</f>
        <v/>
      </c>
      <c r="E385" s="165" t="str">
        <f>IF(E384&gt;F384,E384-F384,"")</f>
        <v/>
      </c>
      <c r="F385" s="176" t="str">
        <f>IF(E384&lt;F384,F384-E384,"")</f>
        <v/>
      </c>
    </row>
    <row r="388" spans="2:63" ht="15.6" x14ac:dyDescent="0.25">
      <c r="B388" s="324" t="s">
        <v>472</v>
      </c>
      <c r="C388" s="324"/>
      <c r="D388" s="175">
        <v>2611</v>
      </c>
      <c r="E388" s="160"/>
    </row>
    <row r="389" spans="2:63" x14ac:dyDescent="0.25">
      <c r="B389" s="160"/>
      <c r="C389" s="160"/>
      <c r="D389" s="160"/>
      <c r="E389" s="160"/>
    </row>
    <row r="390" spans="2:63" ht="15.6" x14ac:dyDescent="0.25">
      <c r="B390" s="324" t="s">
        <v>473</v>
      </c>
      <c r="C390" s="324"/>
      <c r="D390" s="234" t="str">
        <f>VLOOKUP(D388,DivisionariasContables,3,FALSE)</f>
        <v>Envases</v>
      </c>
      <c r="E390" s="160"/>
    </row>
    <row r="391" spans="2:63" ht="14.4" thickBot="1" x14ac:dyDescent="0.3"/>
    <row r="392" spans="2:63" x14ac:dyDescent="0.25">
      <c r="B392" s="325" t="s">
        <v>466</v>
      </c>
      <c r="C392" s="327" t="s">
        <v>467</v>
      </c>
      <c r="D392" s="327" t="s">
        <v>468</v>
      </c>
      <c r="E392" s="329" t="s">
        <v>469</v>
      </c>
      <c r="F392" s="330"/>
    </row>
    <row r="393" spans="2:63" ht="14.4" thickBot="1" x14ac:dyDescent="0.3">
      <c r="B393" s="326"/>
      <c r="C393" s="328"/>
      <c r="D393" s="328"/>
      <c r="E393" s="232" t="s">
        <v>403</v>
      </c>
      <c r="F393" s="174" t="s">
        <v>402</v>
      </c>
    </row>
    <row r="394" spans="2:63" ht="14.4" thickTop="1" x14ac:dyDescent="0.25">
      <c r="B394" s="236">
        <v>41670</v>
      </c>
      <c r="C394" s="171"/>
      <c r="D394" s="166" t="s">
        <v>470</v>
      </c>
      <c r="E394" s="167">
        <f>SUMIF('Libro Diario Convencional'!$D$15:$D$167,D388,'Libro Diario Convencional'!$G$15:$G$167)</f>
        <v>0</v>
      </c>
      <c r="F394" s="168">
        <f>SUMIF('Libro Diario Convencional'!$D$15:$D$167,D388,'Libro Diario Convencional'!$H$15:$H$167)</f>
        <v>0</v>
      </c>
    </row>
    <row r="395" spans="2:63" x14ac:dyDescent="0.25">
      <c r="B395" s="169">
        <v>41670</v>
      </c>
      <c r="C395" s="172"/>
      <c r="D395" s="161" t="s">
        <v>474</v>
      </c>
      <c r="E395" s="162">
        <f>SUMIF('Asientos de Cierre'!$D$6:$D$549,D388,'Asientos de Cierre'!$G$6:$G$549)</f>
        <v>0</v>
      </c>
      <c r="F395" s="163">
        <f>SUMIF('Asientos de Cierre'!$D$6:$D$549,D388,'Asientos de Cierre'!$H$6:$H$549)</f>
        <v>0</v>
      </c>
    </row>
    <row r="396" spans="2:63" x14ac:dyDescent="0.25">
      <c r="B396" s="169"/>
      <c r="C396" s="172"/>
      <c r="D396" s="161"/>
      <c r="E396" s="162"/>
      <c r="F396" s="163"/>
    </row>
    <row r="397" spans="2:63" ht="14.4" thickBot="1" x14ac:dyDescent="0.3">
      <c r="B397" s="169"/>
      <c r="C397" s="172"/>
      <c r="D397" s="161"/>
      <c r="E397" s="162"/>
      <c r="F397" s="163"/>
    </row>
    <row r="398" spans="2:63" ht="15" thickBot="1" x14ac:dyDescent="0.3">
      <c r="B398" s="169"/>
      <c r="C398" s="172"/>
      <c r="D398" s="161" t="s">
        <v>471</v>
      </c>
      <c r="E398" s="162">
        <f>SUM(E394:E397)</f>
        <v>0</v>
      </c>
      <c r="F398" s="163">
        <f>SUM(F394:F397)</f>
        <v>0</v>
      </c>
      <c r="BJ398" s="157">
        <f>SUM(E398,K398,Q398,W398,AC398,AI398,AO398,AU398,BA398,BG398)</f>
        <v>0</v>
      </c>
      <c r="BK398" s="158">
        <f>SUM(F398,L398,R398,X398,AD398,AJ398,AP398,AV398,BB398,BH398)</f>
        <v>0</v>
      </c>
    </row>
    <row r="399" spans="2:63" ht="14.4" thickBot="1" x14ac:dyDescent="0.3">
      <c r="B399" s="170"/>
      <c r="C399" s="173"/>
      <c r="D399" s="164" t="str">
        <f>IF(E398=F398,"",IF(E398&gt;F398,"Saldo Deudor","Saldo Acreedor"))</f>
        <v/>
      </c>
      <c r="E399" s="165" t="str">
        <f>IF(E398&gt;F398,E398-F398,"")</f>
        <v/>
      </c>
      <c r="F399" s="176" t="str">
        <f>IF(E398&lt;F398,F398-E398,"")</f>
        <v/>
      </c>
    </row>
    <row r="402" spans="2:63" ht="15.6" x14ac:dyDescent="0.25">
      <c r="B402" s="324" t="s">
        <v>472</v>
      </c>
      <c r="C402" s="324"/>
      <c r="D402" s="175">
        <v>2621</v>
      </c>
      <c r="E402" s="160"/>
    </row>
    <row r="403" spans="2:63" x14ac:dyDescent="0.25">
      <c r="B403" s="160"/>
      <c r="C403" s="160"/>
      <c r="D403" s="160"/>
      <c r="E403" s="160"/>
    </row>
    <row r="404" spans="2:63" ht="15.6" x14ac:dyDescent="0.25">
      <c r="B404" s="324" t="s">
        <v>473</v>
      </c>
      <c r="C404" s="324"/>
      <c r="D404" s="234" t="str">
        <f>VLOOKUP(D402,DivisionariasContables,3,FALSE)</f>
        <v>Embalajes</v>
      </c>
      <c r="E404" s="160"/>
    </row>
    <row r="405" spans="2:63" ht="14.4" thickBot="1" x14ac:dyDescent="0.3"/>
    <row r="406" spans="2:63" x14ac:dyDescent="0.25">
      <c r="B406" s="325" t="s">
        <v>466</v>
      </c>
      <c r="C406" s="327" t="s">
        <v>467</v>
      </c>
      <c r="D406" s="327" t="s">
        <v>468</v>
      </c>
      <c r="E406" s="329" t="s">
        <v>469</v>
      </c>
      <c r="F406" s="330"/>
    </row>
    <row r="407" spans="2:63" ht="14.4" thickBot="1" x14ac:dyDescent="0.3">
      <c r="B407" s="326"/>
      <c r="C407" s="328"/>
      <c r="D407" s="328"/>
      <c r="E407" s="232" t="s">
        <v>403</v>
      </c>
      <c r="F407" s="174" t="s">
        <v>402</v>
      </c>
    </row>
    <row r="408" spans="2:63" ht="14.4" thickTop="1" x14ac:dyDescent="0.25">
      <c r="B408" s="236">
        <v>41670</v>
      </c>
      <c r="C408" s="171"/>
      <c r="D408" s="166" t="s">
        <v>470</v>
      </c>
      <c r="E408" s="167">
        <f>SUMIF('Libro Diario Convencional'!$D$15:$D$167,D402,'Libro Diario Convencional'!$G$15:$G$167)</f>
        <v>0</v>
      </c>
      <c r="F408" s="168">
        <f>SUMIF('Libro Diario Convencional'!$D$15:$D$167,D402,'Libro Diario Convencional'!$H$15:$H$167)</f>
        <v>0</v>
      </c>
    </row>
    <row r="409" spans="2:63" x14ac:dyDescent="0.25">
      <c r="B409" s="169">
        <v>41670</v>
      </c>
      <c r="C409" s="172"/>
      <c r="D409" s="161" t="s">
        <v>474</v>
      </c>
      <c r="E409" s="162">
        <f>SUMIF('Asientos de Cierre'!$D$6:$D$549,D402,'Asientos de Cierre'!$G$6:$G$549)</f>
        <v>0</v>
      </c>
      <c r="F409" s="163">
        <f>SUMIF('Asientos de Cierre'!$D$6:$D$549,D402,'Asientos de Cierre'!$H$6:$H$549)</f>
        <v>0</v>
      </c>
    </row>
    <row r="410" spans="2:63" x14ac:dyDescent="0.25">
      <c r="B410" s="169"/>
      <c r="C410" s="172"/>
      <c r="D410" s="161"/>
      <c r="E410" s="162"/>
      <c r="F410" s="163"/>
    </row>
    <row r="411" spans="2:63" ht="14.4" thickBot="1" x14ac:dyDescent="0.3">
      <c r="B411" s="169"/>
      <c r="C411" s="172"/>
      <c r="D411" s="161"/>
      <c r="E411" s="162"/>
      <c r="F411" s="163"/>
    </row>
    <row r="412" spans="2:63" ht="15" thickBot="1" x14ac:dyDescent="0.3">
      <c r="B412" s="169"/>
      <c r="C412" s="172"/>
      <c r="D412" s="161" t="s">
        <v>471</v>
      </c>
      <c r="E412" s="162">
        <f>SUM(E408:E411)</f>
        <v>0</v>
      </c>
      <c r="F412" s="163">
        <f>SUM(F408:F411)</f>
        <v>0</v>
      </c>
      <c r="BJ412" s="157">
        <f>SUM(E412,K412,Q412,W412,AC412,AI412,AO412,AU412,BA412,BG412)</f>
        <v>0</v>
      </c>
      <c r="BK412" s="158">
        <f>SUM(F412,L412,R412,X412,AD412,AJ412,AP412,AV412,BB412,BH412)</f>
        <v>0</v>
      </c>
    </row>
    <row r="413" spans="2:63" ht="14.4" thickBot="1" x14ac:dyDescent="0.3">
      <c r="B413" s="170"/>
      <c r="C413" s="173"/>
      <c r="D413" s="164" t="str">
        <f>IF(E412=F412,"",IF(E412&gt;F412,"Saldo Deudor","Saldo Acreedor"))</f>
        <v/>
      </c>
      <c r="E413" s="165" t="str">
        <f>IF(E412&gt;F412,E412-F412,"")</f>
        <v/>
      </c>
      <c r="F413" s="176" t="str">
        <f>IF(E412&lt;F412,F412-E412,"")</f>
        <v/>
      </c>
    </row>
    <row r="416" spans="2:63" ht="15.6" x14ac:dyDescent="0.25">
      <c r="B416" s="324" t="s">
        <v>472</v>
      </c>
      <c r="C416" s="324"/>
      <c r="D416" s="175">
        <v>2725</v>
      </c>
      <c r="E416" s="160"/>
    </row>
    <row r="417" spans="2:63" x14ac:dyDescent="0.25">
      <c r="B417" s="160"/>
      <c r="C417" s="160"/>
      <c r="D417" s="160"/>
      <c r="E417" s="160"/>
    </row>
    <row r="418" spans="2:63" ht="15.6" x14ac:dyDescent="0.25">
      <c r="B418" s="324" t="s">
        <v>473</v>
      </c>
      <c r="C418" s="324"/>
      <c r="D418" s="234" t="str">
        <f>VLOOKUP(D416,DivisionariasContables,3,FALSE)</f>
        <v>Muebles y Enseres</v>
      </c>
      <c r="E418" s="160"/>
    </row>
    <row r="419" spans="2:63" ht="14.4" thickBot="1" x14ac:dyDescent="0.3"/>
    <row r="420" spans="2:63" x14ac:dyDescent="0.25">
      <c r="B420" s="325" t="s">
        <v>466</v>
      </c>
      <c r="C420" s="327" t="s">
        <v>467</v>
      </c>
      <c r="D420" s="327" t="s">
        <v>468</v>
      </c>
      <c r="E420" s="329" t="s">
        <v>469</v>
      </c>
      <c r="F420" s="330"/>
    </row>
    <row r="421" spans="2:63" ht="14.4" thickBot="1" x14ac:dyDescent="0.3">
      <c r="B421" s="326"/>
      <c r="C421" s="328"/>
      <c r="D421" s="328"/>
      <c r="E421" s="232" t="s">
        <v>403</v>
      </c>
      <c r="F421" s="174" t="s">
        <v>402</v>
      </c>
    </row>
    <row r="422" spans="2:63" ht="14.4" thickTop="1" x14ac:dyDescent="0.25">
      <c r="B422" s="236">
        <v>41670</v>
      </c>
      <c r="C422" s="171"/>
      <c r="D422" s="166" t="s">
        <v>470</v>
      </c>
      <c r="E422" s="167">
        <f>SUMIF('Libro Diario Convencional'!$D$15:$D$167,D416,'Libro Diario Convencional'!$G$15:$G$167)</f>
        <v>0</v>
      </c>
      <c r="F422" s="168">
        <f>SUMIF('Libro Diario Convencional'!$D$15:$D$167,D416,'Libro Diario Convencional'!$H$15:$H$167)</f>
        <v>0</v>
      </c>
    </row>
    <row r="423" spans="2:63" x14ac:dyDescent="0.25">
      <c r="B423" s="169">
        <v>41670</v>
      </c>
      <c r="C423" s="172"/>
      <c r="D423" s="161" t="s">
        <v>474</v>
      </c>
      <c r="E423" s="162">
        <f>SUMIF('Asientos de Cierre'!$D$6:$D$549,D416,'Asientos de Cierre'!$G$6:$G$549)</f>
        <v>0</v>
      </c>
      <c r="F423" s="163">
        <f>SUMIF('Asientos de Cierre'!$D$6:$D$549,D416,'Asientos de Cierre'!$H$6:$H$549)</f>
        <v>0</v>
      </c>
    </row>
    <row r="424" spans="2:63" x14ac:dyDescent="0.25">
      <c r="B424" s="169"/>
      <c r="C424" s="172"/>
      <c r="D424" s="161"/>
      <c r="E424" s="162"/>
      <c r="F424" s="163"/>
    </row>
    <row r="425" spans="2:63" ht="14.4" thickBot="1" x14ac:dyDescent="0.3">
      <c r="B425" s="169"/>
      <c r="C425" s="172"/>
      <c r="D425" s="161"/>
      <c r="E425" s="162"/>
      <c r="F425" s="163"/>
    </row>
    <row r="426" spans="2:63" ht="15" thickBot="1" x14ac:dyDescent="0.3">
      <c r="B426" s="169"/>
      <c r="C426" s="172"/>
      <c r="D426" s="161" t="s">
        <v>471</v>
      </c>
      <c r="E426" s="162">
        <f>SUM(E422:E425)</f>
        <v>0</v>
      </c>
      <c r="F426" s="163">
        <f>SUM(F422:F425)</f>
        <v>0</v>
      </c>
      <c r="BJ426" s="157">
        <f>SUM(E426,K426,Q426,W426,AC426,AI426,AO426,AU426,BA426,BG426)</f>
        <v>0</v>
      </c>
      <c r="BK426" s="158">
        <f>SUM(F426,L426,R426,X426,AD426,AJ426,AP426,AV426,BB426,BH426)</f>
        <v>0</v>
      </c>
    </row>
    <row r="427" spans="2:63" ht="14.4" thickBot="1" x14ac:dyDescent="0.3">
      <c r="B427" s="170"/>
      <c r="C427" s="173"/>
      <c r="D427" s="164" t="str">
        <f>IF(E426=F426,"",IF(E426&gt;F426,"Saldo Deudor","Saldo Acreedor"))</f>
        <v/>
      </c>
      <c r="E427" s="165" t="str">
        <f>IF(E426&gt;F426,E426-F426,"")</f>
        <v/>
      </c>
      <c r="F427" s="176" t="str">
        <f>IF(E426&lt;F426,F426-E426,"")</f>
        <v/>
      </c>
    </row>
    <row r="430" spans="2:63" ht="15.6" x14ac:dyDescent="0.25">
      <c r="B430" s="324" t="s">
        <v>472</v>
      </c>
      <c r="C430" s="324"/>
      <c r="D430" s="175">
        <v>3211</v>
      </c>
      <c r="E430" s="160"/>
      <c r="H430" s="324" t="s">
        <v>472</v>
      </c>
      <c r="I430" s="324"/>
      <c r="J430" s="175">
        <v>3212</v>
      </c>
      <c r="K430" s="160"/>
    </row>
    <row r="431" spans="2:63" x14ac:dyDescent="0.25">
      <c r="B431" s="160"/>
      <c r="C431" s="160"/>
      <c r="D431" s="160"/>
      <c r="E431" s="160"/>
      <c r="H431" s="160"/>
      <c r="I431" s="160"/>
      <c r="J431" s="160"/>
      <c r="K431" s="160"/>
    </row>
    <row r="432" spans="2:63" ht="15.6" x14ac:dyDescent="0.25">
      <c r="B432" s="324" t="s">
        <v>473</v>
      </c>
      <c r="C432" s="324"/>
      <c r="D432" s="234" t="str">
        <f>VLOOKUP(D430,DivisionariasContables,3,FALSE)</f>
        <v>Inversiones Inmobiliarias - Terrenos</v>
      </c>
      <c r="E432" s="160"/>
      <c r="H432" s="324" t="s">
        <v>473</v>
      </c>
      <c r="I432" s="324"/>
      <c r="J432" s="234" t="str">
        <f>VLOOKUP(J430,DivisionariasContables,3,FALSE)</f>
        <v>Inversiones Inmobiliarias - Edificaciones</v>
      </c>
      <c r="K432" s="160"/>
    </row>
    <row r="433" spans="2:63" ht="14.4" thickBot="1" x14ac:dyDescent="0.3"/>
    <row r="434" spans="2:63" x14ac:dyDescent="0.25">
      <c r="B434" s="325" t="s">
        <v>466</v>
      </c>
      <c r="C434" s="327" t="s">
        <v>467</v>
      </c>
      <c r="D434" s="327" t="s">
        <v>468</v>
      </c>
      <c r="E434" s="329" t="s">
        <v>469</v>
      </c>
      <c r="F434" s="330"/>
      <c r="H434" s="325" t="s">
        <v>466</v>
      </c>
      <c r="I434" s="327" t="s">
        <v>467</v>
      </c>
      <c r="J434" s="327" t="s">
        <v>468</v>
      </c>
      <c r="K434" s="329" t="s">
        <v>469</v>
      </c>
      <c r="L434" s="330"/>
    </row>
    <row r="435" spans="2:63" ht="14.4" thickBot="1" x14ac:dyDescent="0.3">
      <c r="B435" s="326"/>
      <c r="C435" s="328"/>
      <c r="D435" s="328"/>
      <c r="E435" s="232" t="s">
        <v>403</v>
      </c>
      <c r="F435" s="174" t="s">
        <v>402</v>
      </c>
      <c r="H435" s="326"/>
      <c r="I435" s="328"/>
      <c r="J435" s="328"/>
      <c r="K435" s="232" t="s">
        <v>403</v>
      </c>
      <c r="L435" s="174" t="s">
        <v>402</v>
      </c>
    </row>
    <row r="436" spans="2:63" ht="14.4" thickTop="1" x14ac:dyDescent="0.25">
      <c r="B436" s="236">
        <v>41670</v>
      </c>
      <c r="C436" s="171"/>
      <c r="D436" s="166" t="s">
        <v>470</v>
      </c>
      <c r="E436" s="167">
        <f>SUMIF('Libro Diario Convencional'!$D$15:$D$167,D430,'Libro Diario Convencional'!$G$15:$G$167)</f>
        <v>0</v>
      </c>
      <c r="F436" s="168">
        <f>SUMIF('Libro Diario Convencional'!$D$15:$D$167,D430,'Libro Diario Convencional'!$H$15:$H$167)</f>
        <v>0</v>
      </c>
      <c r="H436" s="236">
        <v>41670</v>
      </c>
      <c r="I436" s="171"/>
      <c r="J436" s="166" t="s">
        <v>470</v>
      </c>
      <c r="K436" s="167">
        <f>SUMIF('Libro Diario Convencional'!$D$15:$D$167,J430,'Libro Diario Convencional'!$G$15:$G$167)</f>
        <v>0</v>
      </c>
      <c r="L436" s="168">
        <f>SUMIF('Libro Diario Convencional'!$D$15:$D$167,J430,'Libro Diario Convencional'!$H$15:$H$167)</f>
        <v>0</v>
      </c>
    </row>
    <row r="437" spans="2:63" x14ac:dyDescent="0.25">
      <c r="B437" s="169">
        <v>41670</v>
      </c>
      <c r="C437" s="172"/>
      <c r="D437" s="161" t="s">
        <v>474</v>
      </c>
      <c r="E437" s="162">
        <f>SUMIF('Asientos de Cierre'!$D$6:$D$549,D430,'Asientos de Cierre'!$G$6:$G$549)</f>
        <v>0</v>
      </c>
      <c r="F437" s="163">
        <f>SUMIF('Asientos de Cierre'!$D$6:$D$549,D430,'Asientos de Cierre'!$H$6:$H$549)</f>
        <v>0</v>
      </c>
      <c r="H437" s="169">
        <v>41670</v>
      </c>
      <c r="I437" s="172"/>
      <c r="J437" s="161" t="s">
        <v>474</v>
      </c>
      <c r="K437" s="162">
        <f>SUMIF('Asientos de Cierre'!$D$6:$D$549,J430,'Asientos de Cierre'!$G$6:$G$549)</f>
        <v>0</v>
      </c>
      <c r="L437" s="163">
        <f>SUMIF('Asientos de Cierre'!$D$6:$D$549,J430,'Asientos de Cierre'!$H$6:$H$549)</f>
        <v>0</v>
      </c>
    </row>
    <row r="438" spans="2:63" x14ac:dyDescent="0.25">
      <c r="B438" s="169"/>
      <c r="C438" s="172"/>
      <c r="D438" s="161"/>
      <c r="E438" s="162"/>
      <c r="F438" s="163"/>
      <c r="H438" s="169"/>
      <c r="I438" s="172"/>
      <c r="J438" s="161"/>
      <c r="K438" s="162"/>
      <c r="L438" s="163"/>
    </row>
    <row r="439" spans="2:63" ht="14.4" thickBot="1" x14ac:dyDescent="0.3">
      <c r="B439" s="169"/>
      <c r="C439" s="172"/>
      <c r="D439" s="161"/>
      <c r="E439" s="162"/>
      <c r="F439" s="163"/>
      <c r="H439" s="169"/>
      <c r="I439" s="172"/>
      <c r="J439" s="161"/>
      <c r="K439" s="162"/>
      <c r="L439" s="163"/>
    </row>
    <row r="440" spans="2:63" ht="15" thickBot="1" x14ac:dyDescent="0.3">
      <c r="B440" s="169"/>
      <c r="C440" s="172"/>
      <c r="D440" s="161" t="s">
        <v>471</v>
      </c>
      <c r="E440" s="162">
        <f>SUM(E436:E439)</f>
        <v>0</v>
      </c>
      <c r="F440" s="163">
        <f>SUM(F436:F439)</f>
        <v>0</v>
      </c>
      <c r="H440" s="169"/>
      <c r="I440" s="172"/>
      <c r="J440" s="161" t="s">
        <v>471</v>
      </c>
      <c r="K440" s="162">
        <f>SUM(K436:K439)</f>
        <v>0</v>
      </c>
      <c r="L440" s="163">
        <f>SUM(L436:L439)</f>
        <v>0</v>
      </c>
      <c r="BJ440" s="157">
        <f>SUM(E440,K440,Q440,W440,AC440,AI440,AO440,AU440,BA440,BG440)</f>
        <v>0</v>
      </c>
      <c r="BK440" s="158">
        <f>SUM(F440,L440,R440,X440,AD440,AJ440,AP440,AV440,BB440,BH440)</f>
        <v>0</v>
      </c>
    </row>
    <row r="441" spans="2:63" ht="14.4" thickBot="1" x14ac:dyDescent="0.3">
      <c r="B441" s="170"/>
      <c r="C441" s="173"/>
      <c r="D441" s="164" t="str">
        <f>IF(E440=F440,"",IF(E440&gt;F440,"Saldo Deudor","Saldo Acreedor"))</f>
        <v/>
      </c>
      <c r="E441" s="165" t="str">
        <f>IF(E440&gt;F440,E440-F440,"")</f>
        <v/>
      </c>
      <c r="F441" s="176" t="str">
        <f>IF(E440&lt;F440,F440-E440,"")</f>
        <v/>
      </c>
      <c r="H441" s="170"/>
      <c r="I441" s="173"/>
      <c r="J441" s="164" t="str">
        <f>IF(K440=L440,"",IF(K440&gt;L440,"Saldo Deudor","Saldo Acreedor"))</f>
        <v/>
      </c>
      <c r="K441" s="165" t="str">
        <f>IF(K440&gt;L440,K440-L440,"")</f>
        <v/>
      </c>
      <c r="L441" s="176" t="str">
        <f>IF(K440&lt;L440,L440-K440,"")</f>
        <v/>
      </c>
    </row>
    <row r="444" spans="2:63" ht="15.6" x14ac:dyDescent="0.25">
      <c r="B444" s="324" t="s">
        <v>472</v>
      </c>
      <c r="C444" s="324"/>
      <c r="D444" s="175">
        <v>3221</v>
      </c>
      <c r="E444" s="160"/>
      <c r="H444" s="324" t="s">
        <v>472</v>
      </c>
      <c r="I444" s="324"/>
      <c r="J444" s="175">
        <v>3222</v>
      </c>
      <c r="K444" s="160"/>
      <c r="N444" s="324" t="s">
        <v>472</v>
      </c>
      <c r="O444" s="324"/>
      <c r="P444" s="175">
        <v>3223</v>
      </c>
      <c r="Q444" s="160"/>
      <c r="T444" s="324" t="s">
        <v>472</v>
      </c>
      <c r="U444" s="324"/>
      <c r="V444" s="175">
        <v>3224</v>
      </c>
      <c r="W444" s="160"/>
      <c r="Z444" s="324" t="s">
        <v>472</v>
      </c>
      <c r="AA444" s="324"/>
      <c r="AB444" s="175">
        <v>3225</v>
      </c>
      <c r="AC444" s="160"/>
      <c r="AF444" s="324" t="s">
        <v>472</v>
      </c>
      <c r="AG444" s="324"/>
      <c r="AH444" s="175">
        <v>3226</v>
      </c>
      <c r="AI444" s="160"/>
      <c r="AL444" s="324" t="s">
        <v>472</v>
      </c>
      <c r="AM444" s="324"/>
      <c r="AN444" s="175">
        <v>3227</v>
      </c>
      <c r="AO444" s="160"/>
      <c r="AR444" s="324" t="s">
        <v>472</v>
      </c>
      <c r="AS444" s="324"/>
      <c r="AT444" s="175">
        <v>3229</v>
      </c>
      <c r="AU444" s="160"/>
    </row>
    <row r="445" spans="2:63" x14ac:dyDescent="0.25">
      <c r="B445" s="160"/>
      <c r="C445" s="160"/>
      <c r="D445" s="160"/>
      <c r="E445" s="160"/>
      <c r="H445" s="160"/>
      <c r="I445" s="160"/>
      <c r="J445" s="160"/>
      <c r="K445" s="160"/>
      <c r="N445" s="160"/>
      <c r="O445" s="160"/>
      <c r="P445" s="160"/>
      <c r="Q445" s="160"/>
      <c r="T445" s="160"/>
      <c r="U445" s="160"/>
      <c r="V445" s="160"/>
      <c r="W445" s="160"/>
      <c r="Z445" s="160"/>
      <c r="AA445" s="160"/>
      <c r="AB445" s="160"/>
      <c r="AC445" s="160"/>
      <c r="AF445" s="160"/>
      <c r="AG445" s="160"/>
      <c r="AH445" s="160"/>
      <c r="AI445" s="160"/>
      <c r="AL445" s="160"/>
      <c r="AM445" s="160"/>
      <c r="AN445" s="160"/>
      <c r="AO445" s="160"/>
      <c r="AR445" s="160"/>
      <c r="AS445" s="160"/>
      <c r="AT445" s="160"/>
      <c r="AU445" s="160"/>
    </row>
    <row r="446" spans="2:63" ht="15.6" x14ac:dyDescent="0.25">
      <c r="B446" s="324" t="s">
        <v>473</v>
      </c>
      <c r="C446" s="324"/>
      <c r="D446" s="234" t="str">
        <f>VLOOKUP(D444,DivisionariasContables,3,FALSE)</f>
        <v>Inmuebles, Maquinaria y Equipo - Terrenos</v>
      </c>
      <c r="E446" s="160"/>
      <c r="H446" s="324" t="s">
        <v>473</v>
      </c>
      <c r="I446" s="324"/>
      <c r="J446" s="234" t="str">
        <f>VLOOKUP(J444,DivisionariasContables,3,FALSE)</f>
        <v>Inmuebles, Maquinaria y Equipo - Edificaciones</v>
      </c>
      <c r="K446" s="160"/>
      <c r="N446" s="324" t="s">
        <v>473</v>
      </c>
      <c r="O446" s="324"/>
      <c r="P446" s="234" t="str">
        <f>VLOOKUP(P444,DivisionariasContables,3,FALSE)</f>
        <v>Inmuebles, Maquinaria y Equipo - Maquinarias y Equipos de Explotación</v>
      </c>
      <c r="Q446" s="160"/>
      <c r="T446" s="324" t="s">
        <v>473</v>
      </c>
      <c r="U446" s="324"/>
      <c r="V446" s="234" t="str">
        <f>VLOOKUP(V444,DivisionariasContables,3,FALSE)</f>
        <v>Inmuebles, Maquinaria y Equipo - Equipos de Transporte</v>
      </c>
      <c r="W446" s="160"/>
      <c r="Z446" s="324" t="s">
        <v>473</v>
      </c>
      <c r="AA446" s="324"/>
      <c r="AB446" s="234" t="str">
        <f>VLOOKUP(AB444,DivisionariasContables,3,FALSE)</f>
        <v>Inmuebles, Maquinaria y Equipo - Muebles y Enseres</v>
      </c>
      <c r="AC446" s="160"/>
      <c r="AF446" s="324" t="s">
        <v>473</v>
      </c>
      <c r="AG446" s="324"/>
      <c r="AH446" s="234" t="str">
        <f>VLOOKUP(AH444,DivisionariasContables,3,FALSE)</f>
        <v>Inmuebles, Maquinaria y Equipo - Equipos Diversos</v>
      </c>
      <c r="AI446" s="160"/>
      <c r="AL446" s="324" t="s">
        <v>473</v>
      </c>
      <c r="AM446" s="324"/>
      <c r="AN446" s="234" t="str">
        <f>VLOOKUP(AN444,DivisionariasContables,3,FALSE)</f>
        <v>Inmuebles, Maquinaria y Equipo - Herramientas y Unidades de Reemplazo</v>
      </c>
      <c r="AO446" s="160"/>
      <c r="AR446" s="324" t="s">
        <v>473</v>
      </c>
      <c r="AS446" s="324"/>
      <c r="AT446" s="234" t="str">
        <f>VLOOKUP(AT444,DivisionariasContables,3,FALSE)</f>
        <v>Reclasificación de IGV al Costo</v>
      </c>
      <c r="AU446" s="160"/>
    </row>
    <row r="447" spans="2:63" ht="14.4" thickBot="1" x14ac:dyDescent="0.3"/>
    <row r="448" spans="2:63" x14ac:dyDescent="0.25">
      <c r="B448" s="325" t="s">
        <v>466</v>
      </c>
      <c r="C448" s="327" t="s">
        <v>467</v>
      </c>
      <c r="D448" s="327" t="s">
        <v>468</v>
      </c>
      <c r="E448" s="329" t="s">
        <v>469</v>
      </c>
      <c r="F448" s="330"/>
      <c r="H448" s="325" t="s">
        <v>466</v>
      </c>
      <c r="I448" s="327" t="s">
        <v>467</v>
      </c>
      <c r="J448" s="327" t="s">
        <v>468</v>
      </c>
      <c r="K448" s="329" t="s">
        <v>469</v>
      </c>
      <c r="L448" s="330"/>
      <c r="N448" s="325" t="s">
        <v>466</v>
      </c>
      <c r="O448" s="327" t="s">
        <v>467</v>
      </c>
      <c r="P448" s="327" t="s">
        <v>468</v>
      </c>
      <c r="Q448" s="329" t="s">
        <v>469</v>
      </c>
      <c r="R448" s="330"/>
      <c r="T448" s="325" t="s">
        <v>466</v>
      </c>
      <c r="U448" s="327" t="s">
        <v>467</v>
      </c>
      <c r="V448" s="327" t="s">
        <v>468</v>
      </c>
      <c r="W448" s="329" t="s">
        <v>469</v>
      </c>
      <c r="X448" s="330"/>
      <c r="Z448" s="325" t="s">
        <v>466</v>
      </c>
      <c r="AA448" s="327" t="s">
        <v>467</v>
      </c>
      <c r="AB448" s="327" t="s">
        <v>468</v>
      </c>
      <c r="AC448" s="329" t="s">
        <v>469</v>
      </c>
      <c r="AD448" s="330"/>
      <c r="AF448" s="325" t="s">
        <v>466</v>
      </c>
      <c r="AG448" s="327" t="s">
        <v>467</v>
      </c>
      <c r="AH448" s="327" t="s">
        <v>468</v>
      </c>
      <c r="AI448" s="329" t="s">
        <v>469</v>
      </c>
      <c r="AJ448" s="330"/>
      <c r="AL448" s="325" t="s">
        <v>466</v>
      </c>
      <c r="AM448" s="327" t="s">
        <v>467</v>
      </c>
      <c r="AN448" s="327" t="s">
        <v>468</v>
      </c>
      <c r="AO448" s="329" t="s">
        <v>469</v>
      </c>
      <c r="AP448" s="330"/>
      <c r="AR448" s="325" t="s">
        <v>466</v>
      </c>
      <c r="AS448" s="327" t="s">
        <v>467</v>
      </c>
      <c r="AT448" s="327" t="s">
        <v>468</v>
      </c>
      <c r="AU448" s="329" t="s">
        <v>469</v>
      </c>
      <c r="AV448" s="330"/>
    </row>
    <row r="449" spans="2:63" ht="14.4" thickBot="1" x14ac:dyDescent="0.3">
      <c r="B449" s="326"/>
      <c r="C449" s="328"/>
      <c r="D449" s="328"/>
      <c r="E449" s="232" t="s">
        <v>403</v>
      </c>
      <c r="F449" s="174" t="s">
        <v>402</v>
      </c>
      <c r="H449" s="326"/>
      <c r="I449" s="328"/>
      <c r="J449" s="328"/>
      <c r="K449" s="232" t="s">
        <v>403</v>
      </c>
      <c r="L449" s="174" t="s">
        <v>402</v>
      </c>
      <c r="N449" s="326"/>
      <c r="O449" s="328"/>
      <c r="P449" s="328"/>
      <c r="Q449" s="232" t="s">
        <v>403</v>
      </c>
      <c r="R449" s="174" t="s">
        <v>402</v>
      </c>
      <c r="T449" s="326"/>
      <c r="U449" s="328"/>
      <c r="V449" s="328"/>
      <c r="W449" s="232" t="s">
        <v>403</v>
      </c>
      <c r="X449" s="174" t="s">
        <v>402</v>
      </c>
      <c r="Z449" s="326"/>
      <c r="AA449" s="328"/>
      <c r="AB449" s="328"/>
      <c r="AC449" s="232" t="s">
        <v>403</v>
      </c>
      <c r="AD449" s="174" t="s">
        <v>402</v>
      </c>
      <c r="AF449" s="326"/>
      <c r="AG449" s="328"/>
      <c r="AH449" s="328"/>
      <c r="AI449" s="232" t="s">
        <v>403</v>
      </c>
      <c r="AJ449" s="174" t="s">
        <v>402</v>
      </c>
      <c r="AL449" s="326"/>
      <c r="AM449" s="328"/>
      <c r="AN449" s="328"/>
      <c r="AO449" s="232" t="s">
        <v>403</v>
      </c>
      <c r="AP449" s="174" t="s">
        <v>402</v>
      </c>
      <c r="AR449" s="326"/>
      <c r="AS449" s="328"/>
      <c r="AT449" s="328"/>
      <c r="AU449" s="232" t="s">
        <v>403</v>
      </c>
      <c r="AV449" s="174" t="s">
        <v>402</v>
      </c>
    </row>
    <row r="450" spans="2:63" ht="14.4" thickTop="1" x14ac:dyDescent="0.25">
      <c r="B450" s="236">
        <v>41670</v>
      </c>
      <c r="C450" s="171"/>
      <c r="D450" s="166" t="s">
        <v>470</v>
      </c>
      <c r="E450" s="167">
        <f>SUMIF('Libro Diario Convencional'!$D$15:$D$167,D444,'Libro Diario Convencional'!$G$15:$G$167)</f>
        <v>0</v>
      </c>
      <c r="F450" s="168">
        <f>SUMIF('Libro Diario Convencional'!$D$15:$D$167,D444,'Libro Diario Convencional'!$H$15:$H$167)</f>
        <v>0</v>
      </c>
      <c r="H450" s="236">
        <v>41670</v>
      </c>
      <c r="I450" s="171"/>
      <c r="J450" s="166" t="s">
        <v>470</v>
      </c>
      <c r="K450" s="167">
        <f>SUMIF('Libro Diario Convencional'!$D$15:$D$167,J444,'Libro Diario Convencional'!$G$15:$G$167)</f>
        <v>0</v>
      </c>
      <c r="L450" s="168">
        <f>SUMIF('Libro Diario Convencional'!$D$15:$D$167,J444,'Libro Diario Convencional'!$H$15:$H$167)</f>
        <v>0</v>
      </c>
      <c r="N450" s="236">
        <v>41670</v>
      </c>
      <c r="O450" s="171"/>
      <c r="P450" s="166" t="s">
        <v>470</v>
      </c>
      <c r="Q450" s="167">
        <f>SUMIF('Libro Diario Convencional'!$D$15:$D$167,P444,'Libro Diario Convencional'!$G$15:$G$167)</f>
        <v>0</v>
      </c>
      <c r="R450" s="168">
        <f>SUMIF('Libro Diario Convencional'!$D$15:$D$167,P444,'Libro Diario Convencional'!$H$15:$H$167)</f>
        <v>0</v>
      </c>
      <c r="T450" s="236">
        <v>41670</v>
      </c>
      <c r="U450" s="171"/>
      <c r="V450" s="166" t="s">
        <v>470</v>
      </c>
      <c r="W450" s="167">
        <f>SUMIF('Libro Diario Convencional'!$D$15:$D$167,V444,'Libro Diario Convencional'!$G$15:$G$167)</f>
        <v>0</v>
      </c>
      <c r="X450" s="168">
        <f>SUMIF('Libro Diario Convencional'!$D$15:$D$167,V444,'Libro Diario Convencional'!$H$15:$H$167)</f>
        <v>0</v>
      </c>
      <c r="Z450" s="236">
        <v>41670</v>
      </c>
      <c r="AA450" s="171"/>
      <c r="AB450" s="166" t="s">
        <v>470</v>
      </c>
      <c r="AC450" s="167">
        <f>SUMIF('Libro Diario Convencional'!$D$15:$D$167,AB444,'Libro Diario Convencional'!$G$15:$G$167)</f>
        <v>0</v>
      </c>
      <c r="AD450" s="168">
        <f>SUMIF('Libro Diario Convencional'!$D$15:$D$167,AB444,'Libro Diario Convencional'!$H$15:$H$167)</f>
        <v>0</v>
      </c>
      <c r="AF450" s="236">
        <v>41670</v>
      </c>
      <c r="AG450" s="171"/>
      <c r="AH450" s="166" t="s">
        <v>470</v>
      </c>
      <c r="AI450" s="167">
        <f>SUMIF('Libro Diario Convencional'!$D$15:$D$167,AH444,'Libro Diario Convencional'!$G$15:$G$167)</f>
        <v>0</v>
      </c>
      <c r="AJ450" s="168">
        <f>SUMIF('Libro Diario Convencional'!$D$15:$D$167,AH444,'Libro Diario Convencional'!$H$15:$H$167)</f>
        <v>0</v>
      </c>
      <c r="AL450" s="236">
        <v>41670</v>
      </c>
      <c r="AM450" s="171"/>
      <c r="AN450" s="166" t="s">
        <v>470</v>
      </c>
      <c r="AO450" s="167">
        <f>SUMIF('Libro Diario Convencional'!$D$15:$D$167,AN444,'Libro Diario Convencional'!$G$15:$G$167)</f>
        <v>0</v>
      </c>
      <c r="AP450" s="168">
        <f>SUMIF('Libro Diario Convencional'!$D$15:$D$167,AN444,'Libro Diario Convencional'!$H$15:$H$167)</f>
        <v>0</v>
      </c>
      <c r="AR450" s="236">
        <v>41670</v>
      </c>
      <c r="AS450" s="171"/>
      <c r="AT450" s="166" t="s">
        <v>470</v>
      </c>
      <c r="AU450" s="167">
        <f>SUMIF('Libro Diario Convencional'!$D$15:$D$167,AT444,'Libro Diario Convencional'!$G$15:$G$167)</f>
        <v>0</v>
      </c>
      <c r="AV450" s="168">
        <f>SUMIF('Libro Diario Convencional'!$D$15:$D$167,AT444,'Libro Diario Convencional'!$H$15:$H$167)</f>
        <v>0</v>
      </c>
    </row>
    <row r="451" spans="2:63" x14ac:dyDescent="0.25">
      <c r="B451" s="169">
        <v>41670</v>
      </c>
      <c r="C451" s="172"/>
      <c r="D451" s="161" t="s">
        <v>474</v>
      </c>
      <c r="E451" s="162">
        <f>SUMIF('Asientos de Cierre'!$D$6:$D$549,D444,'Asientos de Cierre'!$G$6:$G$549)</f>
        <v>0</v>
      </c>
      <c r="F451" s="163">
        <f>SUMIF('Asientos de Cierre'!$D$6:$D$549,D444,'Asientos de Cierre'!$H$6:$H$549)</f>
        <v>0</v>
      </c>
      <c r="H451" s="169">
        <v>41670</v>
      </c>
      <c r="I451" s="172"/>
      <c r="J451" s="161" t="s">
        <v>474</v>
      </c>
      <c r="K451" s="162">
        <f>SUMIF('Asientos de Cierre'!$D$6:$D$549,J444,'Asientos de Cierre'!$G$6:$G$549)</f>
        <v>0</v>
      </c>
      <c r="L451" s="163">
        <f>SUMIF('Asientos de Cierre'!$D$6:$D$549,J444,'Asientos de Cierre'!$H$6:$H$549)</f>
        <v>0</v>
      </c>
      <c r="N451" s="169">
        <v>41670</v>
      </c>
      <c r="O451" s="172"/>
      <c r="P451" s="161" t="s">
        <v>474</v>
      </c>
      <c r="Q451" s="162">
        <f>SUMIF('Asientos de Cierre'!$D$6:$D$549,P444,'Asientos de Cierre'!$G$6:$G$549)</f>
        <v>0</v>
      </c>
      <c r="R451" s="163">
        <f>SUMIF('Asientos de Cierre'!$D$6:$D$549,P444,'Asientos de Cierre'!$H$6:$H$549)</f>
        <v>0</v>
      </c>
      <c r="T451" s="169">
        <v>41670</v>
      </c>
      <c r="U451" s="172"/>
      <c r="V451" s="161" t="s">
        <v>474</v>
      </c>
      <c r="W451" s="162">
        <f>SUMIF('Asientos de Cierre'!$D$6:$D$549,V444,'Asientos de Cierre'!$G$6:$G$549)</f>
        <v>0</v>
      </c>
      <c r="X451" s="163">
        <f>SUMIF('Asientos de Cierre'!$D$6:$D$549,V444,'Asientos de Cierre'!$H$6:$H$549)</f>
        <v>0</v>
      </c>
      <c r="Z451" s="169">
        <v>41670</v>
      </c>
      <c r="AA451" s="172"/>
      <c r="AB451" s="161" t="s">
        <v>474</v>
      </c>
      <c r="AC451" s="162">
        <f>SUMIF('Asientos de Cierre'!$D$6:$D$549,AB444,'Asientos de Cierre'!$G$6:$G$549)</f>
        <v>0</v>
      </c>
      <c r="AD451" s="163">
        <f>SUMIF('Asientos de Cierre'!$D$6:$D$549,AB444,'Asientos de Cierre'!$H$6:$H$549)</f>
        <v>0</v>
      </c>
      <c r="AF451" s="169">
        <v>41670</v>
      </c>
      <c r="AG451" s="172"/>
      <c r="AH451" s="161" t="s">
        <v>474</v>
      </c>
      <c r="AI451" s="162">
        <f>SUMIF('Asientos de Cierre'!$D$6:$D$549,AH444,'Asientos de Cierre'!$G$6:$G$549)</f>
        <v>0</v>
      </c>
      <c r="AJ451" s="163">
        <f>SUMIF('Asientos de Cierre'!$D$6:$D$549,AH444,'Asientos de Cierre'!$H$6:$H$549)</f>
        <v>0</v>
      </c>
      <c r="AL451" s="169">
        <v>41670</v>
      </c>
      <c r="AM451" s="172"/>
      <c r="AN451" s="161" t="s">
        <v>474</v>
      </c>
      <c r="AO451" s="162">
        <f>SUMIF('Asientos de Cierre'!$D$6:$D$549,AN444,'Asientos de Cierre'!$G$6:$G$549)</f>
        <v>0</v>
      </c>
      <c r="AP451" s="163">
        <f>SUMIF('Asientos de Cierre'!$D$6:$D$549,AN444,'Asientos de Cierre'!$H$6:$H$549)</f>
        <v>0</v>
      </c>
      <c r="AR451" s="169">
        <v>41670</v>
      </c>
      <c r="AS451" s="172"/>
      <c r="AT451" s="161" t="s">
        <v>474</v>
      </c>
      <c r="AU451" s="162">
        <f>SUMIF('Asientos de Cierre'!$D$6:$D$549,AT444,'Asientos de Cierre'!$G$6:$G$549)</f>
        <v>0</v>
      </c>
      <c r="AV451" s="163">
        <f>SUMIF('Asientos de Cierre'!$D$6:$D$549,AT444,'Asientos de Cierre'!$H$6:$H$549)</f>
        <v>0</v>
      </c>
    </row>
    <row r="452" spans="2:63" x14ac:dyDescent="0.25">
      <c r="B452" s="169"/>
      <c r="C452" s="172"/>
      <c r="D452" s="161"/>
      <c r="E452" s="162"/>
      <c r="F452" s="163"/>
      <c r="H452" s="169"/>
      <c r="I452" s="172"/>
      <c r="J452" s="161"/>
      <c r="K452" s="162"/>
      <c r="L452" s="163"/>
      <c r="N452" s="169"/>
      <c r="O452" s="172"/>
      <c r="P452" s="161"/>
      <c r="Q452" s="162"/>
      <c r="R452" s="163"/>
      <c r="T452" s="169"/>
      <c r="U452" s="172"/>
      <c r="V452" s="161"/>
      <c r="W452" s="162"/>
      <c r="X452" s="163"/>
      <c r="Z452" s="169"/>
      <c r="AA452" s="172"/>
      <c r="AB452" s="161"/>
      <c r="AC452" s="162"/>
      <c r="AD452" s="163"/>
      <c r="AF452" s="169"/>
      <c r="AG452" s="172"/>
      <c r="AH452" s="161"/>
      <c r="AI452" s="162"/>
      <c r="AJ452" s="163"/>
      <c r="AL452" s="169"/>
      <c r="AM452" s="172"/>
      <c r="AN452" s="161"/>
      <c r="AO452" s="162"/>
      <c r="AP452" s="163"/>
      <c r="AR452" s="169"/>
      <c r="AS452" s="172"/>
      <c r="AT452" s="161"/>
      <c r="AU452" s="162"/>
      <c r="AV452" s="163"/>
    </row>
    <row r="453" spans="2:63" ht="14.4" thickBot="1" x14ac:dyDescent="0.3">
      <c r="B453" s="169"/>
      <c r="C453" s="172"/>
      <c r="D453" s="161"/>
      <c r="E453" s="162"/>
      <c r="F453" s="163"/>
      <c r="H453" s="169"/>
      <c r="I453" s="172"/>
      <c r="J453" s="161"/>
      <c r="K453" s="162"/>
      <c r="L453" s="163"/>
      <c r="N453" s="169"/>
      <c r="O453" s="172"/>
      <c r="P453" s="161"/>
      <c r="Q453" s="162"/>
      <c r="R453" s="163"/>
      <c r="T453" s="169"/>
      <c r="U453" s="172"/>
      <c r="V453" s="161"/>
      <c r="W453" s="162"/>
      <c r="X453" s="163"/>
      <c r="Z453" s="169"/>
      <c r="AA453" s="172"/>
      <c r="AB453" s="161"/>
      <c r="AC453" s="162"/>
      <c r="AD453" s="163"/>
      <c r="AF453" s="169"/>
      <c r="AG453" s="172"/>
      <c r="AH453" s="161"/>
      <c r="AI453" s="162"/>
      <c r="AJ453" s="163"/>
      <c r="AL453" s="169"/>
      <c r="AM453" s="172"/>
      <c r="AN453" s="161"/>
      <c r="AO453" s="162"/>
      <c r="AP453" s="163"/>
      <c r="AR453" s="169"/>
      <c r="AS453" s="172"/>
      <c r="AT453" s="161"/>
      <c r="AU453" s="162"/>
      <c r="AV453" s="163"/>
    </row>
    <row r="454" spans="2:63" ht="15" thickBot="1" x14ac:dyDescent="0.3">
      <c r="B454" s="169"/>
      <c r="C454" s="172"/>
      <c r="D454" s="161" t="s">
        <v>471</v>
      </c>
      <c r="E454" s="162">
        <f>SUM(E450:E453)</f>
        <v>0</v>
      </c>
      <c r="F454" s="163">
        <f>SUM(F450:F453)</f>
        <v>0</v>
      </c>
      <c r="H454" s="169"/>
      <c r="I454" s="172"/>
      <c r="J454" s="161" t="s">
        <v>471</v>
      </c>
      <c r="K454" s="162">
        <f>SUM(K450:K453)</f>
        <v>0</v>
      </c>
      <c r="L454" s="163">
        <f>SUM(L450:L453)</f>
        <v>0</v>
      </c>
      <c r="N454" s="169"/>
      <c r="O454" s="172"/>
      <c r="P454" s="161" t="s">
        <v>471</v>
      </c>
      <c r="Q454" s="162">
        <f>SUM(Q450:Q453)</f>
        <v>0</v>
      </c>
      <c r="R454" s="163">
        <f>SUM(R450:R453)</f>
        <v>0</v>
      </c>
      <c r="T454" s="169"/>
      <c r="U454" s="172"/>
      <c r="V454" s="161" t="s">
        <v>471</v>
      </c>
      <c r="W454" s="162">
        <f>SUM(W450:W453)</f>
        <v>0</v>
      </c>
      <c r="X454" s="163">
        <f>SUM(X450:X453)</f>
        <v>0</v>
      </c>
      <c r="Z454" s="169"/>
      <c r="AA454" s="172"/>
      <c r="AB454" s="161" t="s">
        <v>471</v>
      </c>
      <c r="AC454" s="162">
        <f>SUM(AC450:AC453)</f>
        <v>0</v>
      </c>
      <c r="AD454" s="163">
        <f>SUM(AD450:AD453)</f>
        <v>0</v>
      </c>
      <c r="AF454" s="169"/>
      <c r="AG454" s="172"/>
      <c r="AH454" s="161" t="s">
        <v>471</v>
      </c>
      <c r="AI454" s="162">
        <f>SUM(AI450:AI453)</f>
        <v>0</v>
      </c>
      <c r="AJ454" s="163">
        <f>SUM(AJ450:AJ453)</f>
        <v>0</v>
      </c>
      <c r="AL454" s="169"/>
      <c r="AM454" s="172"/>
      <c r="AN454" s="161" t="s">
        <v>471</v>
      </c>
      <c r="AO454" s="162">
        <f>SUM(AO450:AO453)</f>
        <v>0</v>
      </c>
      <c r="AP454" s="163">
        <f>SUM(AP450:AP453)</f>
        <v>0</v>
      </c>
      <c r="AR454" s="169"/>
      <c r="AS454" s="172"/>
      <c r="AT454" s="161" t="s">
        <v>471</v>
      </c>
      <c r="AU454" s="162">
        <f>SUM(AU450:AU453)</f>
        <v>0</v>
      </c>
      <c r="AV454" s="163">
        <f>SUM(AV450:AV453)</f>
        <v>0</v>
      </c>
      <c r="BJ454" s="157">
        <f>SUM(E454,K454,Q454,W454,AC454,AI454,AO454,AU454,BA454,BG454)</f>
        <v>0</v>
      </c>
      <c r="BK454" s="158">
        <f>SUM(F454,L454,R454,X454,AD454,AJ454,AP454,AV454,BB454,BH454)</f>
        <v>0</v>
      </c>
    </row>
    <row r="455" spans="2:63" ht="14.4" thickBot="1" x14ac:dyDescent="0.3">
      <c r="B455" s="170"/>
      <c r="C455" s="173"/>
      <c r="D455" s="164" t="str">
        <f>IF(E454=F454,"",IF(E454&gt;F454,"Saldo Deudor","Saldo Acreedor"))</f>
        <v/>
      </c>
      <c r="E455" s="165" t="str">
        <f>IF(E454&gt;F454,E454-F454,"")</f>
        <v/>
      </c>
      <c r="F455" s="176" t="str">
        <f>IF(E454&lt;F454,F454-E454,"")</f>
        <v/>
      </c>
      <c r="H455" s="170"/>
      <c r="I455" s="173"/>
      <c r="J455" s="164" t="str">
        <f>IF(K454=L454,"",IF(K454&gt;L454,"Saldo Deudor","Saldo Acreedor"))</f>
        <v/>
      </c>
      <c r="K455" s="165" t="str">
        <f>IF(K454&gt;L454,K454-L454,"")</f>
        <v/>
      </c>
      <c r="L455" s="176" t="str">
        <f>IF(K454&lt;L454,L454-K454,"")</f>
        <v/>
      </c>
      <c r="N455" s="170"/>
      <c r="O455" s="173"/>
      <c r="P455" s="164" t="str">
        <f>IF(Q454=R454,"",IF(Q454&gt;R454,"Saldo Deudor","Saldo Acreedor"))</f>
        <v/>
      </c>
      <c r="Q455" s="165" t="str">
        <f>IF(Q454&gt;R454,Q454-R454,"")</f>
        <v/>
      </c>
      <c r="R455" s="176" t="str">
        <f>IF(Q454&lt;R454,R454-Q454,"")</f>
        <v/>
      </c>
      <c r="T455" s="170"/>
      <c r="U455" s="173"/>
      <c r="V455" s="164" t="str">
        <f>IF(W454=X454,"",IF(W454&gt;X454,"Saldo Deudor","Saldo Acreedor"))</f>
        <v/>
      </c>
      <c r="W455" s="165" t="str">
        <f>IF(W454&gt;X454,W454-X454,"")</f>
        <v/>
      </c>
      <c r="X455" s="176" t="str">
        <f>IF(W454&lt;X454,X454-W454,"")</f>
        <v/>
      </c>
      <c r="Z455" s="170"/>
      <c r="AA455" s="173"/>
      <c r="AB455" s="164" t="str">
        <f>IF(AC454=AD454,"",IF(AC454&gt;AD454,"Saldo Deudor","Saldo Acreedor"))</f>
        <v/>
      </c>
      <c r="AC455" s="165" t="str">
        <f>IF(AC454&gt;AD454,AC454-AD454,"")</f>
        <v/>
      </c>
      <c r="AD455" s="176" t="str">
        <f>IF(AC454&lt;AD454,AD454-AC454,"")</f>
        <v/>
      </c>
      <c r="AF455" s="170"/>
      <c r="AG455" s="173"/>
      <c r="AH455" s="164" t="str">
        <f>IF(AI454=AJ454,"",IF(AI454&gt;AJ454,"Saldo Deudor","Saldo Acreedor"))</f>
        <v/>
      </c>
      <c r="AI455" s="165" t="str">
        <f>IF(AI454&gt;AJ454,AI454-AJ454,"")</f>
        <v/>
      </c>
      <c r="AJ455" s="176" t="str">
        <f>IF(AI454&lt;AJ454,AJ454-AI454,"")</f>
        <v/>
      </c>
      <c r="AL455" s="170"/>
      <c r="AM455" s="173"/>
      <c r="AN455" s="164" t="str">
        <f>IF(AO454=AP454,"",IF(AO454&gt;AP454,"Saldo Deudor","Saldo Acreedor"))</f>
        <v/>
      </c>
      <c r="AO455" s="165" t="str">
        <f>IF(AO454&gt;AP454,AO454-AP454,"")</f>
        <v/>
      </c>
      <c r="AP455" s="176" t="str">
        <f>IF(AO454&lt;AP454,AP454-AO454,"")</f>
        <v/>
      </c>
      <c r="AR455" s="170"/>
      <c r="AS455" s="173"/>
      <c r="AT455" s="164" t="str">
        <f>IF(AU454=AV454,"",IF(AU454&gt;AV454,"Saldo Deudor","Saldo Acreedor"))</f>
        <v/>
      </c>
      <c r="AU455" s="165" t="str">
        <f>IF(AU454&gt;AV454,AU454-AV454,"")</f>
        <v/>
      </c>
      <c r="AV455" s="176" t="str">
        <f>IF(AU454&lt;AV454,AV454-AU454,"")</f>
        <v/>
      </c>
    </row>
    <row r="458" spans="2:63" ht="15.6" x14ac:dyDescent="0.25">
      <c r="B458" s="324" t="s">
        <v>472</v>
      </c>
      <c r="C458" s="324"/>
      <c r="D458" s="175">
        <v>3311</v>
      </c>
      <c r="E458" s="160"/>
    </row>
    <row r="459" spans="2:63" x14ac:dyDescent="0.25">
      <c r="B459" s="160"/>
      <c r="C459" s="160"/>
      <c r="D459" s="160"/>
      <c r="E459" s="160"/>
    </row>
    <row r="460" spans="2:63" ht="15.6" x14ac:dyDescent="0.25">
      <c r="B460" s="324" t="s">
        <v>473</v>
      </c>
      <c r="C460" s="324"/>
      <c r="D460" s="234" t="str">
        <f>VLOOKUP(D458,DivisionariasContables,3,FALSE)</f>
        <v>Terrenos</v>
      </c>
      <c r="E460" s="160"/>
    </row>
    <row r="461" spans="2:63" ht="14.4" thickBot="1" x14ac:dyDescent="0.3"/>
    <row r="462" spans="2:63" x14ac:dyDescent="0.25">
      <c r="B462" s="325" t="s">
        <v>466</v>
      </c>
      <c r="C462" s="327" t="s">
        <v>467</v>
      </c>
      <c r="D462" s="327" t="s">
        <v>468</v>
      </c>
      <c r="E462" s="329" t="s">
        <v>469</v>
      </c>
      <c r="F462" s="330"/>
    </row>
    <row r="463" spans="2:63" ht="14.4" thickBot="1" x14ac:dyDescent="0.3">
      <c r="B463" s="326"/>
      <c r="C463" s="328"/>
      <c r="D463" s="328"/>
      <c r="E463" s="232" t="s">
        <v>403</v>
      </c>
      <c r="F463" s="174" t="s">
        <v>402</v>
      </c>
    </row>
    <row r="464" spans="2:63" ht="14.4" thickTop="1" x14ac:dyDescent="0.25">
      <c r="B464" s="236">
        <v>41670</v>
      </c>
      <c r="C464" s="171"/>
      <c r="D464" s="166" t="s">
        <v>470</v>
      </c>
      <c r="E464" s="167">
        <f>SUMIF('Libro Diario Convencional'!$D$15:$D$167,D458,'Libro Diario Convencional'!$G$15:$G$167)</f>
        <v>0</v>
      </c>
      <c r="F464" s="168">
        <f>SUMIF('Libro Diario Convencional'!$D$15:$D$167,D458,'Libro Diario Convencional'!$H$15:$H$167)</f>
        <v>0</v>
      </c>
    </row>
    <row r="465" spans="2:63" x14ac:dyDescent="0.25">
      <c r="B465" s="169">
        <v>41670</v>
      </c>
      <c r="C465" s="172"/>
      <c r="D465" s="161" t="s">
        <v>474</v>
      </c>
      <c r="E465" s="162">
        <f>SUMIF('Asientos de Cierre'!$D$6:$D$549,D458,'Asientos de Cierre'!$G$6:$G$549)</f>
        <v>0</v>
      </c>
      <c r="F465" s="163">
        <f>SUMIF('Asientos de Cierre'!$D$6:$D$549,D458,'Asientos de Cierre'!$H$6:$H$549)</f>
        <v>0</v>
      </c>
    </row>
    <row r="466" spans="2:63" x14ac:dyDescent="0.25">
      <c r="B466" s="169"/>
      <c r="C466" s="172"/>
      <c r="D466" s="161"/>
      <c r="E466" s="162"/>
      <c r="F466" s="163"/>
    </row>
    <row r="467" spans="2:63" ht="14.4" thickBot="1" x14ac:dyDescent="0.3">
      <c r="B467" s="169"/>
      <c r="C467" s="172"/>
      <c r="D467" s="161"/>
      <c r="E467" s="162"/>
      <c r="F467" s="163"/>
    </row>
    <row r="468" spans="2:63" ht="15" thickBot="1" x14ac:dyDescent="0.3">
      <c r="B468" s="169"/>
      <c r="C468" s="172"/>
      <c r="D468" s="161" t="s">
        <v>471</v>
      </c>
      <c r="E468" s="162">
        <f>SUM(E464:E467)</f>
        <v>0</v>
      </c>
      <c r="F468" s="163">
        <f>SUM(F464:F467)</f>
        <v>0</v>
      </c>
      <c r="BJ468" s="157">
        <f>SUM(E468,K468,Q468,W468,AC468,AI468,AO468,AU468,BA468,BG468)</f>
        <v>0</v>
      </c>
      <c r="BK468" s="158">
        <f>SUM(F468,L468,R468,X468,AD468,AJ468,AP468,AV468,BB468,BH468)</f>
        <v>0</v>
      </c>
    </row>
    <row r="469" spans="2:63" ht="14.4" thickBot="1" x14ac:dyDescent="0.3">
      <c r="B469" s="170"/>
      <c r="C469" s="173"/>
      <c r="D469" s="164" t="str">
        <f>IF(E468=F468,"",IF(E468&gt;F468,"Saldo Deudor","Saldo Acreedor"))</f>
        <v/>
      </c>
      <c r="E469" s="165" t="str">
        <f>IF(E468&gt;F468,E468-F468,"")</f>
        <v/>
      </c>
      <c r="F469" s="176" t="str">
        <f>IF(E468&lt;F468,F468-E468,"")</f>
        <v/>
      </c>
    </row>
    <row r="472" spans="2:63" ht="15.6" x14ac:dyDescent="0.25">
      <c r="B472" s="324" t="s">
        <v>472</v>
      </c>
      <c r="C472" s="324"/>
      <c r="D472" s="175">
        <v>3321</v>
      </c>
      <c r="E472" s="160"/>
      <c r="H472" s="324" t="s">
        <v>472</v>
      </c>
      <c r="I472" s="324"/>
      <c r="J472" s="175">
        <v>3322</v>
      </c>
      <c r="K472" s="160"/>
      <c r="N472" s="324" t="s">
        <v>472</v>
      </c>
      <c r="O472" s="324"/>
      <c r="P472" s="175">
        <v>3323</v>
      </c>
      <c r="Q472" s="160"/>
      <c r="T472" s="324" t="s">
        <v>472</v>
      </c>
      <c r="U472" s="324"/>
      <c r="V472" s="175">
        <v>3324</v>
      </c>
      <c r="W472" s="160"/>
    </row>
    <row r="473" spans="2:63" x14ac:dyDescent="0.25">
      <c r="B473" s="160"/>
      <c r="C473" s="160"/>
      <c r="D473" s="160"/>
      <c r="E473" s="160"/>
      <c r="H473" s="160"/>
      <c r="I473" s="160"/>
      <c r="J473" s="160"/>
      <c r="K473" s="160"/>
      <c r="N473" s="160"/>
      <c r="O473" s="160"/>
      <c r="P473" s="160"/>
      <c r="Q473" s="160"/>
      <c r="T473" s="160"/>
      <c r="U473" s="160"/>
      <c r="V473" s="160"/>
      <c r="W473" s="160"/>
    </row>
    <row r="474" spans="2:63" ht="15.6" x14ac:dyDescent="0.25">
      <c r="B474" s="324" t="s">
        <v>473</v>
      </c>
      <c r="C474" s="324"/>
      <c r="D474" s="234" t="str">
        <f>VLOOKUP(D472,DivisionariasContables,3,FALSE)</f>
        <v>Edificaciones - Edificaciones Administrativas</v>
      </c>
      <c r="E474" s="160"/>
      <c r="H474" s="324" t="s">
        <v>473</v>
      </c>
      <c r="I474" s="324"/>
      <c r="J474" s="234" t="str">
        <f>VLOOKUP(J472,DivisionariasContables,3,FALSE)</f>
        <v>Edificaciones - Almacenes</v>
      </c>
      <c r="K474" s="160"/>
      <c r="N474" s="324" t="s">
        <v>473</v>
      </c>
      <c r="O474" s="324"/>
      <c r="P474" s="234" t="str">
        <f>VLOOKUP(P472,DivisionariasContables,3,FALSE)</f>
        <v>Edificaciones - Edificaciones para Producción</v>
      </c>
      <c r="Q474" s="160"/>
      <c r="T474" s="324" t="s">
        <v>473</v>
      </c>
      <c r="U474" s="324"/>
      <c r="V474" s="234" t="str">
        <f>VLOOKUP(V472,DivisionariasContables,3,FALSE)</f>
        <v>Edificaciones - Instalaciones</v>
      </c>
      <c r="W474" s="160"/>
    </row>
    <row r="475" spans="2:63" ht="14.4" thickBot="1" x14ac:dyDescent="0.3"/>
    <row r="476" spans="2:63" x14ac:dyDescent="0.25">
      <c r="B476" s="325" t="s">
        <v>466</v>
      </c>
      <c r="C476" s="327" t="s">
        <v>467</v>
      </c>
      <c r="D476" s="327" t="s">
        <v>468</v>
      </c>
      <c r="E476" s="329" t="s">
        <v>469</v>
      </c>
      <c r="F476" s="330"/>
      <c r="H476" s="325" t="s">
        <v>466</v>
      </c>
      <c r="I476" s="327" t="s">
        <v>467</v>
      </c>
      <c r="J476" s="327" t="s">
        <v>468</v>
      </c>
      <c r="K476" s="329" t="s">
        <v>469</v>
      </c>
      <c r="L476" s="330"/>
      <c r="N476" s="325" t="s">
        <v>466</v>
      </c>
      <c r="O476" s="327" t="s">
        <v>467</v>
      </c>
      <c r="P476" s="327" t="s">
        <v>468</v>
      </c>
      <c r="Q476" s="329" t="s">
        <v>469</v>
      </c>
      <c r="R476" s="330"/>
      <c r="T476" s="325" t="s">
        <v>466</v>
      </c>
      <c r="U476" s="327" t="s">
        <v>467</v>
      </c>
      <c r="V476" s="327" t="s">
        <v>468</v>
      </c>
      <c r="W476" s="329" t="s">
        <v>469</v>
      </c>
      <c r="X476" s="330"/>
    </row>
    <row r="477" spans="2:63" ht="14.4" thickBot="1" x14ac:dyDescent="0.3">
      <c r="B477" s="326"/>
      <c r="C477" s="328"/>
      <c r="D477" s="328"/>
      <c r="E477" s="232" t="s">
        <v>403</v>
      </c>
      <c r="F477" s="174" t="s">
        <v>402</v>
      </c>
      <c r="H477" s="326"/>
      <c r="I477" s="328"/>
      <c r="J477" s="328"/>
      <c r="K477" s="232" t="s">
        <v>403</v>
      </c>
      <c r="L477" s="174" t="s">
        <v>402</v>
      </c>
      <c r="N477" s="326"/>
      <c r="O477" s="328"/>
      <c r="P477" s="328"/>
      <c r="Q477" s="232" t="s">
        <v>403</v>
      </c>
      <c r="R477" s="174" t="s">
        <v>402</v>
      </c>
      <c r="T477" s="326"/>
      <c r="U477" s="328"/>
      <c r="V477" s="328"/>
      <c r="W477" s="232" t="s">
        <v>403</v>
      </c>
      <c r="X477" s="174" t="s">
        <v>402</v>
      </c>
    </row>
    <row r="478" spans="2:63" ht="14.4" thickTop="1" x14ac:dyDescent="0.25">
      <c r="B478" s="236">
        <v>41670</v>
      </c>
      <c r="C478" s="171"/>
      <c r="D478" s="166" t="s">
        <v>470</v>
      </c>
      <c r="E478" s="167">
        <f>SUMIF('Libro Diario Convencional'!$D$15:$D$167,D472,'Libro Diario Convencional'!$G$15:$G$167)</f>
        <v>0</v>
      </c>
      <c r="F478" s="168">
        <f>SUMIF('Libro Diario Convencional'!$D$15:$D$167,D472,'Libro Diario Convencional'!$H$15:$H$167)</f>
        <v>0</v>
      </c>
      <c r="H478" s="236">
        <v>41670</v>
      </c>
      <c r="I478" s="171"/>
      <c r="J478" s="166" t="s">
        <v>470</v>
      </c>
      <c r="K478" s="167">
        <f>SUMIF('Libro Diario Convencional'!$D$15:$D$167,J472,'Libro Diario Convencional'!$G$15:$G$167)</f>
        <v>0</v>
      </c>
      <c r="L478" s="168">
        <f>SUMIF('Libro Diario Convencional'!$D$15:$D$167,J472,'Libro Diario Convencional'!$H$15:$H$167)</f>
        <v>0</v>
      </c>
      <c r="N478" s="236">
        <v>41670</v>
      </c>
      <c r="O478" s="171"/>
      <c r="P478" s="166" t="s">
        <v>470</v>
      </c>
      <c r="Q478" s="167">
        <f>SUMIF('Libro Diario Convencional'!$D$15:$D$167,P472,'Libro Diario Convencional'!$G$15:$G$167)</f>
        <v>0</v>
      </c>
      <c r="R478" s="168">
        <f>SUMIF('Libro Diario Convencional'!$D$15:$D$167,P472,'Libro Diario Convencional'!$H$15:$H$167)</f>
        <v>0</v>
      </c>
      <c r="T478" s="236">
        <v>41670</v>
      </c>
      <c r="U478" s="171"/>
      <c r="V478" s="166" t="s">
        <v>470</v>
      </c>
      <c r="W478" s="167">
        <f>SUMIF('Libro Diario Convencional'!$D$15:$D$167,V472,'Libro Diario Convencional'!$G$15:$G$167)</f>
        <v>0</v>
      </c>
      <c r="X478" s="168">
        <f>SUMIF('Libro Diario Convencional'!$D$15:$D$167,V472,'Libro Diario Convencional'!$H$15:$H$167)</f>
        <v>0</v>
      </c>
    </row>
    <row r="479" spans="2:63" x14ac:dyDescent="0.25">
      <c r="B479" s="169">
        <v>41670</v>
      </c>
      <c r="C479" s="172"/>
      <c r="D479" s="161" t="s">
        <v>474</v>
      </c>
      <c r="E479" s="162">
        <f>SUMIF('Asientos de Cierre'!$D$6:$D$549,D472,'Asientos de Cierre'!$G$6:$G$549)</f>
        <v>0</v>
      </c>
      <c r="F479" s="163">
        <f>SUMIF('Asientos de Cierre'!$D$6:$D$549,D472,'Asientos de Cierre'!$H$6:$H$549)</f>
        <v>0</v>
      </c>
      <c r="H479" s="169">
        <v>41670</v>
      </c>
      <c r="I479" s="172"/>
      <c r="J479" s="161" t="s">
        <v>474</v>
      </c>
      <c r="K479" s="162">
        <f>SUMIF('Asientos de Cierre'!$D$6:$D$549,J472,'Asientos de Cierre'!$G$6:$G$549)</f>
        <v>0</v>
      </c>
      <c r="L479" s="163">
        <f>SUMIF('Asientos de Cierre'!$D$6:$D$549,J472,'Asientos de Cierre'!$H$6:$H$549)</f>
        <v>0</v>
      </c>
      <c r="N479" s="169">
        <v>41670</v>
      </c>
      <c r="O479" s="172"/>
      <c r="P479" s="161" t="s">
        <v>474</v>
      </c>
      <c r="Q479" s="162">
        <f>SUMIF('Asientos de Cierre'!$D$6:$D$549,P472,'Asientos de Cierre'!$G$6:$G$549)</f>
        <v>0</v>
      </c>
      <c r="R479" s="163">
        <f>SUMIF('Asientos de Cierre'!$D$6:$D$549,P472,'Asientos de Cierre'!$H$6:$H$549)</f>
        <v>0</v>
      </c>
      <c r="T479" s="169">
        <v>41670</v>
      </c>
      <c r="U479" s="172"/>
      <c r="V479" s="161" t="s">
        <v>474</v>
      </c>
      <c r="W479" s="162">
        <f>SUMIF('Asientos de Cierre'!$D$6:$D$549,V472,'Asientos de Cierre'!$G$6:$G$549)</f>
        <v>0</v>
      </c>
      <c r="X479" s="163">
        <f>SUMIF('Asientos de Cierre'!$D$6:$D$549,V472,'Asientos de Cierre'!$H$6:$H$549)</f>
        <v>0</v>
      </c>
    </row>
    <row r="480" spans="2:63" x14ac:dyDescent="0.25">
      <c r="B480" s="169"/>
      <c r="C480" s="172"/>
      <c r="D480" s="161"/>
      <c r="E480" s="162"/>
      <c r="F480" s="163"/>
      <c r="H480" s="169"/>
      <c r="I480" s="172"/>
      <c r="J480" s="161"/>
      <c r="K480" s="162"/>
      <c r="L480" s="163"/>
      <c r="N480" s="169"/>
      <c r="O480" s="172"/>
      <c r="P480" s="161"/>
      <c r="Q480" s="162"/>
      <c r="R480" s="163"/>
      <c r="T480" s="169"/>
      <c r="U480" s="172"/>
      <c r="V480" s="161"/>
      <c r="W480" s="162"/>
      <c r="X480" s="163"/>
    </row>
    <row r="481" spans="2:63" ht="14.4" thickBot="1" x14ac:dyDescent="0.3">
      <c r="B481" s="169"/>
      <c r="C481" s="172"/>
      <c r="D481" s="161"/>
      <c r="E481" s="162"/>
      <c r="F481" s="163"/>
      <c r="H481" s="169"/>
      <c r="I481" s="172"/>
      <c r="J481" s="161"/>
      <c r="K481" s="162"/>
      <c r="L481" s="163"/>
      <c r="N481" s="169"/>
      <c r="O481" s="172"/>
      <c r="P481" s="161"/>
      <c r="Q481" s="162"/>
      <c r="R481" s="163"/>
      <c r="T481" s="169"/>
      <c r="U481" s="172"/>
      <c r="V481" s="161"/>
      <c r="W481" s="162"/>
      <c r="X481" s="163"/>
    </row>
    <row r="482" spans="2:63" ht="15" thickBot="1" x14ac:dyDescent="0.3">
      <c r="B482" s="169"/>
      <c r="C482" s="172"/>
      <c r="D482" s="161" t="s">
        <v>471</v>
      </c>
      <c r="E482" s="162">
        <f>SUM(E478:E481)</f>
        <v>0</v>
      </c>
      <c r="F482" s="163">
        <f>SUM(F478:F481)</f>
        <v>0</v>
      </c>
      <c r="H482" s="169"/>
      <c r="I482" s="172"/>
      <c r="J482" s="161" t="s">
        <v>471</v>
      </c>
      <c r="K482" s="162">
        <f>SUM(K478:K481)</f>
        <v>0</v>
      </c>
      <c r="L482" s="163">
        <f>SUM(L478:L481)</f>
        <v>0</v>
      </c>
      <c r="N482" s="169"/>
      <c r="O482" s="172"/>
      <c r="P482" s="161" t="s">
        <v>471</v>
      </c>
      <c r="Q482" s="162">
        <f>SUM(Q478:Q481)</f>
        <v>0</v>
      </c>
      <c r="R482" s="163">
        <f>SUM(R478:R481)</f>
        <v>0</v>
      </c>
      <c r="T482" s="169"/>
      <c r="U482" s="172"/>
      <c r="V482" s="161" t="s">
        <v>471</v>
      </c>
      <c r="W482" s="162">
        <f>SUM(W478:W481)</f>
        <v>0</v>
      </c>
      <c r="X482" s="163">
        <f>SUM(X478:X481)</f>
        <v>0</v>
      </c>
      <c r="BJ482" s="157">
        <f>SUM(E482,K482,Q482,W482,AC482,AI482,AO482,AU482,BA482,BG482)</f>
        <v>0</v>
      </c>
      <c r="BK482" s="158">
        <f>SUM(F482,L482,R482,X482,AD482,AJ482,AP482,AV482,BB482,BH482)</f>
        <v>0</v>
      </c>
    </row>
    <row r="483" spans="2:63" ht="14.4" thickBot="1" x14ac:dyDescent="0.3">
      <c r="B483" s="170"/>
      <c r="C483" s="173"/>
      <c r="D483" s="164" t="str">
        <f>IF(E482=F482,"",IF(E482&gt;F482,"Saldo Deudor","Saldo Acreedor"))</f>
        <v/>
      </c>
      <c r="E483" s="165" t="str">
        <f>IF(E482&gt;F482,E482-F482,"")</f>
        <v/>
      </c>
      <c r="F483" s="176" t="str">
        <f>IF(E482&lt;F482,F482-E482,"")</f>
        <v/>
      </c>
      <c r="H483" s="170"/>
      <c r="I483" s="173"/>
      <c r="J483" s="164" t="str">
        <f>IF(K482=L482,"",IF(K482&gt;L482,"Saldo Deudor","Saldo Acreedor"))</f>
        <v/>
      </c>
      <c r="K483" s="165" t="str">
        <f>IF(K482&gt;L482,K482-L482,"")</f>
        <v/>
      </c>
      <c r="L483" s="176" t="str">
        <f>IF(K482&lt;L482,L482-K482,"")</f>
        <v/>
      </c>
      <c r="N483" s="170"/>
      <c r="O483" s="173"/>
      <c r="P483" s="164" t="str">
        <f>IF(Q482=R482,"",IF(Q482&gt;R482,"Saldo Deudor","Saldo Acreedor"))</f>
        <v/>
      </c>
      <c r="Q483" s="165" t="str">
        <f>IF(Q482&gt;R482,Q482-R482,"")</f>
        <v/>
      </c>
      <c r="R483" s="176" t="str">
        <f>IF(Q482&lt;R482,R482-Q482,"")</f>
        <v/>
      </c>
      <c r="T483" s="170"/>
      <c r="U483" s="173"/>
      <c r="V483" s="164" t="str">
        <f>IF(W482=X482,"",IF(W482&gt;X482,"Saldo Deudor","Saldo Acreedor"))</f>
        <v/>
      </c>
      <c r="W483" s="165" t="str">
        <f>IF(W482&gt;X482,W482-X482,"")</f>
        <v/>
      </c>
      <c r="X483" s="176" t="str">
        <f>IF(W482&lt;X482,X482-W482,"")</f>
        <v/>
      </c>
    </row>
    <row r="486" spans="2:63" ht="15.6" x14ac:dyDescent="0.25">
      <c r="B486" s="324" t="s">
        <v>472</v>
      </c>
      <c r="C486" s="324"/>
      <c r="D486" s="175">
        <v>3331</v>
      </c>
      <c r="E486" s="160"/>
    </row>
    <row r="487" spans="2:63" x14ac:dyDescent="0.25">
      <c r="B487" s="160"/>
      <c r="C487" s="160"/>
      <c r="D487" s="160"/>
      <c r="E487" s="160"/>
    </row>
    <row r="488" spans="2:63" ht="15.6" x14ac:dyDescent="0.25">
      <c r="B488" s="324" t="s">
        <v>473</v>
      </c>
      <c r="C488" s="324"/>
      <c r="D488" s="234" t="str">
        <f>VLOOKUP(D486,DivisionariasContables,3,FALSE)</f>
        <v>Maquinarias y Equipos de Explotación</v>
      </c>
      <c r="E488" s="160"/>
    </row>
    <row r="489" spans="2:63" ht="14.4" thickBot="1" x14ac:dyDescent="0.3"/>
    <row r="490" spans="2:63" x14ac:dyDescent="0.25">
      <c r="B490" s="325" t="s">
        <v>466</v>
      </c>
      <c r="C490" s="327" t="s">
        <v>467</v>
      </c>
      <c r="D490" s="327" t="s">
        <v>468</v>
      </c>
      <c r="E490" s="329" t="s">
        <v>469</v>
      </c>
      <c r="F490" s="330"/>
    </row>
    <row r="491" spans="2:63" ht="14.4" thickBot="1" x14ac:dyDescent="0.3">
      <c r="B491" s="326"/>
      <c r="C491" s="328"/>
      <c r="D491" s="328"/>
      <c r="E491" s="232" t="s">
        <v>403</v>
      </c>
      <c r="F491" s="174" t="s">
        <v>402</v>
      </c>
    </row>
    <row r="492" spans="2:63" ht="14.4" thickTop="1" x14ac:dyDescent="0.25">
      <c r="B492" s="236">
        <v>41670</v>
      </c>
      <c r="C492" s="171"/>
      <c r="D492" s="166" t="s">
        <v>470</v>
      </c>
      <c r="E492" s="167">
        <f>SUMIF('Libro Diario Convencional'!$D$15:$D$167,D486,'Libro Diario Convencional'!$G$15:$G$167)</f>
        <v>0</v>
      </c>
      <c r="F492" s="168">
        <f>SUMIF('Libro Diario Convencional'!$D$15:$D$167,D486,'Libro Diario Convencional'!$H$15:$H$167)</f>
        <v>0</v>
      </c>
    </row>
    <row r="493" spans="2:63" x14ac:dyDescent="0.25">
      <c r="B493" s="169">
        <v>41670</v>
      </c>
      <c r="C493" s="172"/>
      <c r="D493" s="161" t="s">
        <v>474</v>
      </c>
      <c r="E493" s="162">
        <f>SUMIF('Asientos de Cierre'!$D$6:$D$549,D486,'Asientos de Cierre'!$G$6:$G$549)</f>
        <v>0</v>
      </c>
      <c r="F493" s="163">
        <f>SUMIF('Asientos de Cierre'!$D$6:$D$549,D486,'Asientos de Cierre'!$H$6:$H$549)</f>
        <v>0</v>
      </c>
    </row>
    <row r="494" spans="2:63" x14ac:dyDescent="0.25">
      <c r="B494" s="169"/>
      <c r="C494" s="172"/>
      <c r="D494" s="161"/>
      <c r="E494" s="162"/>
      <c r="F494" s="163"/>
    </row>
    <row r="495" spans="2:63" ht="14.4" thickBot="1" x14ac:dyDescent="0.3">
      <c r="B495" s="169"/>
      <c r="C495" s="172"/>
      <c r="D495" s="161"/>
      <c r="E495" s="162"/>
      <c r="F495" s="163"/>
    </row>
    <row r="496" spans="2:63" ht="15" thickBot="1" x14ac:dyDescent="0.3">
      <c r="B496" s="169"/>
      <c r="C496" s="172"/>
      <c r="D496" s="161" t="s">
        <v>471</v>
      </c>
      <c r="E496" s="162">
        <f>SUM(E492:E495)</f>
        <v>0</v>
      </c>
      <c r="F496" s="163">
        <f>SUM(F492:F495)</f>
        <v>0</v>
      </c>
      <c r="BJ496" s="157">
        <f>SUM(E496,K496,Q496,W496,AC496,AI496,AO496,AU496,BA496,BG496)</f>
        <v>0</v>
      </c>
      <c r="BK496" s="158">
        <f>SUM(F496,L496,R496,X496,AD496,AJ496,AP496,AV496,BB496,BH496)</f>
        <v>0</v>
      </c>
    </row>
    <row r="497" spans="2:63" ht="14.4" thickBot="1" x14ac:dyDescent="0.3">
      <c r="B497" s="170"/>
      <c r="C497" s="173"/>
      <c r="D497" s="164" t="str">
        <f>IF(E496=F496,"",IF(E496&gt;F496,"Saldo Deudor","Saldo Acreedor"))</f>
        <v/>
      </c>
      <c r="E497" s="165" t="str">
        <f>IF(E496&gt;F496,E496-F496,"")</f>
        <v/>
      </c>
      <c r="F497" s="176" t="str">
        <f>IF(E496&lt;F496,F496-E496,"")</f>
        <v/>
      </c>
    </row>
    <row r="500" spans="2:63" ht="15.6" x14ac:dyDescent="0.25">
      <c r="B500" s="324" t="s">
        <v>472</v>
      </c>
      <c r="C500" s="324"/>
      <c r="D500" s="175">
        <v>3341</v>
      </c>
      <c r="E500" s="160"/>
      <c r="H500" s="324" t="s">
        <v>472</v>
      </c>
      <c r="I500" s="324"/>
      <c r="J500" s="175">
        <v>3342</v>
      </c>
      <c r="K500" s="160"/>
    </row>
    <row r="501" spans="2:63" x14ac:dyDescent="0.25">
      <c r="B501" s="160"/>
      <c r="C501" s="160"/>
      <c r="D501" s="160"/>
      <c r="E501" s="160"/>
      <c r="H501" s="160"/>
      <c r="I501" s="160"/>
      <c r="J501" s="160"/>
      <c r="K501" s="160"/>
    </row>
    <row r="502" spans="2:63" ht="15.6" x14ac:dyDescent="0.25">
      <c r="B502" s="324" t="s">
        <v>473</v>
      </c>
      <c r="C502" s="324"/>
      <c r="D502" s="234" t="str">
        <f>VLOOKUP(D500,DivisionariasContables,3,FALSE)</f>
        <v>Equipo de Transporte - Vehículos Motorizados</v>
      </c>
      <c r="E502" s="160"/>
      <c r="H502" s="324" t="s">
        <v>473</v>
      </c>
      <c r="I502" s="324"/>
      <c r="J502" s="234" t="str">
        <f>VLOOKUP(J500,DivisionariasContables,3,FALSE)</f>
        <v>Equipo de Transporte - Vehículos No Motorizados</v>
      </c>
      <c r="K502" s="160"/>
    </row>
    <row r="503" spans="2:63" ht="14.4" thickBot="1" x14ac:dyDescent="0.3"/>
    <row r="504" spans="2:63" x14ac:dyDescent="0.25">
      <c r="B504" s="325" t="s">
        <v>466</v>
      </c>
      <c r="C504" s="327" t="s">
        <v>467</v>
      </c>
      <c r="D504" s="327" t="s">
        <v>468</v>
      </c>
      <c r="E504" s="329" t="s">
        <v>469</v>
      </c>
      <c r="F504" s="330"/>
      <c r="H504" s="325" t="s">
        <v>466</v>
      </c>
      <c r="I504" s="327" t="s">
        <v>467</v>
      </c>
      <c r="J504" s="327" t="s">
        <v>468</v>
      </c>
      <c r="K504" s="329" t="s">
        <v>469</v>
      </c>
      <c r="L504" s="330"/>
    </row>
    <row r="505" spans="2:63" ht="14.4" thickBot="1" x14ac:dyDescent="0.3">
      <c r="B505" s="326"/>
      <c r="C505" s="328"/>
      <c r="D505" s="328"/>
      <c r="E505" s="232" t="s">
        <v>403</v>
      </c>
      <c r="F505" s="174" t="s">
        <v>402</v>
      </c>
      <c r="H505" s="326"/>
      <c r="I505" s="328"/>
      <c r="J505" s="328"/>
      <c r="K505" s="232" t="s">
        <v>403</v>
      </c>
      <c r="L505" s="174" t="s">
        <v>402</v>
      </c>
    </row>
    <row r="506" spans="2:63" ht="14.4" thickTop="1" x14ac:dyDescent="0.25">
      <c r="B506" s="236">
        <v>41670</v>
      </c>
      <c r="C506" s="171"/>
      <c r="D506" s="166" t="s">
        <v>470</v>
      </c>
      <c r="E506" s="167">
        <f>SUMIF('Libro Diario Convencional'!$D$15:$D$167,D500,'Libro Diario Convencional'!$G$15:$G$167)</f>
        <v>0</v>
      </c>
      <c r="F506" s="168">
        <f>SUMIF('Libro Diario Convencional'!$D$15:$D$167,D500,'Libro Diario Convencional'!$H$15:$H$167)</f>
        <v>0</v>
      </c>
      <c r="H506" s="236">
        <v>41670</v>
      </c>
      <c r="I506" s="171"/>
      <c r="J506" s="166" t="s">
        <v>470</v>
      </c>
      <c r="K506" s="167">
        <f>SUMIF('Libro Diario Convencional'!$D$15:$D$167,J500,'Libro Diario Convencional'!$G$15:$G$167)</f>
        <v>0</v>
      </c>
      <c r="L506" s="168">
        <f>SUMIF('Libro Diario Convencional'!$D$15:$D$167,J500,'Libro Diario Convencional'!$H$15:$H$167)</f>
        <v>0</v>
      </c>
    </row>
    <row r="507" spans="2:63" x14ac:dyDescent="0.25">
      <c r="B507" s="169">
        <v>41670</v>
      </c>
      <c r="C507" s="172"/>
      <c r="D507" s="161" t="s">
        <v>474</v>
      </c>
      <c r="E507" s="162">
        <f>SUMIF('Asientos de Cierre'!$D$6:$D$549,D500,'Asientos de Cierre'!$G$6:$G$549)</f>
        <v>0</v>
      </c>
      <c r="F507" s="163">
        <f>SUMIF('Asientos de Cierre'!$D$6:$D$549,D500,'Asientos de Cierre'!$H$6:$H$549)</f>
        <v>0</v>
      </c>
      <c r="H507" s="169">
        <v>41670</v>
      </c>
      <c r="I507" s="172"/>
      <c r="J507" s="161" t="s">
        <v>474</v>
      </c>
      <c r="K507" s="162">
        <f>SUMIF('Asientos de Cierre'!$D$6:$D$549,J500,'Asientos de Cierre'!$G$6:$G$549)</f>
        <v>0</v>
      </c>
      <c r="L507" s="163">
        <f>SUMIF('Asientos de Cierre'!$D$6:$D$549,J500,'Asientos de Cierre'!$H$6:$H$549)</f>
        <v>0</v>
      </c>
    </row>
    <row r="508" spans="2:63" x14ac:dyDescent="0.25">
      <c r="B508" s="169"/>
      <c r="C508" s="172"/>
      <c r="D508" s="161"/>
      <c r="E508" s="162"/>
      <c r="F508" s="163"/>
      <c r="H508" s="169"/>
      <c r="I508" s="172"/>
      <c r="J508" s="161"/>
      <c r="K508" s="162"/>
      <c r="L508" s="163"/>
    </row>
    <row r="509" spans="2:63" ht="14.4" thickBot="1" x14ac:dyDescent="0.3">
      <c r="B509" s="169"/>
      <c r="C509" s="172"/>
      <c r="D509" s="161"/>
      <c r="E509" s="162"/>
      <c r="F509" s="163"/>
      <c r="H509" s="169"/>
      <c r="I509" s="172"/>
      <c r="J509" s="161"/>
      <c r="K509" s="162"/>
      <c r="L509" s="163"/>
    </row>
    <row r="510" spans="2:63" ht="15" thickBot="1" x14ac:dyDescent="0.3">
      <c r="B510" s="169"/>
      <c r="C510" s="172"/>
      <c r="D510" s="161" t="s">
        <v>471</v>
      </c>
      <c r="E510" s="162">
        <f>SUM(E506:E509)</f>
        <v>0</v>
      </c>
      <c r="F510" s="163">
        <f>SUM(F506:F509)</f>
        <v>0</v>
      </c>
      <c r="H510" s="169"/>
      <c r="I510" s="172"/>
      <c r="J510" s="161" t="s">
        <v>471</v>
      </c>
      <c r="K510" s="162">
        <f>SUM(K506:K509)</f>
        <v>0</v>
      </c>
      <c r="L510" s="163">
        <f>SUM(L506:L509)</f>
        <v>0</v>
      </c>
      <c r="BJ510" s="157">
        <f>SUM(E510,K510,Q510,W510,AC510,AI510,AO510,AU510,BA510,BG510)</f>
        <v>0</v>
      </c>
      <c r="BK510" s="158">
        <f>SUM(F510,L510,R510,X510,AD510,AJ510,AP510,AV510,BB510,BH510)</f>
        <v>0</v>
      </c>
    </row>
    <row r="511" spans="2:63" ht="14.4" thickBot="1" x14ac:dyDescent="0.3">
      <c r="B511" s="170"/>
      <c r="C511" s="173"/>
      <c r="D511" s="164" t="str">
        <f>IF(E510=F510,"",IF(E510&gt;F510,"Saldo Deudor","Saldo Acreedor"))</f>
        <v/>
      </c>
      <c r="E511" s="165" t="str">
        <f>IF(E510&gt;F510,E510-F510,"")</f>
        <v/>
      </c>
      <c r="F511" s="176" t="str">
        <f>IF(E510&lt;F510,F510-E510,"")</f>
        <v/>
      </c>
      <c r="H511" s="170"/>
      <c r="I511" s="173"/>
      <c r="J511" s="164" t="str">
        <f>IF(K510=L510,"",IF(K510&gt;L510,"Saldo Deudor","Saldo Acreedor"))</f>
        <v/>
      </c>
      <c r="K511" s="165" t="str">
        <f>IF(K510&gt;L510,K510-L510,"")</f>
        <v/>
      </c>
      <c r="L511" s="176" t="str">
        <f>IF(K510&lt;L510,L510-K510,"")</f>
        <v/>
      </c>
    </row>
    <row r="514" spans="2:63" ht="15.6" x14ac:dyDescent="0.25">
      <c r="B514" s="324" t="s">
        <v>472</v>
      </c>
      <c r="C514" s="324"/>
      <c r="D514" s="175">
        <v>3351</v>
      </c>
      <c r="E514" s="160"/>
      <c r="H514" s="324" t="s">
        <v>472</v>
      </c>
      <c r="I514" s="324"/>
      <c r="J514" s="175">
        <v>3352</v>
      </c>
      <c r="K514" s="160"/>
    </row>
    <row r="515" spans="2:63" x14ac:dyDescent="0.25">
      <c r="B515" s="160"/>
      <c r="C515" s="160"/>
      <c r="D515" s="160"/>
      <c r="E515" s="160"/>
      <c r="H515" s="160"/>
      <c r="I515" s="160"/>
      <c r="J515" s="160"/>
      <c r="K515" s="160"/>
    </row>
    <row r="516" spans="2:63" ht="15.6" x14ac:dyDescent="0.25">
      <c r="B516" s="324" t="s">
        <v>473</v>
      </c>
      <c r="C516" s="324"/>
      <c r="D516" s="234" t="str">
        <f>VLOOKUP(D514,DivisionariasContables,3,FALSE)</f>
        <v>Muebles y Enseres - Muebles</v>
      </c>
      <c r="E516" s="160"/>
      <c r="H516" s="324" t="s">
        <v>473</v>
      </c>
      <c r="I516" s="324"/>
      <c r="J516" s="234" t="str">
        <f>VLOOKUP(J514,DivisionariasContables,3,FALSE)</f>
        <v>Muebles y Enseres - Enseres</v>
      </c>
      <c r="K516" s="160"/>
    </row>
    <row r="517" spans="2:63" ht="14.4" thickBot="1" x14ac:dyDescent="0.3"/>
    <row r="518" spans="2:63" x14ac:dyDescent="0.25">
      <c r="B518" s="325" t="s">
        <v>466</v>
      </c>
      <c r="C518" s="327" t="s">
        <v>467</v>
      </c>
      <c r="D518" s="327" t="s">
        <v>468</v>
      </c>
      <c r="E518" s="329" t="s">
        <v>469</v>
      </c>
      <c r="F518" s="330"/>
      <c r="H518" s="325" t="s">
        <v>466</v>
      </c>
      <c r="I518" s="327" t="s">
        <v>467</v>
      </c>
      <c r="J518" s="327" t="s">
        <v>468</v>
      </c>
      <c r="K518" s="329" t="s">
        <v>469</v>
      </c>
      <c r="L518" s="330"/>
    </row>
    <row r="519" spans="2:63" ht="14.4" thickBot="1" x14ac:dyDescent="0.3">
      <c r="B519" s="326"/>
      <c r="C519" s="328"/>
      <c r="D519" s="328"/>
      <c r="E519" s="232" t="s">
        <v>403</v>
      </c>
      <c r="F519" s="174" t="s">
        <v>402</v>
      </c>
      <c r="H519" s="326"/>
      <c r="I519" s="328"/>
      <c r="J519" s="328"/>
      <c r="K519" s="232" t="s">
        <v>403</v>
      </c>
      <c r="L519" s="174" t="s">
        <v>402</v>
      </c>
    </row>
    <row r="520" spans="2:63" ht="14.4" thickTop="1" x14ac:dyDescent="0.25">
      <c r="B520" s="236">
        <v>41670</v>
      </c>
      <c r="C520" s="171"/>
      <c r="D520" s="166" t="s">
        <v>470</v>
      </c>
      <c r="E520" s="167">
        <f>SUMIF('Libro Diario Convencional'!$D$15:$D$167,D514,'Libro Diario Convencional'!$G$15:$G$167)</f>
        <v>103800</v>
      </c>
      <c r="F520" s="168">
        <f>SUMIF('Libro Diario Convencional'!$D$15:$D$167,D514,'Libro Diario Convencional'!$H$15:$H$167)</f>
        <v>0</v>
      </c>
      <c r="H520" s="236">
        <v>41670</v>
      </c>
      <c r="I520" s="171"/>
      <c r="J520" s="166" t="s">
        <v>470</v>
      </c>
      <c r="K520" s="167">
        <f>SUMIF('Libro Diario Convencional'!$D$15:$D$167,J514,'Libro Diario Convencional'!$G$15:$G$167)</f>
        <v>0</v>
      </c>
      <c r="L520" s="168">
        <f>SUMIF('Libro Diario Convencional'!$D$15:$D$167,J514,'Libro Diario Convencional'!$H$15:$H$167)</f>
        <v>0</v>
      </c>
    </row>
    <row r="521" spans="2:63" x14ac:dyDescent="0.25">
      <c r="B521" s="169">
        <v>41670</v>
      </c>
      <c r="C521" s="172"/>
      <c r="D521" s="161" t="s">
        <v>474</v>
      </c>
      <c r="E521" s="162">
        <f>SUMIF('Asientos de Cierre'!$D$6:$D$549,D514,'Asientos de Cierre'!$G$6:$G$549)</f>
        <v>0</v>
      </c>
      <c r="F521" s="163">
        <f>SUMIF('Asientos de Cierre'!$D$6:$D$549,D514,'Asientos de Cierre'!$H$6:$H$549)</f>
        <v>103800</v>
      </c>
      <c r="H521" s="169">
        <v>41670</v>
      </c>
      <c r="I521" s="172"/>
      <c r="J521" s="161" t="s">
        <v>474</v>
      </c>
      <c r="K521" s="162">
        <f>SUMIF('Asientos de Cierre'!$D$6:$D$549,J514,'Asientos de Cierre'!$G$6:$G$549)</f>
        <v>0</v>
      </c>
      <c r="L521" s="163">
        <f>SUMIF('Asientos de Cierre'!$D$6:$D$549,J514,'Asientos de Cierre'!$H$6:$H$549)</f>
        <v>0</v>
      </c>
    </row>
    <row r="522" spans="2:63" x14ac:dyDescent="0.25">
      <c r="B522" s="169"/>
      <c r="C522" s="172"/>
      <c r="D522" s="161"/>
      <c r="E522" s="162"/>
      <c r="F522" s="163"/>
      <c r="H522" s="169"/>
      <c r="I522" s="172"/>
      <c r="J522" s="161"/>
      <c r="K522" s="162"/>
      <c r="L522" s="163"/>
    </row>
    <row r="523" spans="2:63" ht="14.4" thickBot="1" x14ac:dyDescent="0.3">
      <c r="B523" s="169"/>
      <c r="C523" s="172"/>
      <c r="D523" s="161"/>
      <c r="E523" s="162"/>
      <c r="F523" s="163"/>
      <c r="H523" s="169"/>
      <c r="I523" s="172"/>
      <c r="J523" s="161"/>
      <c r="K523" s="162"/>
      <c r="L523" s="163"/>
    </row>
    <row r="524" spans="2:63" ht="15" thickBot="1" x14ac:dyDescent="0.3">
      <c r="B524" s="169"/>
      <c r="C524" s="172"/>
      <c r="D524" s="161" t="s">
        <v>471</v>
      </c>
      <c r="E524" s="162">
        <f>SUM(E520:E523)</f>
        <v>103800</v>
      </c>
      <c r="F524" s="163">
        <f>SUM(F520:F523)</f>
        <v>103800</v>
      </c>
      <c r="H524" s="169"/>
      <c r="I524" s="172"/>
      <c r="J524" s="161" t="s">
        <v>471</v>
      </c>
      <c r="K524" s="162">
        <f>SUM(K520:K523)</f>
        <v>0</v>
      </c>
      <c r="L524" s="163">
        <f>SUM(L520:L523)</f>
        <v>0</v>
      </c>
      <c r="BJ524" s="157">
        <f>SUM(E524,K524,Q524,W524,AC524,AI524,AO524,AU524,BA524,BG524)</f>
        <v>103800</v>
      </c>
      <c r="BK524" s="158">
        <f>SUM(F524,L524,R524,X524,AD524,AJ524,AP524,AV524,BB524,BH524)</f>
        <v>103800</v>
      </c>
    </row>
    <row r="525" spans="2:63" ht="14.4" thickBot="1" x14ac:dyDescent="0.3">
      <c r="B525" s="170"/>
      <c r="C525" s="173"/>
      <c r="D525" s="164" t="str">
        <f>IF(E524=F524,"",IF(E524&gt;F524,"Saldo Deudor","Saldo Acreedor"))</f>
        <v/>
      </c>
      <c r="E525" s="165" t="str">
        <f>IF(E524&gt;F524,E524-F524,"")</f>
        <v/>
      </c>
      <c r="F525" s="176" t="str">
        <f>IF(E524&lt;F524,F524-E524,"")</f>
        <v/>
      </c>
      <c r="H525" s="170"/>
      <c r="I525" s="173"/>
      <c r="J525" s="164" t="str">
        <f>IF(K524=L524,"",IF(K524&gt;L524,"Saldo Deudor","Saldo Acreedor"))</f>
        <v/>
      </c>
      <c r="K525" s="165" t="str">
        <f>IF(K524&gt;L524,K524-L524,"")</f>
        <v/>
      </c>
      <c r="L525" s="176" t="str">
        <f>IF(K524&lt;L524,L524-K524,"")</f>
        <v/>
      </c>
    </row>
    <row r="528" spans="2:63" ht="15.6" x14ac:dyDescent="0.25">
      <c r="B528" s="324" t="s">
        <v>472</v>
      </c>
      <c r="C528" s="324"/>
      <c r="D528" s="175">
        <v>3361</v>
      </c>
      <c r="E528" s="160"/>
      <c r="H528" s="324" t="s">
        <v>472</v>
      </c>
      <c r="I528" s="324"/>
      <c r="J528" s="175">
        <v>3362</v>
      </c>
      <c r="K528" s="160"/>
      <c r="N528" s="324" t="s">
        <v>472</v>
      </c>
      <c r="O528" s="324"/>
      <c r="P528" s="175">
        <v>3363</v>
      </c>
      <c r="Q528" s="160"/>
      <c r="T528" s="324" t="s">
        <v>472</v>
      </c>
      <c r="U528" s="324"/>
      <c r="V528" s="175">
        <v>3369</v>
      </c>
      <c r="W528" s="160"/>
    </row>
    <row r="529" spans="2:63" x14ac:dyDescent="0.25">
      <c r="B529" s="160"/>
      <c r="C529" s="160"/>
      <c r="D529" s="160"/>
      <c r="E529" s="160"/>
      <c r="H529" s="160"/>
      <c r="I529" s="160"/>
      <c r="J529" s="160"/>
      <c r="K529" s="160"/>
      <c r="N529" s="160"/>
      <c r="O529" s="160"/>
      <c r="P529" s="160"/>
      <c r="Q529" s="160"/>
      <c r="T529" s="160"/>
      <c r="U529" s="160"/>
      <c r="V529" s="160"/>
      <c r="W529" s="160"/>
    </row>
    <row r="530" spans="2:63" ht="15.6" x14ac:dyDescent="0.25">
      <c r="B530" s="324" t="s">
        <v>473</v>
      </c>
      <c r="C530" s="324"/>
      <c r="D530" s="234" t="str">
        <f>VLOOKUP(D528,DivisionariasContables,3,FALSE)</f>
        <v>Equipo para Procesamiento de Información (de Cómputo)</v>
      </c>
      <c r="E530" s="160"/>
      <c r="H530" s="324" t="s">
        <v>473</v>
      </c>
      <c r="I530" s="324"/>
      <c r="J530" s="234" t="str">
        <f>VLOOKUP(J528,DivisionariasContables,3,FALSE)</f>
        <v>Equipo de Comunicación</v>
      </c>
      <c r="K530" s="160"/>
      <c r="N530" s="324" t="s">
        <v>473</v>
      </c>
      <c r="O530" s="324"/>
      <c r="P530" s="234" t="str">
        <f>VLOOKUP(P528,DivisionariasContables,3,FALSE)</f>
        <v>Equipo de Seguridad</v>
      </c>
      <c r="Q530" s="160"/>
      <c r="T530" s="324" t="s">
        <v>473</v>
      </c>
      <c r="U530" s="324"/>
      <c r="V530" s="234" t="str">
        <f>VLOOKUP(V528,DivisionariasContables,3,FALSE)</f>
        <v>Otros Equipos</v>
      </c>
      <c r="W530" s="160"/>
    </row>
    <row r="531" spans="2:63" ht="14.4" thickBot="1" x14ac:dyDescent="0.3"/>
    <row r="532" spans="2:63" x14ac:dyDescent="0.25">
      <c r="B532" s="325" t="s">
        <v>466</v>
      </c>
      <c r="C532" s="327" t="s">
        <v>467</v>
      </c>
      <c r="D532" s="327" t="s">
        <v>468</v>
      </c>
      <c r="E532" s="329" t="s">
        <v>469</v>
      </c>
      <c r="F532" s="330"/>
      <c r="H532" s="325" t="s">
        <v>466</v>
      </c>
      <c r="I532" s="327" t="s">
        <v>467</v>
      </c>
      <c r="J532" s="327" t="s">
        <v>468</v>
      </c>
      <c r="K532" s="329" t="s">
        <v>469</v>
      </c>
      <c r="L532" s="330"/>
      <c r="N532" s="325" t="s">
        <v>466</v>
      </c>
      <c r="O532" s="327" t="s">
        <v>467</v>
      </c>
      <c r="P532" s="327" t="s">
        <v>468</v>
      </c>
      <c r="Q532" s="329" t="s">
        <v>469</v>
      </c>
      <c r="R532" s="330"/>
      <c r="T532" s="325" t="s">
        <v>466</v>
      </c>
      <c r="U532" s="327" t="s">
        <v>467</v>
      </c>
      <c r="V532" s="327" t="s">
        <v>468</v>
      </c>
      <c r="W532" s="329" t="s">
        <v>469</v>
      </c>
      <c r="X532" s="330"/>
    </row>
    <row r="533" spans="2:63" ht="14.4" thickBot="1" x14ac:dyDescent="0.3">
      <c r="B533" s="326"/>
      <c r="C533" s="328"/>
      <c r="D533" s="328"/>
      <c r="E533" s="232" t="s">
        <v>403</v>
      </c>
      <c r="F533" s="174" t="s">
        <v>402</v>
      </c>
      <c r="H533" s="326"/>
      <c r="I533" s="328"/>
      <c r="J533" s="328"/>
      <c r="K533" s="232" t="s">
        <v>403</v>
      </c>
      <c r="L533" s="174" t="s">
        <v>402</v>
      </c>
      <c r="N533" s="326"/>
      <c r="O533" s="328"/>
      <c r="P533" s="328"/>
      <c r="Q533" s="232" t="s">
        <v>403</v>
      </c>
      <c r="R533" s="174" t="s">
        <v>402</v>
      </c>
      <c r="T533" s="326"/>
      <c r="U533" s="328"/>
      <c r="V533" s="328"/>
      <c r="W533" s="232" t="s">
        <v>403</v>
      </c>
      <c r="X533" s="174" t="s">
        <v>402</v>
      </c>
    </row>
    <row r="534" spans="2:63" ht="14.4" thickTop="1" x14ac:dyDescent="0.25">
      <c r="B534" s="236">
        <v>41670</v>
      </c>
      <c r="C534" s="171"/>
      <c r="D534" s="166" t="s">
        <v>470</v>
      </c>
      <c r="E534" s="167">
        <f>SUMIF('Libro Diario Convencional'!$D$15:$D$167,D528,'Libro Diario Convencional'!$G$15:$G$167)</f>
        <v>84650</v>
      </c>
      <c r="F534" s="168">
        <f>SUMIF('Libro Diario Convencional'!$D$15:$D$167,D528,'Libro Diario Convencional'!$H$15:$H$167)</f>
        <v>0</v>
      </c>
      <c r="H534" s="236">
        <v>41670</v>
      </c>
      <c r="I534" s="171"/>
      <c r="J534" s="166" t="s">
        <v>470</v>
      </c>
      <c r="K534" s="167">
        <f>SUMIF('Libro Diario Convencional'!$D$15:$D$167,J528,'Libro Diario Convencional'!$G$15:$G$167)</f>
        <v>0</v>
      </c>
      <c r="L534" s="168">
        <f>SUMIF('Libro Diario Convencional'!$D$15:$D$167,J528,'Libro Diario Convencional'!$H$15:$H$167)</f>
        <v>0</v>
      </c>
      <c r="N534" s="236">
        <v>41670</v>
      </c>
      <c r="O534" s="171"/>
      <c r="P534" s="166" t="s">
        <v>470</v>
      </c>
      <c r="Q534" s="167">
        <f>SUMIF('Libro Diario Convencional'!$D$15:$D$167,P528,'Libro Diario Convencional'!$G$15:$G$167)</f>
        <v>0</v>
      </c>
      <c r="R534" s="168">
        <f>SUMIF('Libro Diario Convencional'!$D$15:$D$167,P528,'Libro Diario Convencional'!$H$15:$H$167)</f>
        <v>0</v>
      </c>
      <c r="T534" s="236">
        <v>41670</v>
      </c>
      <c r="U534" s="171"/>
      <c r="V534" s="166" t="s">
        <v>470</v>
      </c>
      <c r="W534" s="167">
        <f>SUMIF('Libro Diario Convencional'!$D$15:$D$167,V528,'Libro Diario Convencional'!$G$15:$G$167)</f>
        <v>0</v>
      </c>
      <c r="X534" s="168">
        <f>SUMIF('Libro Diario Convencional'!$D$15:$D$167,V528,'Libro Diario Convencional'!$H$15:$H$167)</f>
        <v>0</v>
      </c>
    </row>
    <row r="535" spans="2:63" x14ac:dyDescent="0.25">
      <c r="B535" s="169">
        <v>41670</v>
      </c>
      <c r="C535" s="172"/>
      <c r="D535" s="161" t="s">
        <v>474</v>
      </c>
      <c r="E535" s="162">
        <f>SUMIF('Asientos de Cierre'!$D$6:$D$549,D528,'Asientos de Cierre'!$G$6:$G$549)</f>
        <v>0</v>
      </c>
      <c r="F535" s="163">
        <f>SUMIF('Asientos de Cierre'!$D$6:$D$549,D528,'Asientos de Cierre'!$H$6:$H$549)</f>
        <v>84650</v>
      </c>
      <c r="H535" s="169">
        <v>41670</v>
      </c>
      <c r="I535" s="172"/>
      <c r="J535" s="161" t="s">
        <v>474</v>
      </c>
      <c r="K535" s="162">
        <f>SUMIF('Asientos de Cierre'!$D$6:$D$549,J528,'Asientos de Cierre'!$G$6:$G$549)</f>
        <v>0</v>
      </c>
      <c r="L535" s="163">
        <f>SUMIF('Asientos de Cierre'!$D$6:$D$549,J528,'Asientos de Cierre'!$H$6:$H$549)</f>
        <v>0</v>
      </c>
      <c r="N535" s="169">
        <v>41670</v>
      </c>
      <c r="O535" s="172"/>
      <c r="P535" s="161" t="s">
        <v>474</v>
      </c>
      <c r="Q535" s="162">
        <f>SUMIF('Asientos de Cierre'!$D$6:$D$549,P528,'Asientos de Cierre'!$G$6:$G$549)</f>
        <v>0</v>
      </c>
      <c r="R535" s="163">
        <f>SUMIF('Asientos de Cierre'!$D$6:$D$549,P528,'Asientos de Cierre'!$H$6:$H$549)</f>
        <v>0</v>
      </c>
      <c r="T535" s="169">
        <v>41670</v>
      </c>
      <c r="U535" s="172"/>
      <c r="V535" s="161" t="s">
        <v>474</v>
      </c>
      <c r="W535" s="162">
        <f>SUMIF('Asientos de Cierre'!$D$6:$D$549,V528,'Asientos de Cierre'!$G$6:$G$549)</f>
        <v>0</v>
      </c>
      <c r="X535" s="163">
        <f>SUMIF('Asientos de Cierre'!$D$6:$D$549,V528,'Asientos de Cierre'!$H$6:$H$549)</f>
        <v>0</v>
      </c>
    </row>
    <row r="536" spans="2:63" x14ac:dyDescent="0.25">
      <c r="B536" s="169"/>
      <c r="C536" s="172"/>
      <c r="D536" s="161"/>
      <c r="E536" s="162"/>
      <c r="F536" s="163"/>
      <c r="H536" s="169"/>
      <c r="I536" s="172"/>
      <c r="J536" s="161"/>
      <c r="K536" s="162"/>
      <c r="L536" s="163"/>
      <c r="N536" s="169"/>
      <c r="O536" s="172"/>
      <c r="P536" s="161"/>
      <c r="Q536" s="162"/>
      <c r="R536" s="163"/>
      <c r="T536" s="169"/>
      <c r="U536" s="172"/>
      <c r="V536" s="161"/>
      <c r="W536" s="162"/>
      <c r="X536" s="163"/>
    </row>
    <row r="537" spans="2:63" ht="14.4" thickBot="1" x14ac:dyDescent="0.3">
      <c r="B537" s="169"/>
      <c r="C537" s="172"/>
      <c r="D537" s="161"/>
      <c r="E537" s="162"/>
      <c r="F537" s="163"/>
      <c r="H537" s="169"/>
      <c r="I537" s="172"/>
      <c r="J537" s="161"/>
      <c r="K537" s="162"/>
      <c r="L537" s="163"/>
      <c r="N537" s="169"/>
      <c r="O537" s="172"/>
      <c r="P537" s="161"/>
      <c r="Q537" s="162"/>
      <c r="R537" s="163"/>
      <c r="T537" s="169"/>
      <c r="U537" s="172"/>
      <c r="V537" s="161"/>
      <c r="W537" s="162"/>
      <c r="X537" s="163"/>
    </row>
    <row r="538" spans="2:63" ht="15" thickBot="1" x14ac:dyDescent="0.3">
      <c r="B538" s="169"/>
      <c r="C538" s="172"/>
      <c r="D538" s="161" t="s">
        <v>471</v>
      </c>
      <c r="E538" s="162">
        <f>SUM(E534:E537)</f>
        <v>84650</v>
      </c>
      <c r="F538" s="163">
        <f>SUM(F534:F537)</f>
        <v>84650</v>
      </c>
      <c r="H538" s="169"/>
      <c r="I538" s="172"/>
      <c r="J538" s="161" t="s">
        <v>471</v>
      </c>
      <c r="K538" s="162">
        <f>SUM(K534:K537)</f>
        <v>0</v>
      </c>
      <c r="L538" s="163">
        <f>SUM(L534:L537)</f>
        <v>0</v>
      </c>
      <c r="N538" s="169"/>
      <c r="O538" s="172"/>
      <c r="P538" s="161" t="s">
        <v>471</v>
      </c>
      <c r="Q538" s="162">
        <f>SUM(Q534:Q537)</f>
        <v>0</v>
      </c>
      <c r="R538" s="163">
        <f>SUM(R534:R537)</f>
        <v>0</v>
      </c>
      <c r="T538" s="169"/>
      <c r="U538" s="172"/>
      <c r="V538" s="161" t="s">
        <v>471</v>
      </c>
      <c r="W538" s="162">
        <f>SUM(W534:W537)</f>
        <v>0</v>
      </c>
      <c r="X538" s="163">
        <f>SUM(X534:X537)</f>
        <v>0</v>
      </c>
      <c r="BJ538" s="157">
        <f>SUM(E538,K538,Q538,W538,AC538,AI538,AO538,AU538,BA538,BG538)</f>
        <v>84650</v>
      </c>
      <c r="BK538" s="158">
        <f>SUM(F538,L538,R538,X538,AD538,AJ538,AP538,AV538,BB538,BH538)</f>
        <v>84650</v>
      </c>
    </row>
    <row r="539" spans="2:63" ht="14.4" thickBot="1" x14ac:dyDescent="0.3">
      <c r="B539" s="170"/>
      <c r="C539" s="173"/>
      <c r="D539" s="164" t="str">
        <f>IF(E538=F538,"",IF(E538&gt;F538,"Saldo Deudor","Saldo Acreedor"))</f>
        <v/>
      </c>
      <c r="E539" s="165" t="str">
        <f>IF(E538&gt;F538,E538-F538,"")</f>
        <v/>
      </c>
      <c r="F539" s="176" t="str">
        <f>IF(E538&lt;F538,F538-E538,"")</f>
        <v/>
      </c>
      <c r="H539" s="170"/>
      <c r="I539" s="173"/>
      <c r="J539" s="164" t="str">
        <f>IF(K538=L538,"",IF(K538&gt;L538,"Saldo Deudor","Saldo Acreedor"))</f>
        <v/>
      </c>
      <c r="K539" s="165" t="str">
        <f>IF(K538&gt;L538,K538-L538,"")</f>
        <v/>
      </c>
      <c r="L539" s="176" t="str">
        <f>IF(K538&lt;L538,L538-K538,"")</f>
        <v/>
      </c>
      <c r="N539" s="170"/>
      <c r="O539" s="173"/>
      <c r="P539" s="164" t="str">
        <f>IF(Q538=R538,"",IF(Q538&gt;R538,"Saldo Deudor","Saldo Acreedor"))</f>
        <v/>
      </c>
      <c r="Q539" s="165" t="str">
        <f>IF(Q538&gt;R538,Q538-R538,"")</f>
        <v/>
      </c>
      <c r="R539" s="176" t="str">
        <f>IF(Q538&lt;R538,R538-Q538,"")</f>
        <v/>
      </c>
      <c r="T539" s="170"/>
      <c r="U539" s="173"/>
      <c r="V539" s="164" t="str">
        <f>IF(W538=X538,"",IF(W538&gt;X538,"Saldo Deudor","Saldo Acreedor"))</f>
        <v/>
      </c>
      <c r="W539" s="165" t="str">
        <f>IF(W538&gt;X538,W538-X538,"")</f>
        <v/>
      </c>
      <c r="X539" s="176" t="str">
        <f>IF(W538&lt;X538,X538-W538,"")</f>
        <v/>
      </c>
    </row>
    <row r="542" spans="2:63" ht="15.6" x14ac:dyDescent="0.25">
      <c r="B542" s="324" t="s">
        <v>472</v>
      </c>
      <c r="C542" s="324"/>
      <c r="D542" s="175">
        <v>3371</v>
      </c>
      <c r="E542" s="160"/>
      <c r="H542" s="324" t="s">
        <v>472</v>
      </c>
      <c r="I542" s="324"/>
      <c r="J542" s="175">
        <v>3372</v>
      </c>
      <c r="K542" s="160"/>
    </row>
    <row r="543" spans="2:63" x14ac:dyDescent="0.25">
      <c r="B543" s="160"/>
      <c r="C543" s="160"/>
      <c r="D543" s="160"/>
      <c r="E543" s="160"/>
      <c r="H543" s="160"/>
      <c r="I543" s="160"/>
      <c r="J543" s="160"/>
      <c r="K543" s="160"/>
    </row>
    <row r="544" spans="2:63" ht="15.6" x14ac:dyDescent="0.25">
      <c r="B544" s="324" t="s">
        <v>473</v>
      </c>
      <c r="C544" s="324"/>
      <c r="D544" s="234" t="str">
        <f>VLOOKUP(D542,DivisionariasContables,3,FALSE)</f>
        <v>Herramientas y Unidades de Reemplazo - Herramientas</v>
      </c>
      <c r="E544" s="160"/>
      <c r="H544" s="324" t="s">
        <v>473</v>
      </c>
      <c r="I544" s="324"/>
      <c r="J544" s="234" t="str">
        <f>VLOOKUP(J542,DivisionariasContables,3,FALSE)</f>
        <v>Herramientas y Unidades de Reemplazo - Unidades de Reemplazo</v>
      </c>
      <c r="K544" s="160"/>
    </row>
    <row r="545" spans="2:63" ht="14.4" thickBot="1" x14ac:dyDescent="0.3"/>
    <row r="546" spans="2:63" x14ac:dyDescent="0.25">
      <c r="B546" s="325" t="s">
        <v>466</v>
      </c>
      <c r="C546" s="327" t="s">
        <v>467</v>
      </c>
      <c r="D546" s="327" t="s">
        <v>468</v>
      </c>
      <c r="E546" s="329" t="s">
        <v>469</v>
      </c>
      <c r="F546" s="330"/>
      <c r="H546" s="325" t="s">
        <v>466</v>
      </c>
      <c r="I546" s="327" t="s">
        <v>467</v>
      </c>
      <c r="J546" s="327" t="s">
        <v>468</v>
      </c>
      <c r="K546" s="329" t="s">
        <v>469</v>
      </c>
      <c r="L546" s="330"/>
    </row>
    <row r="547" spans="2:63" ht="14.4" thickBot="1" x14ac:dyDescent="0.3">
      <c r="B547" s="326"/>
      <c r="C547" s="328"/>
      <c r="D547" s="328"/>
      <c r="E547" s="232" t="s">
        <v>403</v>
      </c>
      <c r="F547" s="174" t="s">
        <v>402</v>
      </c>
      <c r="H547" s="326"/>
      <c r="I547" s="328"/>
      <c r="J547" s="328"/>
      <c r="K547" s="232" t="s">
        <v>403</v>
      </c>
      <c r="L547" s="174" t="s">
        <v>402</v>
      </c>
    </row>
    <row r="548" spans="2:63" ht="14.4" thickTop="1" x14ac:dyDescent="0.25">
      <c r="B548" s="236">
        <v>41670</v>
      </c>
      <c r="C548" s="171"/>
      <c r="D548" s="166" t="s">
        <v>470</v>
      </c>
      <c r="E548" s="167">
        <f>SUMIF('Libro Diario Convencional'!$D$15:$D$167,D542,'Libro Diario Convencional'!$G$15:$G$167)</f>
        <v>0</v>
      </c>
      <c r="F548" s="168">
        <f>SUMIF('Libro Diario Convencional'!$D$15:$D$167,D542,'Libro Diario Convencional'!$H$15:$H$167)</f>
        <v>0</v>
      </c>
      <c r="H548" s="236">
        <v>41670</v>
      </c>
      <c r="I548" s="171"/>
      <c r="J548" s="166" t="s">
        <v>470</v>
      </c>
      <c r="K548" s="167">
        <f>SUMIF('Libro Diario Convencional'!$D$15:$D$167,J542,'Libro Diario Convencional'!$G$15:$G$167)</f>
        <v>0</v>
      </c>
      <c r="L548" s="168">
        <f>SUMIF('Libro Diario Convencional'!$D$15:$D$167,J542,'Libro Diario Convencional'!$H$15:$H$167)</f>
        <v>0</v>
      </c>
    </row>
    <row r="549" spans="2:63" x14ac:dyDescent="0.25">
      <c r="B549" s="169">
        <v>41670</v>
      </c>
      <c r="C549" s="172"/>
      <c r="D549" s="161" t="s">
        <v>474</v>
      </c>
      <c r="E549" s="162">
        <f>SUMIF('Asientos de Cierre'!$D$6:$D$549,D542,'Asientos de Cierre'!$G$6:$G$549)</f>
        <v>0</v>
      </c>
      <c r="F549" s="163">
        <f>SUMIF('Asientos de Cierre'!$D$6:$D$549,D542,'Asientos de Cierre'!$H$6:$H$549)</f>
        <v>0</v>
      </c>
      <c r="H549" s="169">
        <v>41670</v>
      </c>
      <c r="I549" s="172"/>
      <c r="J549" s="161" t="s">
        <v>474</v>
      </c>
      <c r="K549" s="162">
        <f>SUMIF('Asientos de Cierre'!$D$6:$D$549,J542,'Asientos de Cierre'!$G$6:$G$549)</f>
        <v>0</v>
      </c>
      <c r="L549" s="163">
        <f>SUMIF('Asientos de Cierre'!$D$6:$D$549,J542,'Asientos de Cierre'!$H$6:$H$549)</f>
        <v>0</v>
      </c>
    </row>
    <row r="550" spans="2:63" x14ac:dyDescent="0.25">
      <c r="B550" s="169"/>
      <c r="C550" s="172"/>
      <c r="D550" s="161"/>
      <c r="E550" s="162"/>
      <c r="F550" s="163"/>
      <c r="H550" s="169"/>
      <c r="I550" s="172"/>
      <c r="J550" s="161"/>
      <c r="K550" s="162"/>
      <c r="L550" s="163"/>
    </row>
    <row r="551" spans="2:63" ht="14.4" thickBot="1" x14ac:dyDescent="0.3">
      <c r="B551" s="169"/>
      <c r="C551" s="172"/>
      <c r="D551" s="161"/>
      <c r="E551" s="162"/>
      <c r="F551" s="163"/>
      <c r="H551" s="169"/>
      <c r="I551" s="172"/>
      <c r="J551" s="161"/>
      <c r="K551" s="162"/>
      <c r="L551" s="163"/>
    </row>
    <row r="552" spans="2:63" ht="15" thickBot="1" x14ac:dyDescent="0.3">
      <c r="B552" s="169"/>
      <c r="C552" s="172"/>
      <c r="D552" s="161" t="s">
        <v>471</v>
      </c>
      <c r="E552" s="162">
        <f>SUM(E548:E551)</f>
        <v>0</v>
      </c>
      <c r="F552" s="163">
        <f>SUM(F548:F551)</f>
        <v>0</v>
      </c>
      <c r="H552" s="169"/>
      <c r="I552" s="172"/>
      <c r="J552" s="161" t="s">
        <v>471</v>
      </c>
      <c r="K552" s="162">
        <f>SUM(K548:K551)</f>
        <v>0</v>
      </c>
      <c r="L552" s="163">
        <f>SUM(L548:L551)</f>
        <v>0</v>
      </c>
      <c r="BJ552" s="157">
        <f>SUM(E552,K552,Q552,W552,AC552,AI552,AO552,AU552,BA552,BG552)</f>
        <v>0</v>
      </c>
      <c r="BK552" s="158">
        <f>SUM(F552,L552,R552,X552,AD552,AJ552,AP552,AV552,BB552,BH552)</f>
        <v>0</v>
      </c>
    </row>
    <row r="553" spans="2:63" ht="14.4" thickBot="1" x14ac:dyDescent="0.3">
      <c r="B553" s="170"/>
      <c r="C553" s="173"/>
      <c r="D553" s="164" t="str">
        <f>IF(E552=F552,"",IF(E552&gt;F552,"Saldo Deudor","Saldo Acreedor"))</f>
        <v/>
      </c>
      <c r="E553" s="165" t="str">
        <f>IF(E552&gt;F552,E552-F552,"")</f>
        <v/>
      </c>
      <c r="F553" s="176" t="str">
        <f>IF(E552&lt;F552,F552-E552,"")</f>
        <v/>
      </c>
      <c r="H553" s="170"/>
      <c r="I553" s="173"/>
      <c r="J553" s="164" t="str">
        <f>IF(K552=L552,"",IF(K552&gt;L552,"Saldo Deudor","Saldo Acreedor"))</f>
        <v/>
      </c>
      <c r="K553" s="165" t="str">
        <f>IF(K552&gt;L552,K552-L552,"")</f>
        <v/>
      </c>
      <c r="L553" s="176" t="str">
        <f>IF(K552&lt;L552,L552-K552,"")</f>
        <v/>
      </c>
    </row>
    <row r="556" spans="2:63" ht="15.6" x14ac:dyDescent="0.25">
      <c r="B556" s="324" t="s">
        <v>472</v>
      </c>
      <c r="C556" s="324"/>
      <c r="D556" s="175">
        <v>3381</v>
      </c>
      <c r="E556" s="160"/>
      <c r="H556" s="324" t="s">
        <v>472</v>
      </c>
      <c r="I556" s="324"/>
      <c r="J556" s="175">
        <v>3382</v>
      </c>
      <c r="K556" s="160"/>
      <c r="N556" s="324" t="s">
        <v>472</v>
      </c>
      <c r="O556" s="324"/>
      <c r="P556" s="175">
        <v>3383</v>
      </c>
      <c r="Q556" s="160"/>
      <c r="T556" s="324" t="s">
        <v>472</v>
      </c>
      <c r="U556" s="324"/>
      <c r="V556" s="175">
        <v>3386</v>
      </c>
      <c r="W556" s="160"/>
      <c r="Z556" s="324" t="s">
        <v>472</v>
      </c>
      <c r="AA556" s="324"/>
      <c r="AB556" s="175">
        <v>3387</v>
      </c>
      <c r="AC556" s="160"/>
    </row>
    <row r="557" spans="2:63" x14ac:dyDescent="0.25">
      <c r="B557" s="160"/>
      <c r="C557" s="160"/>
      <c r="D557" s="160"/>
      <c r="E557" s="160"/>
      <c r="H557" s="160"/>
      <c r="I557" s="160"/>
      <c r="J557" s="160"/>
      <c r="K557" s="160"/>
      <c r="N557" s="160"/>
      <c r="O557" s="160"/>
      <c r="P557" s="160"/>
      <c r="Q557" s="160"/>
      <c r="T557" s="160"/>
      <c r="U557" s="160"/>
      <c r="V557" s="160"/>
      <c r="W557" s="160"/>
      <c r="Z557" s="160"/>
      <c r="AA557" s="160"/>
      <c r="AB557" s="160"/>
      <c r="AC557" s="160"/>
    </row>
    <row r="558" spans="2:63" ht="15.6" x14ac:dyDescent="0.25">
      <c r="B558" s="324" t="s">
        <v>473</v>
      </c>
      <c r="C558" s="324"/>
      <c r="D558" s="234" t="str">
        <f>VLOOKUP(D556,DivisionariasContables,3,FALSE)</f>
        <v>Unidades por Recibir - Maquinaria y Equipos de Explotación</v>
      </c>
      <c r="E558" s="160"/>
      <c r="H558" s="324" t="s">
        <v>473</v>
      </c>
      <c r="I558" s="324"/>
      <c r="J558" s="234" t="str">
        <f>VLOOKUP(J556,DivisionariasContables,3,FALSE)</f>
        <v>Unidades por Recibir - Equipo de Transporte</v>
      </c>
      <c r="K558" s="160"/>
      <c r="N558" s="324" t="s">
        <v>473</v>
      </c>
      <c r="O558" s="324"/>
      <c r="P558" s="234" t="str">
        <f>VLOOKUP(P556,DivisionariasContables,3,FALSE)</f>
        <v>Unidades por Recibir - Muebles y Enseres</v>
      </c>
      <c r="Q558" s="160"/>
      <c r="T558" s="324" t="s">
        <v>473</v>
      </c>
      <c r="U558" s="324"/>
      <c r="V558" s="234" t="str">
        <f>VLOOKUP(V556,DivisionariasContables,3,FALSE)</f>
        <v>Unidades por Recibir - Equipos Diversos</v>
      </c>
      <c r="W558" s="160"/>
      <c r="Z558" s="324" t="s">
        <v>473</v>
      </c>
      <c r="AA558" s="324"/>
      <c r="AB558" s="234" t="str">
        <f>VLOOKUP(AB556,DivisionariasContables,3,FALSE)</f>
        <v>Unidades por Recibir - Herramientas y Unidades de Reemplazo</v>
      </c>
      <c r="AC558" s="160"/>
    </row>
    <row r="559" spans="2:63" ht="14.4" thickBot="1" x14ac:dyDescent="0.3"/>
    <row r="560" spans="2:63" x14ac:dyDescent="0.25">
      <c r="B560" s="325" t="s">
        <v>466</v>
      </c>
      <c r="C560" s="327" t="s">
        <v>467</v>
      </c>
      <c r="D560" s="327" t="s">
        <v>468</v>
      </c>
      <c r="E560" s="329" t="s">
        <v>469</v>
      </c>
      <c r="F560" s="330"/>
      <c r="H560" s="325" t="s">
        <v>466</v>
      </c>
      <c r="I560" s="327" t="s">
        <v>467</v>
      </c>
      <c r="J560" s="327" t="s">
        <v>468</v>
      </c>
      <c r="K560" s="329" t="s">
        <v>469</v>
      </c>
      <c r="L560" s="330"/>
      <c r="N560" s="325" t="s">
        <v>466</v>
      </c>
      <c r="O560" s="327" t="s">
        <v>467</v>
      </c>
      <c r="P560" s="327" t="s">
        <v>468</v>
      </c>
      <c r="Q560" s="329" t="s">
        <v>469</v>
      </c>
      <c r="R560" s="330"/>
      <c r="T560" s="325" t="s">
        <v>466</v>
      </c>
      <c r="U560" s="327" t="s">
        <v>467</v>
      </c>
      <c r="V560" s="327" t="s">
        <v>468</v>
      </c>
      <c r="W560" s="329" t="s">
        <v>469</v>
      </c>
      <c r="X560" s="330"/>
      <c r="Z560" s="325" t="s">
        <v>466</v>
      </c>
      <c r="AA560" s="327" t="s">
        <v>467</v>
      </c>
      <c r="AB560" s="327" t="s">
        <v>468</v>
      </c>
      <c r="AC560" s="329" t="s">
        <v>469</v>
      </c>
      <c r="AD560" s="330"/>
    </row>
    <row r="561" spans="2:63" ht="14.4" thickBot="1" x14ac:dyDescent="0.3">
      <c r="B561" s="326"/>
      <c r="C561" s="328"/>
      <c r="D561" s="328"/>
      <c r="E561" s="232" t="s">
        <v>403</v>
      </c>
      <c r="F561" s="174" t="s">
        <v>402</v>
      </c>
      <c r="H561" s="326"/>
      <c r="I561" s="328"/>
      <c r="J561" s="328"/>
      <c r="K561" s="232" t="s">
        <v>403</v>
      </c>
      <c r="L561" s="174" t="s">
        <v>402</v>
      </c>
      <c r="N561" s="326"/>
      <c r="O561" s="328"/>
      <c r="P561" s="328"/>
      <c r="Q561" s="232" t="s">
        <v>403</v>
      </c>
      <c r="R561" s="174" t="s">
        <v>402</v>
      </c>
      <c r="T561" s="326"/>
      <c r="U561" s="328"/>
      <c r="V561" s="328"/>
      <c r="W561" s="232" t="s">
        <v>403</v>
      </c>
      <c r="X561" s="174" t="s">
        <v>402</v>
      </c>
      <c r="Z561" s="326"/>
      <c r="AA561" s="328"/>
      <c r="AB561" s="328"/>
      <c r="AC561" s="232" t="s">
        <v>403</v>
      </c>
      <c r="AD561" s="174" t="s">
        <v>402</v>
      </c>
    </row>
    <row r="562" spans="2:63" ht="14.4" thickTop="1" x14ac:dyDescent="0.25">
      <c r="B562" s="236">
        <v>41670</v>
      </c>
      <c r="C562" s="171"/>
      <c r="D562" s="166" t="s">
        <v>470</v>
      </c>
      <c r="E562" s="167">
        <f>SUMIF('Libro Diario Convencional'!$D$15:$D$167,D556,'Libro Diario Convencional'!$G$15:$G$167)</f>
        <v>0</v>
      </c>
      <c r="F562" s="168">
        <f>SUMIF('Libro Diario Convencional'!$D$15:$D$167,D556,'Libro Diario Convencional'!$H$15:$H$167)</f>
        <v>0</v>
      </c>
      <c r="H562" s="236">
        <v>41670</v>
      </c>
      <c r="I562" s="171"/>
      <c r="J562" s="166" t="s">
        <v>470</v>
      </c>
      <c r="K562" s="167">
        <f>SUMIF('Libro Diario Convencional'!$D$15:$D$167,J556,'Libro Diario Convencional'!$G$15:$G$167)</f>
        <v>0</v>
      </c>
      <c r="L562" s="168">
        <f>SUMIF('Libro Diario Convencional'!$D$15:$D$167,J556,'Libro Diario Convencional'!$H$15:$H$167)</f>
        <v>0</v>
      </c>
      <c r="N562" s="236">
        <v>41670</v>
      </c>
      <c r="O562" s="171"/>
      <c r="P562" s="166" t="s">
        <v>470</v>
      </c>
      <c r="Q562" s="167">
        <f>SUMIF('Libro Diario Convencional'!$D$15:$D$167,P556,'Libro Diario Convencional'!$G$15:$G$167)</f>
        <v>0</v>
      </c>
      <c r="R562" s="168">
        <f>SUMIF('Libro Diario Convencional'!$D$15:$D$167,P556,'Libro Diario Convencional'!$H$15:$H$167)</f>
        <v>0</v>
      </c>
      <c r="T562" s="236">
        <v>41670</v>
      </c>
      <c r="U562" s="171"/>
      <c r="V562" s="166" t="s">
        <v>470</v>
      </c>
      <c r="W562" s="167">
        <f>SUMIF('Libro Diario Convencional'!$D$15:$D$167,V556,'Libro Diario Convencional'!$G$15:$G$167)</f>
        <v>0</v>
      </c>
      <c r="X562" s="168">
        <f>SUMIF('Libro Diario Convencional'!$D$15:$D$167,V556,'Libro Diario Convencional'!$H$15:$H$167)</f>
        <v>0</v>
      </c>
      <c r="Z562" s="236">
        <v>41670</v>
      </c>
      <c r="AA562" s="171"/>
      <c r="AB562" s="166" t="s">
        <v>470</v>
      </c>
      <c r="AC562" s="167">
        <f>SUMIF('Libro Diario Convencional'!$D$15:$D$167,AB556,'Libro Diario Convencional'!$G$15:$G$167)</f>
        <v>0</v>
      </c>
      <c r="AD562" s="168">
        <f>SUMIF('Libro Diario Convencional'!$D$15:$D$167,AB556,'Libro Diario Convencional'!$H$15:$H$167)</f>
        <v>0</v>
      </c>
    </row>
    <row r="563" spans="2:63" x14ac:dyDescent="0.25">
      <c r="B563" s="169">
        <v>41670</v>
      </c>
      <c r="C563" s="172"/>
      <c r="D563" s="161" t="s">
        <v>474</v>
      </c>
      <c r="E563" s="162">
        <f>SUMIF('Asientos de Cierre'!$D$6:$D$549,D556,'Asientos de Cierre'!$G$6:$G$549)</f>
        <v>0</v>
      </c>
      <c r="F563" s="163">
        <f>SUMIF('Asientos de Cierre'!$D$6:$D$549,D556,'Asientos de Cierre'!$H$6:$H$549)</f>
        <v>0</v>
      </c>
      <c r="H563" s="169">
        <v>41670</v>
      </c>
      <c r="I563" s="172"/>
      <c r="J563" s="161" t="s">
        <v>474</v>
      </c>
      <c r="K563" s="162">
        <f>SUMIF('Asientos de Cierre'!$D$6:$D$549,J556,'Asientos de Cierre'!$G$6:$G$549)</f>
        <v>0</v>
      </c>
      <c r="L563" s="163">
        <f>SUMIF('Asientos de Cierre'!$D$6:$D$549,J556,'Asientos de Cierre'!$H$6:$H$549)</f>
        <v>0</v>
      </c>
      <c r="N563" s="169">
        <v>41670</v>
      </c>
      <c r="O563" s="172"/>
      <c r="P563" s="161" t="s">
        <v>474</v>
      </c>
      <c r="Q563" s="162">
        <f>SUMIF('Asientos de Cierre'!$D$6:$D$549,P556,'Asientos de Cierre'!$G$6:$G$549)</f>
        <v>0</v>
      </c>
      <c r="R563" s="163">
        <f>SUMIF('Asientos de Cierre'!$D$6:$D$549,P556,'Asientos de Cierre'!$H$6:$H$549)</f>
        <v>0</v>
      </c>
      <c r="T563" s="169">
        <v>41670</v>
      </c>
      <c r="U563" s="172"/>
      <c r="V563" s="161" t="s">
        <v>474</v>
      </c>
      <c r="W563" s="162">
        <f>SUMIF('Asientos de Cierre'!$D$6:$D$549,V556,'Asientos de Cierre'!$G$6:$G$549)</f>
        <v>0</v>
      </c>
      <c r="X563" s="163">
        <f>SUMIF('Asientos de Cierre'!$D$6:$D$549,V556,'Asientos de Cierre'!$H$6:$H$549)</f>
        <v>0</v>
      </c>
      <c r="Z563" s="169">
        <v>41670</v>
      </c>
      <c r="AA563" s="172"/>
      <c r="AB563" s="161" t="s">
        <v>474</v>
      </c>
      <c r="AC563" s="162">
        <f>SUMIF('Asientos de Cierre'!$D$6:$D$549,AB556,'Asientos de Cierre'!$G$6:$G$549)</f>
        <v>0</v>
      </c>
      <c r="AD563" s="163">
        <f>SUMIF('Asientos de Cierre'!$D$6:$D$549,AB556,'Asientos de Cierre'!$H$6:$H$549)</f>
        <v>0</v>
      </c>
    </row>
    <row r="564" spans="2:63" x14ac:dyDescent="0.25">
      <c r="B564" s="169"/>
      <c r="C564" s="172"/>
      <c r="D564" s="161"/>
      <c r="E564" s="162"/>
      <c r="F564" s="163"/>
      <c r="H564" s="169"/>
      <c r="I564" s="172"/>
      <c r="J564" s="161"/>
      <c r="K564" s="162"/>
      <c r="L564" s="163"/>
      <c r="N564" s="169"/>
      <c r="O564" s="172"/>
      <c r="P564" s="161"/>
      <c r="Q564" s="162"/>
      <c r="R564" s="163"/>
      <c r="T564" s="169"/>
      <c r="U564" s="172"/>
      <c r="V564" s="161"/>
      <c r="W564" s="162"/>
      <c r="X564" s="163"/>
      <c r="Z564" s="169"/>
      <c r="AA564" s="172"/>
      <c r="AB564" s="161"/>
      <c r="AC564" s="162"/>
      <c r="AD564" s="163"/>
    </row>
    <row r="565" spans="2:63" ht="14.4" thickBot="1" x14ac:dyDescent="0.3">
      <c r="B565" s="169"/>
      <c r="C565" s="172"/>
      <c r="D565" s="161"/>
      <c r="E565" s="162"/>
      <c r="F565" s="163"/>
      <c r="H565" s="169"/>
      <c r="I565" s="172"/>
      <c r="J565" s="161"/>
      <c r="K565" s="162"/>
      <c r="L565" s="163"/>
      <c r="N565" s="169"/>
      <c r="O565" s="172"/>
      <c r="P565" s="161"/>
      <c r="Q565" s="162"/>
      <c r="R565" s="163"/>
      <c r="T565" s="169"/>
      <c r="U565" s="172"/>
      <c r="V565" s="161"/>
      <c r="W565" s="162"/>
      <c r="X565" s="163"/>
      <c r="Z565" s="169"/>
      <c r="AA565" s="172"/>
      <c r="AB565" s="161"/>
      <c r="AC565" s="162"/>
      <c r="AD565" s="163"/>
    </row>
    <row r="566" spans="2:63" ht="15" thickBot="1" x14ac:dyDescent="0.3">
      <c r="B566" s="169"/>
      <c r="C566" s="172"/>
      <c r="D566" s="161" t="s">
        <v>471</v>
      </c>
      <c r="E566" s="162">
        <f>SUM(E562:E565)</f>
        <v>0</v>
      </c>
      <c r="F566" s="163">
        <f>SUM(F562:F565)</f>
        <v>0</v>
      </c>
      <c r="H566" s="169"/>
      <c r="I566" s="172"/>
      <c r="J566" s="161" t="s">
        <v>471</v>
      </c>
      <c r="K566" s="162">
        <f>SUM(K562:K565)</f>
        <v>0</v>
      </c>
      <c r="L566" s="163">
        <f>SUM(L562:L565)</f>
        <v>0</v>
      </c>
      <c r="N566" s="169"/>
      <c r="O566" s="172"/>
      <c r="P566" s="161" t="s">
        <v>471</v>
      </c>
      <c r="Q566" s="162">
        <f>SUM(Q562:Q565)</f>
        <v>0</v>
      </c>
      <c r="R566" s="163">
        <f>SUM(R562:R565)</f>
        <v>0</v>
      </c>
      <c r="T566" s="169"/>
      <c r="U566" s="172"/>
      <c r="V566" s="161" t="s">
        <v>471</v>
      </c>
      <c r="W566" s="162">
        <f>SUM(W562:W565)</f>
        <v>0</v>
      </c>
      <c r="X566" s="163">
        <f>SUM(X562:X565)</f>
        <v>0</v>
      </c>
      <c r="Z566" s="169"/>
      <c r="AA566" s="172"/>
      <c r="AB566" s="161" t="s">
        <v>471</v>
      </c>
      <c r="AC566" s="162">
        <f>SUM(AC562:AC565)</f>
        <v>0</v>
      </c>
      <c r="AD566" s="163">
        <f>SUM(AD562:AD565)</f>
        <v>0</v>
      </c>
      <c r="BJ566" s="157">
        <f>SUM(E566,K566,Q566,W566,AC566,AI566,AO566,AU566,BA566,BG566)</f>
        <v>0</v>
      </c>
      <c r="BK566" s="158">
        <f>SUM(F566,L566,R566,X566,AD566,AJ566,AP566,AV566,BB566,BH566)</f>
        <v>0</v>
      </c>
    </row>
    <row r="567" spans="2:63" ht="14.4" thickBot="1" x14ac:dyDescent="0.3">
      <c r="B567" s="170"/>
      <c r="C567" s="173"/>
      <c r="D567" s="164" t="str">
        <f>IF(E566=F566,"",IF(E566&gt;F566,"Saldo Deudor","Saldo Acreedor"))</f>
        <v/>
      </c>
      <c r="E567" s="165" t="str">
        <f>IF(E566&gt;F566,E566-F566,"")</f>
        <v/>
      </c>
      <c r="F567" s="176" t="str">
        <f>IF(E566&lt;F566,F566-E566,"")</f>
        <v/>
      </c>
      <c r="H567" s="170"/>
      <c r="I567" s="173"/>
      <c r="J567" s="164" t="str">
        <f>IF(K566=L566,"",IF(K566&gt;L566,"Saldo Deudor","Saldo Acreedor"))</f>
        <v/>
      </c>
      <c r="K567" s="165" t="str">
        <f>IF(K566&gt;L566,K566-L566,"")</f>
        <v/>
      </c>
      <c r="L567" s="176" t="str">
        <f>IF(K566&lt;L566,L566-K566,"")</f>
        <v/>
      </c>
      <c r="N567" s="170"/>
      <c r="O567" s="173"/>
      <c r="P567" s="164" t="str">
        <f>IF(Q566=R566,"",IF(Q566&gt;R566,"Saldo Deudor","Saldo Acreedor"))</f>
        <v/>
      </c>
      <c r="Q567" s="165" t="str">
        <f>IF(Q566&gt;R566,Q566-R566,"")</f>
        <v/>
      </c>
      <c r="R567" s="176" t="str">
        <f>IF(Q566&lt;R566,R566-Q566,"")</f>
        <v/>
      </c>
      <c r="T567" s="170"/>
      <c r="U567" s="173"/>
      <c r="V567" s="164" t="str">
        <f>IF(W566=X566,"",IF(W566&gt;X566,"Saldo Deudor","Saldo Acreedor"))</f>
        <v/>
      </c>
      <c r="W567" s="165" t="str">
        <f>IF(W566&gt;X566,W566-X566,"")</f>
        <v/>
      </c>
      <c r="X567" s="176" t="str">
        <f>IF(W566&lt;X566,X566-W566,"")</f>
        <v/>
      </c>
      <c r="Z567" s="170"/>
      <c r="AA567" s="173"/>
      <c r="AB567" s="164" t="str">
        <f>IF(AC566=AD566,"",IF(AC566&gt;AD566,"Saldo Deudor","Saldo Acreedor"))</f>
        <v/>
      </c>
      <c r="AC567" s="165" t="str">
        <f>IF(AC566&gt;AD566,AC566-AD566,"")</f>
        <v/>
      </c>
      <c r="AD567" s="176" t="str">
        <f>IF(AC566&lt;AD566,AD566-AC566,"")</f>
        <v/>
      </c>
    </row>
    <row r="570" spans="2:63" ht="15.6" x14ac:dyDescent="0.25">
      <c r="B570" s="324" t="s">
        <v>472</v>
      </c>
      <c r="C570" s="324"/>
      <c r="D570" s="175">
        <v>3391</v>
      </c>
      <c r="E570" s="160"/>
      <c r="H570" s="324" t="s">
        <v>472</v>
      </c>
      <c r="I570" s="324"/>
      <c r="J570" s="175">
        <v>3392</v>
      </c>
      <c r="K570" s="160"/>
      <c r="N570" s="324" t="s">
        <v>472</v>
      </c>
      <c r="O570" s="324"/>
      <c r="P570" s="175">
        <v>3393</v>
      </c>
      <c r="Q570" s="160"/>
      <c r="T570" s="324" t="s">
        <v>472</v>
      </c>
      <c r="U570" s="324"/>
      <c r="V570" s="175">
        <v>3394</v>
      </c>
      <c r="W570" s="160"/>
      <c r="Z570" s="324" t="s">
        <v>472</v>
      </c>
      <c r="AA570" s="324"/>
      <c r="AB570" s="175">
        <v>3397</v>
      </c>
      <c r="AC570" s="160"/>
      <c r="AF570" s="324" t="s">
        <v>472</v>
      </c>
      <c r="AG570" s="324"/>
      <c r="AH570" s="175">
        <v>3398</v>
      </c>
      <c r="AI570" s="160"/>
      <c r="AL570" s="324" t="s">
        <v>472</v>
      </c>
      <c r="AM570" s="324"/>
      <c r="AN570" s="175">
        <v>3399</v>
      </c>
      <c r="AO570" s="160"/>
    </row>
    <row r="571" spans="2:63" x14ac:dyDescent="0.25">
      <c r="B571" s="160"/>
      <c r="C571" s="160"/>
      <c r="D571" s="160"/>
      <c r="E571" s="160"/>
      <c r="H571" s="160"/>
      <c r="I571" s="160"/>
      <c r="J571" s="160"/>
      <c r="K571" s="160"/>
      <c r="N571" s="160"/>
      <c r="O571" s="160"/>
      <c r="P571" s="160"/>
      <c r="Q571" s="160"/>
      <c r="T571" s="160"/>
      <c r="U571" s="160"/>
      <c r="V571" s="160"/>
      <c r="W571" s="160"/>
      <c r="Z571" s="160"/>
      <c r="AA571" s="160"/>
      <c r="AB571" s="160"/>
      <c r="AC571" s="160"/>
      <c r="AF571" s="160"/>
      <c r="AG571" s="160"/>
      <c r="AH571" s="160"/>
      <c r="AI571" s="160"/>
      <c r="AL571" s="160"/>
      <c r="AM571" s="160"/>
      <c r="AN571" s="160"/>
      <c r="AO571" s="160"/>
    </row>
    <row r="572" spans="2:63" ht="15.6" x14ac:dyDescent="0.25">
      <c r="B572" s="324" t="s">
        <v>473</v>
      </c>
      <c r="C572" s="324"/>
      <c r="D572" s="234" t="str">
        <f>VLOOKUP(D570,DivisionariasContables,3,FALSE)</f>
        <v>Adaptación de Terrenos</v>
      </c>
      <c r="E572" s="160"/>
      <c r="H572" s="324" t="s">
        <v>473</v>
      </c>
      <c r="I572" s="324"/>
      <c r="J572" s="234" t="str">
        <f>VLOOKUP(J570,DivisionariasContables,3,FALSE)</f>
        <v>Construcciones en Curso</v>
      </c>
      <c r="K572" s="160"/>
      <c r="N572" s="324" t="s">
        <v>473</v>
      </c>
      <c r="O572" s="324"/>
      <c r="P572" s="234" t="str">
        <f>VLOOKUP(P570,DivisionariasContables,3,FALSE)</f>
        <v>Maquinaria en Montaje</v>
      </c>
      <c r="Q572" s="160"/>
      <c r="T572" s="324" t="s">
        <v>473</v>
      </c>
      <c r="U572" s="324"/>
      <c r="V572" s="234" t="str">
        <f>VLOOKUP(V570,DivisionariasContables,3,FALSE)</f>
        <v>Inversión Inmobiliaria en Curso</v>
      </c>
      <c r="W572" s="160"/>
      <c r="Z572" s="324" t="s">
        <v>473</v>
      </c>
      <c r="AA572" s="324"/>
      <c r="AB572" s="234" t="str">
        <f>VLOOKUP(AB570,DivisionariasContables,3,FALSE)</f>
        <v>Costo de Financiación - Inversiones Inmobiliarias</v>
      </c>
      <c r="AC572" s="160"/>
      <c r="AF572" s="324" t="s">
        <v>473</v>
      </c>
      <c r="AG572" s="324"/>
      <c r="AH572" s="234" t="str">
        <f>VLOOKUP(AH570,DivisionariasContables,3,FALSE)</f>
        <v>Costo de Financiación - Inmuebles, Maquinaria y Equipo</v>
      </c>
      <c r="AI572" s="160"/>
      <c r="AL572" s="324" t="s">
        <v>473</v>
      </c>
      <c r="AM572" s="324"/>
      <c r="AN572" s="234" t="str">
        <f>VLOOKUP(AN570,DivisionariasContables,3,FALSE)</f>
        <v>Otros Activos en Curso - Reclasificación de IGV al Costo</v>
      </c>
      <c r="AO572" s="160"/>
    </row>
    <row r="573" spans="2:63" ht="14.4" thickBot="1" x14ac:dyDescent="0.3"/>
    <row r="574" spans="2:63" x14ac:dyDescent="0.25">
      <c r="B574" s="325" t="s">
        <v>466</v>
      </c>
      <c r="C574" s="327" t="s">
        <v>467</v>
      </c>
      <c r="D574" s="327" t="s">
        <v>468</v>
      </c>
      <c r="E574" s="329" t="s">
        <v>469</v>
      </c>
      <c r="F574" s="330"/>
      <c r="H574" s="325" t="s">
        <v>466</v>
      </c>
      <c r="I574" s="327" t="s">
        <v>467</v>
      </c>
      <c r="J574" s="327" t="s">
        <v>468</v>
      </c>
      <c r="K574" s="329" t="s">
        <v>469</v>
      </c>
      <c r="L574" s="330"/>
      <c r="N574" s="325" t="s">
        <v>466</v>
      </c>
      <c r="O574" s="327" t="s">
        <v>467</v>
      </c>
      <c r="P574" s="327" t="s">
        <v>468</v>
      </c>
      <c r="Q574" s="329" t="s">
        <v>469</v>
      </c>
      <c r="R574" s="330"/>
      <c r="T574" s="325" t="s">
        <v>466</v>
      </c>
      <c r="U574" s="327" t="s">
        <v>467</v>
      </c>
      <c r="V574" s="327" t="s">
        <v>468</v>
      </c>
      <c r="W574" s="329" t="s">
        <v>469</v>
      </c>
      <c r="X574" s="330"/>
      <c r="Z574" s="325" t="s">
        <v>466</v>
      </c>
      <c r="AA574" s="327" t="s">
        <v>467</v>
      </c>
      <c r="AB574" s="327" t="s">
        <v>468</v>
      </c>
      <c r="AC574" s="329" t="s">
        <v>469</v>
      </c>
      <c r="AD574" s="330"/>
      <c r="AF574" s="325" t="s">
        <v>466</v>
      </c>
      <c r="AG574" s="327" t="s">
        <v>467</v>
      </c>
      <c r="AH574" s="327" t="s">
        <v>468</v>
      </c>
      <c r="AI574" s="329" t="s">
        <v>469</v>
      </c>
      <c r="AJ574" s="330"/>
      <c r="AL574" s="325" t="s">
        <v>466</v>
      </c>
      <c r="AM574" s="327" t="s">
        <v>467</v>
      </c>
      <c r="AN574" s="327" t="s">
        <v>468</v>
      </c>
      <c r="AO574" s="329" t="s">
        <v>469</v>
      </c>
      <c r="AP574" s="330"/>
    </row>
    <row r="575" spans="2:63" ht="14.4" thickBot="1" x14ac:dyDescent="0.3">
      <c r="B575" s="326"/>
      <c r="C575" s="328"/>
      <c r="D575" s="328"/>
      <c r="E575" s="232" t="s">
        <v>403</v>
      </c>
      <c r="F575" s="174" t="s">
        <v>402</v>
      </c>
      <c r="H575" s="326"/>
      <c r="I575" s="328"/>
      <c r="J575" s="328"/>
      <c r="K575" s="232" t="s">
        <v>403</v>
      </c>
      <c r="L575" s="174" t="s">
        <v>402</v>
      </c>
      <c r="N575" s="326"/>
      <c r="O575" s="328"/>
      <c r="P575" s="328"/>
      <c r="Q575" s="232" t="s">
        <v>403</v>
      </c>
      <c r="R575" s="174" t="s">
        <v>402</v>
      </c>
      <c r="T575" s="326"/>
      <c r="U575" s="328"/>
      <c r="V575" s="328"/>
      <c r="W575" s="232" t="s">
        <v>403</v>
      </c>
      <c r="X575" s="174" t="s">
        <v>402</v>
      </c>
      <c r="Z575" s="326"/>
      <c r="AA575" s="328"/>
      <c r="AB575" s="328"/>
      <c r="AC575" s="232" t="s">
        <v>403</v>
      </c>
      <c r="AD575" s="174" t="s">
        <v>402</v>
      </c>
      <c r="AF575" s="326"/>
      <c r="AG575" s="328"/>
      <c r="AH575" s="328"/>
      <c r="AI575" s="232" t="s">
        <v>403</v>
      </c>
      <c r="AJ575" s="174" t="s">
        <v>402</v>
      </c>
      <c r="AL575" s="326"/>
      <c r="AM575" s="328"/>
      <c r="AN575" s="328"/>
      <c r="AO575" s="232" t="s">
        <v>403</v>
      </c>
      <c r="AP575" s="174" t="s">
        <v>402</v>
      </c>
    </row>
    <row r="576" spans="2:63" ht="14.4" thickTop="1" x14ac:dyDescent="0.25">
      <c r="B576" s="236">
        <v>41670</v>
      </c>
      <c r="C576" s="171"/>
      <c r="D576" s="166" t="s">
        <v>470</v>
      </c>
      <c r="E576" s="167">
        <f>SUMIF('Libro Diario Convencional'!$D$15:$D$167,D570,'Libro Diario Convencional'!$G$15:$G$167)</f>
        <v>0</v>
      </c>
      <c r="F576" s="168">
        <f>SUMIF('Libro Diario Convencional'!$D$15:$D$167,D570,'Libro Diario Convencional'!$H$15:$H$167)</f>
        <v>0</v>
      </c>
      <c r="H576" s="236">
        <v>41670</v>
      </c>
      <c r="I576" s="171"/>
      <c r="J576" s="166" t="s">
        <v>470</v>
      </c>
      <c r="K576" s="167">
        <f>SUMIF('Libro Diario Convencional'!$D$15:$D$167,J570,'Libro Diario Convencional'!$G$15:$G$167)</f>
        <v>0</v>
      </c>
      <c r="L576" s="168">
        <f>SUMIF('Libro Diario Convencional'!$D$15:$D$167,J570,'Libro Diario Convencional'!$H$15:$H$167)</f>
        <v>0</v>
      </c>
      <c r="N576" s="236">
        <v>41670</v>
      </c>
      <c r="O576" s="171"/>
      <c r="P576" s="166" t="s">
        <v>470</v>
      </c>
      <c r="Q576" s="167">
        <f>SUMIF('Libro Diario Convencional'!$D$15:$D$167,P570,'Libro Diario Convencional'!$G$15:$G$167)</f>
        <v>0</v>
      </c>
      <c r="R576" s="168">
        <f>SUMIF('Libro Diario Convencional'!$D$15:$D$167,P570,'Libro Diario Convencional'!$H$15:$H$167)</f>
        <v>0</v>
      </c>
      <c r="T576" s="236">
        <v>41670</v>
      </c>
      <c r="U576" s="171"/>
      <c r="V576" s="166" t="s">
        <v>470</v>
      </c>
      <c r="W576" s="167">
        <f>SUMIF('Libro Diario Convencional'!$D$15:$D$167,V570,'Libro Diario Convencional'!$G$15:$G$167)</f>
        <v>0</v>
      </c>
      <c r="X576" s="168">
        <f>SUMIF('Libro Diario Convencional'!$D$15:$D$167,V570,'Libro Diario Convencional'!$H$15:$H$167)</f>
        <v>0</v>
      </c>
      <c r="Z576" s="236">
        <v>41670</v>
      </c>
      <c r="AA576" s="171"/>
      <c r="AB576" s="166" t="s">
        <v>470</v>
      </c>
      <c r="AC576" s="167">
        <f>SUMIF('Libro Diario Convencional'!$D$15:$D$167,AB570,'Libro Diario Convencional'!$G$15:$G$167)</f>
        <v>0</v>
      </c>
      <c r="AD576" s="168">
        <f>SUMIF('Libro Diario Convencional'!$D$15:$D$167,AB570,'Libro Diario Convencional'!$H$15:$H$167)</f>
        <v>0</v>
      </c>
      <c r="AF576" s="236">
        <v>41670</v>
      </c>
      <c r="AG576" s="171"/>
      <c r="AH576" s="166" t="s">
        <v>470</v>
      </c>
      <c r="AI576" s="167">
        <f>SUMIF('Libro Diario Convencional'!$D$15:$D$167,AH570,'Libro Diario Convencional'!$G$15:$G$167)</f>
        <v>0</v>
      </c>
      <c r="AJ576" s="168">
        <f>SUMIF('Libro Diario Convencional'!$D$15:$D$167,AH570,'Libro Diario Convencional'!$H$15:$H$167)</f>
        <v>0</v>
      </c>
      <c r="AL576" s="236">
        <v>41670</v>
      </c>
      <c r="AM576" s="171"/>
      <c r="AN576" s="166" t="s">
        <v>470</v>
      </c>
      <c r="AO576" s="167">
        <f>SUMIF('Libro Diario Convencional'!$D$15:$D$167,AN570,'Libro Diario Convencional'!$G$15:$G$167)</f>
        <v>0</v>
      </c>
      <c r="AP576" s="168">
        <f>SUMIF('Libro Diario Convencional'!$D$15:$D$167,AN570,'Libro Diario Convencional'!$H$15:$H$167)</f>
        <v>0</v>
      </c>
    </row>
    <row r="577" spans="2:63" x14ac:dyDescent="0.25">
      <c r="B577" s="169">
        <v>41670</v>
      </c>
      <c r="C577" s="172"/>
      <c r="D577" s="161" t="s">
        <v>474</v>
      </c>
      <c r="E577" s="162">
        <f>SUMIF('Asientos de Cierre'!$D$6:$D$549,D570,'Asientos de Cierre'!$G$6:$G$549)</f>
        <v>0</v>
      </c>
      <c r="F577" s="163">
        <f>SUMIF('Asientos de Cierre'!$D$6:$D$549,D570,'Asientos de Cierre'!$H$6:$H$549)</f>
        <v>0</v>
      </c>
      <c r="H577" s="169">
        <v>41670</v>
      </c>
      <c r="I577" s="172"/>
      <c r="J577" s="161" t="s">
        <v>474</v>
      </c>
      <c r="K577" s="162">
        <f>SUMIF('Asientos de Cierre'!$D$6:$D$549,J570,'Asientos de Cierre'!$G$6:$G$549)</f>
        <v>0</v>
      </c>
      <c r="L577" s="163">
        <f>SUMIF('Asientos de Cierre'!$D$6:$D$549,J570,'Asientos de Cierre'!$H$6:$H$549)</f>
        <v>0</v>
      </c>
      <c r="N577" s="169">
        <v>41670</v>
      </c>
      <c r="O577" s="172"/>
      <c r="P577" s="161" t="s">
        <v>474</v>
      </c>
      <c r="Q577" s="162">
        <f>SUMIF('Asientos de Cierre'!$D$6:$D$549,P570,'Asientos de Cierre'!$G$6:$G$549)</f>
        <v>0</v>
      </c>
      <c r="R577" s="163">
        <f>SUMIF('Asientos de Cierre'!$D$6:$D$549,P570,'Asientos de Cierre'!$H$6:$H$549)</f>
        <v>0</v>
      </c>
      <c r="T577" s="169">
        <v>41670</v>
      </c>
      <c r="U577" s="172"/>
      <c r="V577" s="161" t="s">
        <v>474</v>
      </c>
      <c r="W577" s="162">
        <f>SUMIF('Asientos de Cierre'!$D$6:$D$549,V570,'Asientos de Cierre'!$G$6:$G$549)</f>
        <v>0</v>
      </c>
      <c r="X577" s="163">
        <f>SUMIF('Asientos de Cierre'!$D$6:$D$549,V570,'Asientos de Cierre'!$H$6:$H$549)</f>
        <v>0</v>
      </c>
      <c r="Z577" s="169">
        <v>41670</v>
      </c>
      <c r="AA577" s="172"/>
      <c r="AB577" s="161" t="s">
        <v>474</v>
      </c>
      <c r="AC577" s="162">
        <f>SUMIF('Asientos de Cierre'!$D$6:$D$549,AB570,'Asientos de Cierre'!$G$6:$G$549)</f>
        <v>0</v>
      </c>
      <c r="AD577" s="163">
        <f>SUMIF('Asientos de Cierre'!$D$6:$D$549,AB570,'Asientos de Cierre'!$H$6:$H$549)</f>
        <v>0</v>
      </c>
      <c r="AF577" s="169">
        <v>41670</v>
      </c>
      <c r="AG577" s="172"/>
      <c r="AH577" s="161" t="s">
        <v>474</v>
      </c>
      <c r="AI577" s="162">
        <f>SUMIF('Asientos de Cierre'!$D$6:$D$549,AH570,'Asientos de Cierre'!$G$6:$G$549)</f>
        <v>0</v>
      </c>
      <c r="AJ577" s="163">
        <f>SUMIF('Asientos de Cierre'!$D$6:$D$549,AH570,'Asientos de Cierre'!$H$6:$H$549)</f>
        <v>0</v>
      </c>
      <c r="AL577" s="169">
        <v>41670</v>
      </c>
      <c r="AM577" s="172"/>
      <c r="AN577" s="161" t="s">
        <v>474</v>
      </c>
      <c r="AO577" s="162">
        <f>SUMIF('Asientos de Cierre'!$D$6:$D$549,AN570,'Asientos de Cierre'!$G$6:$G$549)</f>
        <v>0</v>
      </c>
      <c r="AP577" s="163">
        <f>SUMIF('Asientos de Cierre'!$D$6:$D$549,AN570,'Asientos de Cierre'!$H$6:$H$549)</f>
        <v>0</v>
      </c>
    </row>
    <row r="578" spans="2:63" x14ac:dyDescent="0.25">
      <c r="B578" s="169"/>
      <c r="C578" s="172"/>
      <c r="D578" s="161"/>
      <c r="E578" s="162"/>
      <c r="F578" s="163"/>
      <c r="H578" s="169"/>
      <c r="I578" s="172"/>
      <c r="J578" s="161"/>
      <c r="K578" s="162"/>
      <c r="L578" s="163"/>
      <c r="N578" s="169"/>
      <c r="O578" s="172"/>
      <c r="P578" s="161"/>
      <c r="Q578" s="162"/>
      <c r="R578" s="163"/>
      <c r="T578" s="169"/>
      <c r="U578" s="172"/>
      <c r="V578" s="161"/>
      <c r="W578" s="162"/>
      <c r="X578" s="163"/>
      <c r="Z578" s="169"/>
      <c r="AA578" s="172"/>
      <c r="AB578" s="161"/>
      <c r="AC578" s="162"/>
      <c r="AD578" s="163"/>
      <c r="AF578" s="169"/>
      <c r="AG578" s="172"/>
      <c r="AH578" s="161"/>
      <c r="AI578" s="162"/>
      <c r="AJ578" s="163"/>
      <c r="AL578" s="169"/>
      <c r="AM578" s="172"/>
      <c r="AN578" s="161"/>
      <c r="AO578" s="162"/>
      <c r="AP578" s="163"/>
    </row>
    <row r="579" spans="2:63" ht="14.4" thickBot="1" x14ac:dyDescent="0.3">
      <c r="B579" s="169"/>
      <c r="C579" s="172"/>
      <c r="D579" s="161"/>
      <c r="E579" s="162"/>
      <c r="F579" s="163"/>
      <c r="H579" s="169"/>
      <c r="I579" s="172"/>
      <c r="J579" s="161"/>
      <c r="K579" s="162"/>
      <c r="L579" s="163"/>
      <c r="N579" s="169"/>
      <c r="O579" s="172"/>
      <c r="P579" s="161"/>
      <c r="Q579" s="162"/>
      <c r="R579" s="163"/>
      <c r="T579" s="169"/>
      <c r="U579" s="172"/>
      <c r="V579" s="161"/>
      <c r="W579" s="162"/>
      <c r="X579" s="163"/>
      <c r="Z579" s="169"/>
      <c r="AA579" s="172"/>
      <c r="AB579" s="161"/>
      <c r="AC579" s="162"/>
      <c r="AD579" s="163"/>
      <c r="AF579" s="169"/>
      <c r="AG579" s="172"/>
      <c r="AH579" s="161"/>
      <c r="AI579" s="162"/>
      <c r="AJ579" s="163"/>
      <c r="AL579" s="169"/>
      <c r="AM579" s="172"/>
      <c r="AN579" s="161"/>
      <c r="AO579" s="162"/>
      <c r="AP579" s="163"/>
    </row>
    <row r="580" spans="2:63" ht="15" thickBot="1" x14ac:dyDescent="0.3">
      <c r="B580" s="169"/>
      <c r="C580" s="172"/>
      <c r="D580" s="161" t="s">
        <v>471</v>
      </c>
      <c r="E580" s="162">
        <f>SUM(E576:E579)</f>
        <v>0</v>
      </c>
      <c r="F580" s="163">
        <f>SUM(F576:F579)</f>
        <v>0</v>
      </c>
      <c r="H580" s="169"/>
      <c r="I580" s="172"/>
      <c r="J580" s="161" t="s">
        <v>471</v>
      </c>
      <c r="K580" s="162">
        <f>SUM(K576:K579)</f>
        <v>0</v>
      </c>
      <c r="L580" s="163">
        <f>SUM(L576:L579)</f>
        <v>0</v>
      </c>
      <c r="N580" s="169"/>
      <c r="O580" s="172"/>
      <c r="P580" s="161" t="s">
        <v>471</v>
      </c>
      <c r="Q580" s="162">
        <f>SUM(Q576:Q579)</f>
        <v>0</v>
      </c>
      <c r="R580" s="163">
        <f>SUM(R576:R579)</f>
        <v>0</v>
      </c>
      <c r="T580" s="169"/>
      <c r="U580" s="172"/>
      <c r="V580" s="161" t="s">
        <v>471</v>
      </c>
      <c r="W580" s="162">
        <f>SUM(W576:W579)</f>
        <v>0</v>
      </c>
      <c r="X580" s="163">
        <f>SUM(X576:X579)</f>
        <v>0</v>
      </c>
      <c r="Z580" s="169"/>
      <c r="AA580" s="172"/>
      <c r="AB580" s="161" t="s">
        <v>471</v>
      </c>
      <c r="AC580" s="162">
        <f>SUM(AC576:AC579)</f>
        <v>0</v>
      </c>
      <c r="AD580" s="163">
        <f>SUM(AD576:AD579)</f>
        <v>0</v>
      </c>
      <c r="AF580" s="169"/>
      <c r="AG580" s="172"/>
      <c r="AH580" s="161" t="s">
        <v>471</v>
      </c>
      <c r="AI580" s="162">
        <f>SUM(AI576:AI579)</f>
        <v>0</v>
      </c>
      <c r="AJ580" s="163">
        <f>SUM(AJ576:AJ579)</f>
        <v>0</v>
      </c>
      <c r="AL580" s="169"/>
      <c r="AM580" s="172"/>
      <c r="AN580" s="161" t="s">
        <v>471</v>
      </c>
      <c r="AO580" s="162">
        <f>SUM(AO576:AO579)</f>
        <v>0</v>
      </c>
      <c r="AP580" s="163">
        <f>SUM(AP576:AP579)</f>
        <v>0</v>
      </c>
      <c r="BJ580" s="157">
        <f>SUM(E580,K580,Q580,W580,AC580,AI580,AO580,AU580,BA580,BG580)</f>
        <v>0</v>
      </c>
      <c r="BK580" s="158">
        <f>SUM(F580,L580,R580,X580,AD580,AJ580,AP580,AV580,BB580,BH580)</f>
        <v>0</v>
      </c>
    </row>
    <row r="581" spans="2:63" ht="14.4" thickBot="1" x14ac:dyDescent="0.3">
      <c r="B581" s="170"/>
      <c r="C581" s="173"/>
      <c r="D581" s="164" t="str">
        <f>IF(E580=F580,"",IF(E580&gt;F580,"Saldo Deudor","Saldo Acreedor"))</f>
        <v/>
      </c>
      <c r="E581" s="165" t="str">
        <f>IF(E580&gt;F580,E580-F580,"")</f>
        <v/>
      </c>
      <c r="F581" s="176" t="str">
        <f>IF(E580&lt;F580,F580-E580,"")</f>
        <v/>
      </c>
      <c r="H581" s="170"/>
      <c r="I581" s="173"/>
      <c r="J581" s="164" t="str">
        <f>IF(K580=L580,"",IF(K580&gt;L580,"Saldo Deudor","Saldo Acreedor"))</f>
        <v/>
      </c>
      <c r="K581" s="165" t="str">
        <f>IF(K580&gt;L580,K580-L580,"")</f>
        <v/>
      </c>
      <c r="L581" s="176" t="str">
        <f>IF(K580&lt;L580,L580-K580,"")</f>
        <v/>
      </c>
      <c r="N581" s="170"/>
      <c r="O581" s="173"/>
      <c r="P581" s="164" t="str">
        <f>IF(Q580=R580,"",IF(Q580&gt;R580,"Saldo Deudor","Saldo Acreedor"))</f>
        <v/>
      </c>
      <c r="Q581" s="165" t="str">
        <f>IF(Q580&gt;R580,Q580-R580,"")</f>
        <v/>
      </c>
      <c r="R581" s="176" t="str">
        <f>IF(Q580&lt;R580,R580-Q580,"")</f>
        <v/>
      </c>
      <c r="T581" s="170"/>
      <c r="U581" s="173"/>
      <c r="V581" s="164" t="str">
        <f>IF(W580=X580,"",IF(W580&gt;X580,"Saldo Deudor","Saldo Acreedor"))</f>
        <v/>
      </c>
      <c r="W581" s="165" t="str">
        <f>IF(W580&gt;X580,W580-X580,"")</f>
        <v/>
      </c>
      <c r="X581" s="176" t="str">
        <f>IF(W580&lt;X580,X580-W580,"")</f>
        <v/>
      </c>
      <c r="Z581" s="170"/>
      <c r="AA581" s="173"/>
      <c r="AB581" s="164" t="str">
        <f>IF(AC580=AD580,"",IF(AC580&gt;AD580,"Saldo Deudor","Saldo Acreedor"))</f>
        <v/>
      </c>
      <c r="AC581" s="165" t="str">
        <f>IF(AC580&gt;AD580,AC580-AD580,"")</f>
        <v/>
      </c>
      <c r="AD581" s="176" t="str">
        <f>IF(AC580&lt;AD580,AD580-AC580,"")</f>
        <v/>
      </c>
      <c r="AF581" s="170"/>
      <c r="AG581" s="173"/>
      <c r="AH581" s="164" t="str">
        <f>IF(AI580=AJ580,"",IF(AI580&gt;AJ580,"Saldo Deudor","Saldo Acreedor"))</f>
        <v/>
      </c>
      <c r="AI581" s="165" t="str">
        <f>IF(AI580&gt;AJ580,AI580-AJ580,"")</f>
        <v/>
      </c>
      <c r="AJ581" s="176" t="str">
        <f>IF(AI580&lt;AJ580,AJ580-AI580,"")</f>
        <v/>
      </c>
      <c r="AL581" s="170"/>
      <c r="AM581" s="173"/>
      <c r="AN581" s="164" t="str">
        <f>IF(AO580=AP580,"",IF(AO580&gt;AP580,"Saldo Deudor","Saldo Acreedor"))</f>
        <v/>
      </c>
      <c r="AO581" s="165" t="str">
        <f>IF(AO580&gt;AP580,AO580-AP580,"")</f>
        <v/>
      </c>
      <c r="AP581" s="176" t="str">
        <f>IF(AO580&lt;AP580,AP580-AO580,"")</f>
        <v/>
      </c>
    </row>
    <row r="584" spans="2:63" ht="15.6" x14ac:dyDescent="0.25">
      <c r="B584" s="324" t="s">
        <v>472</v>
      </c>
      <c r="C584" s="324"/>
      <c r="D584" s="175">
        <v>3411</v>
      </c>
      <c r="E584" s="160"/>
      <c r="H584" s="324" t="s">
        <v>472</v>
      </c>
      <c r="I584" s="324"/>
      <c r="J584" s="175">
        <v>3412</v>
      </c>
      <c r="K584" s="160"/>
      <c r="N584" s="324" t="s">
        <v>472</v>
      </c>
      <c r="O584" s="324"/>
      <c r="P584" s="175">
        <v>3419</v>
      </c>
      <c r="Q584" s="160"/>
    </row>
    <row r="585" spans="2:63" x14ac:dyDescent="0.25">
      <c r="B585" s="160"/>
      <c r="C585" s="160"/>
      <c r="D585" s="160"/>
      <c r="E585" s="160"/>
      <c r="H585" s="160"/>
      <c r="I585" s="160"/>
      <c r="J585" s="160"/>
      <c r="K585" s="160"/>
      <c r="N585" s="160"/>
      <c r="O585" s="160"/>
      <c r="P585" s="160"/>
      <c r="Q585" s="160"/>
    </row>
    <row r="586" spans="2:63" ht="15.6" x14ac:dyDescent="0.25">
      <c r="B586" s="324" t="s">
        <v>473</v>
      </c>
      <c r="C586" s="324"/>
      <c r="D586" s="234" t="str">
        <f>VLOOKUP(D584,DivisionariasContables,3,FALSE)</f>
        <v>Concesiones</v>
      </c>
      <c r="E586" s="160"/>
      <c r="H586" s="324" t="s">
        <v>473</v>
      </c>
      <c r="I586" s="324"/>
      <c r="J586" s="234" t="str">
        <f>VLOOKUP(J584,DivisionariasContables,3,FALSE)</f>
        <v>Licencias</v>
      </c>
      <c r="K586" s="160"/>
      <c r="N586" s="324" t="s">
        <v>473</v>
      </c>
      <c r="O586" s="324"/>
      <c r="P586" s="234" t="str">
        <f>VLOOKUP(P584,DivisionariasContables,3,FALSE)</f>
        <v>Otros Derechos</v>
      </c>
      <c r="Q586" s="160"/>
    </row>
    <row r="587" spans="2:63" ht="14.4" thickBot="1" x14ac:dyDescent="0.3"/>
    <row r="588" spans="2:63" x14ac:dyDescent="0.25">
      <c r="B588" s="325" t="s">
        <v>466</v>
      </c>
      <c r="C588" s="327" t="s">
        <v>467</v>
      </c>
      <c r="D588" s="327" t="s">
        <v>468</v>
      </c>
      <c r="E588" s="329" t="s">
        <v>469</v>
      </c>
      <c r="F588" s="330"/>
      <c r="H588" s="325" t="s">
        <v>466</v>
      </c>
      <c r="I588" s="327" t="s">
        <v>467</v>
      </c>
      <c r="J588" s="327" t="s">
        <v>468</v>
      </c>
      <c r="K588" s="329" t="s">
        <v>469</v>
      </c>
      <c r="L588" s="330"/>
      <c r="N588" s="325" t="s">
        <v>466</v>
      </c>
      <c r="O588" s="327" t="s">
        <v>467</v>
      </c>
      <c r="P588" s="327" t="s">
        <v>468</v>
      </c>
      <c r="Q588" s="329" t="s">
        <v>469</v>
      </c>
      <c r="R588" s="330"/>
    </row>
    <row r="589" spans="2:63" ht="14.4" thickBot="1" x14ac:dyDescent="0.3">
      <c r="B589" s="326"/>
      <c r="C589" s="328"/>
      <c r="D589" s="328"/>
      <c r="E589" s="232" t="s">
        <v>403</v>
      </c>
      <c r="F589" s="174" t="s">
        <v>402</v>
      </c>
      <c r="H589" s="326"/>
      <c r="I589" s="328"/>
      <c r="J589" s="328"/>
      <c r="K589" s="232" t="s">
        <v>403</v>
      </c>
      <c r="L589" s="174" t="s">
        <v>402</v>
      </c>
      <c r="N589" s="326"/>
      <c r="O589" s="328"/>
      <c r="P589" s="328"/>
      <c r="Q589" s="232" t="s">
        <v>403</v>
      </c>
      <c r="R589" s="174" t="s">
        <v>402</v>
      </c>
    </row>
    <row r="590" spans="2:63" ht="14.4" thickTop="1" x14ac:dyDescent="0.25">
      <c r="B590" s="236">
        <v>41670</v>
      </c>
      <c r="C590" s="171"/>
      <c r="D590" s="166" t="s">
        <v>470</v>
      </c>
      <c r="E590" s="167">
        <f>SUMIF('Libro Diario Convencional'!$D$15:$D$167,D584,'Libro Diario Convencional'!$G$15:$G$167)</f>
        <v>0</v>
      </c>
      <c r="F590" s="168">
        <f>SUMIF('Libro Diario Convencional'!$D$15:$D$167,D584,'Libro Diario Convencional'!$H$15:$H$167)</f>
        <v>0</v>
      </c>
      <c r="H590" s="236">
        <v>41670</v>
      </c>
      <c r="I590" s="171"/>
      <c r="J590" s="166" t="s">
        <v>470</v>
      </c>
      <c r="K590" s="167">
        <f>SUMIF('Libro Diario Convencional'!$D$15:$D$167,J584,'Libro Diario Convencional'!$G$15:$G$167)</f>
        <v>0</v>
      </c>
      <c r="L590" s="168">
        <f>SUMIF('Libro Diario Convencional'!$D$15:$D$167,J584,'Libro Diario Convencional'!$H$15:$H$167)</f>
        <v>0</v>
      </c>
      <c r="N590" s="236">
        <v>41670</v>
      </c>
      <c r="O590" s="171"/>
      <c r="P590" s="166" t="s">
        <v>470</v>
      </c>
      <c r="Q590" s="167">
        <f>SUMIF('Libro Diario Convencional'!$D$15:$D$167,P584,'Libro Diario Convencional'!$G$15:$G$167)</f>
        <v>0</v>
      </c>
      <c r="R590" s="168">
        <f>SUMIF('Libro Diario Convencional'!$D$15:$D$167,P584,'Libro Diario Convencional'!$H$15:$H$167)</f>
        <v>0</v>
      </c>
    </row>
    <row r="591" spans="2:63" x14ac:dyDescent="0.25">
      <c r="B591" s="169">
        <v>41670</v>
      </c>
      <c r="C591" s="172"/>
      <c r="D591" s="161" t="s">
        <v>474</v>
      </c>
      <c r="E591" s="162">
        <f>SUMIF('Asientos de Cierre'!$D$6:$D$549,D584,'Asientos de Cierre'!$G$6:$G$549)</f>
        <v>0</v>
      </c>
      <c r="F591" s="163">
        <f>SUMIF('Asientos de Cierre'!$D$6:$D$549,D584,'Asientos de Cierre'!$H$6:$H$549)</f>
        <v>0</v>
      </c>
      <c r="H591" s="169">
        <v>41670</v>
      </c>
      <c r="I591" s="172"/>
      <c r="J591" s="161" t="s">
        <v>474</v>
      </c>
      <c r="K591" s="162">
        <f>SUMIF('Asientos de Cierre'!$D$6:$D$549,J584,'Asientos de Cierre'!$G$6:$G$549)</f>
        <v>0</v>
      </c>
      <c r="L591" s="163">
        <f>SUMIF('Asientos de Cierre'!$D$6:$D$549,J584,'Asientos de Cierre'!$H$6:$H$549)</f>
        <v>0</v>
      </c>
      <c r="N591" s="169">
        <v>41670</v>
      </c>
      <c r="O591" s="172"/>
      <c r="P591" s="161" t="s">
        <v>474</v>
      </c>
      <c r="Q591" s="162">
        <f>SUMIF('Asientos de Cierre'!$D$6:$D$549,P584,'Asientos de Cierre'!$G$6:$G$549)</f>
        <v>0</v>
      </c>
      <c r="R591" s="163">
        <f>SUMIF('Asientos de Cierre'!$D$6:$D$549,P584,'Asientos de Cierre'!$H$6:$H$549)</f>
        <v>0</v>
      </c>
    </row>
    <row r="592" spans="2:63" x14ac:dyDescent="0.25">
      <c r="B592" s="169"/>
      <c r="C592" s="172"/>
      <c r="D592" s="161"/>
      <c r="E592" s="162"/>
      <c r="F592" s="163"/>
      <c r="H592" s="169"/>
      <c r="I592" s="172"/>
      <c r="J592" s="161"/>
      <c r="K592" s="162"/>
      <c r="L592" s="163"/>
      <c r="N592" s="169"/>
      <c r="O592" s="172"/>
      <c r="P592" s="161"/>
      <c r="Q592" s="162"/>
      <c r="R592" s="163"/>
    </row>
    <row r="593" spans="2:63" ht="14.4" thickBot="1" x14ac:dyDescent="0.3">
      <c r="B593" s="169"/>
      <c r="C593" s="172"/>
      <c r="D593" s="161"/>
      <c r="E593" s="162"/>
      <c r="F593" s="163"/>
      <c r="H593" s="169"/>
      <c r="I593" s="172"/>
      <c r="J593" s="161"/>
      <c r="K593" s="162"/>
      <c r="L593" s="163"/>
      <c r="N593" s="169"/>
      <c r="O593" s="172"/>
      <c r="P593" s="161"/>
      <c r="Q593" s="162"/>
      <c r="R593" s="163"/>
    </row>
    <row r="594" spans="2:63" ht="15" thickBot="1" x14ac:dyDescent="0.3">
      <c r="B594" s="169"/>
      <c r="C594" s="172"/>
      <c r="D594" s="161" t="s">
        <v>471</v>
      </c>
      <c r="E594" s="162">
        <f>SUM(E590:E593)</f>
        <v>0</v>
      </c>
      <c r="F594" s="163">
        <f>SUM(F590:F593)</f>
        <v>0</v>
      </c>
      <c r="H594" s="169"/>
      <c r="I594" s="172"/>
      <c r="J594" s="161" t="s">
        <v>471</v>
      </c>
      <c r="K594" s="162">
        <f>SUM(K590:K593)</f>
        <v>0</v>
      </c>
      <c r="L594" s="163">
        <f>SUM(L590:L593)</f>
        <v>0</v>
      </c>
      <c r="N594" s="169"/>
      <c r="O594" s="172"/>
      <c r="P594" s="161" t="s">
        <v>471</v>
      </c>
      <c r="Q594" s="162">
        <f>SUM(Q590:Q593)</f>
        <v>0</v>
      </c>
      <c r="R594" s="163">
        <f>SUM(R590:R593)</f>
        <v>0</v>
      </c>
      <c r="BJ594" s="157">
        <f>SUM(E594,K594,Q594,W594,AC594,AI594,AO594,AU594,BA594,BG594)</f>
        <v>0</v>
      </c>
      <c r="BK594" s="158">
        <f>SUM(F594,L594,R594,X594,AD594,AJ594,AP594,AV594,BB594,BH594)</f>
        <v>0</v>
      </c>
    </row>
    <row r="595" spans="2:63" ht="14.4" thickBot="1" x14ac:dyDescent="0.3">
      <c r="B595" s="170"/>
      <c r="C595" s="173"/>
      <c r="D595" s="164" t="str">
        <f>IF(E594=F594,"",IF(E594&gt;F594,"Saldo Deudor","Saldo Acreedor"))</f>
        <v/>
      </c>
      <c r="E595" s="165" t="str">
        <f>IF(E594&gt;F594,E594-F594,"")</f>
        <v/>
      </c>
      <c r="F595" s="176" t="str">
        <f>IF(E594&lt;F594,F594-E594,"")</f>
        <v/>
      </c>
      <c r="H595" s="170"/>
      <c r="I595" s="173"/>
      <c r="J595" s="164" t="str">
        <f>IF(K594=L594,"",IF(K594&gt;L594,"Saldo Deudor","Saldo Acreedor"))</f>
        <v/>
      </c>
      <c r="K595" s="165" t="str">
        <f>IF(K594&gt;L594,K594-L594,"")</f>
        <v/>
      </c>
      <c r="L595" s="176" t="str">
        <f>IF(K594&lt;L594,L594-K594,"")</f>
        <v/>
      </c>
      <c r="N595" s="170"/>
      <c r="O595" s="173"/>
      <c r="P595" s="164" t="str">
        <f>IF(Q594=R594,"",IF(Q594&gt;R594,"Saldo Deudor","Saldo Acreedor"))</f>
        <v/>
      </c>
      <c r="Q595" s="165" t="str">
        <f>IF(Q594&gt;R594,Q594-R594,"")</f>
        <v/>
      </c>
      <c r="R595" s="176" t="str">
        <f>IF(Q594&lt;R594,R594-Q594,"")</f>
        <v/>
      </c>
    </row>
    <row r="598" spans="2:63" ht="15.6" x14ac:dyDescent="0.25">
      <c r="B598" s="324" t="s">
        <v>472</v>
      </c>
      <c r="C598" s="324"/>
      <c r="D598" s="175">
        <v>3421</v>
      </c>
      <c r="E598" s="160"/>
      <c r="H598" s="324" t="s">
        <v>472</v>
      </c>
      <c r="I598" s="324"/>
      <c r="J598" s="175">
        <v>3422</v>
      </c>
      <c r="K598" s="160"/>
    </row>
    <row r="599" spans="2:63" x14ac:dyDescent="0.25">
      <c r="B599" s="160"/>
      <c r="C599" s="160"/>
      <c r="D599" s="160"/>
      <c r="E599" s="160"/>
      <c r="H599" s="160"/>
      <c r="I599" s="160"/>
      <c r="J599" s="160"/>
      <c r="K599" s="160"/>
    </row>
    <row r="600" spans="2:63" ht="15.6" x14ac:dyDescent="0.25">
      <c r="B600" s="324" t="s">
        <v>473</v>
      </c>
      <c r="C600" s="324"/>
      <c r="D600" s="234" t="str">
        <f>VLOOKUP(D598,DivisionariasContables,3,FALSE)</f>
        <v>Patentes</v>
      </c>
      <c r="E600" s="160"/>
      <c r="H600" s="324" t="s">
        <v>473</v>
      </c>
      <c r="I600" s="324"/>
      <c r="J600" s="234" t="str">
        <f>VLOOKUP(J598,DivisionariasContables,3,FALSE)</f>
        <v>Marcas</v>
      </c>
      <c r="K600" s="160"/>
    </row>
    <row r="601" spans="2:63" ht="14.4" thickBot="1" x14ac:dyDescent="0.3"/>
    <row r="602" spans="2:63" x14ac:dyDescent="0.25">
      <c r="B602" s="325" t="s">
        <v>466</v>
      </c>
      <c r="C602" s="327" t="s">
        <v>467</v>
      </c>
      <c r="D602" s="327" t="s">
        <v>468</v>
      </c>
      <c r="E602" s="329" t="s">
        <v>469</v>
      </c>
      <c r="F602" s="330"/>
      <c r="H602" s="325" t="s">
        <v>466</v>
      </c>
      <c r="I602" s="327" t="s">
        <v>467</v>
      </c>
      <c r="J602" s="327" t="s">
        <v>468</v>
      </c>
      <c r="K602" s="329" t="s">
        <v>469</v>
      </c>
      <c r="L602" s="330"/>
    </row>
    <row r="603" spans="2:63" ht="14.4" thickBot="1" x14ac:dyDescent="0.3">
      <c r="B603" s="326"/>
      <c r="C603" s="328"/>
      <c r="D603" s="328"/>
      <c r="E603" s="232" t="s">
        <v>403</v>
      </c>
      <c r="F603" s="174" t="s">
        <v>402</v>
      </c>
      <c r="H603" s="326"/>
      <c r="I603" s="328"/>
      <c r="J603" s="328"/>
      <c r="K603" s="232" t="s">
        <v>403</v>
      </c>
      <c r="L603" s="174" t="s">
        <v>402</v>
      </c>
    </row>
    <row r="604" spans="2:63" ht="14.4" thickTop="1" x14ac:dyDescent="0.25">
      <c r="B604" s="236">
        <v>41670</v>
      </c>
      <c r="C604" s="171"/>
      <c r="D604" s="166" t="s">
        <v>470</v>
      </c>
      <c r="E604" s="167">
        <f>SUMIF('Libro Diario Convencional'!$D$15:$D$167,D598,'Libro Diario Convencional'!$G$15:$G$167)</f>
        <v>0</v>
      </c>
      <c r="F604" s="168">
        <f>SUMIF('Libro Diario Convencional'!$D$15:$D$167,D598,'Libro Diario Convencional'!$H$15:$H$167)</f>
        <v>0</v>
      </c>
      <c r="H604" s="236">
        <v>41670</v>
      </c>
      <c r="I604" s="171"/>
      <c r="J604" s="166" t="s">
        <v>470</v>
      </c>
      <c r="K604" s="167">
        <f>SUMIF('Libro Diario Convencional'!$D$15:$D$167,J598,'Libro Diario Convencional'!$G$15:$G$167)</f>
        <v>0</v>
      </c>
      <c r="L604" s="168">
        <f>SUMIF('Libro Diario Convencional'!$D$15:$D$167,J598,'Libro Diario Convencional'!$H$15:$H$167)</f>
        <v>0</v>
      </c>
    </row>
    <row r="605" spans="2:63" x14ac:dyDescent="0.25">
      <c r="B605" s="169">
        <v>41670</v>
      </c>
      <c r="C605" s="172"/>
      <c r="D605" s="161" t="s">
        <v>474</v>
      </c>
      <c r="E605" s="162">
        <f>SUMIF('Asientos de Cierre'!$D$6:$D$549,D598,'Asientos de Cierre'!$G$6:$G$549)</f>
        <v>0</v>
      </c>
      <c r="F605" s="163">
        <f>SUMIF('Asientos de Cierre'!$D$6:$D$549,D598,'Asientos de Cierre'!$H$6:$H$549)</f>
        <v>0</v>
      </c>
      <c r="H605" s="169">
        <v>41670</v>
      </c>
      <c r="I605" s="172"/>
      <c r="J605" s="161" t="s">
        <v>474</v>
      </c>
      <c r="K605" s="162">
        <f>SUMIF('Asientos de Cierre'!$D$6:$D$549,J598,'Asientos de Cierre'!$G$6:$G$549)</f>
        <v>0</v>
      </c>
      <c r="L605" s="163">
        <f>SUMIF('Asientos de Cierre'!$D$6:$D$549,J598,'Asientos de Cierre'!$H$6:$H$549)</f>
        <v>0</v>
      </c>
    </row>
    <row r="606" spans="2:63" x14ac:dyDescent="0.25">
      <c r="B606" s="169"/>
      <c r="C606" s="172"/>
      <c r="D606" s="161"/>
      <c r="E606" s="162"/>
      <c r="F606" s="163"/>
      <c r="H606" s="169"/>
      <c r="I606" s="172"/>
      <c r="J606" s="161"/>
      <c r="K606" s="162"/>
      <c r="L606" s="163"/>
    </row>
    <row r="607" spans="2:63" ht="14.4" thickBot="1" x14ac:dyDescent="0.3">
      <c r="B607" s="169"/>
      <c r="C607" s="172"/>
      <c r="D607" s="161"/>
      <c r="E607" s="162"/>
      <c r="F607" s="163"/>
      <c r="H607" s="169"/>
      <c r="I607" s="172"/>
      <c r="J607" s="161"/>
      <c r="K607" s="162"/>
      <c r="L607" s="163"/>
    </row>
    <row r="608" spans="2:63" ht="15" thickBot="1" x14ac:dyDescent="0.3">
      <c r="B608" s="169"/>
      <c r="C608" s="172"/>
      <c r="D608" s="161" t="s">
        <v>471</v>
      </c>
      <c r="E608" s="162">
        <f>SUM(E604:E607)</f>
        <v>0</v>
      </c>
      <c r="F608" s="163">
        <f>SUM(F604:F607)</f>
        <v>0</v>
      </c>
      <c r="H608" s="169"/>
      <c r="I608" s="172"/>
      <c r="J608" s="161" t="s">
        <v>471</v>
      </c>
      <c r="K608" s="162">
        <f>SUM(K604:K607)</f>
        <v>0</v>
      </c>
      <c r="L608" s="163">
        <f>SUM(L604:L607)</f>
        <v>0</v>
      </c>
      <c r="BJ608" s="157">
        <f>SUM(E608,K608,Q608,W608,AC608,AI608,AO608,AU608,BA608,BG608)</f>
        <v>0</v>
      </c>
      <c r="BK608" s="158">
        <f>SUM(F608,L608,R608,X608,AD608,AJ608,AP608,AV608,BB608,BH608)</f>
        <v>0</v>
      </c>
    </row>
    <row r="609" spans="2:63" ht="14.4" thickBot="1" x14ac:dyDescent="0.3">
      <c r="B609" s="170"/>
      <c r="C609" s="173"/>
      <c r="D609" s="164" t="str">
        <f>IF(E608=F608,"",IF(E608&gt;F608,"Saldo Deudor","Saldo Acreedor"))</f>
        <v/>
      </c>
      <c r="E609" s="165" t="str">
        <f>IF(E608&gt;F608,E608-F608,"")</f>
        <v/>
      </c>
      <c r="F609" s="176" t="str">
        <f>IF(E608&lt;F608,F608-E608,"")</f>
        <v/>
      </c>
      <c r="H609" s="170"/>
      <c r="I609" s="173"/>
      <c r="J609" s="164" t="str">
        <f>IF(K608=L608,"",IF(K608&gt;L608,"Saldo Deudor","Saldo Acreedor"))</f>
        <v/>
      </c>
      <c r="K609" s="165" t="str">
        <f>IF(K608&gt;L608,K608-L608,"")</f>
        <v/>
      </c>
      <c r="L609" s="176" t="str">
        <f>IF(K608&lt;L608,L608-K608,"")</f>
        <v/>
      </c>
    </row>
    <row r="612" spans="2:63" ht="15.6" x14ac:dyDescent="0.25">
      <c r="B612" s="324" t="s">
        <v>472</v>
      </c>
      <c r="C612" s="324"/>
      <c r="D612" s="175">
        <v>3431</v>
      </c>
      <c r="E612" s="160"/>
    </row>
    <row r="613" spans="2:63" x14ac:dyDescent="0.25">
      <c r="B613" s="160"/>
      <c r="C613" s="160"/>
      <c r="D613" s="160"/>
      <c r="E613" s="160"/>
    </row>
    <row r="614" spans="2:63" ht="15.6" x14ac:dyDescent="0.25">
      <c r="B614" s="324" t="s">
        <v>473</v>
      </c>
      <c r="C614" s="324"/>
      <c r="D614" s="234" t="str">
        <f>VLOOKUP(D612,DivisionariasContables,3,FALSE)</f>
        <v>Aplicaciones Informáticas</v>
      </c>
      <c r="E614" s="160"/>
    </row>
    <row r="615" spans="2:63" ht="14.4" thickBot="1" x14ac:dyDescent="0.3"/>
    <row r="616" spans="2:63" x14ac:dyDescent="0.25">
      <c r="B616" s="325" t="s">
        <v>466</v>
      </c>
      <c r="C616" s="327" t="s">
        <v>467</v>
      </c>
      <c r="D616" s="327" t="s">
        <v>468</v>
      </c>
      <c r="E616" s="329" t="s">
        <v>469</v>
      </c>
      <c r="F616" s="330"/>
    </row>
    <row r="617" spans="2:63" ht="14.4" thickBot="1" x14ac:dyDescent="0.3">
      <c r="B617" s="326"/>
      <c r="C617" s="328"/>
      <c r="D617" s="328"/>
      <c r="E617" s="232" t="s">
        <v>403</v>
      </c>
      <c r="F617" s="174" t="s">
        <v>402</v>
      </c>
    </row>
    <row r="618" spans="2:63" ht="14.4" thickTop="1" x14ac:dyDescent="0.25">
      <c r="B618" s="236">
        <v>41670</v>
      </c>
      <c r="C618" s="171"/>
      <c r="D618" s="166" t="s">
        <v>470</v>
      </c>
      <c r="E618" s="167">
        <f>SUMIF('Libro Diario Convencional'!$D$15:$D$167,D612,'Libro Diario Convencional'!$G$15:$G$167)</f>
        <v>0</v>
      </c>
      <c r="F618" s="168">
        <f>SUMIF('Libro Diario Convencional'!$D$15:$D$167,D612,'Libro Diario Convencional'!$H$15:$H$167)</f>
        <v>0</v>
      </c>
    </row>
    <row r="619" spans="2:63" x14ac:dyDescent="0.25">
      <c r="B619" s="169">
        <v>41670</v>
      </c>
      <c r="C619" s="172"/>
      <c r="D619" s="161" t="s">
        <v>474</v>
      </c>
      <c r="E619" s="162">
        <f>SUMIF('Asientos de Cierre'!$D$6:$D$549,D612,'Asientos de Cierre'!$G$6:$G$549)</f>
        <v>0</v>
      </c>
      <c r="F619" s="163">
        <f>SUMIF('Asientos de Cierre'!$D$6:$D$549,D612,'Asientos de Cierre'!$H$6:$H$549)</f>
        <v>0</v>
      </c>
    </row>
    <row r="620" spans="2:63" x14ac:dyDescent="0.25">
      <c r="B620" s="169"/>
      <c r="C620" s="172"/>
      <c r="D620" s="161"/>
      <c r="E620" s="162"/>
      <c r="F620" s="163"/>
    </row>
    <row r="621" spans="2:63" ht="14.4" thickBot="1" x14ac:dyDescent="0.3">
      <c r="B621" s="169"/>
      <c r="C621" s="172"/>
      <c r="D621" s="161"/>
      <c r="E621" s="162"/>
      <c r="F621" s="163"/>
    </row>
    <row r="622" spans="2:63" ht="15" thickBot="1" x14ac:dyDescent="0.3">
      <c r="B622" s="169"/>
      <c r="C622" s="172"/>
      <c r="D622" s="161" t="s">
        <v>471</v>
      </c>
      <c r="E622" s="162">
        <f>SUM(E618:E621)</f>
        <v>0</v>
      </c>
      <c r="F622" s="163">
        <f>SUM(F618:F621)</f>
        <v>0</v>
      </c>
      <c r="BJ622" s="157">
        <f>SUM(E622,K622,Q622,W622,AC622,AI622,AO622,AU622,BA622,BG622)</f>
        <v>0</v>
      </c>
      <c r="BK622" s="158">
        <f>SUM(F622,L622,R622,X622,AD622,AJ622,AP622,AV622,BB622,BH622)</f>
        <v>0</v>
      </c>
    </row>
    <row r="623" spans="2:63" ht="14.4" thickBot="1" x14ac:dyDescent="0.3">
      <c r="B623" s="170"/>
      <c r="C623" s="173"/>
      <c r="D623" s="164" t="str">
        <f>IF(E622=F622,"",IF(E622&gt;F622,"Saldo Deudor","Saldo Acreedor"))</f>
        <v/>
      </c>
      <c r="E623" s="165" t="str">
        <f>IF(E622&gt;F622,E622-F622,"")</f>
        <v/>
      </c>
      <c r="F623" s="176" t="str">
        <f>IF(E622&lt;F622,F622-E622,"")</f>
        <v/>
      </c>
    </row>
    <row r="626" spans="2:63" ht="15.6" x14ac:dyDescent="0.25">
      <c r="B626" s="324" t="s">
        <v>472</v>
      </c>
      <c r="C626" s="324"/>
      <c r="D626" s="175">
        <v>3441</v>
      </c>
      <c r="E626" s="160"/>
      <c r="H626" s="324" t="s">
        <v>472</v>
      </c>
      <c r="I626" s="324"/>
      <c r="J626" s="175">
        <v>3442</v>
      </c>
      <c r="K626" s="160"/>
    </row>
    <row r="627" spans="2:63" x14ac:dyDescent="0.25">
      <c r="B627" s="160"/>
      <c r="C627" s="160"/>
      <c r="D627" s="160"/>
      <c r="E627" s="160"/>
      <c r="H627" s="160"/>
      <c r="I627" s="160"/>
      <c r="J627" s="160"/>
      <c r="K627" s="160"/>
    </row>
    <row r="628" spans="2:63" ht="15.6" x14ac:dyDescent="0.25">
      <c r="B628" s="324" t="s">
        <v>473</v>
      </c>
      <c r="C628" s="324"/>
      <c r="D628" s="234" t="str">
        <f>VLOOKUP(D626,DivisionariasContables,3,FALSE)</f>
        <v>Costos de Exploración</v>
      </c>
      <c r="E628" s="160"/>
      <c r="H628" s="324" t="s">
        <v>473</v>
      </c>
      <c r="I628" s="324"/>
      <c r="J628" s="234" t="str">
        <f>VLOOKUP(J626,DivisionariasContables,3,FALSE)</f>
        <v>Costos de Desarrollo</v>
      </c>
      <c r="K628" s="160"/>
    </row>
    <row r="629" spans="2:63" ht="14.4" thickBot="1" x14ac:dyDescent="0.3"/>
    <row r="630" spans="2:63" x14ac:dyDescent="0.25">
      <c r="B630" s="325" t="s">
        <v>466</v>
      </c>
      <c r="C630" s="327" t="s">
        <v>467</v>
      </c>
      <c r="D630" s="327" t="s">
        <v>468</v>
      </c>
      <c r="E630" s="329" t="s">
        <v>469</v>
      </c>
      <c r="F630" s="330"/>
      <c r="H630" s="325" t="s">
        <v>466</v>
      </c>
      <c r="I630" s="327" t="s">
        <v>467</v>
      </c>
      <c r="J630" s="327" t="s">
        <v>468</v>
      </c>
      <c r="K630" s="329" t="s">
        <v>469</v>
      </c>
      <c r="L630" s="330"/>
    </row>
    <row r="631" spans="2:63" ht="14.4" thickBot="1" x14ac:dyDescent="0.3">
      <c r="B631" s="326"/>
      <c r="C631" s="328"/>
      <c r="D631" s="328"/>
      <c r="E631" s="232" t="s">
        <v>403</v>
      </c>
      <c r="F631" s="174" t="s">
        <v>402</v>
      </c>
      <c r="H631" s="326"/>
      <c r="I631" s="328"/>
      <c r="J631" s="328"/>
      <c r="K631" s="232" t="s">
        <v>403</v>
      </c>
      <c r="L631" s="174" t="s">
        <v>402</v>
      </c>
    </row>
    <row r="632" spans="2:63" ht="14.4" thickTop="1" x14ac:dyDescent="0.25">
      <c r="B632" s="236">
        <v>41670</v>
      </c>
      <c r="C632" s="171"/>
      <c r="D632" s="166" t="s">
        <v>470</v>
      </c>
      <c r="E632" s="167">
        <f>SUMIF('Libro Diario Convencional'!$D$15:$D$167,D626,'Libro Diario Convencional'!$G$15:$G$167)</f>
        <v>0</v>
      </c>
      <c r="F632" s="168">
        <f>SUMIF('Libro Diario Convencional'!$D$15:$D$167,D626,'Libro Diario Convencional'!$H$15:$H$167)</f>
        <v>0</v>
      </c>
      <c r="H632" s="236">
        <v>41670</v>
      </c>
      <c r="I632" s="171"/>
      <c r="J632" s="166" t="s">
        <v>470</v>
      </c>
      <c r="K632" s="167">
        <f>SUMIF('Libro Diario Convencional'!$D$15:$D$167,J626,'Libro Diario Convencional'!$G$15:$G$167)</f>
        <v>0</v>
      </c>
      <c r="L632" s="168">
        <f>SUMIF('Libro Diario Convencional'!$D$15:$D$167,J626,'Libro Diario Convencional'!$H$15:$H$167)</f>
        <v>0</v>
      </c>
    </row>
    <row r="633" spans="2:63" x14ac:dyDescent="0.25">
      <c r="B633" s="169">
        <v>41670</v>
      </c>
      <c r="C633" s="172"/>
      <c r="D633" s="161" t="s">
        <v>474</v>
      </c>
      <c r="E633" s="162">
        <f>SUMIF('Asientos de Cierre'!$D$6:$D$549,D626,'Asientos de Cierre'!$G$6:$G$549)</f>
        <v>0</v>
      </c>
      <c r="F633" s="163">
        <f>SUMIF('Asientos de Cierre'!$D$6:$D$549,D626,'Asientos de Cierre'!$H$6:$H$549)</f>
        <v>0</v>
      </c>
      <c r="H633" s="169">
        <v>41670</v>
      </c>
      <c r="I633" s="172"/>
      <c r="J633" s="161" t="s">
        <v>474</v>
      </c>
      <c r="K633" s="162">
        <f>SUMIF('Asientos de Cierre'!$D$6:$D$549,J626,'Asientos de Cierre'!$G$6:$G$549)</f>
        <v>0</v>
      </c>
      <c r="L633" s="163">
        <f>SUMIF('Asientos de Cierre'!$D$6:$D$549,J626,'Asientos de Cierre'!$H$6:$H$549)</f>
        <v>0</v>
      </c>
    </row>
    <row r="634" spans="2:63" x14ac:dyDescent="0.25">
      <c r="B634" s="169"/>
      <c r="C634" s="172"/>
      <c r="D634" s="161"/>
      <c r="E634" s="162"/>
      <c r="F634" s="163"/>
      <c r="H634" s="169"/>
      <c r="I634" s="172"/>
      <c r="J634" s="161"/>
      <c r="K634" s="162"/>
      <c r="L634" s="163"/>
    </row>
    <row r="635" spans="2:63" ht="14.4" thickBot="1" x14ac:dyDescent="0.3">
      <c r="B635" s="169"/>
      <c r="C635" s="172"/>
      <c r="D635" s="161"/>
      <c r="E635" s="162"/>
      <c r="F635" s="163"/>
      <c r="H635" s="169"/>
      <c r="I635" s="172"/>
      <c r="J635" s="161"/>
      <c r="K635" s="162"/>
      <c r="L635" s="163"/>
    </row>
    <row r="636" spans="2:63" ht="15" thickBot="1" x14ac:dyDescent="0.3">
      <c r="B636" s="169"/>
      <c r="C636" s="172"/>
      <c r="D636" s="161" t="s">
        <v>471</v>
      </c>
      <c r="E636" s="162">
        <f>SUM(E632:E635)</f>
        <v>0</v>
      </c>
      <c r="F636" s="163">
        <f>SUM(F632:F635)</f>
        <v>0</v>
      </c>
      <c r="H636" s="169"/>
      <c r="I636" s="172"/>
      <c r="J636" s="161" t="s">
        <v>471</v>
      </c>
      <c r="K636" s="162">
        <f>SUM(K632:K635)</f>
        <v>0</v>
      </c>
      <c r="L636" s="163">
        <f>SUM(L632:L635)</f>
        <v>0</v>
      </c>
      <c r="BJ636" s="157">
        <f>SUM(E636,K636,Q636,W636,AC636,AI636,AO636,AU636,BA636,BG636)</f>
        <v>0</v>
      </c>
      <c r="BK636" s="158">
        <f>SUM(F636,L636,R636,X636,AD636,AJ636,AP636,AV636,BB636,BH636)</f>
        <v>0</v>
      </c>
    </row>
    <row r="637" spans="2:63" ht="14.4" thickBot="1" x14ac:dyDescent="0.3">
      <c r="B637" s="170"/>
      <c r="C637" s="173"/>
      <c r="D637" s="164" t="str">
        <f>IF(E636=F636,"",IF(E636&gt;F636,"Saldo Deudor","Saldo Acreedor"))</f>
        <v/>
      </c>
      <c r="E637" s="165" t="str">
        <f>IF(E636&gt;F636,E636-F636,"")</f>
        <v/>
      </c>
      <c r="F637" s="176" t="str">
        <f>IF(E636&lt;F636,F636-E636,"")</f>
        <v/>
      </c>
      <c r="H637" s="170"/>
      <c r="I637" s="173"/>
      <c r="J637" s="164" t="str">
        <f>IF(K636=L636,"",IF(K636&gt;L636,"Saldo Deudor","Saldo Acreedor"))</f>
        <v/>
      </c>
      <c r="K637" s="165" t="str">
        <f>IF(K636&gt;L636,K636-L636,"")</f>
        <v/>
      </c>
      <c r="L637" s="176" t="str">
        <f>IF(K636&lt;L636,L636-K636,"")</f>
        <v/>
      </c>
    </row>
    <row r="640" spans="2:63" ht="15.6" x14ac:dyDescent="0.25">
      <c r="B640" s="324" t="s">
        <v>472</v>
      </c>
      <c r="C640" s="324"/>
      <c r="D640" s="175">
        <v>3451</v>
      </c>
      <c r="E640" s="160"/>
      <c r="H640" s="324" t="s">
        <v>472</v>
      </c>
      <c r="I640" s="324"/>
      <c r="J640" s="175">
        <v>3452</v>
      </c>
      <c r="K640" s="160"/>
    </row>
    <row r="641" spans="2:63" x14ac:dyDescent="0.25">
      <c r="B641" s="160"/>
      <c r="C641" s="160"/>
      <c r="D641" s="160"/>
      <c r="E641" s="160"/>
      <c r="H641" s="160"/>
      <c r="I641" s="160"/>
      <c r="J641" s="160"/>
      <c r="K641" s="160"/>
    </row>
    <row r="642" spans="2:63" ht="15.6" x14ac:dyDescent="0.25">
      <c r="B642" s="324" t="s">
        <v>473</v>
      </c>
      <c r="C642" s="324"/>
      <c r="D642" s="234" t="str">
        <f>VLOOKUP(D640,DivisionariasContables,3,FALSE)</f>
        <v>Fórmulas</v>
      </c>
      <c r="E642" s="160"/>
      <c r="H642" s="324" t="s">
        <v>473</v>
      </c>
      <c r="I642" s="324"/>
      <c r="J642" s="234" t="str">
        <f>VLOOKUP(J640,DivisionariasContables,3,FALSE)</f>
        <v>Diseños y Prototipos</v>
      </c>
      <c r="K642" s="160"/>
    </row>
    <row r="643" spans="2:63" ht="14.4" thickBot="1" x14ac:dyDescent="0.3"/>
    <row r="644" spans="2:63" x14ac:dyDescent="0.25">
      <c r="B644" s="325" t="s">
        <v>466</v>
      </c>
      <c r="C644" s="327" t="s">
        <v>467</v>
      </c>
      <c r="D644" s="327" t="s">
        <v>468</v>
      </c>
      <c r="E644" s="329" t="s">
        <v>469</v>
      </c>
      <c r="F644" s="330"/>
      <c r="H644" s="325" t="s">
        <v>466</v>
      </c>
      <c r="I644" s="327" t="s">
        <v>467</v>
      </c>
      <c r="J644" s="327" t="s">
        <v>468</v>
      </c>
      <c r="K644" s="329" t="s">
        <v>469</v>
      </c>
      <c r="L644" s="330"/>
    </row>
    <row r="645" spans="2:63" ht="14.4" thickBot="1" x14ac:dyDescent="0.3">
      <c r="B645" s="326"/>
      <c r="C645" s="328"/>
      <c r="D645" s="328"/>
      <c r="E645" s="232" t="s">
        <v>403</v>
      </c>
      <c r="F645" s="174" t="s">
        <v>402</v>
      </c>
      <c r="H645" s="326"/>
      <c r="I645" s="328"/>
      <c r="J645" s="328"/>
      <c r="K645" s="232" t="s">
        <v>403</v>
      </c>
      <c r="L645" s="174" t="s">
        <v>402</v>
      </c>
    </row>
    <row r="646" spans="2:63" ht="14.4" thickTop="1" x14ac:dyDescent="0.25">
      <c r="B646" s="236">
        <v>41670</v>
      </c>
      <c r="C646" s="171"/>
      <c r="D646" s="166" t="s">
        <v>470</v>
      </c>
      <c r="E646" s="167">
        <f>SUMIF('Libro Diario Convencional'!$D$15:$D$167,D640,'Libro Diario Convencional'!$G$15:$G$167)</f>
        <v>0</v>
      </c>
      <c r="F646" s="168">
        <f>SUMIF('Libro Diario Convencional'!$D$15:$D$167,D640,'Libro Diario Convencional'!$H$15:$H$167)</f>
        <v>0</v>
      </c>
      <c r="H646" s="236">
        <v>41670</v>
      </c>
      <c r="I646" s="171"/>
      <c r="J646" s="166" t="s">
        <v>470</v>
      </c>
      <c r="K646" s="167">
        <f>SUMIF('Libro Diario Convencional'!$D$15:$D$167,J640,'Libro Diario Convencional'!$G$15:$G$167)</f>
        <v>0</v>
      </c>
      <c r="L646" s="168">
        <f>SUMIF('Libro Diario Convencional'!$D$15:$D$167,J640,'Libro Diario Convencional'!$H$15:$H$167)</f>
        <v>0</v>
      </c>
    </row>
    <row r="647" spans="2:63" x14ac:dyDescent="0.25">
      <c r="B647" s="169">
        <v>41670</v>
      </c>
      <c r="C647" s="172"/>
      <c r="D647" s="161" t="s">
        <v>474</v>
      </c>
      <c r="E647" s="162">
        <f>SUMIF('Asientos de Cierre'!$D$6:$D$549,D640,'Asientos de Cierre'!$G$6:$G$549)</f>
        <v>0</v>
      </c>
      <c r="F647" s="163">
        <f>SUMIF('Asientos de Cierre'!$D$6:$D$549,D640,'Asientos de Cierre'!$H$6:$H$549)</f>
        <v>0</v>
      </c>
      <c r="H647" s="169">
        <v>41670</v>
      </c>
      <c r="I647" s="172"/>
      <c r="J647" s="161" t="s">
        <v>474</v>
      </c>
      <c r="K647" s="162">
        <f>SUMIF('Asientos de Cierre'!$D$6:$D$549,J640,'Asientos de Cierre'!$G$6:$G$549)</f>
        <v>0</v>
      </c>
      <c r="L647" s="163">
        <f>SUMIF('Asientos de Cierre'!$D$6:$D$549,J640,'Asientos de Cierre'!$H$6:$H$549)</f>
        <v>0</v>
      </c>
    </row>
    <row r="648" spans="2:63" x14ac:dyDescent="0.25">
      <c r="B648" s="169"/>
      <c r="C648" s="172"/>
      <c r="D648" s="161"/>
      <c r="E648" s="162"/>
      <c r="F648" s="163"/>
      <c r="H648" s="169"/>
      <c r="I648" s="172"/>
      <c r="J648" s="161"/>
      <c r="K648" s="162"/>
      <c r="L648" s="163"/>
    </row>
    <row r="649" spans="2:63" ht="14.4" thickBot="1" x14ac:dyDescent="0.3">
      <c r="B649" s="169"/>
      <c r="C649" s="172"/>
      <c r="D649" s="161"/>
      <c r="E649" s="162"/>
      <c r="F649" s="163"/>
      <c r="H649" s="169"/>
      <c r="I649" s="172"/>
      <c r="J649" s="161"/>
      <c r="K649" s="162"/>
      <c r="L649" s="163"/>
    </row>
    <row r="650" spans="2:63" ht="15" thickBot="1" x14ac:dyDescent="0.3">
      <c r="B650" s="169"/>
      <c r="C650" s="172"/>
      <c r="D650" s="161" t="s">
        <v>471</v>
      </c>
      <c r="E650" s="162">
        <f>SUM(E646:E649)</f>
        <v>0</v>
      </c>
      <c r="F650" s="163">
        <f>SUM(F646:F649)</f>
        <v>0</v>
      </c>
      <c r="H650" s="169"/>
      <c r="I650" s="172"/>
      <c r="J650" s="161" t="s">
        <v>471</v>
      </c>
      <c r="K650" s="162">
        <f>SUM(K646:K649)</f>
        <v>0</v>
      </c>
      <c r="L650" s="163">
        <f>SUM(L646:L649)</f>
        <v>0</v>
      </c>
      <c r="BJ650" s="157">
        <f>SUM(E650,K650,Q650,W650,AC650,AI650,AO650,AU650,BA650,BG650)</f>
        <v>0</v>
      </c>
      <c r="BK650" s="158">
        <f>SUM(F650,L650,R650,X650,AD650,AJ650,AP650,AV650,BB650,BH650)</f>
        <v>0</v>
      </c>
    </row>
    <row r="651" spans="2:63" ht="14.4" thickBot="1" x14ac:dyDescent="0.3">
      <c r="B651" s="170"/>
      <c r="C651" s="173"/>
      <c r="D651" s="164" t="str">
        <f>IF(E650=F650,"",IF(E650&gt;F650,"Saldo Deudor","Saldo Acreedor"))</f>
        <v/>
      </c>
      <c r="E651" s="165" t="str">
        <f>IF(E650&gt;F650,E650-F650,"")</f>
        <v/>
      </c>
      <c r="F651" s="176" t="str">
        <f>IF(E650&lt;F650,F650-E650,"")</f>
        <v/>
      </c>
      <c r="H651" s="170"/>
      <c r="I651" s="173"/>
      <c r="J651" s="164" t="str">
        <f>IF(K650=L650,"",IF(K650&gt;L650,"Saldo Deudor","Saldo Acreedor"))</f>
        <v/>
      </c>
      <c r="K651" s="165" t="str">
        <f>IF(K650&gt;L650,K650-L650,"")</f>
        <v/>
      </c>
      <c r="L651" s="176" t="str">
        <f>IF(K650&lt;L650,L650-K650,"")</f>
        <v/>
      </c>
    </row>
    <row r="654" spans="2:63" ht="15.6" x14ac:dyDescent="0.25">
      <c r="B654" s="324" t="s">
        <v>472</v>
      </c>
      <c r="C654" s="324"/>
      <c r="D654" s="175">
        <v>3461</v>
      </c>
      <c r="E654" s="160"/>
      <c r="H654" s="324" t="s">
        <v>472</v>
      </c>
      <c r="I654" s="324"/>
      <c r="J654" s="175">
        <v>3462</v>
      </c>
      <c r="K654" s="160"/>
      <c r="N654" s="324" t="s">
        <v>472</v>
      </c>
      <c r="O654" s="324"/>
      <c r="P654" s="175">
        <v>3463</v>
      </c>
      <c r="Q654" s="160"/>
      <c r="T654" s="324" t="s">
        <v>472</v>
      </c>
      <c r="U654" s="324"/>
      <c r="V654" s="175">
        <v>3469</v>
      </c>
      <c r="W654" s="160"/>
    </row>
    <row r="655" spans="2:63" x14ac:dyDescent="0.25">
      <c r="B655" s="160"/>
      <c r="C655" s="160"/>
      <c r="D655" s="160"/>
      <c r="E655" s="160"/>
      <c r="H655" s="160"/>
      <c r="I655" s="160"/>
      <c r="J655" s="160"/>
      <c r="K655" s="160"/>
      <c r="N655" s="160"/>
      <c r="O655" s="160"/>
      <c r="P655" s="160"/>
      <c r="Q655" s="160"/>
      <c r="T655" s="160"/>
      <c r="U655" s="160"/>
      <c r="V655" s="160"/>
      <c r="W655" s="160"/>
    </row>
    <row r="656" spans="2:63" ht="15.6" x14ac:dyDescent="0.25">
      <c r="B656" s="324" t="s">
        <v>473</v>
      </c>
      <c r="C656" s="324"/>
      <c r="D656" s="234" t="str">
        <f>VLOOKUP(D654,DivisionariasContables,3,FALSE)</f>
        <v>Minerales</v>
      </c>
      <c r="E656" s="160"/>
      <c r="H656" s="324" t="s">
        <v>473</v>
      </c>
      <c r="I656" s="324"/>
      <c r="J656" s="234" t="str">
        <f>VLOOKUP(J654,DivisionariasContables,3,FALSE)</f>
        <v>Petróleo y Gas</v>
      </c>
      <c r="K656" s="160"/>
      <c r="N656" s="324" t="s">
        <v>473</v>
      </c>
      <c r="O656" s="324"/>
      <c r="P656" s="234" t="str">
        <f>VLOOKUP(P654,DivisionariasContables,3,FALSE)</f>
        <v>Madera</v>
      </c>
      <c r="Q656" s="160"/>
      <c r="T656" s="324" t="s">
        <v>473</v>
      </c>
      <c r="U656" s="324"/>
      <c r="V656" s="234" t="str">
        <f>VLOOKUP(V654,DivisionariasContables,3,FALSE)</f>
        <v>Otros Recursos Extraíbles</v>
      </c>
      <c r="W656" s="160"/>
    </row>
    <row r="657" spans="2:63" ht="14.4" thickBot="1" x14ac:dyDescent="0.3"/>
    <row r="658" spans="2:63" x14ac:dyDescent="0.25">
      <c r="B658" s="325" t="s">
        <v>466</v>
      </c>
      <c r="C658" s="327" t="s">
        <v>467</v>
      </c>
      <c r="D658" s="327" t="s">
        <v>468</v>
      </c>
      <c r="E658" s="329" t="s">
        <v>469</v>
      </c>
      <c r="F658" s="330"/>
      <c r="H658" s="325" t="s">
        <v>466</v>
      </c>
      <c r="I658" s="327" t="s">
        <v>467</v>
      </c>
      <c r="J658" s="327" t="s">
        <v>468</v>
      </c>
      <c r="K658" s="329" t="s">
        <v>469</v>
      </c>
      <c r="L658" s="330"/>
      <c r="N658" s="325" t="s">
        <v>466</v>
      </c>
      <c r="O658" s="327" t="s">
        <v>467</v>
      </c>
      <c r="P658" s="327" t="s">
        <v>468</v>
      </c>
      <c r="Q658" s="329" t="s">
        <v>469</v>
      </c>
      <c r="R658" s="330"/>
      <c r="T658" s="325" t="s">
        <v>466</v>
      </c>
      <c r="U658" s="327" t="s">
        <v>467</v>
      </c>
      <c r="V658" s="327" t="s">
        <v>468</v>
      </c>
      <c r="W658" s="329" t="s">
        <v>469</v>
      </c>
      <c r="X658" s="330"/>
    </row>
    <row r="659" spans="2:63" ht="14.4" thickBot="1" x14ac:dyDescent="0.3">
      <c r="B659" s="326"/>
      <c r="C659" s="328"/>
      <c r="D659" s="328"/>
      <c r="E659" s="232" t="s">
        <v>403</v>
      </c>
      <c r="F659" s="174" t="s">
        <v>402</v>
      </c>
      <c r="H659" s="326"/>
      <c r="I659" s="328"/>
      <c r="J659" s="328"/>
      <c r="K659" s="232" t="s">
        <v>403</v>
      </c>
      <c r="L659" s="174" t="s">
        <v>402</v>
      </c>
      <c r="N659" s="326"/>
      <c r="O659" s="328"/>
      <c r="P659" s="328"/>
      <c r="Q659" s="232" t="s">
        <v>403</v>
      </c>
      <c r="R659" s="174" t="s">
        <v>402</v>
      </c>
      <c r="T659" s="326"/>
      <c r="U659" s="328"/>
      <c r="V659" s="328"/>
      <c r="W659" s="232" t="s">
        <v>403</v>
      </c>
      <c r="X659" s="174" t="s">
        <v>402</v>
      </c>
    </row>
    <row r="660" spans="2:63" ht="14.4" thickTop="1" x14ac:dyDescent="0.25">
      <c r="B660" s="236">
        <v>41670</v>
      </c>
      <c r="C660" s="171"/>
      <c r="D660" s="166" t="s">
        <v>470</v>
      </c>
      <c r="E660" s="167">
        <f>SUMIF('Libro Diario Convencional'!$D$15:$D$167,D654,'Libro Diario Convencional'!$G$15:$G$167)</f>
        <v>0</v>
      </c>
      <c r="F660" s="168">
        <f>SUMIF('Libro Diario Convencional'!$D$15:$D$167,D654,'Libro Diario Convencional'!$H$15:$H$167)</f>
        <v>0</v>
      </c>
      <c r="H660" s="236">
        <v>41670</v>
      </c>
      <c r="I660" s="171"/>
      <c r="J660" s="166" t="s">
        <v>470</v>
      </c>
      <c r="K660" s="167">
        <f>SUMIF('Libro Diario Convencional'!$D$15:$D$167,J654,'Libro Diario Convencional'!$G$15:$G$167)</f>
        <v>0</v>
      </c>
      <c r="L660" s="168">
        <f>SUMIF('Libro Diario Convencional'!$D$15:$D$167,J654,'Libro Diario Convencional'!$H$15:$H$167)</f>
        <v>0</v>
      </c>
      <c r="N660" s="236">
        <v>41670</v>
      </c>
      <c r="O660" s="171"/>
      <c r="P660" s="166" t="s">
        <v>470</v>
      </c>
      <c r="Q660" s="167">
        <f>SUMIF('Libro Diario Convencional'!$D$15:$D$167,P654,'Libro Diario Convencional'!$G$15:$G$167)</f>
        <v>0</v>
      </c>
      <c r="R660" s="168">
        <f>SUMIF('Libro Diario Convencional'!$D$15:$D$167,P654,'Libro Diario Convencional'!$H$15:$H$167)</f>
        <v>0</v>
      </c>
      <c r="T660" s="236">
        <v>41670</v>
      </c>
      <c r="U660" s="171"/>
      <c r="V660" s="166" t="s">
        <v>470</v>
      </c>
      <c r="W660" s="167">
        <f>SUMIF('Libro Diario Convencional'!$D$15:$D$167,V654,'Libro Diario Convencional'!$G$15:$G$167)</f>
        <v>0</v>
      </c>
      <c r="X660" s="168">
        <f>SUMIF('Libro Diario Convencional'!$D$15:$D$167,V654,'Libro Diario Convencional'!$H$15:$H$167)</f>
        <v>0</v>
      </c>
    </row>
    <row r="661" spans="2:63" x14ac:dyDescent="0.25">
      <c r="B661" s="169">
        <v>41670</v>
      </c>
      <c r="C661" s="172"/>
      <c r="D661" s="161" t="s">
        <v>474</v>
      </c>
      <c r="E661" s="162">
        <f>SUMIF('Asientos de Cierre'!$D$6:$D$549,D654,'Asientos de Cierre'!$G$6:$G$549)</f>
        <v>0</v>
      </c>
      <c r="F661" s="163">
        <f>SUMIF('Asientos de Cierre'!$D$6:$D$549,D654,'Asientos de Cierre'!$H$6:$H$549)</f>
        <v>0</v>
      </c>
      <c r="H661" s="169">
        <v>41670</v>
      </c>
      <c r="I661" s="172"/>
      <c r="J661" s="161" t="s">
        <v>474</v>
      </c>
      <c r="K661" s="162">
        <f>SUMIF('Asientos de Cierre'!$D$6:$D$549,J654,'Asientos de Cierre'!$G$6:$G$549)</f>
        <v>0</v>
      </c>
      <c r="L661" s="163">
        <f>SUMIF('Asientos de Cierre'!$D$6:$D$549,J654,'Asientos de Cierre'!$H$6:$H$549)</f>
        <v>0</v>
      </c>
      <c r="N661" s="169">
        <v>41670</v>
      </c>
      <c r="O661" s="172"/>
      <c r="P661" s="161" t="s">
        <v>474</v>
      </c>
      <c r="Q661" s="162">
        <f>SUMIF('Asientos de Cierre'!$D$6:$D$549,P654,'Asientos de Cierre'!$G$6:$G$549)</f>
        <v>0</v>
      </c>
      <c r="R661" s="163">
        <f>SUMIF('Asientos de Cierre'!$D$6:$D$549,P654,'Asientos de Cierre'!$H$6:$H$549)</f>
        <v>0</v>
      </c>
      <c r="T661" s="169">
        <v>41670</v>
      </c>
      <c r="U661" s="172"/>
      <c r="V661" s="161" t="s">
        <v>474</v>
      </c>
      <c r="W661" s="162">
        <f>SUMIF('Asientos de Cierre'!$D$6:$D$549,V654,'Asientos de Cierre'!$G$6:$G$549)</f>
        <v>0</v>
      </c>
      <c r="X661" s="163">
        <f>SUMIF('Asientos de Cierre'!$D$6:$D$549,V654,'Asientos de Cierre'!$H$6:$H$549)</f>
        <v>0</v>
      </c>
    </row>
    <row r="662" spans="2:63" x14ac:dyDescent="0.25">
      <c r="B662" s="169"/>
      <c r="C662" s="172"/>
      <c r="D662" s="161"/>
      <c r="E662" s="162"/>
      <c r="F662" s="163"/>
      <c r="H662" s="169"/>
      <c r="I662" s="172"/>
      <c r="J662" s="161"/>
      <c r="K662" s="162"/>
      <c r="L662" s="163"/>
      <c r="N662" s="169"/>
      <c r="O662" s="172"/>
      <c r="P662" s="161"/>
      <c r="Q662" s="162"/>
      <c r="R662" s="163"/>
      <c r="T662" s="169"/>
      <c r="U662" s="172"/>
      <c r="V662" s="161"/>
      <c r="W662" s="162"/>
      <c r="X662" s="163"/>
    </row>
    <row r="663" spans="2:63" ht="14.4" thickBot="1" x14ac:dyDescent="0.3">
      <c r="B663" s="169"/>
      <c r="C663" s="172"/>
      <c r="D663" s="161"/>
      <c r="E663" s="162"/>
      <c r="F663" s="163"/>
      <c r="H663" s="169"/>
      <c r="I663" s="172"/>
      <c r="J663" s="161"/>
      <c r="K663" s="162"/>
      <c r="L663" s="163"/>
      <c r="N663" s="169"/>
      <c r="O663" s="172"/>
      <c r="P663" s="161"/>
      <c r="Q663" s="162"/>
      <c r="R663" s="163"/>
      <c r="T663" s="169"/>
      <c r="U663" s="172"/>
      <c r="V663" s="161"/>
      <c r="W663" s="162"/>
      <c r="X663" s="163"/>
    </row>
    <row r="664" spans="2:63" ht="15" thickBot="1" x14ac:dyDescent="0.3">
      <c r="B664" s="169"/>
      <c r="C664" s="172"/>
      <c r="D664" s="161" t="s">
        <v>471</v>
      </c>
      <c r="E664" s="162">
        <f>SUM(E660:E663)</f>
        <v>0</v>
      </c>
      <c r="F664" s="163">
        <f>SUM(F660:F663)</f>
        <v>0</v>
      </c>
      <c r="H664" s="169"/>
      <c r="I664" s="172"/>
      <c r="J664" s="161" t="s">
        <v>471</v>
      </c>
      <c r="K664" s="162">
        <f>SUM(K660:K663)</f>
        <v>0</v>
      </c>
      <c r="L664" s="163">
        <f>SUM(L660:L663)</f>
        <v>0</v>
      </c>
      <c r="N664" s="169"/>
      <c r="O664" s="172"/>
      <c r="P664" s="161" t="s">
        <v>471</v>
      </c>
      <c r="Q664" s="162">
        <f>SUM(Q660:Q663)</f>
        <v>0</v>
      </c>
      <c r="R664" s="163">
        <f>SUM(R660:R663)</f>
        <v>0</v>
      </c>
      <c r="T664" s="169"/>
      <c r="U664" s="172"/>
      <c r="V664" s="161" t="s">
        <v>471</v>
      </c>
      <c r="W664" s="162">
        <f>SUM(W660:W663)</f>
        <v>0</v>
      </c>
      <c r="X664" s="163">
        <f>SUM(X660:X663)</f>
        <v>0</v>
      </c>
      <c r="BJ664" s="157">
        <f>SUM(E664,K664,Q664,W664,AC664,AI664,AO664,AU664,BA664,BG664)</f>
        <v>0</v>
      </c>
      <c r="BK664" s="158">
        <f>SUM(F664,L664,R664,X664,AD664,AJ664,AP664,AV664,BB664,BH664)</f>
        <v>0</v>
      </c>
    </row>
    <row r="665" spans="2:63" ht="14.4" thickBot="1" x14ac:dyDescent="0.3">
      <c r="B665" s="170"/>
      <c r="C665" s="173"/>
      <c r="D665" s="164" t="str">
        <f>IF(E664=F664,"",IF(E664&gt;F664,"Saldo Deudor","Saldo Acreedor"))</f>
        <v/>
      </c>
      <c r="E665" s="165" t="str">
        <f>IF(E664&gt;F664,E664-F664,"")</f>
        <v/>
      </c>
      <c r="F665" s="176" t="str">
        <f>IF(E664&lt;F664,F664-E664,"")</f>
        <v/>
      </c>
      <c r="H665" s="170"/>
      <c r="I665" s="173"/>
      <c r="J665" s="164" t="str">
        <f>IF(K664=L664,"",IF(K664&gt;L664,"Saldo Deudor","Saldo Acreedor"))</f>
        <v/>
      </c>
      <c r="K665" s="165" t="str">
        <f>IF(K664&gt;L664,K664-L664,"")</f>
        <v/>
      </c>
      <c r="L665" s="176" t="str">
        <f>IF(K664&lt;L664,L664-K664,"")</f>
        <v/>
      </c>
      <c r="N665" s="170"/>
      <c r="O665" s="173"/>
      <c r="P665" s="164" t="str">
        <f>IF(Q664=R664,"",IF(Q664&gt;R664,"Saldo Deudor","Saldo Acreedor"))</f>
        <v/>
      </c>
      <c r="Q665" s="165" t="str">
        <f>IF(Q664&gt;R664,Q664-R664,"")</f>
        <v/>
      </c>
      <c r="R665" s="176" t="str">
        <f>IF(Q664&lt;R664,R664-Q664,"")</f>
        <v/>
      </c>
      <c r="T665" s="170"/>
      <c r="U665" s="173"/>
      <c r="V665" s="164" t="str">
        <f>IF(W664=X664,"",IF(W664&gt;X664,"Saldo Deudor","Saldo Acreedor"))</f>
        <v/>
      </c>
      <c r="W665" s="165" t="str">
        <f>IF(W664&gt;X664,W664-X664,"")</f>
        <v/>
      </c>
      <c r="X665" s="176" t="str">
        <f>IF(W664&lt;X664,X664-W664,"")</f>
        <v/>
      </c>
    </row>
    <row r="668" spans="2:63" ht="15.6" x14ac:dyDescent="0.25">
      <c r="B668" s="324" t="s">
        <v>472</v>
      </c>
      <c r="C668" s="324"/>
      <c r="D668" s="175">
        <v>3471</v>
      </c>
      <c r="E668" s="160"/>
    </row>
    <row r="669" spans="2:63" x14ac:dyDescent="0.25">
      <c r="B669" s="160"/>
      <c r="C669" s="160"/>
      <c r="D669" s="160"/>
      <c r="E669" s="160"/>
    </row>
    <row r="670" spans="2:63" ht="15.6" x14ac:dyDescent="0.25">
      <c r="B670" s="324" t="s">
        <v>473</v>
      </c>
      <c r="C670" s="324"/>
      <c r="D670" s="234" t="str">
        <f>VLOOKUP(D668,DivisionariasContables,3,FALSE)</f>
        <v>Plusvalía Mercantil</v>
      </c>
      <c r="E670" s="160"/>
    </row>
    <row r="671" spans="2:63" ht="14.4" thickBot="1" x14ac:dyDescent="0.3"/>
    <row r="672" spans="2:63" x14ac:dyDescent="0.25">
      <c r="B672" s="325" t="s">
        <v>466</v>
      </c>
      <c r="C672" s="327" t="s">
        <v>467</v>
      </c>
      <c r="D672" s="327" t="s">
        <v>468</v>
      </c>
      <c r="E672" s="329" t="s">
        <v>469</v>
      </c>
      <c r="F672" s="330"/>
    </row>
    <row r="673" spans="2:63" ht="14.4" thickBot="1" x14ac:dyDescent="0.3">
      <c r="B673" s="326"/>
      <c r="C673" s="328"/>
      <c r="D673" s="328"/>
      <c r="E673" s="232" t="s">
        <v>403</v>
      </c>
      <c r="F673" s="174" t="s">
        <v>402</v>
      </c>
    </row>
    <row r="674" spans="2:63" ht="14.4" thickTop="1" x14ac:dyDescent="0.25">
      <c r="B674" s="236">
        <v>41670</v>
      </c>
      <c r="C674" s="171"/>
      <c r="D674" s="166" t="s">
        <v>470</v>
      </c>
      <c r="E674" s="167">
        <f>SUMIF('Libro Diario Convencional'!$D$15:$D$167,D668,'Libro Diario Convencional'!$G$15:$G$167)</f>
        <v>0</v>
      </c>
      <c r="F674" s="168">
        <f>SUMIF('Libro Diario Convencional'!$D$15:$D$167,D668,'Libro Diario Convencional'!$H$15:$H$167)</f>
        <v>0</v>
      </c>
    </row>
    <row r="675" spans="2:63" x14ac:dyDescent="0.25">
      <c r="B675" s="169">
        <v>41670</v>
      </c>
      <c r="C675" s="172"/>
      <c r="D675" s="161" t="s">
        <v>474</v>
      </c>
      <c r="E675" s="162">
        <f>SUMIF('Asientos de Cierre'!$D$6:$D$549,D668,'Asientos de Cierre'!$G$6:$G$549)</f>
        <v>0</v>
      </c>
      <c r="F675" s="163">
        <f>SUMIF('Asientos de Cierre'!$D$6:$D$549,D668,'Asientos de Cierre'!$H$6:$H$549)</f>
        <v>0</v>
      </c>
    </row>
    <row r="676" spans="2:63" x14ac:dyDescent="0.25">
      <c r="B676" s="169"/>
      <c r="C676" s="172"/>
      <c r="D676" s="161"/>
      <c r="E676" s="162"/>
      <c r="F676" s="163"/>
    </row>
    <row r="677" spans="2:63" ht="14.4" thickBot="1" x14ac:dyDescent="0.3">
      <c r="B677" s="169"/>
      <c r="C677" s="172"/>
      <c r="D677" s="161"/>
      <c r="E677" s="162"/>
      <c r="F677" s="163"/>
    </row>
    <row r="678" spans="2:63" ht="15" thickBot="1" x14ac:dyDescent="0.3">
      <c r="B678" s="169"/>
      <c r="C678" s="172"/>
      <c r="D678" s="161" t="s">
        <v>471</v>
      </c>
      <c r="E678" s="162">
        <f>SUM(E674:E677)</f>
        <v>0</v>
      </c>
      <c r="F678" s="163">
        <f>SUM(F674:F677)</f>
        <v>0</v>
      </c>
      <c r="BJ678" s="157">
        <f>SUM(E678,K678,Q678,W678,AC678,AI678,AO678,AU678,BA678,BG678)</f>
        <v>0</v>
      </c>
      <c r="BK678" s="158">
        <f>SUM(F678,L678,R678,X678,AD678,AJ678,AP678,AV678,BB678,BH678)</f>
        <v>0</v>
      </c>
    </row>
    <row r="679" spans="2:63" ht="14.4" thickBot="1" x14ac:dyDescent="0.3">
      <c r="B679" s="170"/>
      <c r="C679" s="173"/>
      <c r="D679" s="164" t="str">
        <f>IF(E678=F678,"",IF(E678&gt;F678,"Saldo Deudor","Saldo Acreedor"))</f>
        <v/>
      </c>
      <c r="E679" s="165" t="str">
        <f>IF(E678&gt;F678,E678-F678,"")</f>
        <v/>
      </c>
      <c r="F679" s="176" t="str">
        <f>IF(E678&lt;F678,F678-E678,"")</f>
        <v/>
      </c>
    </row>
    <row r="682" spans="2:63" ht="15.6" x14ac:dyDescent="0.25">
      <c r="B682" s="324" t="s">
        <v>472</v>
      </c>
      <c r="C682" s="324"/>
      <c r="D682" s="175">
        <v>3491</v>
      </c>
      <c r="E682" s="160"/>
      <c r="H682" s="324" t="s">
        <v>472</v>
      </c>
      <c r="I682" s="324"/>
      <c r="J682" s="175">
        <v>3499</v>
      </c>
      <c r="K682" s="160"/>
    </row>
    <row r="683" spans="2:63" x14ac:dyDescent="0.25">
      <c r="B683" s="160"/>
      <c r="C683" s="160"/>
      <c r="D683" s="160"/>
      <c r="E683" s="160"/>
      <c r="H683" s="160"/>
      <c r="I683" s="160"/>
      <c r="J683" s="160"/>
      <c r="K683" s="160"/>
    </row>
    <row r="684" spans="2:63" ht="15.6" x14ac:dyDescent="0.25">
      <c r="B684" s="324" t="s">
        <v>473</v>
      </c>
      <c r="C684" s="324"/>
      <c r="D684" s="234" t="str">
        <f>VLOOKUP(D682,DivisionariasContables,3,FALSE)</f>
        <v>Otros Activos Intangibles</v>
      </c>
      <c r="E684" s="160"/>
      <c r="H684" s="324" t="s">
        <v>473</v>
      </c>
      <c r="I684" s="324"/>
      <c r="J684" s="234" t="str">
        <f>VLOOKUP(J682,DivisionariasContables,3,FALSE)</f>
        <v>Reclasificación de IGV al Costo</v>
      </c>
      <c r="K684" s="160"/>
    </row>
    <row r="685" spans="2:63" ht="14.4" thickBot="1" x14ac:dyDescent="0.3"/>
    <row r="686" spans="2:63" x14ac:dyDescent="0.25">
      <c r="B686" s="325" t="s">
        <v>466</v>
      </c>
      <c r="C686" s="327" t="s">
        <v>467</v>
      </c>
      <c r="D686" s="327" t="s">
        <v>468</v>
      </c>
      <c r="E686" s="329" t="s">
        <v>469</v>
      </c>
      <c r="F686" s="330"/>
      <c r="H686" s="325" t="s">
        <v>466</v>
      </c>
      <c r="I686" s="327" t="s">
        <v>467</v>
      </c>
      <c r="J686" s="327" t="s">
        <v>468</v>
      </c>
      <c r="K686" s="329" t="s">
        <v>469</v>
      </c>
      <c r="L686" s="330"/>
    </row>
    <row r="687" spans="2:63" ht="14.4" thickBot="1" x14ac:dyDescent="0.3">
      <c r="B687" s="326"/>
      <c r="C687" s="328"/>
      <c r="D687" s="328"/>
      <c r="E687" s="232" t="s">
        <v>403</v>
      </c>
      <c r="F687" s="174" t="s">
        <v>402</v>
      </c>
      <c r="H687" s="326"/>
      <c r="I687" s="328"/>
      <c r="J687" s="328"/>
      <c r="K687" s="232" t="s">
        <v>403</v>
      </c>
      <c r="L687" s="174" t="s">
        <v>402</v>
      </c>
    </row>
    <row r="688" spans="2:63" ht="14.4" thickTop="1" x14ac:dyDescent="0.25">
      <c r="B688" s="236">
        <v>41670</v>
      </c>
      <c r="C688" s="171"/>
      <c r="D688" s="166" t="s">
        <v>470</v>
      </c>
      <c r="E688" s="167">
        <f>SUMIF('Libro Diario Convencional'!$D$15:$D$167,D682,'Libro Diario Convencional'!$G$15:$G$167)</f>
        <v>0</v>
      </c>
      <c r="F688" s="168">
        <f>SUMIF('Libro Diario Convencional'!$D$15:$D$167,D682,'Libro Diario Convencional'!$H$15:$H$167)</f>
        <v>0</v>
      </c>
      <c r="H688" s="236">
        <v>41670</v>
      </c>
      <c r="I688" s="171"/>
      <c r="J688" s="166" t="s">
        <v>470</v>
      </c>
      <c r="K688" s="167">
        <f>SUMIF('Libro Diario Convencional'!$D$15:$D$167,J682,'Libro Diario Convencional'!$G$15:$G$167)</f>
        <v>0</v>
      </c>
      <c r="L688" s="168">
        <f>SUMIF('Libro Diario Convencional'!$D$15:$D$167,J682,'Libro Diario Convencional'!$H$15:$H$167)</f>
        <v>0</v>
      </c>
    </row>
    <row r="689" spans="2:63" x14ac:dyDescent="0.25">
      <c r="B689" s="169">
        <v>41670</v>
      </c>
      <c r="C689" s="172"/>
      <c r="D689" s="161" t="s">
        <v>474</v>
      </c>
      <c r="E689" s="162">
        <f>SUMIF('Asientos de Cierre'!$D$6:$D$549,D682,'Asientos de Cierre'!$G$6:$G$549)</f>
        <v>0</v>
      </c>
      <c r="F689" s="163">
        <f>SUMIF('Asientos de Cierre'!$D$6:$D$549,D682,'Asientos de Cierre'!$H$6:$H$549)</f>
        <v>0</v>
      </c>
      <c r="H689" s="169">
        <v>41670</v>
      </c>
      <c r="I689" s="172"/>
      <c r="J689" s="161" t="s">
        <v>474</v>
      </c>
      <c r="K689" s="162">
        <f>SUMIF('Asientos de Cierre'!$D$6:$D$549,J682,'Asientos de Cierre'!$G$6:$G$549)</f>
        <v>0</v>
      </c>
      <c r="L689" s="163">
        <f>SUMIF('Asientos de Cierre'!$D$6:$D$549,J682,'Asientos de Cierre'!$H$6:$H$549)</f>
        <v>0</v>
      </c>
    </row>
    <row r="690" spans="2:63" x14ac:dyDescent="0.25">
      <c r="B690" s="169"/>
      <c r="C690" s="172"/>
      <c r="D690" s="161"/>
      <c r="E690" s="162"/>
      <c r="F690" s="163"/>
      <c r="H690" s="169"/>
      <c r="I690" s="172"/>
      <c r="J690" s="161"/>
      <c r="K690" s="162"/>
      <c r="L690" s="163"/>
    </row>
    <row r="691" spans="2:63" ht="14.4" thickBot="1" x14ac:dyDescent="0.3">
      <c r="B691" s="169"/>
      <c r="C691" s="172"/>
      <c r="D691" s="161"/>
      <c r="E691" s="162"/>
      <c r="F691" s="163"/>
      <c r="H691" s="169"/>
      <c r="I691" s="172"/>
      <c r="J691" s="161"/>
      <c r="K691" s="162"/>
      <c r="L691" s="163"/>
    </row>
    <row r="692" spans="2:63" ht="15" thickBot="1" x14ac:dyDescent="0.3">
      <c r="B692" s="169"/>
      <c r="C692" s="172"/>
      <c r="D692" s="161" t="s">
        <v>471</v>
      </c>
      <c r="E692" s="162">
        <f>SUM(E688:E691)</f>
        <v>0</v>
      </c>
      <c r="F692" s="163">
        <f>SUM(F688:F691)</f>
        <v>0</v>
      </c>
      <c r="H692" s="169"/>
      <c r="I692" s="172"/>
      <c r="J692" s="161" t="s">
        <v>471</v>
      </c>
      <c r="K692" s="162">
        <f>SUM(K688:K691)</f>
        <v>0</v>
      </c>
      <c r="L692" s="163">
        <f>SUM(L688:L691)</f>
        <v>0</v>
      </c>
      <c r="BJ692" s="157">
        <f>SUM(E692,K692,Q692,W692,AC692,AI692,AO692,AU692,BA692,BG692)</f>
        <v>0</v>
      </c>
      <c r="BK692" s="158">
        <f>SUM(F692,L692,R692,X692,AD692,AJ692,AP692,AV692,BB692,BH692)</f>
        <v>0</v>
      </c>
    </row>
    <row r="693" spans="2:63" ht="14.4" thickBot="1" x14ac:dyDescent="0.3">
      <c r="B693" s="170"/>
      <c r="C693" s="173"/>
      <c r="D693" s="164" t="str">
        <f>IF(E692=F692,"",IF(E692&gt;F692,"Saldo Deudor","Saldo Acreedor"))</f>
        <v/>
      </c>
      <c r="E693" s="165" t="str">
        <f>IF(E692&gt;F692,E692-F692,"")</f>
        <v/>
      </c>
      <c r="F693" s="176" t="str">
        <f>IF(E692&lt;F692,F692-E692,"")</f>
        <v/>
      </c>
      <c r="H693" s="170"/>
      <c r="I693" s="173"/>
      <c r="J693" s="164" t="str">
        <f>IF(K692=L692,"",IF(K692&gt;L692,"Saldo Deudor","Saldo Acreedor"))</f>
        <v/>
      </c>
      <c r="K693" s="165" t="str">
        <f>IF(K692&gt;L692,K692-L692,"")</f>
        <v/>
      </c>
      <c r="L693" s="176" t="str">
        <f>IF(K692&lt;L692,L692-K692,"")</f>
        <v/>
      </c>
    </row>
    <row r="696" spans="2:63" ht="15.6" x14ac:dyDescent="0.25">
      <c r="B696" s="324" t="s">
        <v>472</v>
      </c>
      <c r="C696" s="324"/>
      <c r="D696" s="175">
        <v>3511</v>
      </c>
      <c r="E696" s="160"/>
      <c r="H696" s="324" t="s">
        <v>472</v>
      </c>
      <c r="I696" s="324"/>
      <c r="J696" s="175">
        <v>3512</v>
      </c>
      <c r="K696" s="160"/>
    </row>
    <row r="697" spans="2:63" x14ac:dyDescent="0.25">
      <c r="B697" s="160"/>
      <c r="C697" s="160"/>
      <c r="D697" s="160"/>
      <c r="E697" s="160"/>
      <c r="H697" s="160"/>
      <c r="I697" s="160"/>
      <c r="J697" s="160"/>
      <c r="K697" s="160"/>
    </row>
    <row r="698" spans="2:63" ht="15.6" x14ac:dyDescent="0.25">
      <c r="B698" s="324" t="s">
        <v>473</v>
      </c>
      <c r="C698" s="324"/>
      <c r="D698" s="234" t="str">
        <f>VLOOKUP(D696,DivisionariasContables,3,FALSE)</f>
        <v>Activos Biológicos en Producción - De Origen Animal</v>
      </c>
      <c r="E698" s="160"/>
      <c r="H698" s="324" t="s">
        <v>473</v>
      </c>
      <c r="I698" s="324"/>
      <c r="J698" s="234" t="str">
        <f>VLOOKUP(J696,DivisionariasContables,3,FALSE)</f>
        <v>Activos Biológicos en Producción - De Origen Vegetal</v>
      </c>
      <c r="K698" s="160"/>
    </row>
    <row r="699" spans="2:63" ht="14.4" thickBot="1" x14ac:dyDescent="0.3"/>
    <row r="700" spans="2:63" x14ac:dyDescent="0.25">
      <c r="B700" s="325" t="s">
        <v>466</v>
      </c>
      <c r="C700" s="327" t="s">
        <v>467</v>
      </c>
      <c r="D700" s="327" t="s">
        <v>468</v>
      </c>
      <c r="E700" s="329" t="s">
        <v>469</v>
      </c>
      <c r="F700" s="330"/>
      <c r="H700" s="325" t="s">
        <v>466</v>
      </c>
      <c r="I700" s="327" t="s">
        <v>467</v>
      </c>
      <c r="J700" s="327" t="s">
        <v>468</v>
      </c>
      <c r="K700" s="329" t="s">
        <v>469</v>
      </c>
      <c r="L700" s="330"/>
    </row>
    <row r="701" spans="2:63" ht="14.4" thickBot="1" x14ac:dyDescent="0.3">
      <c r="B701" s="326"/>
      <c r="C701" s="328"/>
      <c r="D701" s="328"/>
      <c r="E701" s="232" t="s">
        <v>403</v>
      </c>
      <c r="F701" s="174" t="s">
        <v>402</v>
      </c>
      <c r="H701" s="326"/>
      <c r="I701" s="328"/>
      <c r="J701" s="328"/>
      <c r="K701" s="232" t="s">
        <v>403</v>
      </c>
      <c r="L701" s="174" t="s">
        <v>402</v>
      </c>
    </row>
    <row r="702" spans="2:63" ht="14.4" thickTop="1" x14ac:dyDescent="0.25">
      <c r="B702" s="236">
        <v>41670</v>
      </c>
      <c r="C702" s="171"/>
      <c r="D702" s="166" t="s">
        <v>470</v>
      </c>
      <c r="E702" s="167">
        <f>SUMIF('Libro Diario Convencional'!$D$15:$D$167,D696,'Libro Diario Convencional'!$G$15:$G$167)</f>
        <v>0</v>
      </c>
      <c r="F702" s="168">
        <f>SUMIF('Libro Diario Convencional'!$D$15:$D$167,D696,'Libro Diario Convencional'!$H$15:$H$167)</f>
        <v>0</v>
      </c>
      <c r="H702" s="236">
        <v>41670</v>
      </c>
      <c r="I702" s="171"/>
      <c r="J702" s="166" t="s">
        <v>470</v>
      </c>
      <c r="K702" s="167">
        <f>SUMIF('Libro Diario Convencional'!$D$15:$D$167,J696,'Libro Diario Convencional'!$G$15:$G$167)</f>
        <v>0</v>
      </c>
      <c r="L702" s="168">
        <f>SUMIF('Libro Diario Convencional'!$D$15:$D$167,J696,'Libro Diario Convencional'!$H$15:$H$167)</f>
        <v>0</v>
      </c>
    </row>
    <row r="703" spans="2:63" x14ac:dyDescent="0.25">
      <c r="B703" s="169">
        <v>41670</v>
      </c>
      <c r="C703" s="172"/>
      <c r="D703" s="161" t="s">
        <v>474</v>
      </c>
      <c r="E703" s="162">
        <f>SUMIF('Asientos de Cierre'!$D$6:$D$549,D696,'Asientos de Cierre'!$G$6:$G$549)</f>
        <v>0</v>
      </c>
      <c r="F703" s="163">
        <f>SUMIF('Asientos de Cierre'!$D$6:$D$549,D696,'Asientos de Cierre'!$H$6:$H$549)</f>
        <v>0</v>
      </c>
      <c r="H703" s="169">
        <v>41670</v>
      </c>
      <c r="I703" s="172"/>
      <c r="J703" s="161" t="s">
        <v>474</v>
      </c>
      <c r="K703" s="162">
        <f>SUMIF('Asientos de Cierre'!$D$6:$D$549,J696,'Asientos de Cierre'!$G$6:$G$549)</f>
        <v>0</v>
      </c>
      <c r="L703" s="163">
        <f>SUMIF('Asientos de Cierre'!$D$6:$D$549,J696,'Asientos de Cierre'!$H$6:$H$549)</f>
        <v>0</v>
      </c>
    </row>
    <row r="704" spans="2:63" x14ac:dyDescent="0.25">
      <c r="B704" s="169"/>
      <c r="C704" s="172"/>
      <c r="D704" s="161"/>
      <c r="E704" s="162"/>
      <c r="F704" s="163"/>
      <c r="H704" s="169"/>
      <c r="I704" s="172"/>
      <c r="J704" s="161"/>
      <c r="K704" s="162"/>
      <c r="L704" s="163"/>
    </row>
    <row r="705" spans="2:63" ht="14.4" thickBot="1" x14ac:dyDescent="0.3">
      <c r="B705" s="169"/>
      <c r="C705" s="172"/>
      <c r="D705" s="161"/>
      <c r="E705" s="162"/>
      <c r="F705" s="163"/>
      <c r="H705" s="169"/>
      <c r="I705" s="172"/>
      <c r="J705" s="161"/>
      <c r="K705" s="162"/>
      <c r="L705" s="163"/>
    </row>
    <row r="706" spans="2:63" ht="15" thickBot="1" x14ac:dyDescent="0.3">
      <c r="B706" s="169"/>
      <c r="C706" s="172"/>
      <c r="D706" s="161" t="s">
        <v>471</v>
      </c>
      <c r="E706" s="162">
        <f>SUM(E702:E705)</f>
        <v>0</v>
      </c>
      <c r="F706" s="163">
        <f>SUM(F702:F705)</f>
        <v>0</v>
      </c>
      <c r="H706" s="169"/>
      <c r="I706" s="172"/>
      <c r="J706" s="161" t="s">
        <v>471</v>
      </c>
      <c r="K706" s="162">
        <f>SUM(K702:K705)</f>
        <v>0</v>
      </c>
      <c r="L706" s="163">
        <f>SUM(L702:L705)</f>
        <v>0</v>
      </c>
      <c r="BJ706" s="157">
        <f>SUM(E706,K706,Q706,W706,AC706,AI706,AO706,AU706,BA706,BG706)</f>
        <v>0</v>
      </c>
      <c r="BK706" s="158">
        <f>SUM(F706,L706,R706,X706,AD706,AJ706,AP706,AV706,BB706,BH706)</f>
        <v>0</v>
      </c>
    </row>
    <row r="707" spans="2:63" ht="14.4" thickBot="1" x14ac:dyDescent="0.3">
      <c r="B707" s="170"/>
      <c r="C707" s="173"/>
      <c r="D707" s="164" t="str">
        <f>IF(E706=F706,"",IF(E706&gt;F706,"Saldo Deudor","Saldo Acreedor"))</f>
        <v/>
      </c>
      <c r="E707" s="165" t="str">
        <f>IF(E706&gt;F706,E706-F706,"")</f>
        <v/>
      </c>
      <c r="F707" s="176" t="str">
        <f>IF(E706&lt;F706,F706-E706,"")</f>
        <v/>
      </c>
      <c r="H707" s="170"/>
      <c r="I707" s="173"/>
      <c r="J707" s="164" t="str">
        <f>IF(K706=L706,"",IF(K706&gt;L706,"Saldo Deudor","Saldo Acreedor"))</f>
        <v/>
      </c>
      <c r="K707" s="165" t="str">
        <f>IF(K706&gt;L706,K706-L706,"")</f>
        <v/>
      </c>
      <c r="L707" s="176" t="str">
        <f>IF(K706&lt;L706,L706-K706,"")</f>
        <v/>
      </c>
    </row>
    <row r="710" spans="2:63" ht="15.6" x14ac:dyDescent="0.25">
      <c r="B710" s="324" t="s">
        <v>472</v>
      </c>
      <c r="C710" s="324"/>
      <c r="D710" s="175">
        <v>3521</v>
      </c>
      <c r="E710" s="160"/>
      <c r="H710" s="324" t="s">
        <v>472</v>
      </c>
      <c r="I710" s="324"/>
      <c r="J710" s="175">
        <v>3522</v>
      </c>
      <c r="K710" s="160"/>
    </row>
    <row r="711" spans="2:63" x14ac:dyDescent="0.25">
      <c r="B711" s="160"/>
      <c r="C711" s="160"/>
      <c r="D711" s="160"/>
      <c r="E711" s="160"/>
      <c r="H711" s="160"/>
      <c r="I711" s="160"/>
      <c r="J711" s="160"/>
      <c r="K711" s="160"/>
    </row>
    <row r="712" spans="2:63" ht="15.6" x14ac:dyDescent="0.25">
      <c r="B712" s="324" t="s">
        <v>473</v>
      </c>
      <c r="C712" s="324"/>
      <c r="D712" s="234" t="str">
        <f>VLOOKUP(D710,DivisionariasContables,3,FALSE)</f>
        <v>Activos Biológicos en Desarrollo - De Origen Animal</v>
      </c>
      <c r="E712" s="160"/>
      <c r="H712" s="324" t="s">
        <v>473</v>
      </c>
      <c r="I712" s="324"/>
      <c r="J712" s="234" t="str">
        <f>VLOOKUP(J710,DivisionariasContables,3,FALSE)</f>
        <v>Activos Biológicos en Desarrollo - De Origen Vegetal</v>
      </c>
      <c r="K712" s="160"/>
    </row>
    <row r="713" spans="2:63" ht="14.4" thickBot="1" x14ac:dyDescent="0.3"/>
    <row r="714" spans="2:63" x14ac:dyDescent="0.25">
      <c r="B714" s="325" t="s">
        <v>466</v>
      </c>
      <c r="C714" s="327" t="s">
        <v>467</v>
      </c>
      <c r="D714" s="327" t="s">
        <v>468</v>
      </c>
      <c r="E714" s="329" t="s">
        <v>469</v>
      </c>
      <c r="F714" s="330"/>
      <c r="H714" s="325" t="s">
        <v>466</v>
      </c>
      <c r="I714" s="327" t="s">
        <v>467</v>
      </c>
      <c r="J714" s="327" t="s">
        <v>468</v>
      </c>
      <c r="K714" s="329" t="s">
        <v>469</v>
      </c>
      <c r="L714" s="330"/>
    </row>
    <row r="715" spans="2:63" ht="14.4" thickBot="1" x14ac:dyDescent="0.3">
      <c r="B715" s="326"/>
      <c r="C715" s="328"/>
      <c r="D715" s="328"/>
      <c r="E715" s="232" t="s">
        <v>403</v>
      </c>
      <c r="F715" s="174" t="s">
        <v>402</v>
      </c>
      <c r="H715" s="326"/>
      <c r="I715" s="328"/>
      <c r="J715" s="328"/>
      <c r="K715" s="232" t="s">
        <v>403</v>
      </c>
      <c r="L715" s="174" t="s">
        <v>402</v>
      </c>
    </row>
    <row r="716" spans="2:63" ht="14.4" thickTop="1" x14ac:dyDescent="0.25">
      <c r="B716" s="236">
        <v>41670</v>
      </c>
      <c r="C716" s="171"/>
      <c r="D716" s="166" t="s">
        <v>470</v>
      </c>
      <c r="E716" s="167">
        <f>SUMIF('Libro Diario Convencional'!$D$15:$D$167,D710,'Libro Diario Convencional'!$G$15:$G$167)</f>
        <v>0</v>
      </c>
      <c r="F716" s="168">
        <f>SUMIF('Libro Diario Convencional'!$D$15:$D$167,D710,'Libro Diario Convencional'!$H$15:$H$167)</f>
        <v>0</v>
      </c>
      <c r="H716" s="236">
        <v>41670</v>
      </c>
      <c r="I716" s="171"/>
      <c r="J716" s="166" t="s">
        <v>470</v>
      </c>
      <c r="K716" s="167">
        <f>SUMIF('Libro Diario Convencional'!$D$15:$D$167,J710,'Libro Diario Convencional'!$G$15:$G$167)</f>
        <v>0</v>
      </c>
      <c r="L716" s="168">
        <f>SUMIF('Libro Diario Convencional'!$D$15:$D$167,J710,'Libro Diario Convencional'!$H$15:$H$167)</f>
        <v>0</v>
      </c>
    </row>
    <row r="717" spans="2:63" x14ac:dyDescent="0.25">
      <c r="B717" s="169">
        <v>41670</v>
      </c>
      <c r="C717" s="172"/>
      <c r="D717" s="161" t="s">
        <v>474</v>
      </c>
      <c r="E717" s="162">
        <f>SUMIF('Asientos de Cierre'!$D$6:$D$549,D710,'Asientos de Cierre'!$G$6:$G$549)</f>
        <v>0</v>
      </c>
      <c r="F717" s="163">
        <f>SUMIF('Asientos de Cierre'!$D$6:$D$549,D710,'Asientos de Cierre'!$H$6:$H$549)</f>
        <v>0</v>
      </c>
      <c r="H717" s="169">
        <v>41670</v>
      </c>
      <c r="I717" s="172"/>
      <c r="J717" s="161" t="s">
        <v>474</v>
      </c>
      <c r="K717" s="162">
        <f>SUMIF('Asientos de Cierre'!$D$6:$D$549,J710,'Asientos de Cierre'!$G$6:$G$549)</f>
        <v>0</v>
      </c>
      <c r="L717" s="163">
        <f>SUMIF('Asientos de Cierre'!$D$6:$D$549,J710,'Asientos de Cierre'!$H$6:$H$549)</f>
        <v>0</v>
      </c>
    </row>
    <row r="718" spans="2:63" x14ac:dyDescent="0.25">
      <c r="B718" s="169"/>
      <c r="C718" s="172"/>
      <c r="D718" s="161"/>
      <c r="E718" s="162"/>
      <c r="F718" s="163"/>
      <c r="H718" s="169"/>
      <c r="I718" s="172"/>
      <c r="J718" s="161"/>
      <c r="K718" s="162"/>
      <c r="L718" s="163"/>
    </row>
    <row r="719" spans="2:63" ht="14.4" thickBot="1" x14ac:dyDescent="0.3">
      <c r="B719" s="169"/>
      <c r="C719" s="172"/>
      <c r="D719" s="161"/>
      <c r="E719" s="162"/>
      <c r="F719" s="163"/>
      <c r="H719" s="169"/>
      <c r="I719" s="172"/>
      <c r="J719" s="161"/>
      <c r="K719" s="162"/>
      <c r="L719" s="163"/>
    </row>
    <row r="720" spans="2:63" ht="15" thickBot="1" x14ac:dyDescent="0.3">
      <c r="B720" s="169"/>
      <c r="C720" s="172"/>
      <c r="D720" s="161" t="s">
        <v>471</v>
      </c>
      <c r="E720" s="162">
        <f>SUM(E716:E719)</f>
        <v>0</v>
      </c>
      <c r="F720" s="163">
        <f>SUM(F716:F719)</f>
        <v>0</v>
      </c>
      <c r="H720" s="169"/>
      <c r="I720" s="172"/>
      <c r="J720" s="161" t="s">
        <v>471</v>
      </c>
      <c r="K720" s="162">
        <f>SUM(K716:K719)</f>
        <v>0</v>
      </c>
      <c r="L720" s="163">
        <f>SUM(L716:L719)</f>
        <v>0</v>
      </c>
      <c r="BJ720" s="157">
        <f>SUM(E720,K720,Q720,W720,AC720,AI720,AO720,AU720,BA720,BG720)</f>
        <v>0</v>
      </c>
      <c r="BK720" s="158">
        <f>SUM(F720,L720,R720,X720,AD720,AJ720,AP720,AV720,BB720,BH720)</f>
        <v>0</v>
      </c>
    </row>
    <row r="721" spans="2:63" ht="14.4" thickBot="1" x14ac:dyDescent="0.3">
      <c r="B721" s="170"/>
      <c r="C721" s="173"/>
      <c r="D721" s="164" t="str">
        <f>IF(E720=F720,"",IF(E720&gt;F720,"Saldo Deudor","Saldo Acreedor"))</f>
        <v/>
      </c>
      <c r="E721" s="165" t="str">
        <f>IF(E720&gt;F720,E720-F720,"")</f>
        <v/>
      </c>
      <c r="F721" s="176" t="str">
        <f>IF(E720&lt;F720,F720-E720,"")</f>
        <v/>
      </c>
      <c r="H721" s="170"/>
      <c r="I721" s="173"/>
      <c r="J721" s="164" t="str">
        <f>IF(K720=L720,"",IF(K720&gt;L720,"Saldo Deudor","Saldo Acreedor"))</f>
        <v/>
      </c>
      <c r="K721" s="165" t="str">
        <f>IF(K720&gt;L720,K720-L720,"")</f>
        <v/>
      </c>
      <c r="L721" s="176" t="str">
        <f>IF(K720&lt;L720,L720-K720,"")</f>
        <v/>
      </c>
    </row>
    <row r="724" spans="2:63" ht="15.6" x14ac:dyDescent="0.25">
      <c r="B724" s="324" t="s">
        <v>472</v>
      </c>
      <c r="C724" s="324"/>
      <c r="D724" s="175">
        <v>3599</v>
      </c>
      <c r="E724" s="160"/>
    </row>
    <row r="725" spans="2:63" x14ac:dyDescent="0.25">
      <c r="B725" s="160"/>
      <c r="C725" s="160"/>
      <c r="D725" s="160"/>
      <c r="E725" s="160"/>
    </row>
    <row r="726" spans="2:63" ht="15.6" x14ac:dyDescent="0.25">
      <c r="B726" s="324" t="s">
        <v>473</v>
      </c>
      <c r="C726" s="324"/>
      <c r="D726" s="234" t="str">
        <f>VLOOKUP(D724,DivisionariasContables,3,FALSE)</f>
        <v>Reclasificación de IGV al Costo</v>
      </c>
      <c r="E726" s="160"/>
    </row>
    <row r="727" spans="2:63" ht="14.4" thickBot="1" x14ac:dyDescent="0.3"/>
    <row r="728" spans="2:63" x14ac:dyDescent="0.25">
      <c r="B728" s="325" t="s">
        <v>466</v>
      </c>
      <c r="C728" s="327" t="s">
        <v>467</v>
      </c>
      <c r="D728" s="327" t="s">
        <v>468</v>
      </c>
      <c r="E728" s="329" t="s">
        <v>469</v>
      </c>
      <c r="F728" s="330"/>
    </row>
    <row r="729" spans="2:63" ht="14.4" thickBot="1" x14ac:dyDescent="0.3">
      <c r="B729" s="326"/>
      <c r="C729" s="328"/>
      <c r="D729" s="328"/>
      <c r="E729" s="232" t="s">
        <v>403</v>
      </c>
      <c r="F729" s="174" t="s">
        <v>402</v>
      </c>
    </row>
    <row r="730" spans="2:63" ht="14.4" thickTop="1" x14ac:dyDescent="0.25">
      <c r="B730" s="236">
        <v>41670</v>
      </c>
      <c r="C730" s="171"/>
      <c r="D730" s="166" t="s">
        <v>470</v>
      </c>
      <c r="E730" s="167">
        <f>SUMIF('Libro Diario Convencional'!$D$15:$D$167,D724,'Libro Diario Convencional'!$G$15:$G$167)</f>
        <v>0</v>
      </c>
      <c r="F730" s="168">
        <f>SUMIF('Libro Diario Convencional'!$D$15:$D$167,D724,'Libro Diario Convencional'!$H$15:$H$167)</f>
        <v>0</v>
      </c>
    </row>
    <row r="731" spans="2:63" x14ac:dyDescent="0.25">
      <c r="B731" s="169">
        <v>41670</v>
      </c>
      <c r="C731" s="172"/>
      <c r="D731" s="161" t="s">
        <v>474</v>
      </c>
      <c r="E731" s="162">
        <f>SUMIF('Asientos de Cierre'!$D$6:$D$549,D724,'Asientos de Cierre'!$G$6:$G$549)</f>
        <v>0</v>
      </c>
      <c r="F731" s="163">
        <f>SUMIF('Asientos de Cierre'!$D$6:$D$549,D724,'Asientos de Cierre'!$H$6:$H$549)</f>
        <v>0</v>
      </c>
    </row>
    <row r="732" spans="2:63" x14ac:dyDescent="0.25">
      <c r="B732" s="169"/>
      <c r="C732" s="172"/>
      <c r="D732" s="161"/>
      <c r="E732" s="162"/>
      <c r="F732" s="163"/>
    </row>
    <row r="733" spans="2:63" ht="14.4" thickBot="1" x14ac:dyDescent="0.3">
      <c r="B733" s="169"/>
      <c r="C733" s="172"/>
      <c r="D733" s="161"/>
      <c r="E733" s="162"/>
      <c r="F733" s="163"/>
    </row>
    <row r="734" spans="2:63" ht="15" thickBot="1" x14ac:dyDescent="0.3">
      <c r="B734" s="169"/>
      <c r="C734" s="172"/>
      <c r="D734" s="161" t="s">
        <v>471</v>
      </c>
      <c r="E734" s="162">
        <f>SUM(E730:E733)</f>
        <v>0</v>
      </c>
      <c r="F734" s="163">
        <f>SUM(F730:F733)</f>
        <v>0</v>
      </c>
      <c r="BJ734" s="157">
        <f>SUM(E734,K734,Q734,W734,AC734,AI734,AO734,AU734,BA734,BG734)</f>
        <v>0</v>
      </c>
      <c r="BK734" s="158">
        <f>SUM(F734,L734,R734,X734,AD734,AJ734,AP734,AV734,BB734,BH734)</f>
        <v>0</v>
      </c>
    </row>
    <row r="735" spans="2:63" ht="14.4" thickBot="1" x14ac:dyDescent="0.3">
      <c r="B735" s="170"/>
      <c r="C735" s="173"/>
      <c r="D735" s="164" t="str">
        <f>IF(E734=F734,"",IF(E734&gt;F734,"Saldo Deudor","Saldo Acreedor"))</f>
        <v/>
      </c>
      <c r="E735" s="165" t="str">
        <f>IF(E734&gt;F734,E734-F734,"")</f>
        <v/>
      </c>
      <c r="F735" s="176" t="str">
        <f>IF(E734&lt;F734,F734-E734,"")</f>
        <v/>
      </c>
    </row>
    <row r="738" spans="2:63" ht="15.6" x14ac:dyDescent="0.25">
      <c r="B738" s="324" t="s">
        <v>472</v>
      </c>
      <c r="C738" s="324"/>
      <c r="D738" s="175">
        <v>3711</v>
      </c>
      <c r="E738" s="160"/>
    </row>
    <row r="739" spans="2:63" x14ac:dyDescent="0.25">
      <c r="B739" s="160"/>
      <c r="C739" s="160"/>
      <c r="D739" s="160"/>
      <c r="E739" s="160"/>
    </row>
    <row r="740" spans="2:63" ht="15.6" x14ac:dyDescent="0.25">
      <c r="B740" s="324" t="s">
        <v>473</v>
      </c>
      <c r="C740" s="324"/>
      <c r="D740" s="234" t="str">
        <f>VLOOKUP(D738,DivisionariasContables,3,FALSE)</f>
        <v>Impuesto a la Renta Diferido – Patrimonio</v>
      </c>
      <c r="E740" s="160"/>
    </row>
    <row r="741" spans="2:63" ht="14.4" thickBot="1" x14ac:dyDescent="0.3"/>
    <row r="742" spans="2:63" x14ac:dyDescent="0.25">
      <c r="B742" s="325" t="s">
        <v>466</v>
      </c>
      <c r="C742" s="327" t="s">
        <v>467</v>
      </c>
      <c r="D742" s="327" t="s">
        <v>468</v>
      </c>
      <c r="E742" s="329" t="s">
        <v>469</v>
      </c>
      <c r="F742" s="330"/>
    </row>
    <row r="743" spans="2:63" ht="14.4" thickBot="1" x14ac:dyDescent="0.3">
      <c r="B743" s="326"/>
      <c r="C743" s="328"/>
      <c r="D743" s="328"/>
      <c r="E743" s="232" t="s">
        <v>403</v>
      </c>
      <c r="F743" s="174" t="s">
        <v>402</v>
      </c>
    </row>
    <row r="744" spans="2:63" ht="14.4" thickTop="1" x14ac:dyDescent="0.25">
      <c r="B744" s="236">
        <v>41670</v>
      </c>
      <c r="C744" s="171"/>
      <c r="D744" s="166" t="s">
        <v>470</v>
      </c>
      <c r="E744" s="167">
        <f>SUMIF('Libro Diario Convencional'!$D$15:$D$167,D738,'Libro Diario Convencional'!$G$15:$G$167)</f>
        <v>0</v>
      </c>
      <c r="F744" s="168">
        <f>SUMIF('Libro Diario Convencional'!$D$15:$D$167,D738,'Libro Diario Convencional'!$H$15:$H$167)</f>
        <v>0</v>
      </c>
    </row>
    <row r="745" spans="2:63" x14ac:dyDescent="0.25">
      <c r="B745" s="169">
        <v>41670</v>
      </c>
      <c r="C745" s="172"/>
      <c r="D745" s="161" t="s">
        <v>474</v>
      </c>
      <c r="E745" s="162">
        <f>SUMIF('Asientos de Cierre'!$D$6:$D$549,D738,'Asientos de Cierre'!$G$6:$G$549)</f>
        <v>0</v>
      </c>
      <c r="F745" s="163">
        <f>SUMIF('Asientos de Cierre'!$D$6:$D$549,D738,'Asientos de Cierre'!$H$6:$H$549)</f>
        <v>0</v>
      </c>
    </row>
    <row r="746" spans="2:63" x14ac:dyDescent="0.25">
      <c r="B746" s="169"/>
      <c r="C746" s="172"/>
      <c r="D746" s="161"/>
      <c r="E746" s="162"/>
      <c r="F746" s="163"/>
    </row>
    <row r="747" spans="2:63" ht="14.4" thickBot="1" x14ac:dyDescent="0.3">
      <c r="B747" s="169"/>
      <c r="C747" s="172"/>
      <c r="D747" s="161"/>
      <c r="E747" s="162"/>
      <c r="F747" s="163"/>
    </row>
    <row r="748" spans="2:63" ht="15" thickBot="1" x14ac:dyDescent="0.3">
      <c r="B748" s="169"/>
      <c r="C748" s="172"/>
      <c r="D748" s="161" t="s">
        <v>471</v>
      </c>
      <c r="E748" s="162">
        <f>SUM(E744:E747)</f>
        <v>0</v>
      </c>
      <c r="F748" s="163">
        <f>SUM(F744:F747)</f>
        <v>0</v>
      </c>
      <c r="BJ748" s="157">
        <f>SUM(E748,K748,Q748,W748,AC748,AI748,AO748,AU748,BA748,BG748)</f>
        <v>0</v>
      </c>
      <c r="BK748" s="158">
        <f>SUM(F748,L748,R748,X748,AD748,AJ748,AP748,AV748,BB748,BH748)</f>
        <v>0</v>
      </c>
    </row>
    <row r="749" spans="2:63" ht="14.4" thickBot="1" x14ac:dyDescent="0.3">
      <c r="B749" s="170"/>
      <c r="C749" s="173"/>
      <c r="D749" s="164" t="str">
        <f>IF(E748=F748,"",IF(E748&gt;F748,"Saldo Deudor","Saldo Acreedor"))</f>
        <v/>
      </c>
      <c r="E749" s="165" t="str">
        <f>IF(E748&gt;F748,E748-F748,"")</f>
        <v/>
      </c>
      <c r="F749" s="176" t="str">
        <f>IF(E748&lt;F748,F748-E748,"")</f>
        <v/>
      </c>
    </row>
    <row r="752" spans="2:63" ht="15.6" x14ac:dyDescent="0.25">
      <c r="B752" s="324" t="s">
        <v>472</v>
      </c>
      <c r="C752" s="324"/>
      <c r="D752" s="175">
        <v>3811</v>
      </c>
      <c r="E752" s="160"/>
      <c r="H752" s="324" t="s">
        <v>472</v>
      </c>
      <c r="I752" s="324"/>
      <c r="J752" s="175">
        <v>3812</v>
      </c>
      <c r="K752" s="160"/>
      <c r="N752" s="324" t="s">
        <v>472</v>
      </c>
      <c r="O752" s="324"/>
      <c r="P752" s="175">
        <v>3813</v>
      </c>
      <c r="Q752" s="160"/>
    </row>
    <row r="753" spans="2:63" x14ac:dyDescent="0.25">
      <c r="B753" s="160"/>
      <c r="C753" s="160"/>
      <c r="D753" s="160"/>
      <c r="E753" s="160"/>
      <c r="H753" s="160"/>
      <c r="I753" s="160"/>
      <c r="J753" s="160"/>
      <c r="K753" s="160"/>
      <c r="N753" s="160"/>
      <c r="O753" s="160"/>
      <c r="P753" s="160"/>
      <c r="Q753" s="160"/>
    </row>
    <row r="754" spans="2:63" ht="15.6" x14ac:dyDescent="0.25">
      <c r="B754" s="324" t="s">
        <v>473</v>
      </c>
      <c r="C754" s="324"/>
      <c r="D754" s="234" t="str">
        <f>VLOOKUP(D752,DivisionariasContables,3,FALSE)</f>
        <v>Bienes de Arte y Cultura - Obras de Arte</v>
      </c>
      <c r="E754" s="160"/>
      <c r="H754" s="324" t="s">
        <v>473</v>
      </c>
      <c r="I754" s="324"/>
      <c r="J754" s="234" t="str">
        <f>VLOOKUP(J752,DivisionariasContables,3,FALSE)</f>
        <v>Bienes de Arte y Cultura - Biblioteca</v>
      </c>
      <c r="K754" s="160"/>
      <c r="N754" s="324" t="s">
        <v>473</v>
      </c>
      <c r="O754" s="324"/>
      <c r="P754" s="234" t="str">
        <f>VLOOKUP(P752,DivisionariasContables,3,FALSE)</f>
        <v>Bienes de Arte y Cultura - Otros</v>
      </c>
      <c r="Q754" s="160"/>
    </row>
    <row r="755" spans="2:63" ht="14.4" thickBot="1" x14ac:dyDescent="0.3"/>
    <row r="756" spans="2:63" x14ac:dyDescent="0.25">
      <c r="B756" s="325" t="s">
        <v>466</v>
      </c>
      <c r="C756" s="327" t="s">
        <v>467</v>
      </c>
      <c r="D756" s="327" t="s">
        <v>468</v>
      </c>
      <c r="E756" s="329" t="s">
        <v>469</v>
      </c>
      <c r="F756" s="330"/>
      <c r="H756" s="325" t="s">
        <v>466</v>
      </c>
      <c r="I756" s="327" t="s">
        <v>467</v>
      </c>
      <c r="J756" s="327" t="s">
        <v>468</v>
      </c>
      <c r="K756" s="329" t="s">
        <v>469</v>
      </c>
      <c r="L756" s="330"/>
      <c r="N756" s="325" t="s">
        <v>466</v>
      </c>
      <c r="O756" s="327" t="s">
        <v>467</v>
      </c>
      <c r="P756" s="327" t="s">
        <v>468</v>
      </c>
      <c r="Q756" s="329" t="s">
        <v>469</v>
      </c>
      <c r="R756" s="330"/>
    </row>
    <row r="757" spans="2:63" ht="14.4" thickBot="1" x14ac:dyDescent="0.3">
      <c r="B757" s="326"/>
      <c r="C757" s="328"/>
      <c r="D757" s="328"/>
      <c r="E757" s="232" t="s">
        <v>403</v>
      </c>
      <c r="F757" s="174" t="s">
        <v>402</v>
      </c>
      <c r="H757" s="326"/>
      <c r="I757" s="328"/>
      <c r="J757" s="328"/>
      <c r="K757" s="232" t="s">
        <v>403</v>
      </c>
      <c r="L757" s="174" t="s">
        <v>402</v>
      </c>
      <c r="N757" s="326"/>
      <c r="O757" s="328"/>
      <c r="P757" s="328"/>
      <c r="Q757" s="232" t="s">
        <v>403</v>
      </c>
      <c r="R757" s="174" t="s">
        <v>402</v>
      </c>
    </row>
    <row r="758" spans="2:63" ht="14.4" thickTop="1" x14ac:dyDescent="0.25">
      <c r="B758" s="236">
        <v>41670</v>
      </c>
      <c r="C758" s="171"/>
      <c r="D758" s="166" t="s">
        <v>470</v>
      </c>
      <c r="E758" s="167">
        <f>SUMIF('Libro Diario Convencional'!$D$15:$D$167,D752,'Libro Diario Convencional'!$G$15:$G$167)</f>
        <v>0</v>
      </c>
      <c r="F758" s="168">
        <f>SUMIF('Libro Diario Convencional'!$D$15:$D$167,D752,'Libro Diario Convencional'!$H$15:$H$167)</f>
        <v>0</v>
      </c>
      <c r="H758" s="236">
        <v>41670</v>
      </c>
      <c r="I758" s="171"/>
      <c r="J758" s="166" t="s">
        <v>470</v>
      </c>
      <c r="K758" s="167">
        <f>SUMIF('Libro Diario Convencional'!$D$15:$D$167,J752,'Libro Diario Convencional'!$G$15:$G$167)</f>
        <v>0</v>
      </c>
      <c r="L758" s="168">
        <f>SUMIF('Libro Diario Convencional'!$D$15:$D$167,J752,'Libro Diario Convencional'!$H$15:$H$167)</f>
        <v>0</v>
      </c>
      <c r="N758" s="236">
        <v>41670</v>
      </c>
      <c r="O758" s="171"/>
      <c r="P758" s="166" t="s">
        <v>470</v>
      </c>
      <c r="Q758" s="167">
        <f>SUMIF('Libro Diario Convencional'!$D$15:$D$167,P752,'Libro Diario Convencional'!$G$15:$G$167)</f>
        <v>0</v>
      </c>
      <c r="R758" s="168">
        <f>SUMIF('Libro Diario Convencional'!$D$15:$D$167,P752,'Libro Diario Convencional'!$H$15:$H$167)</f>
        <v>0</v>
      </c>
    </row>
    <row r="759" spans="2:63" x14ac:dyDescent="0.25">
      <c r="B759" s="169">
        <v>41670</v>
      </c>
      <c r="C759" s="172"/>
      <c r="D759" s="161" t="s">
        <v>474</v>
      </c>
      <c r="E759" s="162">
        <f>SUMIF('Asientos de Cierre'!$D$6:$D$549,D752,'Asientos de Cierre'!$G$6:$G$549)</f>
        <v>0</v>
      </c>
      <c r="F759" s="163">
        <f>SUMIF('Asientos de Cierre'!$D$6:$D$549,D752,'Asientos de Cierre'!$H$6:$H$549)</f>
        <v>0</v>
      </c>
      <c r="H759" s="169">
        <v>41670</v>
      </c>
      <c r="I759" s="172"/>
      <c r="J759" s="161" t="s">
        <v>474</v>
      </c>
      <c r="K759" s="162">
        <f>SUMIF('Asientos de Cierre'!$D$6:$D$549,J752,'Asientos de Cierre'!$G$6:$G$549)</f>
        <v>0</v>
      </c>
      <c r="L759" s="163">
        <f>SUMIF('Asientos de Cierre'!$D$6:$D$549,J752,'Asientos de Cierre'!$H$6:$H$549)</f>
        <v>0</v>
      </c>
      <c r="N759" s="169">
        <v>41670</v>
      </c>
      <c r="O759" s="172"/>
      <c r="P759" s="161" t="s">
        <v>474</v>
      </c>
      <c r="Q759" s="162">
        <f>SUMIF('Asientos de Cierre'!$D$6:$D$549,P752,'Asientos de Cierre'!$G$6:$G$549)</f>
        <v>0</v>
      </c>
      <c r="R759" s="163">
        <f>SUMIF('Asientos de Cierre'!$D$6:$D$549,P752,'Asientos de Cierre'!$H$6:$H$549)</f>
        <v>0</v>
      </c>
    </row>
    <row r="760" spans="2:63" x14ac:dyDescent="0.25">
      <c r="B760" s="169"/>
      <c r="C760" s="172"/>
      <c r="D760" s="161"/>
      <c r="E760" s="162"/>
      <c r="F760" s="163"/>
      <c r="H760" s="169"/>
      <c r="I760" s="172"/>
      <c r="J760" s="161"/>
      <c r="K760" s="162"/>
      <c r="L760" s="163"/>
      <c r="N760" s="169"/>
      <c r="O760" s="172"/>
      <c r="P760" s="161"/>
      <c r="Q760" s="162"/>
      <c r="R760" s="163"/>
    </row>
    <row r="761" spans="2:63" ht="14.4" thickBot="1" x14ac:dyDescent="0.3">
      <c r="B761" s="169"/>
      <c r="C761" s="172"/>
      <c r="D761" s="161"/>
      <c r="E761" s="162"/>
      <c r="F761" s="163"/>
      <c r="H761" s="169"/>
      <c r="I761" s="172"/>
      <c r="J761" s="161"/>
      <c r="K761" s="162"/>
      <c r="L761" s="163"/>
      <c r="N761" s="169"/>
      <c r="O761" s="172"/>
      <c r="P761" s="161"/>
      <c r="Q761" s="162"/>
      <c r="R761" s="163"/>
    </row>
    <row r="762" spans="2:63" ht="15" thickBot="1" x14ac:dyDescent="0.3">
      <c r="B762" s="169"/>
      <c r="C762" s="172"/>
      <c r="D762" s="161" t="s">
        <v>471</v>
      </c>
      <c r="E762" s="162">
        <f>SUM(E758:E761)</f>
        <v>0</v>
      </c>
      <c r="F762" s="163">
        <f>SUM(F758:F761)</f>
        <v>0</v>
      </c>
      <c r="H762" s="169"/>
      <c r="I762" s="172"/>
      <c r="J762" s="161" t="s">
        <v>471</v>
      </c>
      <c r="K762" s="162">
        <f>SUM(K758:K761)</f>
        <v>0</v>
      </c>
      <c r="L762" s="163">
        <f>SUM(L758:L761)</f>
        <v>0</v>
      </c>
      <c r="N762" s="169"/>
      <c r="O762" s="172"/>
      <c r="P762" s="161" t="s">
        <v>471</v>
      </c>
      <c r="Q762" s="162">
        <f>SUM(Q758:Q761)</f>
        <v>0</v>
      </c>
      <c r="R762" s="163">
        <f>SUM(R758:R761)</f>
        <v>0</v>
      </c>
      <c r="BJ762" s="157">
        <f>SUM(E762,K762,Q762,W762,AC762,AI762,AO762,AU762,BA762,BG762)</f>
        <v>0</v>
      </c>
      <c r="BK762" s="158">
        <f>SUM(F762,L762,R762,X762,AD762,AJ762,AP762,AV762,BB762,BH762)</f>
        <v>0</v>
      </c>
    </row>
    <row r="763" spans="2:63" ht="14.4" thickBot="1" x14ac:dyDescent="0.3">
      <c r="B763" s="170"/>
      <c r="C763" s="173"/>
      <c r="D763" s="164" t="str">
        <f>IF(E762=F762,"",IF(E762&gt;F762,"Saldo Deudor","Saldo Acreedor"))</f>
        <v/>
      </c>
      <c r="E763" s="165" t="str">
        <f>IF(E762&gt;F762,E762-F762,"")</f>
        <v/>
      </c>
      <c r="F763" s="176" t="str">
        <f>IF(E762&lt;F762,F762-E762,"")</f>
        <v/>
      </c>
      <c r="H763" s="170"/>
      <c r="I763" s="173"/>
      <c r="J763" s="164" t="str">
        <f>IF(K762=L762,"",IF(K762&gt;L762,"Saldo Deudor","Saldo Acreedor"))</f>
        <v/>
      </c>
      <c r="K763" s="165" t="str">
        <f>IF(K762&gt;L762,K762-L762,"")</f>
        <v/>
      </c>
      <c r="L763" s="176" t="str">
        <f>IF(K762&lt;L762,L762-K762,"")</f>
        <v/>
      </c>
      <c r="N763" s="170"/>
      <c r="O763" s="173"/>
      <c r="P763" s="164" t="str">
        <f>IF(Q762=R762,"",IF(Q762&gt;R762,"Saldo Deudor","Saldo Acreedor"))</f>
        <v/>
      </c>
      <c r="Q763" s="165" t="str">
        <f>IF(Q762&gt;R762,Q762-R762,"")</f>
        <v/>
      </c>
      <c r="R763" s="176" t="str">
        <f>IF(Q762&lt;R762,R762-Q762,"")</f>
        <v/>
      </c>
    </row>
    <row r="766" spans="2:63" ht="15.6" x14ac:dyDescent="0.25">
      <c r="B766" s="324" t="s">
        <v>472</v>
      </c>
      <c r="C766" s="324"/>
      <c r="D766" s="175">
        <v>3821</v>
      </c>
      <c r="E766" s="160"/>
      <c r="H766" s="324" t="s">
        <v>472</v>
      </c>
      <c r="I766" s="324"/>
      <c r="J766" s="175">
        <v>3822</v>
      </c>
      <c r="K766" s="160"/>
      <c r="N766" s="324" t="s">
        <v>472</v>
      </c>
      <c r="O766" s="324"/>
      <c r="P766" s="175">
        <v>3823</v>
      </c>
      <c r="Q766" s="160"/>
    </row>
    <row r="767" spans="2:63" x14ac:dyDescent="0.25">
      <c r="B767" s="160"/>
      <c r="C767" s="160"/>
      <c r="D767" s="160"/>
      <c r="E767" s="160"/>
      <c r="H767" s="160"/>
      <c r="I767" s="160"/>
      <c r="J767" s="160"/>
      <c r="K767" s="160"/>
      <c r="N767" s="160"/>
      <c r="O767" s="160"/>
      <c r="P767" s="160"/>
      <c r="Q767" s="160"/>
    </row>
    <row r="768" spans="2:63" ht="15.6" x14ac:dyDescent="0.25">
      <c r="B768" s="324" t="s">
        <v>473</v>
      </c>
      <c r="C768" s="324"/>
      <c r="D768" s="234" t="str">
        <f>VLOOKUP(D766,DivisionariasContables,3,FALSE)</f>
        <v>Monedas y Joyas</v>
      </c>
      <c r="E768" s="160"/>
      <c r="H768" s="324" t="s">
        <v>473</v>
      </c>
      <c r="I768" s="324"/>
      <c r="J768" s="234" t="str">
        <f>VLOOKUP(J766,DivisionariasContables,3,FALSE)</f>
        <v>Bienes Entregados en Comodato</v>
      </c>
      <c r="K768" s="160"/>
      <c r="N768" s="324" t="s">
        <v>473</v>
      </c>
      <c r="O768" s="324"/>
      <c r="P768" s="234" t="str">
        <f>VLOOKUP(P766,DivisionariasContables,3,FALSE)</f>
        <v>Bienes Recibidos en Pago (Adjudicados y Realizables)</v>
      </c>
      <c r="Q768" s="160"/>
    </row>
    <row r="769" spans="2:63" ht="14.4" thickBot="1" x14ac:dyDescent="0.3"/>
    <row r="770" spans="2:63" x14ac:dyDescent="0.25">
      <c r="B770" s="325" t="s">
        <v>466</v>
      </c>
      <c r="C770" s="327" t="s">
        <v>467</v>
      </c>
      <c r="D770" s="327" t="s">
        <v>468</v>
      </c>
      <c r="E770" s="329" t="s">
        <v>469</v>
      </c>
      <c r="F770" s="330"/>
      <c r="H770" s="325" t="s">
        <v>466</v>
      </c>
      <c r="I770" s="327" t="s">
        <v>467</v>
      </c>
      <c r="J770" s="327" t="s">
        <v>468</v>
      </c>
      <c r="K770" s="329" t="s">
        <v>469</v>
      </c>
      <c r="L770" s="330"/>
      <c r="N770" s="325" t="s">
        <v>466</v>
      </c>
      <c r="O770" s="327" t="s">
        <v>467</v>
      </c>
      <c r="P770" s="327" t="s">
        <v>468</v>
      </c>
      <c r="Q770" s="329" t="s">
        <v>469</v>
      </c>
      <c r="R770" s="330"/>
    </row>
    <row r="771" spans="2:63" ht="14.4" thickBot="1" x14ac:dyDescent="0.3">
      <c r="B771" s="326"/>
      <c r="C771" s="328"/>
      <c r="D771" s="328"/>
      <c r="E771" s="232" t="s">
        <v>403</v>
      </c>
      <c r="F771" s="174" t="s">
        <v>402</v>
      </c>
      <c r="H771" s="326"/>
      <c r="I771" s="328"/>
      <c r="J771" s="328"/>
      <c r="K771" s="232" t="s">
        <v>403</v>
      </c>
      <c r="L771" s="174" t="s">
        <v>402</v>
      </c>
      <c r="N771" s="326"/>
      <c r="O771" s="328"/>
      <c r="P771" s="328"/>
      <c r="Q771" s="232" t="s">
        <v>403</v>
      </c>
      <c r="R771" s="174" t="s">
        <v>402</v>
      </c>
    </row>
    <row r="772" spans="2:63" ht="14.4" thickTop="1" x14ac:dyDescent="0.25">
      <c r="B772" s="236">
        <v>41670</v>
      </c>
      <c r="C772" s="171"/>
      <c r="D772" s="166" t="s">
        <v>470</v>
      </c>
      <c r="E772" s="167">
        <f>SUMIF('Libro Diario Convencional'!$D$15:$D$167,D766,'Libro Diario Convencional'!$G$15:$G$167)</f>
        <v>0</v>
      </c>
      <c r="F772" s="168">
        <f>SUMIF('Libro Diario Convencional'!$D$15:$D$167,D766,'Libro Diario Convencional'!$H$15:$H$167)</f>
        <v>0</v>
      </c>
      <c r="H772" s="236">
        <v>41670</v>
      </c>
      <c r="I772" s="171"/>
      <c r="J772" s="166" t="s">
        <v>470</v>
      </c>
      <c r="K772" s="167">
        <f>SUMIF('Libro Diario Convencional'!$D$15:$D$167,J766,'Libro Diario Convencional'!$G$15:$G$167)</f>
        <v>0</v>
      </c>
      <c r="L772" s="168">
        <f>SUMIF('Libro Diario Convencional'!$D$15:$D$167,J766,'Libro Diario Convencional'!$H$15:$H$167)</f>
        <v>0</v>
      </c>
      <c r="N772" s="236">
        <v>41670</v>
      </c>
      <c r="O772" s="171"/>
      <c r="P772" s="166" t="s">
        <v>470</v>
      </c>
      <c r="Q772" s="167">
        <f>SUMIF('Libro Diario Convencional'!$D$15:$D$167,P766,'Libro Diario Convencional'!$G$15:$G$167)</f>
        <v>0</v>
      </c>
      <c r="R772" s="168">
        <f>SUMIF('Libro Diario Convencional'!$D$15:$D$167,P766,'Libro Diario Convencional'!$H$15:$H$167)</f>
        <v>0</v>
      </c>
    </row>
    <row r="773" spans="2:63" x14ac:dyDescent="0.25">
      <c r="B773" s="169">
        <v>41670</v>
      </c>
      <c r="C773" s="172"/>
      <c r="D773" s="161" t="s">
        <v>474</v>
      </c>
      <c r="E773" s="162">
        <f>SUMIF('Asientos de Cierre'!$D$6:$D$549,D766,'Asientos de Cierre'!$G$6:$G$549)</f>
        <v>0</v>
      </c>
      <c r="F773" s="163">
        <f>SUMIF('Asientos de Cierre'!$D$6:$D$549,D766,'Asientos de Cierre'!$H$6:$H$549)</f>
        <v>0</v>
      </c>
      <c r="H773" s="169">
        <v>41670</v>
      </c>
      <c r="I773" s="172"/>
      <c r="J773" s="161" t="s">
        <v>474</v>
      </c>
      <c r="K773" s="162">
        <f>SUMIF('Asientos de Cierre'!$D$6:$D$549,J766,'Asientos de Cierre'!$G$6:$G$549)</f>
        <v>0</v>
      </c>
      <c r="L773" s="163">
        <f>SUMIF('Asientos de Cierre'!$D$6:$D$549,J766,'Asientos de Cierre'!$H$6:$H$549)</f>
        <v>0</v>
      </c>
      <c r="N773" s="169">
        <v>41670</v>
      </c>
      <c r="O773" s="172"/>
      <c r="P773" s="161" t="s">
        <v>474</v>
      </c>
      <c r="Q773" s="162">
        <f>SUMIF('Asientos de Cierre'!$D$6:$D$549,P766,'Asientos de Cierre'!$G$6:$G$549)</f>
        <v>0</v>
      </c>
      <c r="R773" s="163">
        <f>SUMIF('Asientos de Cierre'!$D$6:$D$549,P766,'Asientos de Cierre'!$H$6:$H$549)</f>
        <v>0</v>
      </c>
    </row>
    <row r="774" spans="2:63" x14ac:dyDescent="0.25">
      <c r="B774" s="169"/>
      <c r="C774" s="172"/>
      <c r="D774" s="161"/>
      <c r="E774" s="162"/>
      <c r="F774" s="163"/>
      <c r="H774" s="169"/>
      <c r="I774" s="172"/>
      <c r="J774" s="161"/>
      <c r="K774" s="162"/>
      <c r="L774" s="163"/>
      <c r="N774" s="169"/>
      <c r="O774" s="172"/>
      <c r="P774" s="161"/>
      <c r="Q774" s="162"/>
      <c r="R774" s="163"/>
    </row>
    <row r="775" spans="2:63" ht="14.4" thickBot="1" x14ac:dyDescent="0.3">
      <c r="B775" s="169"/>
      <c r="C775" s="172"/>
      <c r="D775" s="161"/>
      <c r="E775" s="162"/>
      <c r="F775" s="163"/>
      <c r="H775" s="169"/>
      <c r="I775" s="172"/>
      <c r="J775" s="161"/>
      <c r="K775" s="162"/>
      <c r="L775" s="163"/>
      <c r="N775" s="169"/>
      <c r="O775" s="172"/>
      <c r="P775" s="161"/>
      <c r="Q775" s="162"/>
      <c r="R775" s="163"/>
    </row>
    <row r="776" spans="2:63" ht="15" thickBot="1" x14ac:dyDescent="0.3">
      <c r="B776" s="169"/>
      <c r="C776" s="172"/>
      <c r="D776" s="161" t="s">
        <v>471</v>
      </c>
      <c r="E776" s="162">
        <f>SUM(E772:E775)</f>
        <v>0</v>
      </c>
      <c r="F776" s="163">
        <f>SUM(F772:F775)</f>
        <v>0</v>
      </c>
      <c r="H776" s="169"/>
      <c r="I776" s="172"/>
      <c r="J776" s="161" t="s">
        <v>471</v>
      </c>
      <c r="K776" s="162">
        <f>SUM(K772:K775)</f>
        <v>0</v>
      </c>
      <c r="L776" s="163">
        <f>SUM(L772:L775)</f>
        <v>0</v>
      </c>
      <c r="N776" s="169"/>
      <c r="O776" s="172"/>
      <c r="P776" s="161" t="s">
        <v>471</v>
      </c>
      <c r="Q776" s="162">
        <f>SUM(Q772:Q775)</f>
        <v>0</v>
      </c>
      <c r="R776" s="163">
        <f>SUM(R772:R775)</f>
        <v>0</v>
      </c>
      <c r="BJ776" s="157">
        <f>SUM(E776,K776,Q776,W776,AC776,AI776,AO776,AU776,BA776,BG776)</f>
        <v>0</v>
      </c>
      <c r="BK776" s="158">
        <f>SUM(F776,L776,R776,X776,AD776,AJ776,AP776,AV776,BB776,BH776)</f>
        <v>0</v>
      </c>
    </row>
    <row r="777" spans="2:63" ht="14.4" thickBot="1" x14ac:dyDescent="0.3">
      <c r="B777" s="170"/>
      <c r="C777" s="173"/>
      <c r="D777" s="164" t="str">
        <f>IF(E776=F776,"",IF(E776&gt;F776,"Saldo Deudor","Saldo Acreedor"))</f>
        <v/>
      </c>
      <c r="E777" s="165" t="str">
        <f>IF(E776&gt;F776,E776-F776,"")</f>
        <v/>
      </c>
      <c r="F777" s="176" t="str">
        <f>IF(E776&lt;F776,F776-E776,"")</f>
        <v/>
      </c>
      <c r="H777" s="170"/>
      <c r="I777" s="173"/>
      <c r="J777" s="164" t="str">
        <f>IF(K776=L776,"",IF(K776&gt;L776,"Saldo Deudor","Saldo Acreedor"))</f>
        <v/>
      </c>
      <c r="K777" s="165" t="str">
        <f>IF(K776&gt;L776,K776-L776,"")</f>
        <v/>
      </c>
      <c r="L777" s="176" t="str">
        <f>IF(K776&lt;L776,L776-K776,"")</f>
        <v/>
      </c>
      <c r="N777" s="170"/>
      <c r="O777" s="173"/>
      <c r="P777" s="164" t="str">
        <f>IF(Q776=R776,"",IF(Q776&gt;R776,"Saldo Deudor","Saldo Acreedor"))</f>
        <v/>
      </c>
      <c r="Q777" s="165" t="str">
        <f>IF(Q776&gt;R776,Q776-R776,"")</f>
        <v/>
      </c>
      <c r="R777" s="176" t="str">
        <f>IF(Q776&lt;R776,R776-Q776,"")</f>
        <v/>
      </c>
    </row>
    <row r="780" spans="2:63" ht="15.6" x14ac:dyDescent="0.25">
      <c r="B780" s="324" t="s">
        <v>472</v>
      </c>
      <c r="C780" s="324"/>
      <c r="D780" s="175">
        <v>3899</v>
      </c>
      <c r="E780" s="160"/>
    </row>
    <row r="781" spans="2:63" x14ac:dyDescent="0.25">
      <c r="B781" s="160"/>
      <c r="C781" s="160"/>
      <c r="D781" s="160"/>
      <c r="E781" s="160"/>
    </row>
    <row r="782" spans="2:63" ht="15.6" x14ac:dyDescent="0.25">
      <c r="B782" s="324" t="s">
        <v>473</v>
      </c>
      <c r="C782" s="324"/>
      <c r="D782" s="234" t="str">
        <f>VLOOKUP(D780,DivisionariasContables,3,FALSE)</f>
        <v>Reclasificación de IGV al Costo</v>
      </c>
      <c r="E782" s="160"/>
    </row>
    <row r="783" spans="2:63" ht="14.4" thickBot="1" x14ac:dyDescent="0.3"/>
    <row r="784" spans="2:63" x14ac:dyDescent="0.25">
      <c r="B784" s="325" t="s">
        <v>466</v>
      </c>
      <c r="C784" s="327" t="s">
        <v>467</v>
      </c>
      <c r="D784" s="327" t="s">
        <v>468</v>
      </c>
      <c r="E784" s="329" t="s">
        <v>469</v>
      </c>
      <c r="F784" s="330"/>
    </row>
    <row r="785" spans="2:63" ht="14.4" thickBot="1" x14ac:dyDescent="0.3">
      <c r="B785" s="326"/>
      <c r="C785" s="328"/>
      <c r="D785" s="328"/>
      <c r="E785" s="232" t="s">
        <v>403</v>
      </c>
      <c r="F785" s="174" t="s">
        <v>402</v>
      </c>
    </row>
    <row r="786" spans="2:63" ht="14.4" thickTop="1" x14ac:dyDescent="0.25">
      <c r="B786" s="236">
        <v>41670</v>
      </c>
      <c r="C786" s="171"/>
      <c r="D786" s="166" t="s">
        <v>470</v>
      </c>
      <c r="E786" s="167">
        <f>SUMIF('Libro Diario Convencional'!$D$15:$D$167,D780,'Libro Diario Convencional'!$G$15:$G$167)</f>
        <v>0</v>
      </c>
      <c r="F786" s="168">
        <f>SUMIF('Libro Diario Convencional'!$D$15:$D$167,D780,'Libro Diario Convencional'!$H$15:$H$167)</f>
        <v>0</v>
      </c>
    </row>
    <row r="787" spans="2:63" x14ac:dyDescent="0.25">
      <c r="B787" s="169">
        <v>41670</v>
      </c>
      <c r="C787" s="172"/>
      <c r="D787" s="161" t="s">
        <v>474</v>
      </c>
      <c r="E787" s="162">
        <f>SUMIF('Asientos de Cierre'!$D$6:$D$549,D780,'Asientos de Cierre'!$G$6:$G$549)</f>
        <v>0</v>
      </c>
      <c r="F787" s="163">
        <f>SUMIF('Asientos de Cierre'!$D$6:$D$549,D780,'Asientos de Cierre'!$H$6:$H$549)</f>
        <v>0</v>
      </c>
    </row>
    <row r="788" spans="2:63" x14ac:dyDescent="0.25">
      <c r="B788" s="169"/>
      <c r="C788" s="172"/>
      <c r="D788" s="161"/>
      <c r="E788" s="162"/>
      <c r="F788" s="163"/>
    </row>
    <row r="789" spans="2:63" ht="14.4" thickBot="1" x14ac:dyDescent="0.3">
      <c r="B789" s="169"/>
      <c r="C789" s="172"/>
      <c r="D789" s="161"/>
      <c r="E789" s="162"/>
      <c r="F789" s="163"/>
    </row>
    <row r="790" spans="2:63" ht="15" thickBot="1" x14ac:dyDescent="0.3">
      <c r="B790" s="169"/>
      <c r="C790" s="172"/>
      <c r="D790" s="161" t="s">
        <v>471</v>
      </c>
      <c r="E790" s="162">
        <f>SUM(E786:E789)</f>
        <v>0</v>
      </c>
      <c r="F790" s="163">
        <f>SUM(F786:F789)</f>
        <v>0</v>
      </c>
      <c r="BJ790" s="157">
        <f>SUM(E790,K790,Q790,W790,AC790,AI790,AO790,AU790,BA790,BG790)</f>
        <v>0</v>
      </c>
      <c r="BK790" s="158">
        <f>SUM(F790,L790,R790,X790,AD790,AJ790,AP790,AV790,BB790,BH790)</f>
        <v>0</v>
      </c>
    </row>
    <row r="791" spans="2:63" ht="14.4" thickBot="1" x14ac:dyDescent="0.3">
      <c r="B791" s="170"/>
      <c r="C791" s="173"/>
      <c r="D791" s="164" t="str">
        <f>IF(E790=F790,"",IF(E790&gt;F790,"Saldo Deudor","Saldo Acreedor"))</f>
        <v/>
      </c>
      <c r="E791" s="165" t="str">
        <f>IF(E790&gt;F790,E790-F790,"")</f>
        <v/>
      </c>
      <c r="F791" s="176" t="str">
        <f>IF(E790&lt;F790,F790-E790,"")</f>
        <v/>
      </c>
    </row>
    <row r="794" spans="2:63" ht="15.6" x14ac:dyDescent="0.25">
      <c r="B794" s="324" t="s">
        <v>472</v>
      </c>
      <c r="C794" s="324"/>
      <c r="D794" s="175">
        <v>3911</v>
      </c>
      <c r="E794" s="160"/>
      <c r="H794" s="324" t="s">
        <v>472</v>
      </c>
      <c r="I794" s="324"/>
      <c r="J794" s="175">
        <v>3913</v>
      </c>
      <c r="K794" s="160"/>
    </row>
    <row r="795" spans="2:63" x14ac:dyDescent="0.25">
      <c r="B795" s="160"/>
      <c r="C795" s="160"/>
      <c r="D795" s="160"/>
      <c r="E795" s="160"/>
      <c r="H795" s="160"/>
      <c r="I795" s="160"/>
      <c r="J795" s="160"/>
      <c r="K795" s="160"/>
    </row>
    <row r="796" spans="2:63" ht="15.6" x14ac:dyDescent="0.25">
      <c r="B796" s="324" t="s">
        <v>473</v>
      </c>
      <c r="C796" s="324"/>
      <c r="D796" s="234" t="str">
        <f>VLOOKUP(D794,DivisionariasContables,3,FALSE)</f>
        <v>Inversiones Inmobiliarias</v>
      </c>
      <c r="E796" s="160"/>
      <c r="H796" s="324" t="s">
        <v>473</v>
      </c>
      <c r="I796" s="324"/>
      <c r="J796" s="234" t="str">
        <f>VLOOKUP(J794,DivisionariasContables,3,FALSE)</f>
        <v>Inmuebles, Maquinaria y Equipo - Costo</v>
      </c>
      <c r="K796" s="160"/>
    </row>
    <row r="797" spans="2:63" ht="14.4" thickBot="1" x14ac:dyDescent="0.3"/>
    <row r="798" spans="2:63" x14ac:dyDescent="0.25">
      <c r="B798" s="325" t="s">
        <v>466</v>
      </c>
      <c r="C798" s="327" t="s">
        <v>467</v>
      </c>
      <c r="D798" s="327" t="s">
        <v>468</v>
      </c>
      <c r="E798" s="329" t="s">
        <v>469</v>
      </c>
      <c r="F798" s="330"/>
      <c r="H798" s="325" t="s">
        <v>466</v>
      </c>
      <c r="I798" s="327" t="s">
        <v>467</v>
      </c>
      <c r="J798" s="327" t="s">
        <v>468</v>
      </c>
      <c r="K798" s="329" t="s">
        <v>469</v>
      </c>
      <c r="L798" s="330"/>
    </row>
    <row r="799" spans="2:63" ht="14.4" thickBot="1" x14ac:dyDescent="0.3">
      <c r="B799" s="326"/>
      <c r="C799" s="328"/>
      <c r="D799" s="328"/>
      <c r="E799" s="232" t="s">
        <v>403</v>
      </c>
      <c r="F799" s="174" t="s">
        <v>402</v>
      </c>
      <c r="H799" s="326"/>
      <c r="I799" s="328"/>
      <c r="J799" s="328"/>
      <c r="K799" s="232" t="s">
        <v>403</v>
      </c>
      <c r="L799" s="174" t="s">
        <v>402</v>
      </c>
    </row>
    <row r="800" spans="2:63" ht="14.4" thickTop="1" x14ac:dyDescent="0.25">
      <c r="B800" s="236">
        <v>41670</v>
      </c>
      <c r="C800" s="171"/>
      <c r="D800" s="166" t="s">
        <v>470</v>
      </c>
      <c r="E800" s="167">
        <f>SUMIF('Libro Diario Convencional'!$D$15:$D$167,D794,'Libro Diario Convencional'!$G$15:$G$167)</f>
        <v>0</v>
      </c>
      <c r="F800" s="168">
        <f>SUMIF('Libro Diario Convencional'!$D$15:$D$167,D794,'Libro Diario Convencional'!$H$15:$H$167)</f>
        <v>31542.5</v>
      </c>
      <c r="H800" s="236">
        <v>41670</v>
      </c>
      <c r="I800" s="171"/>
      <c r="J800" s="166" t="s">
        <v>470</v>
      </c>
      <c r="K800" s="167">
        <f>SUMIF('Libro Diario Convencional'!$D$15:$D$167,J794,'Libro Diario Convencional'!$G$15:$G$167)</f>
        <v>0</v>
      </c>
      <c r="L800" s="168">
        <f>SUMIF('Libro Diario Convencional'!$D$15:$D$167,J794,'Libro Diario Convencional'!$H$15:$H$167)</f>
        <v>0</v>
      </c>
    </row>
    <row r="801" spans="2:63" x14ac:dyDescent="0.25">
      <c r="B801" s="169">
        <v>41670</v>
      </c>
      <c r="C801" s="172"/>
      <c r="D801" s="161" t="s">
        <v>474</v>
      </c>
      <c r="E801" s="162">
        <f>SUMIF('Asientos de Cierre'!$D$6:$D$549,D794,'Asientos de Cierre'!$G$6:$G$549)</f>
        <v>31542.5</v>
      </c>
      <c r="F801" s="163">
        <f>SUMIF('Asientos de Cierre'!$D$6:$D$549,D794,'Asientos de Cierre'!$H$6:$H$549)</f>
        <v>0</v>
      </c>
      <c r="H801" s="169">
        <v>41670</v>
      </c>
      <c r="I801" s="172"/>
      <c r="J801" s="161" t="s">
        <v>474</v>
      </c>
      <c r="K801" s="162">
        <f>SUMIF('Asientos de Cierre'!$D$6:$D$549,J794,'Asientos de Cierre'!$G$6:$G$549)</f>
        <v>0</v>
      </c>
      <c r="L801" s="163">
        <f>SUMIF('Asientos de Cierre'!$D$6:$D$549,J794,'Asientos de Cierre'!$H$6:$H$549)</f>
        <v>0</v>
      </c>
    </row>
    <row r="802" spans="2:63" x14ac:dyDescent="0.25">
      <c r="B802" s="169"/>
      <c r="C802" s="172"/>
      <c r="D802" s="161"/>
      <c r="E802" s="162"/>
      <c r="F802" s="163"/>
      <c r="H802" s="169"/>
      <c r="I802" s="172"/>
      <c r="J802" s="161"/>
      <c r="K802" s="162"/>
      <c r="L802" s="163"/>
    </row>
    <row r="803" spans="2:63" ht="14.4" thickBot="1" x14ac:dyDescent="0.3">
      <c r="B803" s="169"/>
      <c r="C803" s="172"/>
      <c r="D803" s="161"/>
      <c r="E803" s="162"/>
      <c r="F803" s="163"/>
      <c r="H803" s="169"/>
      <c r="I803" s="172"/>
      <c r="J803" s="161"/>
      <c r="K803" s="162"/>
      <c r="L803" s="163"/>
    </row>
    <row r="804" spans="2:63" ht="15" thickBot="1" x14ac:dyDescent="0.3">
      <c r="B804" s="169"/>
      <c r="C804" s="172"/>
      <c r="D804" s="161" t="s">
        <v>471</v>
      </c>
      <c r="E804" s="162">
        <f>SUM(E800:E803)</f>
        <v>31542.5</v>
      </c>
      <c r="F804" s="163">
        <f>SUM(F800:F803)</f>
        <v>31542.5</v>
      </c>
      <c r="H804" s="169"/>
      <c r="I804" s="172"/>
      <c r="J804" s="161" t="s">
        <v>471</v>
      </c>
      <c r="K804" s="162">
        <f>SUM(K800:K803)</f>
        <v>0</v>
      </c>
      <c r="L804" s="163">
        <f>SUM(L800:L803)</f>
        <v>0</v>
      </c>
      <c r="BJ804" s="157">
        <f>SUM(E804,K804,Q804,W804,AC804,AI804,AO804,AU804,BA804,BG804)</f>
        <v>31542.5</v>
      </c>
      <c r="BK804" s="158">
        <f>SUM(F804,L804,R804,X804,AD804,AJ804,AP804,AV804,BB804,BH804)</f>
        <v>31542.5</v>
      </c>
    </row>
    <row r="805" spans="2:63" ht="14.4" thickBot="1" x14ac:dyDescent="0.3">
      <c r="B805" s="170"/>
      <c r="C805" s="173"/>
      <c r="D805" s="164" t="str">
        <f>IF(E804=F804,"",IF(E804&gt;F804,"Saldo Deudor","Saldo Acreedor"))</f>
        <v/>
      </c>
      <c r="E805" s="165" t="str">
        <f>IF(E804&gt;F804,E804-F804,"")</f>
        <v/>
      </c>
      <c r="F805" s="176" t="str">
        <f>IF(E804&lt;F804,F804-E804,"")</f>
        <v/>
      </c>
      <c r="H805" s="170"/>
      <c r="I805" s="173"/>
      <c r="J805" s="164" t="str">
        <f>IF(K804=L804,"",IF(K804&gt;L804,"Saldo Deudor","Saldo Acreedor"))</f>
        <v/>
      </c>
      <c r="K805" s="165" t="str">
        <f>IF(K804&gt;L804,K804-L804,"")</f>
        <v/>
      </c>
      <c r="L805" s="176" t="str">
        <f>IF(K804&lt;L804,L804-K804,"")</f>
        <v/>
      </c>
    </row>
    <row r="808" spans="2:63" ht="15.6" x14ac:dyDescent="0.25">
      <c r="B808" s="324" t="s">
        <v>472</v>
      </c>
      <c r="C808" s="324"/>
      <c r="D808" s="175">
        <v>4011</v>
      </c>
      <c r="E808" s="160"/>
      <c r="H808" s="324" t="s">
        <v>472</v>
      </c>
      <c r="I808" s="324"/>
      <c r="J808" s="175">
        <v>4012</v>
      </c>
      <c r="K808" s="160"/>
      <c r="N808" s="324" t="s">
        <v>472</v>
      </c>
      <c r="O808" s="324"/>
      <c r="P808" s="175">
        <v>4017</v>
      </c>
      <c r="Q808" s="160"/>
      <c r="T808" s="324" t="s">
        <v>472</v>
      </c>
      <c r="U808" s="324"/>
      <c r="V808" s="175">
        <v>4018</v>
      </c>
      <c r="W808" s="160"/>
    </row>
    <row r="809" spans="2:63" x14ac:dyDescent="0.25">
      <c r="B809" s="160"/>
      <c r="C809" s="160"/>
      <c r="D809" s="160"/>
      <c r="E809" s="160"/>
      <c r="H809" s="160"/>
      <c r="I809" s="160"/>
      <c r="J809" s="160"/>
      <c r="K809" s="160"/>
      <c r="N809" s="160"/>
      <c r="O809" s="160"/>
      <c r="P809" s="160"/>
      <c r="Q809" s="160"/>
      <c r="T809" s="160"/>
      <c r="U809" s="160"/>
      <c r="V809" s="160"/>
      <c r="W809" s="160"/>
    </row>
    <row r="810" spans="2:63" ht="15.6" x14ac:dyDescent="0.25">
      <c r="B810" s="324" t="s">
        <v>473</v>
      </c>
      <c r="C810" s="324"/>
      <c r="D810" s="234" t="str">
        <f>VLOOKUP(D808,DivisionariasContables,3,FALSE)</f>
        <v>Impuesto General a las Ventas</v>
      </c>
      <c r="E810" s="160"/>
      <c r="H810" s="324" t="s">
        <v>473</v>
      </c>
      <c r="I810" s="324"/>
      <c r="J810" s="234" t="str">
        <f>VLOOKUP(J808,DivisionariasContables,3,FALSE)</f>
        <v>Impuesto Selectivo al Consumo</v>
      </c>
      <c r="K810" s="160"/>
      <c r="N810" s="324" t="s">
        <v>473</v>
      </c>
      <c r="O810" s="324"/>
      <c r="P810" s="234" t="str">
        <f>VLOOKUP(P808,DivisionariasContables,3,FALSE)</f>
        <v>Impuesto a la Renta</v>
      </c>
      <c r="Q810" s="160"/>
      <c r="T810" s="324" t="s">
        <v>473</v>
      </c>
      <c r="U810" s="324"/>
      <c r="V810" s="234" t="str">
        <f>VLOOKUP(V808,DivisionariasContables,3,FALSE)</f>
        <v>Otros Impuestos y Contraprestaciones</v>
      </c>
      <c r="W810" s="160"/>
    </row>
    <row r="811" spans="2:63" ht="14.4" thickBot="1" x14ac:dyDescent="0.3"/>
    <row r="812" spans="2:63" x14ac:dyDescent="0.25">
      <c r="B812" s="325" t="s">
        <v>466</v>
      </c>
      <c r="C812" s="327" t="s">
        <v>467</v>
      </c>
      <c r="D812" s="327" t="s">
        <v>468</v>
      </c>
      <c r="E812" s="329" t="s">
        <v>469</v>
      </c>
      <c r="F812" s="330"/>
      <c r="H812" s="325" t="s">
        <v>466</v>
      </c>
      <c r="I812" s="327" t="s">
        <v>467</v>
      </c>
      <c r="J812" s="327" t="s">
        <v>468</v>
      </c>
      <c r="K812" s="329" t="s">
        <v>469</v>
      </c>
      <c r="L812" s="330"/>
      <c r="N812" s="325" t="s">
        <v>466</v>
      </c>
      <c r="O812" s="327" t="s">
        <v>467</v>
      </c>
      <c r="P812" s="327" t="s">
        <v>468</v>
      </c>
      <c r="Q812" s="329" t="s">
        <v>469</v>
      </c>
      <c r="R812" s="330"/>
      <c r="T812" s="325" t="s">
        <v>466</v>
      </c>
      <c r="U812" s="327" t="s">
        <v>467</v>
      </c>
      <c r="V812" s="327" t="s">
        <v>468</v>
      </c>
      <c r="W812" s="329" t="s">
        <v>469</v>
      </c>
      <c r="X812" s="330"/>
    </row>
    <row r="813" spans="2:63" ht="14.4" thickBot="1" x14ac:dyDescent="0.3">
      <c r="B813" s="326"/>
      <c r="C813" s="328"/>
      <c r="D813" s="328"/>
      <c r="E813" s="232" t="s">
        <v>403</v>
      </c>
      <c r="F813" s="174" t="s">
        <v>402</v>
      </c>
      <c r="H813" s="326"/>
      <c r="I813" s="328"/>
      <c r="J813" s="328"/>
      <c r="K813" s="232" t="s">
        <v>403</v>
      </c>
      <c r="L813" s="174" t="s">
        <v>402</v>
      </c>
      <c r="N813" s="326"/>
      <c r="O813" s="328"/>
      <c r="P813" s="328"/>
      <c r="Q813" s="232" t="s">
        <v>403</v>
      </c>
      <c r="R813" s="174" t="s">
        <v>402</v>
      </c>
      <c r="T813" s="326"/>
      <c r="U813" s="328"/>
      <c r="V813" s="328"/>
      <c r="W813" s="232" t="s">
        <v>403</v>
      </c>
      <c r="X813" s="174" t="s">
        <v>402</v>
      </c>
    </row>
    <row r="814" spans="2:63" ht="14.4" thickTop="1" x14ac:dyDescent="0.25">
      <c r="B814" s="236">
        <v>41670</v>
      </c>
      <c r="C814" s="171"/>
      <c r="D814" s="166" t="s">
        <v>470</v>
      </c>
      <c r="E814" s="167">
        <f>SUMIF('Libro Diario Convencional'!$D$15:$D$167,D808,'Libro Diario Convencional'!$G$15:$G$167)</f>
        <v>3058.6271186440677</v>
      </c>
      <c r="F814" s="168">
        <f>SUMIF('Libro Diario Convencional'!$D$15:$D$167,D808,'Libro Diario Convencional'!$H$15:$H$167)</f>
        <v>0</v>
      </c>
      <c r="H814" s="236">
        <v>41670</v>
      </c>
      <c r="I814" s="171"/>
      <c r="J814" s="166" t="s">
        <v>470</v>
      </c>
      <c r="K814" s="167">
        <f>SUMIF('Libro Diario Convencional'!$D$15:$D$167,J808,'Libro Diario Convencional'!$G$15:$G$167)</f>
        <v>0</v>
      </c>
      <c r="L814" s="168">
        <f>SUMIF('Libro Diario Convencional'!$D$15:$D$167,J808,'Libro Diario Convencional'!$H$15:$H$167)</f>
        <v>0</v>
      </c>
      <c r="N814" s="236">
        <v>41670</v>
      </c>
      <c r="O814" s="171"/>
      <c r="P814" s="166" t="s">
        <v>470</v>
      </c>
      <c r="Q814" s="167">
        <f>SUMIF('Libro Diario Convencional'!$D$15:$D$167,P808,'Libro Diario Convencional'!$G$15:$G$167)</f>
        <v>0</v>
      </c>
      <c r="R814" s="168">
        <f>SUMIF('Libro Diario Convencional'!$D$15:$D$167,P808,'Libro Diario Convencional'!$H$15:$H$167)</f>
        <v>0</v>
      </c>
      <c r="T814" s="236">
        <v>41670</v>
      </c>
      <c r="U814" s="171"/>
      <c r="V814" s="166" t="s">
        <v>470</v>
      </c>
      <c r="W814" s="167">
        <f>SUMIF('Libro Diario Convencional'!$D$15:$D$167,V808,'Libro Diario Convencional'!$G$15:$G$167)</f>
        <v>0</v>
      </c>
      <c r="X814" s="168">
        <f>SUMIF('Libro Diario Convencional'!$D$15:$D$167,V808,'Libro Diario Convencional'!$H$15:$H$167)</f>
        <v>0</v>
      </c>
    </row>
    <row r="815" spans="2:63" x14ac:dyDescent="0.25">
      <c r="B815" s="169">
        <v>41670</v>
      </c>
      <c r="C815" s="172"/>
      <c r="D815" s="161" t="s">
        <v>474</v>
      </c>
      <c r="E815" s="162">
        <f>SUMIF('Asientos de Cierre'!$D$6:$D$549,D808,'Asientos de Cierre'!$G$6:$G$549)</f>
        <v>0</v>
      </c>
      <c r="F815" s="163">
        <f>SUMIF('Asientos de Cierre'!$D$6:$D$549,D808,'Asientos de Cierre'!$H$6:$H$549)</f>
        <v>3058.6271186440677</v>
      </c>
      <c r="H815" s="169">
        <v>41670</v>
      </c>
      <c r="I815" s="172"/>
      <c r="J815" s="161" t="s">
        <v>474</v>
      </c>
      <c r="K815" s="162">
        <f>SUMIF('Asientos de Cierre'!$D$6:$D$549,J808,'Asientos de Cierre'!$G$6:$G$549)</f>
        <v>0</v>
      </c>
      <c r="L815" s="163">
        <f>SUMIF('Asientos de Cierre'!$D$6:$D$549,J808,'Asientos de Cierre'!$H$6:$H$549)</f>
        <v>0</v>
      </c>
      <c r="N815" s="169">
        <v>41670</v>
      </c>
      <c r="O815" s="172"/>
      <c r="P815" s="161" t="s">
        <v>474</v>
      </c>
      <c r="Q815" s="162">
        <f>SUMIF('Asientos de Cierre'!$D$6:$D$549,P808,'Asientos de Cierre'!$G$6:$G$549)</f>
        <v>0</v>
      </c>
      <c r="R815" s="163">
        <f>SUMIF('Asientos de Cierre'!$D$6:$D$549,P808,'Asientos de Cierre'!$H$6:$H$549)</f>
        <v>0</v>
      </c>
      <c r="T815" s="169">
        <v>41670</v>
      </c>
      <c r="U815" s="172"/>
      <c r="V815" s="161" t="s">
        <v>474</v>
      </c>
      <c r="W815" s="162">
        <f>SUMIF('Asientos de Cierre'!$D$6:$D$549,V808,'Asientos de Cierre'!$G$6:$G$549)</f>
        <v>0</v>
      </c>
      <c r="X815" s="163">
        <f>SUMIF('Asientos de Cierre'!$D$6:$D$549,V808,'Asientos de Cierre'!$H$6:$H$549)</f>
        <v>0</v>
      </c>
    </row>
    <row r="816" spans="2:63" x14ac:dyDescent="0.25">
      <c r="B816" s="169"/>
      <c r="C816" s="172"/>
      <c r="D816" s="161"/>
      <c r="E816" s="162"/>
      <c r="F816" s="163"/>
      <c r="H816" s="169"/>
      <c r="I816" s="172"/>
      <c r="J816" s="161"/>
      <c r="K816" s="162"/>
      <c r="L816" s="163"/>
      <c r="N816" s="169"/>
      <c r="O816" s="172"/>
      <c r="P816" s="161"/>
      <c r="Q816" s="162"/>
      <c r="R816" s="163"/>
      <c r="T816" s="169"/>
      <c r="U816" s="172"/>
      <c r="V816" s="161"/>
      <c r="W816" s="162"/>
      <c r="X816" s="163"/>
    </row>
    <row r="817" spans="2:63" ht="14.4" thickBot="1" x14ac:dyDescent="0.3">
      <c r="B817" s="169"/>
      <c r="C817" s="172"/>
      <c r="D817" s="161"/>
      <c r="E817" s="162"/>
      <c r="F817" s="163"/>
      <c r="H817" s="169"/>
      <c r="I817" s="172"/>
      <c r="J817" s="161"/>
      <c r="K817" s="162"/>
      <c r="L817" s="163"/>
      <c r="N817" s="169"/>
      <c r="O817" s="172"/>
      <c r="P817" s="161"/>
      <c r="Q817" s="162"/>
      <c r="R817" s="163"/>
      <c r="T817" s="169"/>
      <c r="U817" s="172"/>
      <c r="V817" s="161"/>
      <c r="W817" s="162"/>
      <c r="X817" s="163"/>
    </row>
    <row r="818" spans="2:63" ht="15" thickBot="1" x14ac:dyDescent="0.3">
      <c r="B818" s="169"/>
      <c r="C818" s="172"/>
      <c r="D818" s="161" t="s">
        <v>471</v>
      </c>
      <c r="E818" s="162">
        <f>SUM(E814:E817)</f>
        <v>3058.6271186440677</v>
      </c>
      <c r="F818" s="163">
        <f>SUM(F814:F817)</f>
        <v>3058.6271186440677</v>
      </c>
      <c r="H818" s="169"/>
      <c r="I818" s="172"/>
      <c r="J818" s="161" t="s">
        <v>471</v>
      </c>
      <c r="K818" s="162">
        <f>SUM(K814:K817)</f>
        <v>0</v>
      </c>
      <c r="L818" s="163">
        <f>SUM(L814:L817)</f>
        <v>0</v>
      </c>
      <c r="N818" s="169"/>
      <c r="O818" s="172"/>
      <c r="P818" s="161" t="s">
        <v>471</v>
      </c>
      <c r="Q818" s="162">
        <f>SUM(Q814:Q817)</f>
        <v>0</v>
      </c>
      <c r="R818" s="163">
        <f>SUM(R814:R817)</f>
        <v>0</v>
      </c>
      <c r="T818" s="169"/>
      <c r="U818" s="172"/>
      <c r="V818" s="161" t="s">
        <v>471</v>
      </c>
      <c r="W818" s="162">
        <f>SUM(W814:W817)</f>
        <v>0</v>
      </c>
      <c r="X818" s="163">
        <f>SUM(X814:X817)</f>
        <v>0</v>
      </c>
      <c r="BJ818" s="157">
        <f>SUM(E818,K818,Q818,W818,AC818,AI818,AO818,AU818,BA818,BG818)</f>
        <v>3058.6271186440677</v>
      </c>
      <c r="BK818" s="158">
        <f>SUM(F818,L818,R818,X818,AD818,AJ818,AP818,AV818,BB818,BH818)</f>
        <v>3058.6271186440677</v>
      </c>
    </row>
    <row r="819" spans="2:63" ht="14.4" thickBot="1" x14ac:dyDescent="0.3">
      <c r="B819" s="170"/>
      <c r="C819" s="173"/>
      <c r="D819" s="164" t="str">
        <f>IF(E818=F818,"",IF(E818&gt;F818,"Saldo Deudor","Saldo Acreedor"))</f>
        <v/>
      </c>
      <c r="E819" s="165" t="str">
        <f>IF(E818&gt;F818,E818-F818,"")</f>
        <v/>
      </c>
      <c r="F819" s="176" t="str">
        <f>IF(E818&lt;F818,F818-E818,"")</f>
        <v/>
      </c>
      <c r="H819" s="170"/>
      <c r="I819" s="173"/>
      <c r="J819" s="164" t="str">
        <f>IF(K818=L818,"",IF(K818&gt;L818,"Saldo Deudor","Saldo Acreedor"))</f>
        <v/>
      </c>
      <c r="K819" s="165" t="str">
        <f>IF(K818&gt;L818,K818-L818,"")</f>
        <v/>
      </c>
      <c r="L819" s="176" t="str">
        <f>IF(K818&lt;L818,L818-K818,"")</f>
        <v/>
      </c>
      <c r="N819" s="170"/>
      <c r="O819" s="173"/>
      <c r="P819" s="164" t="str">
        <f>IF(Q818=R818,"",IF(Q818&gt;R818,"Saldo Deudor","Saldo Acreedor"))</f>
        <v/>
      </c>
      <c r="Q819" s="165" t="str">
        <f>IF(Q818&gt;R818,Q818-R818,"")</f>
        <v/>
      </c>
      <c r="R819" s="176" t="str">
        <f>IF(Q818&lt;R818,R818-Q818,"")</f>
        <v/>
      </c>
      <c r="T819" s="170"/>
      <c r="U819" s="173"/>
      <c r="V819" s="164" t="str">
        <f>IF(W818=X818,"",IF(W818&gt;X818,"Saldo Deudor","Saldo Acreedor"))</f>
        <v/>
      </c>
      <c r="W819" s="165" t="str">
        <f>IF(W818&gt;X818,W818-X818,"")</f>
        <v/>
      </c>
      <c r="X819" s="176" t="str">
        <f>IF(W818&lt;X818,X818-W818,"")</f>
        <v/>
      </c>
    </row>
    <row r="822" spans="2:63" ht="15.6" x14ac:dyDescent="0.25">
      <c r="B822" s="324" t="s">
        <v>472</v>
      </c>
      <c r="C822" s="324"/>
      <c r="D822" s="175">
        <v>4031</v>
      </c>
      <c r="E822" s="160"/>
      <c r="H822" s="324" t="s">
        <v>472</v>
      </c>
      <c r="I822" s="324"/>
      <c r="J822" s="175">
        <v>4032</v>
      </c>
      <c r="K822" s="160"/>
    </row>
    <row r="823" spans="2:63" x14ac:dyDescent="0.25">
      <c r="B823" s="160"/>
      <c r="C823" s="160"/>
      <c r="D823" s="160"/>
      <c r="E823" s="160"/>
      <c r="H823" s="160"/>
      <c r="I823" s="160"/>
      <c r="J823" s="160"/>
      <c r="K823" s="160"/>
    </row>
    <row r="824" spans="2:63" ht="15.6" x14ac:dyDescent="0.25">
      <c r="B824" s="324" t="s">
        <v>473</v>
      </c>
      <c r="C824" s="324"/>
      <c r="D824" s="234" t="str">
        <f>VLOOKUP(D822,DivisionariasContables,3,FALSE)</f>
        <v>ESSALUD</v>
      </c>
      <c r="E824" s="160"/>
      <c r="H824" s="324" t="s">
        <v>473</v>
      </c>
      <c r="I824" s="324"/>
      <c r="J824" s="234" t="str">
        <f>VLOOKUP(J822,DivisionariasContables,3,FALSE)</f>
        <v>ONP</v>
      </c>
      <c r="K824" s="160"/>
    </row>
    <row r="825" spans="2:63" ht="14.4" thickBot="1" x14ac:dyDescent="0.3"/>
    <row r="826" spans="2:63" x14ac:dyDescent="0.25">
      <c r="B826" s="325" t="s">
        <v>466</v>
      </c>
      <c r="C826" s="327" t="s">
        <v>467</v>
      </c>
      <c r="D826" s="327" t="s">
        <v>468</v>
      </c>
      <c r="E826" s="329" t="s">
        <v>469</v>
      </c>
      <c r="F826" s="330"/>
      <c r="H826" s="325" t="s">
        <v>466</v>
      </c>
      <c r="I826" s="327" t="s">
        <v>467</v>
      </c>
      <c r="J826" s="327" t="s">
        <v>468</v>
      </c>
      <c r="K826" s="329" t="s">
        <v>469</v>
      </c>
      <c r="L826" s="330"/>
    </row>
    <row r="827" spans="2:63" ht="14.4" thickBot="1" x14ac:dyDescent="0.3">
      <c r="B827" s="326"/>
      <c r="C827" s="328"/>
      <c r="D827" s="328"/>
      <c r="E827" s="232" t="s">
        <v>403</v>
      </c>
      <c r="F827" s="174" t="s">
        <v>402</v>
      </c>
      <c r="H827" s="326"/>
      <c r="I827" s="328"/>
      <c r="J827" s="328"/>
      <c r="K827" s="232" t="s">
        <v>403</v>
      </c>
      <c r="L827" s="174" t="s">
        <v>402</v>
      </c>
    </row>
    <row r="828" spans="2:63" ht="14.4" thickTop="1" x14ac:dyDescent="0.25">
      <c r="B828" s="236">
        <v>41670</v>
      </c>
      <c r="C828" s="171"/>
      <c r="D828" s="166" t="s">
        <v>470</v>
      </c>
      <c r="E828" s="167">
        <f>SUMIF('Libro Diario Convencional'!$D$15:$D$167,D822,'Libro Diario Convencional'!$G$15:$G$167)</f>
        <v>0</v>
      </c>
      <c r="F828" s="168">
        <f>SUMIF('Libro Diario Convencional'!$D$15:$D$167,D822,'Libro Diario Convencional'!$H$15:$H$167)</f>
        <v>27000</v>
      </c>
      <c r="H828" s="236">
        <v>41670</v>
      </c>
      <c r="I828" s="171"/>
      <c r="J828" s="166" t="s">
        <v>470</v>
      </c>
      <c r="K828" s="167">
        <f>SUMIF('Libro Diario Convencional'!$D$15:$D$167,J822,'Libro Diario Convencional'!$G$15:$G$167)</f>
        <v>0</v>
      </c>
      <c r="L828" s="168">
        <f>SUMIF('Libro Diario Convencional'!$D$15:$D$167,J822,'Libro Diario Convencional'!$H$15:$H$167)</f>
        <v>12480</v>
      </c>
    </row>
    <row r="829" spans="2:63" x14ac:dyDescent="0.25">
      <c r="B829" s="169">
        <v>41670</v>
      </c>
      <c r="C829" s="172"/>
      <c r="D829" s="161" t="s">
        <v>474</v>
      </c>
      <c r="E829" s="162">
        <f>SUMIF('Asientos de Cierre'!$D$6:$D$549,D822,'Asientos de Cierre'!$G$6:$G$549)</f>
        <v>27000</v>
      </c>
      <c r="F829" s="163">
        <f>SUMIF('Asientos de Cierre'!$D$6:$D$549,D822,'Asientos de Cierre'!$H$6:$H$549)</f>
        <v>0</v>
      </c>
      <c r="H829" s="169">
        <v>41670</v>
      </c>
      <c r="I829" s="172"/>
      <c r="J829" s="161" t="s">
        <v>474</v>
      </c>
      <c r="K829" s="162">
        <f>SUMIF('Asientos de Cierre'!$D$6:$D$549,J822,'Asientos de Cierre'!$G$6:$G$549)</f>
        <v>12480</v>
      </c>
      <c r="L829" s="163">
        <f>SUMIF('Asientos de Cierre'!$D$6:$D$549,J822,'Asientos de Cierre'!$H$6:$H$549)</f>
        <v>0</v>
      </c>
    </row>
    <row r="830" spans="2:63" x14ac:dyDescent="0.25">
      <c r="B830" s="169"/>
      <c r="C830" s="172"/>
      <c r="D830" s="161"/>
      <c r="E830" s="162"/>
      <c r="F830" s="163"/>
      <c r="H830" s="169"/>
      <c r="I830" s="172"/>
      <c r="J830" s="161"/>
      <c r="K830" s="162"/>
      <c r="L830" s="163"/>
    </row>
    <row r="831" spans="2:63" ht="14.4" thickBot="1" x14ac:dyDescent="0.3">
      <c r="B831" s="169"/>
      <c r="C831" s="172"/>
      <c r="D831" s="161"/>
      <c r="E831" s="162"/>
      <c r="F831" s="163"/>
      <c r="H831" s="169"/>
      <c r="I831" s="172"/>
      <c r="J831" s="161"/>
      <c r="K831" s="162"/>
      <c r="L831" s="163"/>
    </row>
    <row r="832" spans="2:63" ht="15" thickBot="1" x14ac:dyDescent="0.3">
      <c r="B832" s="169"/>
      <c r="C832" s="172"/>
      <c r="D832" s="161" t="s">
        <v>471</v>
      </c>
      <c r="E832" s="162">
        <f>SUM(E828:E831)</f>
        <v>27000</v>
      </c>
      <c r="F832" s="163">
        <f>SUM(F828:F831)</f>
        <v>27000</v>
      </c>
      <c r="H832" s="169"/>
      <c r="I832" s="172"/>
      <c r="J832" s="161" t="s">
        <v>471</v>
      </c>
      <c r="K832" s="162">
        <f>SUM(K828:K831)</f>
        <v>12480</v>
      </c>
      <c r="L832" s="163">
        <f>SUM(L828:L831)</f>
        <v>12480</v>
      </c>
      <c r="BJ832" s="157">
        <f>SUM(E832,K832,Q832,W832,AC832,AI832,AO832,AU832,BA832,BG832)</f>
        <v>39480</v>
      </c>
      <c r="BK832" s="158">
        <f>SUM(F832,L832,R832,X832,AD832,AJ832,AP832,AV832,BB832,BH832)</f>
        <v>39480</v>
      </c>
    </row>
    <row r="833" spans="2:63" ht="14.4" thickBot="1" x14ac:dyDescent="0.3">
      <c r="B833" s="170"/>
      <c r="C833" s="173"/>
      <c r="D833" s="164" t="str">
        <f>IF(E832=F832,"",IF(E832&gt;F832,"Saldo Deudor","Saldo Acreedor"))</f>
        <v/>
      </c>
      <c r="E833" s="165" t="str">
        <f>IF(E832&gt;F832,E832-F832,"")</f>
        <v/>
      </c>
      <c r="F833" s="176" t="str">
        <f>IF(E832&lt;F832,F832-E832,"")</f>
        <v/>
      </c>
      <c r="H833" s="170"/>
      <c r="I833" s="173"/>
      <c r="J833" s="164" t="str">
        <f>IF(K832=L832,"",IF(K832&gt;L832,"Saldo Deudor","Saldo Acreedor"))</f>
        <v/>
      </c>
      <c r="K833" s="165" t="str">
        <f>IF(K832&gt;L832,K832-L832,"")</f>
        <v/>
      </c>
      <c r="L833" s="176" t="str">
        <f>IF(K832&lt;L832,L832-K832,"")</f>
        <v/>
      </c>
    </row>
    <row r="836" spans="2:63" ht="15.6" x14ac:dyDescent="0.25">
      <c r="B836" s="324" t="s">
        <v>472</v>
      </c>
      <c r="C836" s="324"/>
      <c r="D836" s="175">
        <v>4041</v>
      </c>
      <c r="E836" s="160"/>
    </row>
    <row r="837" spans="2:63" x14ac:dyDescent="0.25">
      <c r="B837" s="160"/>
      <c r="C837" s="160"/>
      <c r="D837" s="160"/>
      <c r="E837" s="160"/>
    </row>
    <row r="838" spans="2:63" ht="15.6" x14ac:dyDescent="0.25">
      <c r="B838" s="324" t="s">
        <v>473</v>
      </c>
      <c r="C838" s="324"/>
      <c r="D838" s="234" t="str">
        <f>VLOOKUP(D836,DivisionariasContables,3,FALSE)</f>
        <v>Seguro Complementario de Trabajo de Riesgo</v>
      </c>
      <c r="E838" s="160"/>
    </row>
    <row r="839" spans="2:63" ht="14.4" thickBot="1" x14ac:dyDescent="0.3"/>
    <row r="840" spans="2:63" x14ac:dyDescent="0.25">
      <c r="B840" s="325" t="s">
        <v>466</v>
      </c>
      <c r="C840" s="327" t="s">
        <v>467</v>
      </c>
      <c r="D840" s="327" t="s">
        <v>468</v>
      </c>
      <c r="E840" s="329" t="s">
        <v>469</v>
      </c>
      <c r="F840" s="330"/>
    </row>
    <row r="841" spans="2:63" ht="14.4" thickBot="1" x14ac:dyDescent="0.3">
      <c r="B841" s="326"/>
      <c r="C841" s="328"/>
      <c r="D841" s="328"/>
      <c r="E841" s="232" t="s">
        <v>403</v>
      </c>
      <c r="F841" s="174" t="s">
        <v>402</v>
      </c>
    </row>
    <row r="842" spans="2:63" ht="14.4" thickTop="1" x14ac:dyDescent="0.25">
      <c r="B842" s="236">
        <v>41670</v>
      </c>
      <c r="C842" s="171"/>
      <c r="D842" s="166" t="s">
        <v>470</v>
      </c>
      <c r="E842" s="167">
        <f>SUMIF('Libro Diario Convencional'!$D$15:$D$167,D836,'Libro Diario Convencional'!$G$15:$G$167)</f>
        <v>0</v>
      </c>
      <c r="F842" s="168">
        <f>SUMIF('Libro Diario Convencional'!$D$15:$D$167,D836,'Libro Diario Convencional'!$H$15:$H$167)</f>
        <v>0</v>
      </c>
    </row>
    <row r="843" spans="2:63" x14ac:dyDescent="0.25">
      <c r="B843" s="169">
        <v>41670</v>
      </c>
      <c r="C843" s="172"/>
      <c r="D843" s="161" t="s">
        <v>474</v>
      </c>
      <c r="E843" s="162">
        <f>SUMIF('Asientos de Cierre'!$D$6:$D$549,D836,'Asientos de Cierre'!$G$6:$G$549)</f>
        <v>0</v>
      </c>
      <c r="F843" s="163">
        <f>SUMIF('Asientos de Cierre'!$D$6:$D$549,D836,'Asientos de Cierre'!$H$6:$H$549)</f>
        <v>0</v>
      </c>
    </row>
    <row r="844" spans="2:63" x14ac:dyDescent="0.25">
      <c r="B844" s="169"/>
      <c r="C844" s="172"/>
      <c r="D844" s="161"/>
      <c r="E844" s="162"/>
      <c r="F844" s="163"/>
    </row>
    <row r="845" spans="2:63" ht="14.4" thickBot="1" x14ac:dyDescent="0.3">
      <c r="B845" s="169"/>
      <c r="C845" s="172"/>
      <c r="D845" s="161"/>
      <c r="E845" s="162"/>
      <c r="F845" s="163"/>
    </row>
    <row r="846" spans="2:63" ht="15" thickBot="1" x14ac:dyDescent="0.3">
      <c r="B846" s="169"/>
      <c r="C846" s="172"/>
      <c r="D846" s="161" t="s">
        <v>471</v>
      </c>
      <c r="E846" s="162">
        <f>SUM(E842:E845)</f>
        <v>0</v>
      </c>
      <c r="F846" s="163">
        <f>SUM(F842:F845)</f>
        <v>0</v>
      </c>
      <c r="BJ846" s="157">
        <f>SUM(E846,K846,Q846,W846,AC846,AI846,AO846,AU846,BA846,BG846)</f>
        <v>0</v>
      </c>
      <c r="BK846" s="158">
        <f>SUM(F846,L846,R846,X846,AD846,AJ846,AP846,AV846,BB846,BH846)</f>
        <v>0</v>
      </c>
    </row>
    <row r="847" spans="2:63" ht="14.4" thickBot="1" x14ac:dyDescent="0.3">
      <c r="B847" s="170"/>
      <c r="C847" s="173"/>
      <c r="D847" s="164" t="str">
        <f>IF(E846=F846,"",IF(E846&gt;F846,"Saldo Deudor","Saldo Acreedor"))</f>
        <v/>
      </c>
      <c r="E847" s="165" t="str">
        <f>IF(E846&gt;F846,E846-F846,"")</f>
        <v/>
      </c>
      <c r="F847" s="176" t="str">
        <f>IF(E846&lt;F846,F846-E846,"")</f>
        <v/>
      </c>
    </row>
    <row r="850" spans="2:63" ht="15.6" x14ac:dyDescent="0.25">
      <c r="B850" s="324" t="s">
        <v>472</v>
      </c>
      <c r="C850" s="324"/>
      <c r="D850" s="175">
        <v>4071</v>
      </c>
      <c r="E850" s="160"/>
      <c r="H850" s="324" t="s">
        <v>472</v>
      </c>
      <c r="I850" s="324"/>
      <c r="J850" s="175">
        <v>4072</v>
      </c>
      <c r="K850" s="160"/>
      <c r="N850" s="324" t="s">
        <v>472</v>
      </c>
      <c r="O850" s="324"/>
      <c r="P850" s="175">
        <v>4073</v>
      </c>
      <c r="Q850" s="160"/>
      <c r="T850" s="324" t="s">
        <v>472</v>
      </c>
      <c r="U850" s="324"/>
      <c r="V850" s="175">
        <v>4074</v>
      </c>
      <c r="W850" s="160"/>
    </row>
    <row r="851" spans="2:63" x14ac:dyDescent="0.25">
      <c r="B851" s="160"/>
      <c r="C851" s="160"/>
      <c r="D851" s="160"/>
      <c r="E851" s="160"/>
      <c r="H851" s="160"/>
      <c r="I851" s="160"/>
      <c r="J851" s="160"/>
      <c r="K851" s="160"/>
      <c r="N851" s="160"/>
      <c r="O851" s="160"/>
      <c r="P851" s="160"/>
      <c r="Q851" s="160"/>
      <c r="T851" s="160"/>
      <c r="U851" s="160"/>
      <c r="V851" s="160"/>
      <c r="W851" s="160"/>
    </row>
    <row r="852" spans="2:63" ht="15.6" x14ac:dyDescent="0.25">
      <c r="B852" s="324" t="s">
        <v>473</v>
      </c>
      <c r="C852" s="324"/>
      <c r="D852" s="234" t="str">
        <f>VLOOKUP(D850,DivisionariasContables,3,FALSE)</f>
        <v>Habitat</v>
      </c>
      <c r="E852" s="160"/>
      <c r="H852" s="324" t="s">
        <v>473</v>
      </c>
      <c r="I852" s="324"/>
      <c r="J852" s="234" t="str">
        <f>VLOOKUP(J850,DivisionariasContables,3,FALSE)</f>
        <v>Integra</v>
      </c>
      <c r="K852" s="160"/>
      <c r="N852" s="324" t="s">
        <v>473</v>
      </c>
      <c r="O852" s="324"/>
      <c r="P852" s="234" t="str">
        <f>VLOOKUP(P850,DivisionariasContables,3,FALSE)</f>
        <v>Prima</v>
      </c>
      <c r="Q852" s="160"/>
      <c r="T852" s="324" t="s">
        <v>473</v>
      </c>
      <c r="U852" s="324"/>
      <c r="V852" s="234" t="str">
        <f>VLOOKUP(V850,DivisionariasContables,3,FALSE)</f>
        <v>Profuturo</v>
      </c>
      <c r="W852" s="160"/>
    </row>
    <row r="853" spans="2:63" ht="14.4" thickBot="1" x14ac:dyDescent="0.3"/>
    <row r="854" spans="2:63" x14ac:dyDescent="0.25">
      <c r="B854" s="325" t="s">
        <v>466</v>
      </c>
      <c r="C854" s="327" t="s">
        <v>467</v>
      </c>
      <c r="D854" s="327" t="s">
        <v>468</v>
      </c>
      <c r="E854" s="329" t="s">
        <v>469</v>
      </c>
      <c r="F854" s="330"/>
      <c r="H854" s="325" t="s">
        <v>466</v>
      </c>
      <c r="I854" s="327" t="s">
        <v>467</v>
      </c>
      <c r="J854" s="327" t="s">
        <v>468</v>
      </c>
      <c r="K854" s="329" t="s">
        <v>469</v>
      </c>
      <c r="L854" s="330"/>
      <c r="N854" s="325" t="s">
        <v>466</v>
      </c>
      <c r="O854" s="327" t="s">
        <v>467</v>
      </c>
      <c r="P854" s="327" t="s">
        <v>468</v>
      </c>
      <c r="Q854" s="329" t="s">
        <v>469</v>
      </c>
      <c r="R854" s="330"/>
      <c r="T854" s="325" t="s">
        <v>466</v>
      </c>
      <c r="U854" s="327" t="s">
        <v>467</v>
      </c>
      <c r="V854" s="327" t="s">
        <v>468</v>
      </c>
      <c r="W854" s="329" t="s">
        <v>469</v>
      </c>
      <c r="X854" s="330"/>
    </row>
    <row r="855" spans="2:63" ht="14.4" thickBot="1" x14ac:dyDescent="0.3">
      <c r="B855" s="326"/>
      <c r="C855" s="328"/>
      <c r="D855" s="328"/>
      <c r="E855" s="232" t="s">
        <v>403</v>
      </c>
      <c r="F855" s="174" t="s">
        <v>402</v>
      </c>
      <c r="H855" s="326"/>
      <c r="I855" s="328"/>
      <c r="J855" s="328"/>
      <c r="K855" s="232" t="s">
        <v>403</v>
      </c>
      <c r="L855" s="174" t="s">
        <v>402</v>
      </c>
      <c r="N855" s="326"/>
      <c r="O855" s="328"/>
      <c r="P855" s="328"/>
      <c r="Q855" s="232" t="s">
        <v>403</v>
      </c>
      <c r="R855" s="174" t="s">
        <v>402</v>
      </c>
      <c r="T855" s="326"/>
      <c r="U855" s="328"/>
      <c r="V855" s="328"/>
      <c r="W855" s="232" t="s">
        <v>403</v>
      </c>
      <c r="X855" s="174" t="s">
        <v>402</v>
      </c>
    </row>
    <row r="856" spans="2:63" ht="14.4" thickTop="1" x14ac:dyDescent="0.25">
      <c r="B856" s="236">
        <v>41670</v>
      </c>
      <c r="C856" s="171"/>
      <c r="D856" s="166" t="s">
        <v>470</v>
      </c>
      <c r="E856" s="167">
        <f>SUMIF('Libro Diario Convencional'!$D$15:$D$167,D850,'Libro Diario Convencional'!$G$15:$G$167)</f>
        <v>0</v>
      </c>
      <c r="F856" s="168">
        <f>SUMIF('Libro Diario Convencional'!$D$15:$D$167,D850,'Libro Diario Convencional'!$H$15:$H$167)</f>
        <v>5664</v>
      </c>
      <c r="H856" s="236">
        <v>41670</v>
      </c>
      <c r="I856" s="171"/>
      <c r="J856" s="166" t="s">
        <v>470</v>
      </c>
      <c r="K856" s="167">
        <f>SUMIF('Libro Diario Convencional'!$D$15:$D$167,J850,'Libro Diario Convencional'!$G$15:$G$167)</f>
        <v>0</v>
      </c>
      <c r="L856" s="168">
        <f>SUMIF('Libro Diario Convencional'!$D$15:$D$167,J850,'Libro Diario Convencional'!$H$15:$H$167)</f>
        <v>6901.2</v>
      </c>
      <c r="N856" s="236">
        <v>41670</v>
      </c>
      <c r="O856" s="171"/>
      <c r="P856" s="166" t="s">
        <v>470</v>
      </c>
      <c r="Q856" s="167">
        <f>SUMIF('Libro Diario Convencional'!$D$15:$D$167,P850,'Libro Diario Convencional'!$G$15:$G$167)</f>
        <v>0</v>
      </c>
      <c r="R856" s="168">
        <f>SUMIF('Libro Diario Convencional'!$D$15:$D$167,P850,'Libro Diario Convencional'!$H$15:$H$167)</f>
        <v>13096.8</v>
      </c>
      <c r="T856" s="236">
        <v>41670</v>
      </c>
      <c r="U856" s="171"/>
      <c r="V856" s="166" t="s">
        <v>470</v>
      </c>
      <c r="W856" s="167">
        <f>SUMIF('Libro Diario Convencional'!$D$15:$D$167,V850,'Libro Diario Convencional'!$G$15:$G$167)</f>
        <v>0</v>
      </c>
      <c r="X856" s="168">
        <f>SUMIF('Libro Diario Convencional'!$D$15:$D$167,V850,'Libro Diario Convencional'!$H$15:$H$167)</f>
        <v>0</v>
      </c>
    </row>
    <row r="857" spans="2:63" x14ac:dyDescent="0.25">
      <c r="B857" s="169">
        <v>41670</v>
      </c>
      <c r="C857" s="172"/>
      <c r="D857" s="161" t="s">
        <v>474</v>
      </c>
      <c r="E857" s="162">
        <f>SUMIF('Asientos de Cierre'!$D$6:$D$549,D850,'Asientos de Cierre'!$G$6:$G$549)</f>
        <v>5664</v>
      </c>
      <c r="F857" s="163">
        <f>SUMIF('Asientos de Cierre'!$D$6:$D$549,D850,'Asientos de Cierre'!$H$6:$H$549)</f>
        <v>0</v>
      </c>
      <c r="H857" s="169">
        <v>41670</v>
      </c>
      <c r="I857" s="172"/>
      <c r="J857" s="161" t="s">
        <v>474</v>
      </c>
      <c r="K857" s="162">
        <f>SUMIF('Asientos de Cierre'!$D$6:$D$549,J850,'Asientos de Cierre'!$G$6:$G$549)</f>
        <v>6901.2</v>
      </c>
      <c r="L857" s="163">
        <f>SUMIF('Asientos de Cierre'!$D$6:$D$549,J850,'Asientos de Cierre'!$H$6:$H$549)</f>
        <v>0</v>
      </c>
      <c r="N857" s="169">
        <v>41670</v>
      </c>
      <c r="O857" s="172"/>
      <c r="P857" s="161" t="s">
        <v>474</v>
      </c>
      <c r="Q857" s="162">
        <f>SUMIF('Asientos de Cierre'!$D$6:$D$549,P850,'Asientos de Cierre'!$G$6:$G$549)</f>
        <v>13096.8</v>
      </c>
      <c r="R857" s="163">
        <f>SUMIF('Asientos de Cierre'!$D$6:$D$549,P850,'Asientos de Cierre'!$H$6:$H$549)</f>
        <v>0</v>
      </c>
      <c r="T857" s="169">
        <v>41670</v>
      </c>
      <c r="U857" s="172"/>
      <c r="V857" s="161" t="s">
        <v>474</v>
      </c>
      <c r="W857" s="162">
        <f>SUMIF('Asientos de Cierre'!$D$6:$D$549,V850,'Asientos de Cierre'!$G$6:$G$549)</f>
        <v>0</v>
      </c>
      <c r="X857" s="163">
        <f>SUMIF('Asientos de Cierre'!$D$6:$D$549,V850,'Asientos de Cierre'!$H$6:$H$549)</f>
        <v>0</v>
      </c>
    </row>
    <row r="858" spans="2:63" x14ac:dyDescent="0.25">
      <c r="B858" s="169"/>
      <c r="C858" s="172"/>
      <c r="D858" s="161"/>
      <c r="E858" s="162"/>
      <c r="F858" s="163"/>
      <c r="H858" s="169"/>
      <c r="I858" s="172"/>
      <c r="J858" s="161"/>
      <c r="K858" s="162"/>
      <c r="L858" s="163"/>
      <c r="N858" s="169"/>
      <c r="O858" s="172"/>
      <c r="P858" s="161"/>
      <c r="Q858" s="162"/>
      <c r="R858" s="163"/>
      <c r="T858" s="169"/>
      <c r="U858" s="172"/>
      <c r="V858" s="161"/>
      <c r="W858" s="162"/>
      <c r="X858" s="163"/>
    </row>
    <row r="859" spans="2:63" ht="14.4" thickBot="1" x14ac:dyDescent="0.3">
      <c r="B859" s="169"/>
      <c r="C859" s="172"/>
      <c r="D859" s="161"/>
      <c r="E859" s="162"/>
      <c r="F859" s="163"/>
      <c r="H859" s="169"/>
      <c r="I859" s="172"/>
      <c r="J859" s="161"/>
      <c r="K859" s="162"/>
      <c r="L859" s="163"/>
      <c r="N859" s="169"/>
      <c r="O859" s="172"/>
      <c r="P859" s="161"/>
      <c r="Q859" s="162"/>
      <c r="R859" s="163"/>
      <c r="T859" s="169"/>
      <c r="U859" s="172"/>
      <c r="V859" s="161"/>
      <c r="W859" s="162"/>
      <c r="X859" s="163"/>
    </row>
    <row r="860" spans="2:63" ht="15" thickBot="1" x14ac:dyDescent="0.3">
      <c r="B860" s="169"/>
      <c r="C860" s="172"/>
      <c r="D860" s="161" t="s">
        <v>471</v>
      </c>
      <c r="E860" s="162">
        <f>SUM(E856:E859)</f>
        <v>5664</v>
      </c>
      <c r="F860" s="163">
        <f>SUM(F856:F859)</f>
        <v>5664</v>
      </c>
      <c r="H860" s="169"/>
      <c r="I860" s="172"/>
      <c r="J860" s="161" t="s">
        <v>471</v>
      </c>
      <c r="K860" s="162">
        <f>SUM(K856:K859)</f>
        <v>6901.2</v>
      </c>
      <c r="L860" s="163">
        <f>SUM(L856:L859)</f>
        <v>6901.2</v>
      </c>
      <c r="N860" s="169"/>
      <c r="O860" s="172"/>
      <c r="P860" s="161" t="s">
        <v>471</v>
      </c>
      <c r="Q860" s="162">
        <f>SUM(Q856:Q859)</f>
        <v>13096.8</v>
      </c>
      <c r="R860" s="163">
        <f>SUM(R856:R859)</f>
        <v>13096.8</v>
      </c>
      <c r="T860" s="169"/>
      <c r="U860" s="172"/>
      <c r="V860" s="161" t="s">
        <v>471</v>
      </c>
      <c r="W860" s="162">
        <f>SUM(W856:W859)</f>
        <v>0</v>
      </c>
      <c r="X860" s="163">
        <f>SUM(X856:X859)</f>
        <v>0</v>
      </c>
      <c r="BJ860" s="157">
        <f>SUM(E860,K860,Q860,W860,AC860,AI860,AO860,AU860,BA860,BG860)</f>
        <v>25662</v>
      </c>
      <c r="BK860" s="158">
        <f>SUM(F860,L860,R860,X860,AD860,AJ860,AP860,AV860,BB860,BH860)</f>
        <v>25662</v>
      </c>
    </row>
    <row r="861" spans="2:63" ht="14.4" thickBot="1" x14ac:dyDescent="0.3">
      <c r="B861" s="170"/>
      <c r="C861" s="173"/>
      <c r="D861" s="164" t="str">
        <f>IF(E860=F860,"",IF(E860&gt;F860,"Saldo Deudor","Saldo Acreedor"))</f>
        <v/>
      </c>
      <c r="E861" s="165" t="str">
        <f>IF(E860&gt;F860,E860-F860,"")</f>
        <v/>
      </c>
      <c r="F861" s="176" t="str">
        <f>IF(E860&lt;F860,F860-E860,"")</f>
        <v/>
      </c>
      <c r="H861" s="170"/>
      <c r="I861" s="173"/>
      <c r="J861" s="164" t="str">
        <f>IF(K860=L860,"",IF(K860&gt;L860,"Saldo Deudor","Saldo Acreedor"))</f>
        <v/>
      </c>
      <c r="K861" s="165" t="str">
        <f>IF(K860&gt;L860,K860-L860,"")</f>
        <v/>
      </c>
      <c r="L861" s="176" t="str">
        <f>IF(K860&lt;L860,L860-K860,"")</f>
        <v/>
      </c>
      <c r="N861" s="170"/>
      <c r="O861" s="173"/>
      <c r="P861" s="164" t="str">
        <f>IF(Q860=R860,"",IF(Q860&gt;R860,"Saldo Deudor","Saldo Acreedor"))</f>
        <v/>
      </c>
      <c r="Q861" s="165" t="str">
        <f>IF(Q860&gt;R860,Q860-R860,"")</f>
        <v/>
      </c>
      <c r="R861" s="176" t="str">
        <f>IF(Q860&lt;R860,R860-Q860,"")</f>
        <v/>
      </c>
      <c r="T861" s="170"/>
      <c r="U861" s="173"/>
      <c r="V861" s="164" t="str">
        <f>IF(W860=X860,"",IF(W860&gt;X860,"Saldo Deudor","Saldo Acreedor"))</f>
        <v/>
      </c>
      <c r="W861" s="165" t="str">
        <f>IF(W860&gt;X860,W860-X860,"")</f>
        <v/>
      </c>
      <c r="X861" s="176" t="str">
        <f>IF(W860&lt;X860,X860-W860,"")</f>
        <v/>
      </c>
    </row>
    <row r="864" spans="2:63" ht="15.6" x14ac:dyDescent="0.25">
      <c r="B864" s="324" t="s">
        <v>472</v>
      </c>
      <c r="C864" s="324"/>
      <c r="D864" s="175">
        <v>4111</v>
      </c>
      <c r="E864" s="160"/>
    </row>
    <row r="865" spans="2:63" x14ac:dyDescent="0.25">
      <c r="B865" s="160"/>
      <c r="C865" s="160"/>
      <c r="D865" s="160"/>
      <c r="E865" s="160"/>
    </row>
    <row r="866" spans="2:63" ht="15.6" x14ac:dyDescent="0.25">
      <c r="B866" s="324" t="s">
        <v>473</v>
      </c>
      <c r="C866" s="324"/>
      <c r="D866" s="234" t="str">
        <f>VLOOKUP(D864,DivisionariasContables,3,FALSE)</f>
        <v>Sueldos y Salarios por Pagar</v>
      </c>
      <c r="E866" s="160"/>
    </row>
    <row r="867" spans="2:63" ht="14.4" thickBot="1" x14ac:dyDescent="0.3"/>
    <row r="868" spans="2:63" x14ac:dyDescent="0.25">
      <c r="B868" s="325" t="s">
        <v>466</v>
      </c>
      <c r="C868" s="327" t="s">
        <v>467</v>
      </c>
      <c r="D868" s="327" t="s">
        <v>468</v>
      </c>
      <c r="E868" s="329" t="s">
        <v>469</v>
      </c>
      <c r="F868" s="330"/>
    </row>
    <row r="869" spans="2:63" ht="14.4" thickBot="1" x14ac:dyDescent="0.3">
      <c r="B869" s="326"/>
      <c r="C869" s="328"/>
      <c r="D869" s="328"/>
      <c r="E869" s="232" t="s">
        <v>403</v>
      </c>
      <c r="F869" s="174" t="s">
        <v>402</v>
      </c>
    </row>
    <row r="870" spans="2:63" ht="14.4" thickTop="1" x14ac:dyDescent="0.25">
      <c r="B870" s="236">
        <v>41670</v>
      </c>
      <c r="C870" s="171"/>
      <c r="D870" s="166" t="s">
        <v>470</v>
      </c>
      <c r="E870" s="167">
        <f>SUMIF('Libro Diario Convencional'!$D$15:$D$167,D864,'Libro Diario Convencional'!$G$15:$G$167)</f>
        <v>0</v>
      </c>
      <c r="F870" s="168">
        <f>SUMIF('Libro Diario Convencional'!$D$15:$D$167,D864,'Libro Diario Convencional'!$H$15:$H$167)</f>
        <v>261858</v>
      </c>
    </row>
    <row r="871" spans="2:63" x14ac:dyDescent="0.25">
      <c r="B871" s="169">
        <v>41670</v>
      </c>
      <c r="C871" s="172"/>
      <c r="D871" s="161" t="s">
        <v>474</v>
      </c>
      <c r="E871" s="162">
        <f>SUMIF('Asientos de Cierre'!$D$6:$D$549,D864,'Asientos de Cierre'!$G$6:$G$549)</f>
        <v>261858</v>
      </c>
      <c r="F871" s="163">
        <f>SUMIF('Asientos de Cierre'!$D$6:$D$549,D864,'Asientos de Cierre'!$H$6:$H$549)</f>
        <v>0</v>
      </c>
    </row>
    <row r="872" spans="2:63" x14ac:dyDescent="0.25">
      <c r="B872" s="169"/>
      <c r="C872" s="172"/>
      <c r="D872" s="161"/>
      <c r="E872" s="162"/>
      <c r="F872" s="163"/>
    </row>
    <row r="873" spans="2:63" ht="14.4" thickBot="1" x14ac:dyDescent="0.3">
      <c r="B873" s="169"/>
      <c r="C873" s="172"/>
      <c r="D873" s="161"/>
      <c r="E873" s="162"/>
      <c r="F873" s="163"/>
    </row>
    <row r="874" spans="2:63" ht="15" thickBot="1" x14ac:dyDescent="0.3">
      <c r="B874" s="169"/>
      <c r="C874" s="172"/>
      <c r="D874" s="161" t="s">
        <v>471</v>
      </c>
      <c r="E874" s="162">
        <f>SUM(E870:E873)</f>
        <v>261858</v>
      </c>
      <c r="F874" s="163">
        <f>SUM(F870:F873)</f>
        <v>261858</v>
      </c>
      <c r="BJ874" s="157">
        <f>SUM(E874,K874,Q874,W874,AC874,AI874,AO874,AU874,BA874,BG874)</f>
        <v>261858</v>
      </c>
      <c r="BK874" s="158">
        <f>SUM(F874,L874,R874,X874,AD874,AJ874,AP874,AV874,BB874,BH874)</f>
        <v>261858</v>
      </c>
    </row>
    <row r="875" spans="2:63" ht="14.4" thickBot="1" x14ac:dyDescent="0.3">
      <c r="B875" s="170"/>
      <c r="C875" s="173"/>
      <c r="D875" s="164" t="str">
        <f>IF(E874=F874,"",IF(E874&gt;F874,"Saldo Deudor","Saldo Acreedor"))</f>
        <v/>
      </c>
      <c r="E875" s="165" t="str">
        <f>IF(E874&gt;F874,E874-F874,"")</f>
        <v/>
      </c>
      <c r="F875" s="176" t="str">
        <f>IF(E874&lt;F874,F874-E874,"")</f>
        <v/>
      </c>
    </row>
    <row r="878" spans="2:63" ht="15.6" x14ac:dyDescent="0.25">
      <c r="B878" s="324" t="s">
        <v>472</v>
      </c>
      <c r="C878" s="324"/>
      <c r="D878" s="175">
        <v>4131</v>
      </c>
      <c r="E878" s="160"/>
    </row>
    <row r="879" spans="2:63" x14ac:dyDescent="0.25">
      <c r="B879" s="160"/>
      <c r="C879" s="160"/>
      <c r="D879" s="160"/>
      <c r="E879" s="160"/>
    </row>
    <row r="880" spans="2:63" ht="15.6" x14ac:dyDescent="0.25">
      <c r="B880" s="324" t="s">
        <v>473</v>
      </c>
      <c r="C880" s="324"/>
      <c r="D880" s="234" t="str">
        <f>VLOOKUP(D878,DivisionariasContables,3,FALSE)</f>
        <v>Participaciones de los Trabajadores por Pagar</v>
      </c>
      <c r="E880" s="160"/>
    </row>
    <row r="881" spans="2:63" ht="14.4" thickBot="1" x14ac:dyDescent="0.3"/>
    <row r="882" spans="2:63" x14ac:dyDescent="0.25">
      <c r="B882" s="325" t="s">
        <v>466</v>
      </c>
      <c r="C882" s="327" t="s">
        <v>467</v>
      </c>
      <c r="D882" s="327" t="s">
        <v>468</v>
      </c>
      <c r="E882" s="329" t="s">
        <v>469</v>
      </c>
      <c r="F882" s="330"/>
    </row>
    <row r="883" spans="2:63" ht="14.4" thickBot="1" x14ac:dyDescent="0.3">
      <c r="B883" s="326"/>
      <c r="C883" s="328"/>
      <c r="D883" s="328"/>
      <c r="E883" s="232" t="s">
        <v>403</v>
      </c>
      <c r="F883" s="174" t="s">
        <v>402</v>
      </c>
    </row>
    <row r="884" spans="2:63" ht="14.4" thickTop="1" x14ac:dyDescent="0.25">
      <c r="B884" s="236">
        <v>41670</v>
      </c>
      <c r="C884" s="171"/>
      <c r="D884" s="166" t="s">
        <v>470</v>
      </c>
      <c r="E884" s="167">
        <f>SUMIF('Libro Diario Convencional'!$D$15:$D$167,D878,'Libro Diario Convencional'!$G$15:$G$167)</f>
        <v>0</v>
      </c>
      <c r="F884" s="168">
        <f>SUMIF('Libro Diario Convencional'!$D$15:$D$167,D878,'Libro Diario Convencional'!$H$15:$H$167)</f>
        <v>0</v>
      </c>
    </row>
    <row r="885" spans="2:63" x14ac:dyDescent="0.25">
      <c r="B885" s="169">
        <v>41670</v>
      </c>
      <c r="C885" s="172"/>
      <c r="D885" s="161" t="s">
        <v>474</v>
      </c>
      <c r="E885" s="162">
        <f>SUMIF('Asientos de Cierre'!$D$6:$D$549,D878,'Asientos de Cierre'!$G$6:$G$549)</f>
        <v>0</v>
      </c>
      <c r="F885" s="163">
        <f>SUMIF('Asientos de Cierre'!$D$6:$D$549,D878,'Asientos de Cierre'!$H$6:$H$549)</f>
        <v>0</v>
      </c>
    </row>
    <row r="886" spans="2:63" x14ac:dyDescent="0.25">
      <c r="B886" s="169"/>
      <c r="C886" s="172"/>
      <c r="D886" s="161"/>
      <c r="E886" s="162"/>
      <c r="F886" s="163"/>
    </row>
    <row r="887" spans="2:63" ht="14.4" thickBot="1" x14ac:dyDescent="0.3">
      <c r="B887" s="169"/>
      <c r="C887" s="172"/>
      <c r="D887" s="161"/>
      <c r="E887" s="162"/>
      <c r="F887" s="163"/>
    </row>
    <row r="888" spans="2:63" ht="15" thickBot="1" x14ac:dyDescent="0.3">
      <c r="B888" s="169"/>
      <c r="C888" s="172"/>
      <c r="D888" s="161" t="s">
        <v>471</v>
      </c>
      <c r="E888" s="162">
        <f>SUM(E884:E887)</f>
        <v>0</v>
      </c>
      <c r="F888" s="163">
        <f>SUM(F884:F887)</f>
        <v>0</v>
      </c>
      <c r="BJ888" s="157">
        <f>SUM(E888,K888,Q888,W888,AC888,AI888,AO888,AU888,BA888,BG888)</f>
        <v>0</v>
      </c>
      <c r="BK888" s="158">
        <f>SUM(F888,L888,R888,X888,AD888,AJ888,AP888,AV888,BB888,BH888)</f>
        <v>0</v>
      </c>
    </row>
    <row r="889" spans="2:63" ht="14.4" thickBot="1" x14ac:dyDescent="0.3">
      <c r="B889" s="170"/>
      <c r="C889" s="173"/>
      <c r="D889" s="164" t="str">
        <f>IF(E888=F888,"",IF(E888&gt;F888,"Saldo Deudor","Saldo Acreedor"))</f>
        <v/>
      </c>
      <c r="E889" s="165" t="str">
        <f>IF(E888&gt;F888,E888-F888,"")</f>
        <v/>
      </c>
      <c r="F889" s="176" t="str">
        <f>IF(E888&lt;F888,F888-E888,"")</f>
        <v/>
      </c>
    </row>
    <row r="892" spans="2:63" ht="15.6" x14ac:dyDescent="0.25">
      <c r="B892" s="324" t="s">
        <v>472</v>
      </c>
      <c r="C892" s="324"/>
      <c r="D892" s="175">
        <v>4212</v>
      </c>
      <c r="E892" s="160"/>
    </row>
    <row r="893" spans="2:63" x14ac:dyDescent="0.25">
      <c r="B893" s="160"/>
      <c r="C893" s="160"/>
      <c r="D893" s="160"/>
      <c r="E893" s="160"/>
    </row>
    <row r="894" spans="2:63" ht="15.6" x14ac:dyDescent="0.25">
      <c r="B894" s="324" t="s">
        <v>473</v>
      </c>
      <c r="C894" s="324"/>
      <c r="D894" s="234" t="str">
        <f>VLOOKUP(D892,DivisionariasContables,3,FALSE)</f>
        <v>Facturas, Boletas y Otros Comprobantes por Pagar - Emitidas</v>
      </c>
      <c r="E894" s="160"/>
    </row>
    <row r="895" spans="2:63" ht="14.4" thickBot="1" x14ac:dyDescent="0.3"/>
    <row r="896" spans="2:63" x14ac:dyDescent="0.25">
      <c r="B896" s="325" t="s">
        <v>466</v>
      </c>
      <c r="C896" s="327" t="s">
        <v>467</v>
      </c>
      <c r="D896" s="327" t="s">
        <v>468</v>
      </c>
      <c r="E896" s="329" t="s">
        <v>469</v>
      </c>
      <c r="F896" s="330"/>
    </row>
    <row r="897" spans="2:63" ht="14.4" thickBot="1" x14ac:dyDescent="0.3">
      <c r="B897" s="326"/>
      <c r="C897" s="328"/>
      <c r="D897" s="328"/>
      <c r="E897" s="232" t="s">
        <v>403</v>
      </c>
      <c r="F897" s="174" t="s">
        <v>402</v>
      </c>
    </row>
    <row r="898" spans="2:63" ht="14.4" thickTop="1" x14ac:dyDescent="0.25">
      <c r="B898" s="236">
        <v>41670</v>
      </c>
      <c r="C898" s="171"/>
      <c r="D898" s="166" t="s">
        <v>470</v>
      </c>
      <c r="E898" s="167">
        <f>SUMIF('Libro Diario Convencional'!$D$15:$D$167,D892,'Libro Diario Convencional'!$G$15:$G$167)</f>
        <v>181838</v>
      </c>
      <c r="F898" s="168">
        <f>SUMIF('Libro Diario Convencional'!$D$15:$D$167,D892,'Libro Diario Convencional'!$H$15:$H$167)</f>
        <v>0</v>
      </c>
    </row>
    <row r="899" spans="2:63" x14ac:dyDescent="0.25">
      <c r="B899" s="169">
        <v>41670</v>
      </c>
      <c r="C899" s="172"/>
      <c r="D899" s="161" t="s">
        <v>474</v>
      </c>
      <c r="E899" s="162">
        <f>SUMIF('Asientos de Cierre'!$D$6:$D$549,D892,'Asientos de Cierre'!$G$6:$G$549)</f>
        <v>0</v>
      </c>
      <c r="F899" s="163">
        <f>SUMIF('Asientos de Cierre'!$D$6:$D$549,D892,'Asientos de Cierre'!$H$6:$H$549)</f>
        <v>0</v>
      </c>
    </row>
    <row r="900" spans="2:63" x14ac:dyDescent="0.25">
      <c r="B900" s="169"/>
      <c r="C900" s="172"/>
      <c r="D900" s="161"/>
      <c r="E900" s="162"/>
      <c r="F900" s="163"/>
    </row>
    <row r="901" spans="2:63" ht="14.4" thickBot="1" x14ac:dyDescent="0.3">
      <c r="B901" s="169"/>
      <c r="C901" s="172"/>
      <c r="D901" s="161"/>
      <c r="E901" s="162"/>
      <c r="F901" s="163"/>
    </row>
    <row r="902" spans="2:63" ht="15" thickBot="1" x14ac:dyDescent="0.3">
      <c r="B902" s="169"/>
      <c r="C902" s="172"/>
      <c r="D902" s="161" t="s">
        <v>471</v>
      </c>
      <c r="E902" s="162">
        <f>SUM(E898:E901)</f>
        <v>181838</v>
      </c>
      <c r="F902" s="163">
        <f>SUM(F898:F901)</f>
        <v>0</v>
      </c>
      <c r="BJ902" s="157">
        <f>SUM(E902,K902,Q902,W902,AC902,AI902,AO902,AU902,BA902,BG902)</f>
        <v>181838</v>
      </c>
      <c r="BK902" s="158">
        <f>SUM(F902,L902,R902,X902,AD902,AJ902,AP902,AV902,BB902,BH902)</f>
        <v>0</v>
      </c>
    </row>
    <row r="903" spans="2:63" ht="14.4" thickBot="1" x14ac:dyDescent="0.3">
      <c r="B903" s="170"/>
      <c r="C903" s="173"/>
      <c r="D903" s="164" t="str">
        <f>IF(E902=F902,"",IF(E902&gt;F902,"Saldo Deudor","Saldo Acreedor"))</f>
        <v>Saldo Deudor</v>
      </c>
      <c r="E903" s="165">
        <f>IF(E902&gt;F902,E902-F902,"")</f>
        <v>181838</v>
      </c>
      <c r="F903" s="176" t="str">
        <f>IF(E902&lt;F902,F902-E902,"")</f>
        <v/>
      </c>
    </row>
    <row r="906" spans="2:63" ht="15.6" x14ac:dyDescent="0.25">
      <c r="B906" s="324" t="s">
        <v>472</v>
      </c>
      <c r="C906" s="324"/>
      <c r="D906" s="175">
        <v>4241</v>
      </c>
      <c r="E906" s="160"/>
    </row>
    <row r="907" spans="2:63" x14ac:dyDescent="0.25">
      <c r="B907" s="160"/>
      <c r="C907" s="160"/>
      <c r="D907" s="160"/>
      <c r="E907" s="160"/>
    </row>
    <row r="908" spans="2:63" ht="15.6" x14ac:dyDescent="0.25">
      <c r="B908" s="324" t="s">
        <v>473</v>
      </c>
      <c r="C908" s="324"/>
      <c r="D908" s="234" t="str">
        <f>VLOOKUP(D906,DivisionariasContables,3,FALSE)</f>
        <v>Honorarios por Pagar</v>
      </c>
      <c r="E908" s="160"/>
    </row>
    <row r="909" spans="2:63" ht="14.4" thickBot="1" x14ac:dyDescent="0.3"/>
    <row r="910" spans="2:63" x14ac:dyDescent="0.25">
      <c r="B910" s="325" t="s">
        <v>466</v>
      </c>
      <c r="C910" s="327" t="s">
        <v>467</v>
      </c>
      <c r="D910" s="327" t="s">
        <v>468</v>
      </c>
      <c r="E910" s="329" t="s">
        <v>469</v>
      </c>
      <c r="F910" s="330"/>
    </row>
    <row r="911" spans="2:63" ht="14.4" thickBot="1" x14ac:dyDescent="0.3">
      <c r="B911" s="326"/>
      <c r="C911" s="328"/>
      <c r="D911" s="328"/>
      <c r="E911" s="232" t="s">
        <v>403</v>
      </c>
      <c r="F911" s="174" t="s">
        <v>402</v>
      </c>
    </row>
    <row r="912" spans="2:63" ht="14.4" thickTop="1" x14ac:dyDescent="0.25">
      <c r="B912" s="236">
        <v>41670</v>
      </c>
      <c r="C912" s="171"/>
      <c r="D912" s="166" t="s">
        <v>470</v>
      </c>
      <c r="E912" s="167">
        <f>SUMIF('Libro Diario Convencional'!$D$15:$D$167,D906,'Libro Diario Convencional'!$G$15:$G$167)</f>
        <v>0</v>
      </c>
      <c r="F912" s="168">
        <f>SUMIF('Libro Diario Convencional'!$D$15:$D$167,D906,'Libro Diario Convencional'!$H$15:$H$167)</f>
        <v>11040</v>
      </c>
    </row>
    <row r="913" spans="2:63" x14ac:dyDescent="0.25">
      <c r="B913" s="169">
        <v>41670</v>
      </c>
      <c r="C913" s="172"/>
      <c r="D913" s="161" t="s">
        <v>474</v>
      </c>
      <c r="E913" s="162">
        <f>SUMIF('Asientos de Cierre'!$D$6:$D$549,D906,'Asientos de Cierre'!$G$6:$G$549)</f>
        <v>11040</v>
      </c>
      <c r="F913" s="163">
        <f>SUMIF('Asientos de Cierre'!$D$6:$D$549,D906,'Asientos de Cierre'!$H$6:$H$549)</f>
        <v>0</v>
      </c>
    </row>
    <row r="914" spans="2:63" x14ac:dyDescent="0.25">
      <c r="B914" s="169"/>
      <c r="C914" s="172"/>
      <c r="D914" s="161"/>
      <c r="E914" s="162"/>
      <c r="F914" s="163"/>
    </row>
    <row r="915" spans="2:63" ht="14.4" thickBot="1" x14ac:dyDescent="0.3">
      <c r="B915" s="169"/>
      <c r="C915" s="172"/>
      <c r="D915" s="161"/>
      <c r="E915" s="162"/>
      <c r="F915" s="163"/>
    </row>
    <row r="916" spans="2:63" ht="15" thickBot="1" x14ac:dyDescent="0.3">
      <c r="B916" s="169"/>
      <c r="C916" s="172"/>
      <c r="D916" s="161" t="s">
        <v>471</v>
      </c>
      <c r="E916" s="162">
        <f>SUM(E912:E915)</f>
        <v>11040</v>
      </c>
      <c r="F916" s="163">
        <f>SUM(F912:F915)</f>
        <v>11040</v>
      </c>
      <c r="BJ916" s="157">
        <f>SUM(E916,K916,Q916,W916,AC916,AI916,AO916,AU916,BA916,BG916)</f>
        <v>11040</v>
      </c>
      <c r="BK916" s="158">
        <f>SUM(F916,L916,R916,X916,AD916,AJ916,AP916,AV916,BB916,BH916)</f>
        <v>11040</v>
      </c>
    </row>
    <row r="917" spans="2:63" ht="14.4" thickBot="1" x14ac:dyDescent="0.3">
      <c r="B917" s="170"/>
      <c r="C917" s="173"/>
      <c r="D917" s="164" t="str">
        <f>IF(E916=F916,"",IF(E916&gt;F916,"Saldo Deudor","Saldo Acreedor"))</f>
        <v/>
      </c>
      <c r="E917" s="165" t="str">
        <f>IF(E916&gt;F916,E916-F916,"")</f>
        <v/>
      </c>
      <c r="F917" s="176" t="str">
        <f>IF(E916&lt;F916,F916-E916,"")</f>
        <v/>
      </c>
    </row>
    <row r="920" spans="2:63" ht="15.6" x14ac:dyDescent="0.25">
      <c r="B920" s="324" t="s">
        <v>472</v>
      </c>
      <c r="C920" s="324"/>
      <c r="D920" s="175">
        <v>4699</v>
      </c>
      <c r="E920" s="160"/>
    </row>
    <row r="921" spans="2:63" x14ac:dyDescent="0.25">
      <c r="B921" s="160"/>
      <c r="C921" s="160"/>
      <c r="D921" s="160"/>
      <c r="E921" s="160"/>
    </row>
    <row r="922" spans="2:63" ht="15.6" x14ac:dyDescent="0.25">
      <c r="B922" s="324" t="s">
        <v>473</v>
      </c>
      <c r="C922" s="324"/>
      <c r="D922" s="234" t="str">
        <f>VLOOKUP(D920,DivisionariasContables,3,FALSE)</f>
        <v>Otras Cuentas por Pagar Diversas</v>
      </c>
      <c r="E922" s="160"/>
    </row>
    <row r="923" spans="2:63" ht="14.4" thickBot="1" x14ac:dyDescent="0.3"/>
    <row r="924" spans="2:63" x14ac:dyDescent="0.25">
      <c r="B924" s="325" t="s">
        <v>466</v>
      </c>
      <c r="C924" s="327" t="s">
        <v>467</v>
      </c>
      <c r="D924" s="327" t="s">
        <v>468</v>
      </c>
      <c r="E924" s="329" t="s">
        <v>469</v>
      </c>
      <c r="F924" s="330"/>
    </row>
    <row r="925" spans="2:63" ht="14.4" thickBot="1" x14ac:dyDescent="0.3">
      <c r="B925" s="326"/>
      <c r="C925" s="328"/>
      <c r="D925" s="328"/>
      <c r="E925" s="232" t="s">
        <v>403</v>
      </c>
      <c r="F925" s="174" t="s">
        <v>402</v>
      </c>
    </row>
    <row r="926" spans="2:63" ht="14.4" thickTop="1" x14ac:dyDescent="0.25">
      <c r="B926" s="236">
        <v>41670</v>
      </c>
      <c r="C926" s="171"/>
      <c r="D926" s="166" t="s">
        <v>470</v>
      </c>
      <c r="E926" s="167">
        <f>SUMIF('Libro Diario Convencional'!$D$15:$D$167,D920,'Libro Diario Convencional'!$G$15:$G$167)</f>
        <v>0</v>
      </c>
      <c r="F926" s="168">
        <f>SUMIF('Libro Diario Convencional'!$D$15:$D$167,D920,'Libro Diario Convencional'!$H$15:$H$167)</f>
        <v>9971</v>
      </c>
    </row>
    <row r="927" spans="2:63" x14ac:dyDescent="0.25">
      <c r="B927" s="169">
        <v>41670</v>
      </c>
      <c r="C927" s="172"/>
      <c r="D927" s="161" t="s">
        <v>474</v>
      </c>
      <c r="E927" s="162">
        <f>SUMIF('Asientos de Cierre'!$D$6:$D$549,D920,'Asientos de Cierre'!$G$6:$G$549)</f>
        <v>9971</v>
      </c>
      <c r="F927" s="163">
        <f>SUMIF('Asientos de Cierre'!$D$6:$D$549,D920,'Asientos de Cierre'!$H$6:$H$549)</f>
        <v>0</v>
      </c>
    </row>
    <row r="928" spans="2:63" x14ac:dyDescent="0.25">
      <c r="B928" s="169"/>
      <c r="C928" s="172"/>
      <c r="D928" s="161"/>
      <c r="E928" s="162"/>
      <c r="F928" s="163"/>
    </row>
    <row r="929" spans="2:63" ht="14.4" thickBot="1" x14ac:dyDescent="0.3">
      <c r="B929" s="169"/>
      <c r="C929" s="172"/>
      <c r="D929" s="161"/>
      <c r="E929" s="162"/>
      <c r="F929" s="163"/>
    </row>
    <row r="930" spans="2:63" ht="15" thickBot="1" x14ac:dyDescent="0.3">
      <c r="B930" s="169"/>
      <c r="C930" s="172"/>
      <c r="D930" s="161" t="s">
        <v>471</v>
      </c>
      <c r="E930" s="162">
        <f>SUM(E926:E929)</f>
        <v>9971</v>
      </c>
      <c r="F930" s="163">
        <f>SUM(F926:F929)</f>
        <v>9971</v>
      </c>
      <c r="BJ930" s="157">
        <f>SUM(E930,K930,Q930,W930,AC930,AI930,AO930,AU930,BA930,BG930)</f>
        <v>9971</v>
      </c>
      <c r="BK930" s="158">
        <f>SUM(F930,L930,R930,X930,AD930,AJ930,AP930,AV930,BB930,BH930)</f>
        <v>9971</v>
      </c>
    </row>
    <row r="931" spans="2:63" ht="14.4" thickBot="1" x14ac:dyDescent="0.3">
      <c r="B931" s="170"/>
      <c r="C931" s="173"/>
      <c r="D931" s="164" t="str">
        <f>IF(E930=F930,"",IF(E930&gt;F930,"Saldo Deudor","Saldo Acreedor"))</f>
        <v/>
      </c>
      <c r="E931" s="165" t="str">
        <f>IF(E930&gt;F930,E930-F930,"")</f>
        <v/>
      </c>
      <c r="F931" s="176" t="str">
        <f>IF(E930&lt;F930,F930-E930,"")</f>
        <v/>
      </c>
    </row>
    <row r="934" spans="2:63" ht="15.6" x14ac:dyDescent="0.25">
      <c r="B934" s="324" t="s">
        <v>472</v>
      </c>
      <c r="C934" s="324"/>
      <c r="D934" s="175">
        <v>5011</v>
      </c>
      <c r="E934" s="160"/>
      <c r="H934" s="324" t="s">
        <v>472</v>
      </c>
      <c r="I934" s="324"/>
      <c r="J934" s="175">
        <v>5012</v>
      </c>
      <c r="K934" s="160"/>
    </row>
    <row r="935" spans="2:63" x14ac:dyDescent="0.25">
      <c r="B935" s="160"/>
      <c r="C935" s="160"/>
      <c r="D935" s="160"/>
      <c r="E935" s="160"/>
      <c r="H935" s="160"/>
      <c r="I935" s="160"/>
      <c r="J935" s="160"/>
      <c r="K935" s="160"/>
    </row>
    <row r="936" spans="2:63" ht="15.6" x14ac:dyDescent="0.25">
      <c r="B936" s="324" t="s">
        <v>473</v>
      </c>
      <c r="C936" s="324"/>
      <c r="D936" s="234" t="str">
        <f>VLOOKUP(D934,DivisionariasContables,3,FALSE)</f>
        <v>Acciones</v>
      </c>
      <c r="E936" s="160"/>
      <c r="H936" s="324" t="s">
        <v>473</v>
      </c>
      <c r="I936" s="324"/>
      <c r="J936" s="234" t="str">
        <f>VLOOKUP(J934,DivisionariasContables,3,FALSE)</f>
        <v>Participaciones</v>
      </c>
      <c r="K936" s="160"/>
    </row>
    <row r="937" spans="2:63" ht="14.4" thickBot="1" x14ac:dyDescent="0.3"/>
    <row r="938" spans="2:63" x14ac:dyDescent="0.25">
      <c r="B938" s="325" t="s">
        <v>466</v>
      </c>
      <c r="C938" s="327" t="s">
        <v>467</v>
      </c>
      <c r="D938" s="327" t="s">
        <v>468</v>
      </c>
      <c r="E938" s="329" t="s">
        <v>469</v>
      </c>
      <c r="F938" s="330"/>
      <c r="H938" s="325" t="s">
        <v>466</v>
      </c>
      <c r="I938" s="327" t="s">
        <v>467</v>
      </c>
      <c r="J938" s="327" t="s">
        <v>468</v>
      </c>
      <c r="K938" s="329" t="s">
        <v>469</v>
      </c>
      <c r="L938" s="330"/>
    </row>
    <row r="939" spans="2:63" ht="14.4" thickBot="1" x14ac:dyDescent="0.3">
      <c r="B939" s="326"/>
      <c r="C939" s="328"/>
      <c r="D939" s="328"/>
      <c r="E939" s="232" t="s">
        <v>403</v>
      </c>
      <c r="F939" s="174" t="s">
        <v>402</v>
      </c>
      <c r="H939" s="326"/>
      <c r="I939" s="328"/>
      <c r="J939" s="328"/>
      <c r="K939" s="232" t="s">
        <v>403</v>
      </c>
      <c r="L939" s="174" t="s">
        <v>402</v>
      </c>
    </row>
    <row r="940" spans="2:63" ht="14.4" thickTop="1" x14ac:dyDescent="0.25">
      <c r="B940" s="236">
        <v>41670</v>
      </c>
      <c r="C940" s="171"/>
      <c r="D940" s="166" t="s">
        <v>470</v>
      </c>
      <c r="E940" s="167">
        <f>SUMIF('Libro Diario Convencional'!$D$15:$D$167,D934,'Libro Diario Convencional'!$G$15:$G$167)</f>
        <v>0</v>
      </c>
      <c r="F940" s="168">
        <f>SUMIF('Libro Diario Convencional'!$D$15:$D$167,D934,'Libro Diario Convencional'!$H$15:$H$167)</f>
        <v>0</v>
      </c>
      <c r="H940" s="236">
        <v>41670</v>
      </c>
      <c r="I940" s="171"/>
      <c r="J940" s="166" t="s">
        <v>470</v>
      </c>
      <c r="K940" s="167">
        <f>SUMIF('Libro Diario Convencional'!$D$15:$D$167,J934,'Libro Diario Convencional'!$G$15:$G$167)</f>
        <v>0</v>
      </c>
      <c r="L940" s="168">
        <f>SUMIF('Libro Diario Convencional'!$D$15:$D$167,J934,'Libro Diario Convencional'!$H$15:$H$167)</f>
        <v>0</v>
      </c>
    </row>
    <row r="941" spans="2:63" x14ac:dyDescent="0.25">
      <c r="B941" s="169">
        <v>41670</v>
      </c>
      <c r="C941" s="172"/>
      <c r="D941" s="161" t="s">
        <v>474</v>
      </c>
      <c r="E941" s="162">
        <f>SUMIF('Asientos de Cierre'!$D$6:$D$549,D934,'Asientos de Cierre'!$G$6:$G$549)</f>
        <v>0</v>
      </c>
      <c r="F941" s="163">
        <f>SUMIF('Asientos de Cierre'!$D$6:$D$549,D934,'Asientos de Cierre'!$H$6:$H$549)</f>
        <v>0</v>
      </c>
      <c r="H941" s="169">
        <v>41670</v>
      </c>
      <c r="I941" s="172"/>
      <c r="J941" s="161" t="s">
        <v>474</v>
      </c>
      <c r="K941" s="162">
        <f>SUMIF('Asientos de Cierre'!$D$6:$D$549,J934,'Asientos de Cierre'!$G$6:$G$549)</f>
        <v>0</v>
      </c>
      <c r="L941" s="163">
        <f>SUMIF('Asientos de Cierre'!$D$6:$D$549,J934,'Asientos de Cierre'!$H$6:$H$549)</f>
        <v>0</v>
      </c>
    </row>
    <row r="942" spans="2:63" x14ac:dyDescent="0.25">
      <c r="B942" s="169"/>
      <c r="C942" s="172"/>
      <c r="D942" s="161"/>
      <c r="E942" s="162"/>
      <c r="F942" s="163"/>
      <c r="H942" s="169"/>
      <c r="I942" s="172"/>
      <c r="J942" s="161"/>
      <c r="K942" s="162"/>
      <c r="L942" s="163"/>
    </row>
    <row r="943" spans="2:63" ht="14.4" thickBot="1" x14ac:dyDescent="0.3">
      <c r="B943" s="169"/>
      <c r="C943" s="172"/>
      <c r="D943" s="161"/>
      <c r="E943" s="162"/>
      <c r="F943" s="163"/>
      <c r="H943" s="169"/>
      <c r="I943" s="172"/>
      <c r="J943" s="161"/>
      <c r="K943" s="162"/>
      <c r="L943" s="163"/>
    </row>
    <row r="944" spans="2:63" ht="15" thickBot="1" x14ac:dyDescent="0.3">
      <c r="B944" s="169"/>
      <c r="C944" s="172"/>
      <c r="D944" s="161" t="s">
        <v>471</v>
      </c>
      <c r="E944" s="162">
        <f>SUM(E940:E943)</f>
        <v>0</v>
      </c>
      <c r="F944" s="163">
        <f>SUM(F940:F943)</f>
        <v>0</v>
      </c>
      <c r="H944" s="169"/>
      <c r="I944" s="172"/>
      <c r="J944" s="161" t="s">
        <v>471</v>
      </c>
      <c r="K944" s="162">
        <f>SUM(K940:K943)</f>
        <v>0</v>
      </c>
      <c r="L944" s="163">
        <f>SUM(L940:L943)</f>
        <v>0</v>
      </c>
      <c r="BJ944" s="157">
        <f>SUM(E944,K944,Q944,W944,AC944,AI944,AO944,AU944,BA944,BG944)</f>
        <v>0</v>
      </c>
      <c r="BK944" s="158">
        <f>SUM(F944,L944,R944,X944,AD944,AJ944,AP944,AV944,BB944,BH944)</f>
        <v>0</v>
      </c>
    </row>
    <row r="945" spans="2:63" ht="14.4" thickBot="1" x14ac:dyDescent="0.3">
      <c r="B945" s="170"/>
      <c r="C945" s="173"/>
      <c r="D945" s="164" t="str">
        <f>IF(E944=F944,"",IF(E944&gt;F944,"Saldo Deudor","Saldo Acreedor"))</f>
        <v/>
      </c>
      <c r="E945" s="165" t="str">
        <f>IF(E944&gt;F944,E944-F944,"")</f>
        <v/>
      </c>
      <c r="F945" s="176" t="str">
        <f>IF(E944&lt;F944,F944-E944,"")</f>
        <v/>
      </c>
      <c r="H945" s="170"/>
      <c r="I945" s="173"/>
      <c r="J945" s="164" t="str">
        <f>IF(K944=L944,"",IF(K944&gt;L944,"Saldo Deudor","Saldo Acreedor"))</f>
        <v/>
      </c>
      <c r="K945" s="165" t="str">
        <f>IF(K944&gt;L944,K944-L944,"")</f>
        <v/>
      </c>
      <c r="L945" s="176" t="str">
        <f>IF(K944&lt;L944,L944-K944,"")</f>
        <v/>
      </c>
    </row>
    <row r="948" spans="2:63" ht="15.6" x14ac:dyDescent="0.25">
      <c r="B948" s="324" t="s">
        <v>472</v>
      </c>
      <c r="C948" s="324"/>
      <c r="D948" s="175">
        <v>5911</v>
      </c>
      <c r="E948" s="160"/>
    </row>
    <row r="949" spans="2:63" x14ac:dyDescent="0.25">
      <c r="B949" s="160"/>
      <c r="C949" s="160"/>
      <c r="D949" s="160"/>
      <c r="E949" s="160"/>
    </row>
    <row r="950" spans="2:63" ht="15.6" x14ac:dyDescent="0.25">
      <c r="B950" s="324" t="s">
        <v>473</v>
      </c>
      <c r="C950" s="324"/>
      <c r="D950" s="234" t="str">
        <f>VLOOKUP(D948,DivisionariasContables,3,FALSE)</f>
        <v>Utilidades Acumuladas</v>
      </c>
      <c r="E950" s="160"/>
    </row>
    <row r="951" spans="2:63" ht="14.4" thickBot="1" x14ac:dyDescent="0.3"/>
    <row r="952" spans="2:63" x14ac:dyDescent="0.25">
      <c r="B952" s="325" t="s">
        <v>466</v>
      </c>
      <c r="C952" s="327" t="s">
        <v>467</v>
      </c>
      <c r="D952" s="327" t="s">
        <v>468</v>
      </c>
      <c r="E952" s="329" t="s">
        <v>469</v>
      </c>
      <c r="F952" s="330"/>
    </row>
    <row r="953" spans="2:63" ht="14.4" thickBot="1" x14ac:dyDescent="0.3">
      <c r="B953" s="326"/>
      <c r="C953" s="328"/>
      <c r="D953" s="328"/>
      <c r="E953" s="232" t="s">
        <v>403</v>
      </c>
      <c r="F953" s="174" t="s">
        <v>402</v>
      </c>
    </row>
    <row r="954" spans="2:63" ht="14.4" thickTop="1" x14ac:dyDescent="0.25">
      <c r="B954" s="236">
        <v>41670</v>
      </c>
      <c r="C954" s="171"/>
      <c r="D954" s="166" t="s">
        <v>470</v>
      </c>
      <c r="E954" s="167">
        <f>SUMIF('Libro Diario Convencional'!$D$15:$D$167,D948,'Libro Diario Convencional'!$G$15:$G$167)</f>
        <v>0</v>
      </c>
      <c r="F954" s="168">
        <f>SUMIF('Libro Diario Convencional'!$D$15:$D$167,D948,'Libro Diario Convencional'!$H$15:$H$167)</f>
        <v>0</v>
      </c>
    </row>
    <row r="955" spans="2:63" x14ac:dyDescent="0.25">
      <c r="B955" s="169">
        <v>41670</v>
      </c>
      <c r="C955" s="172"/>
      <c r="D955" s="161" t="s">
        <v>474</v>
      </c>
      <c r="E955" s="162">
        <f>SUMIF('Asientos de Cierre'!$D$6:$D$549,D948,'Asientos de Cierre'!$G$6:$G$549)</f>
        <v>0</v>
      </c>
      <c r="F955" s="163">
        <f>SUMIF('Asientos de Cierre'!$D$6:$D$549,D948,'Asientos de Cierre'!$H$6:$H$549)</f>
        <v>0</v>
      </c>
    </row>
    <row r="956" spans="2:63" x14ac:dyDescent="0.25">
      <c r="B956" s="169"/>
      <c r="C956" s="172"/>
      <c r="D956" s="161"/>
      <c r="E956" s="162"/>
      <c r="F956" s="163"/>
    </row>
    <row r="957" spans="2:63" ht="14.4" thickBot="1" x14ac:dyDescent="0.3">
      <c r="B957" s="169"/>
      <c r="C957" s="172"/>
      <c r="D957" s="161"/>
      <c r="E957" s="162"/>
      <c r="F957" s="163"/>
    </row>
    <row r="958" spans="2:63" ht="15" thickBot="1" x14ac:dyDescent="0.3">
      <c r="B958" s="169"/>
      <c r="C958" s="172"/>
      <c r="D958" s="161" t="s">
        <v>471</v>
      </c>
      <c r="E958" s="162">
        <f>SUM(E954:E957)</f>
        <v>0</v>
      </c>
      <c r="F958" s="163">
        <f>SUM(F954:F957)</f>
        <v>0</v>
      </c>
      <c r="BJ958" s="157">
        <f>SUM(E958,K958,Q958,W958,AC958,AI958,AO958,AU958,BA958,BG958)</f>
        <v>0</v>
      </c>
      <c r="BK958" s="158">
        <f>SUM(F958,L958,R958,X958,AD958,AJ958,AP958,AV958,BB958,BH958)</f>
        <v>0</v>
      </c>
    </row>
    <row r="959" spans="2:63" ht="14.4" thickBot="1" x14ac:dyDescent="0.3">
      <c r="B959" s="170"/>
      <c r="C959" s="173"/>
      <c r="D959" s="164" t="str">
        <f>IF(E958=F958,"",IF(E958&gt;F958,"Saldo Deudor","Saldo Acreedor"))</f>
        <v/>
      </c>
      <c r="E959" s="165" t="str">
        <f>IF(E958&gt;F958,E958-F958,"")</f>
        <v/>
      </c>
      <c r="F959" s="176" t="str">
        <f>IF(E958&lt;F958,F958-E958,"")</f>
        <v/>
      </c>
    </row>
    <row r="962" spans="2:63" ht="15.6" x14ac:dyDescent="0.25">
      <c r="B962" s="324" t="s">
        <v>472</v>
      </c>
      <c r="C962" s="324"/>
      <c r="D962" s="175">
        <v>5921</v>
      </c>
      <c r="E962" s="160"/>
    </row>
    <row r="963" spans="2:63" x14ac:dyDescent="0.25">
      <c r="B963" s="160"/>
      <c r="C963" s="160"/>
      <c r="D963" s="160"/>
      <c r="E963" s="160"/>
    </row>
    <row r="964" spans="2:63" ht="15.6" x14ac:dyDescent="0.25">
      <c r="B964" s="324" t="s">
        <v>473</v>
      </c>
      <c r="C964" s="324"/>
      <c r="D964" s="234" t="str">
        <f>VLOOKUP(D962,DivisionariasContables,3,FALSE)</f>
        <v>Pérdidas Acumuladas</v>
      </c>
      <c r="E964" s="160"/>
    </row>
    <row r="965" spans="2:63" ht="14.4" thickBot="1" x14ac:dyDescent="0.3"/>
    <row r="966" spans="2:63" x14ac:dyDescent="0.25">
      <c r="B966" s="325" t="s">
        <v>466</v>
      </c>
      <c r="C966" s="327" t="s">
        <v>467</v>
      </c>
      <c r="D966" s="327" t="s">
        <v>468</v>
      </c>
      <c r="E966" s="329" t="s">
        <v>469</v>
      </c>
      <c r="F966" s="330"/>
    </row>
    <row r="967" spans="2:63" ht="14.4" thickBot="1" x14ac:dyDescent="0.3">
      <c r="B967" s="326"/>
      <c r="C967" s="328"/>
      <c r="D967" s="328"/>
      <c r="E967" s="232" t="s">
        <v>403</v>
      </c>
      <c r="F967" s="174" t="s">
        <v>402</v>
      </c>
    </row>
    <row r="968" spans="2:63" ht="14.4" thickTop="1" x14ac:dyDescent="0.25">
      <c r="B968" s="236">
        <v>41670</v>
      </c>
      <c r="C968" s="171"/>
      <c r="D968" s="166" t="s">
        <v>470</v>
      </c>
      <c r="E968" s="167">
        <f>SUMIF('Libro Diario Convencional'!$D$15:$D$167,D962,'Libro Diario Convencional'!$G$15:$G$167)</f>
        <v>0</v>
      </c>
      <c r="F968" s="168">
        <f>SUMIF('Libro Diario Convencional'!$D$15:$D$167,D962,'Libro Diario Convencional'!$H$15:$H$167)</f>
        <v>0</v>
      </c>
    </row>
    <row r="969" spans="2:63" x14ac:dyDescent="0.25">
      <c r="B969" s="169">
        <v>41670</v>
      </c>
      <c r="C969" s="172"/>
      <c r="D969" s="161" t="s">
        <v>474</v>
      </c>
      <c r="E969" s="162">
        <f>SUMIF('Asientos de Cierre'!$D$6:$D$549,D962,'Asientos de Cierre'!$G$6:$G$549)</f>
        <v>201892.37288135593</v>
      </c>
      <c r="F969" s="163">
        <f>SUMIF('Asientos de Cierre'!$D$6:$D$549,D962,'Asientos de Cierre'!$H$6:$H$549)</f>
        <v>0</v>
      </c>
    </row>
    <row r="970" spans="2:63" x14ac:dyDescent="0.25">
      <c r="B970" s="169"/>
      <c r="C970" s="172"/>
      <c r="D970" s="161"/>
      <c r="E970" s="162"/>
      <c r="F970" s="163"/>
    </row>
    <row r="971" spans="2:63" ht="14.4" thickBot="1" x14ac:dyDescent="0.3">
      <c r="B971" s="169"/>
      <c r="C971" s="172"/>
      <c r="D971" s="161"/>
      <c r="E971" s="162"/>
      <c r="F971" s="163"/>
    </row>
    <row r="972" spans="2:63" ht="15" thickBot="1" x14ac:dyDescent="0.3">
      <c r="B972" s="169"/>
      <c r="C972" s="172"/>
      <c r="D972" s="161" t="s">
        <v>471</v>
      </c>
      <c r="E972" s="162">
        <f>SUM(E968:E971)</f>
        <v>201892.37288135593</v>
      </c>
      <c r="F972" s="163">
        <f>SUM(F968:F971)</f>
        <v>0</v>
      </c>
      <c r="BJ972" s="157">
        <f>SUM(E972,K972,Q972,W972,AC972,AI972,AO972,AU972,BA972,BG972)</f>
        <v>201892.37288135593</v>
      </c>
      <c r="BK972" s="158">
        <f>SUM(F972,L972,R972,X972,AD972,AJ972,AP972,AV972,BB972,BH972)</f>
        <v>0</v>
      </c>
    </row>
    <row r="973" spans="2:63" ht="14.4" thickBot="1" x14ac:dyDescent="0.3">
      <c r="B973" s="170"/>
      <c r="C973" s="173"/>
      <c r="D973" s="164" t="str">
        <f>IF(E972=F972,"",IF(E972&gt;F972,"Saldo Deudor","Saldo Acreedor"))</f>
        <v>Saldo Deudor</v>
      </c>
      <c r="E973" s="165">
        <f>IF(E972&gt;F972,E972-F972,"")</f>
        <v>201892.37288135593</v>
      </c>
      <c r="F973" s="176" t="str">
        <f>IF(E972&lt;F972,F972-E972,"")</f>
        <v/>
      </c>
    </row>
    <row r="976" spans="2:63" ht="15.6" x14ac:dyDescent="0.25">
      <c r="B976" s="324" t="s">
        <v>472</v>
      </c>
      <c r="C976" s="324"/>
      <c r="D976" s="175">
        <v>6011</v>
      </c>
      <c r="E976" s="160"/>
      <c r="H976" s="324" t="s">
        <v>472</v>
      </c>
      <c r="I976" s="324"/>
      <c r="J976" s="175">
        <v>6012</v>
      </c>
      <c r="K976" s="160"/>
      <c r="N976" s="324" t="s">
        <v>472</v>
      </c>
      <c r="O976" s="324"/>
      <c r="P976" s="175">
        <v>6013</v>
      </c>
      <c r="Q976" s="160"/>
      <c r="T976" s="324" t="s">
        <v>472</v>
      </c>
      <c r="U976" s="324"/>
      <c r="V976" s="175">
        <v>6014</v>
      </c>
      <c r="W976" s="160"/>
      <c r="Z976" s="324" t="s">
        <v>472</v>
      </c>
      <c r="AA976" s="324"/>
      <c r="AB976" s="175">
        <v>6018</v>
      </c>
      <c r="AC976" s="160"/>
    </row>
    <row r="977" spans="2:63" x14ac:dyDescent="0.25">
      <c r="B977" s="160"/>
      <c r="C977" s="160"/>
      <c r="D977" s="160"/>
      <c r="E977" s="160"/>
      <c r="H977" s="160"/>
      <c r="I977" s="160"/>
      <c r="J977" s="160"/>
      <c r="K977" s="160"/>
      <c r="N977" s="160"/>
      <c r="O977" s="160"/>
      <c r="P977" s="160"/>
      <c r="Q977" s="160"/>
      <c r="T977" s="160"/>
      <c r="U977" s="160"/>
      <c r="V977" s="160"/>
      <c r="W977" s="160"/>
      <c r="Z977" s="160"/>
      <c r="AA977" s="160"/>
      <c r="AB977" s="160"/>
      <c r="AC977" s="160"/>
    </row>
    <row r="978" spans="2:63" ht="15.6" x14ac:dyDescent="0.25">
      <c r="B978" s="324" t="s">
        <v>473</v>
      </c>
      <c r="C978" s="324"/>
      <c r="D978" s="234" t="str">
        <f>VLOOKUP(D976,DivisionariasContables,3,FALSE)</f>
        <v>Mercaderías - Mercaderías Manufacturadas</v>
      </c>
      <c r="E978" s="160"/>
      <c r="H978" s="324" t="s">
        <v>473</v>
      </c>
      <c r="I978" s="324"/>
      <c r="J978" s="234" t="str">
        <f>VLOOKUP(J976,DivisionariasContables,3,FALSE)</f>
        <v>Mercaderías - Mercaderías de Extracción</v>
      </c>
      <c r="K978" s="160"/>
      <c r="N978" s="324" t="s">
        <v>473</v>
      </c>
      <c r="O978" s="324"/>
      <c r="P978" s="234" t="str">
        <f>VLOOKUP(P976,DivisionariasContables,3,FALSE)</f>
        <v>Mercaderías - Mercaderías Agropecuarias y Piscícolas</v>
      </c>
      <c r="Q978" s="160"/>
      <c r="T978" s="324" t="s">
        <v>473</v>
      </c>
      <c r="U978" s="324"/>
      <c r="V978" s="234" t="str">
        <f>VLOOKUP(V976,DivisionariasContables,3,FALSE)</f>
        <v>Mercaderías - Mercaderías Inmuebles</v>
      </c>
      <c r="W978" s="160"/>
      <c r="Z978" s="324" t="s">
        <v>473</v>
      </c>
      <c r="AA978" s="324"/>
      <c r="AB978" s="234" t="str">
        <f>VLOOKUP(AB976,DivisionariasContables,3,FALSE)</f>
        <v>Mercaderías - Otras Mercaderías</v>
      </c>
      <c r="AC978" s="160"/>
    </row>
    <row r="979" spans="2:63" ht="14.4" thickBot="1" x14ac:dyDescent="0.3"/>
    <row r="980" spans="2:63" x14ac:dyDescent="0.25">
      <c r="B980" s="325" t="s">
        <v>466</v>
      </c>
      <c r="C980" s="327" t="s">
        <v>467</v>
      </c>
      <c r="D980" s="327" t="s">
        <v>468</v>
      </c>
      <c r="E980" s="329" t="s">
        <v>469</v>
      </c>
      <c r="F980" s="330"/>
      <c r="H980" s="325" t="s">
        <v>466</v>
      </c>
      <c r="I980" s="327" t="s">
        <v>467</v>
      </c>
      <c r="J980" s="327" t="s">
        <v>468</v>
      </c>
      <c r="K980" s="329" t="s">
        <v>469</v>
      </c>
      <c r="L980" s="330"/>
      <c r="N980" s="325" t="s">
        <v>466</v>
      </c>
      <c r="O980" s="327" t="s">
        <v>467</v>
      </c>
      <c r="P980" s="327" t="s">
        <v>468</v>
      </c>
      <c r="Q980" s="329" t="s">
        <v>469</v>
      </c>
      <c r="R980" s="330"/>
      <c r="T980" s="325" t="s">
        <v>466</v>
      </c>
      <c r="U980" s="327" t="s">
        <v>467</v>
      </c>
      <c r="V980" s="327" t="s">
        <v>468</v>
      </c>
      <c r="W980" s="329" t="s">
        <v>469</v>
      </c>
      <c r="X980" s="330"/>
      <c r="Z980" s="325" t="s">
        <v>466</v>
      </c>
      <c r="AA980" s="327" t="s">
        <v>467</v>
      </c>
      <c r="AB980" s="327" t="s">
        <v>468</v>
      </c>
      <c r="AC980" s="329" t="s">
        <v>469</v>
      </c>
      <c r="AD980" s="330"/>
    </row>
    <row r="981" spans="2:63" ht="14.4" thickBot="1" x14ac:dyDescent="0.3">
      <c r="B981" s="326"/>
      <c r="C981" s="328"/>
      <c r="D981" s="328"/>
      <c r="E981" s="232" t="s">
        <v>403</v>
      </c>
      <c r="F981" s="174" t="s">
        <v>402</v>
      </c>
      <c r="H981" s="326"/>
      <c r="I981" s="328"/>
      <c r="J981" s="328"/>
      <c r="K981" s="232" t="s">
        <v>403</v>
      </c>
      <c r="L981" s="174" t="s">
        <v>402</v>
      </c>
      <c r="N981" s="326"/>
      <c r="O981" s="328"/>
      <c r="P981" s="328"/>
      <c r="Q981" s="232" t="s">
        <v>403</v>
      </c>
      <c r="R981" s="174" t="s">
        <v>402</v>
      </c>
      <c r="T981" s="326"/>
      <c r="U981" s="328"/>
      <c r="V981" s="328"/>
      <c r="W981" s="232" t="s">
        <v>403</v>
      </c>
      <c r="X981" s="174" t="s">
        <v>402</v>
      </c>
      <c r="Z981" s="326"/>
      <c r="AA981" s="328"/>
      <c r="AB981" s="328"/>
      <c r="AC981" s="232" t="s">
        <v>403</v>
      </c>
      <c r="AD981" s="174" t="s">
        <v>402</v>
      </c>
    </row>
    <row r="982" spans="2:63" ht="14.4" thickTop="1" x14ac:dyDescent="0.25">
      <c r="B982" s="236">
        <v>41670</v>
      </c>
      <c r="C982" s="171"/>
      <c r="D982" s="166" t="s">
        <v>470</v>
      </c>
      <c r="E982" s="167">
        <f>SUMIF('Libro Diario Convencional'!$D$15:$D$167,D976,'Libro Diario Convencional'!$G$15:$G$167)</f>
        <v>0</v>
      </c>
      <c r="F982" s="168">
        <f>SUMIF('Libro Diario Convencional'!$D$15:$D$167,D976,'Libro Diario Convencional'!$H$15:$H$167)</f>
        <v>0</v>
      </c>
      <c r="H982" s="236">
        <v>41670</v>
      </c>
      <c r="I982" s="171"/>
      <c r="J982" s="166" t="s">
        <v>470</v>
      </c>
      <c r="K982" s="167">
        <f>SUMIF('Libro Diario Convencional'!$D$15:$D$167,J976,'Libro Diario Convencional'!$G$15:$G$167)</f>
        <v>0</v>
      </c>
      <c r="L982" s="168">
        <f>SUMIF('Libro Diario Convencional'!$D$15:$D$167,J976,'Libro Diario Convencional'!$H$15:$H$167)</f>
        <v>0</v>
      </c>
      <c r="N982" s="236">
        <v>41670</v>
      </c>
      <c r="O982" s="171"/>
      <c r="P982" s="166" t="s">
        <v>470</v>
      </c>
      <c r="Q982" s="167">
        <f>SUMIF('Libro Diario Convencional'!$D$15:$D$167,P976,'Libro Diario Convencional'!$G$15:$G$167)</f>
        <v>0</v>
      </c>
      <c r="R982" s="168">
        <f>SUMIF('Libro Diario Convencional'!$D$15:$D$167,P976,'Libro Diario Convencional'!$H$15:$H$167)</f>
        <v>0</v>
      </c>
      <c r="T982" s="236">
        <v>41670</v>
      </c>
      <c r="U982" s="171"/>
      <c r="V982" s="166" t="s">
        <v>470</v>
      </c>
      <c r="W982" s="167">
        <f>SUMIF('Libro Diario Convencional'!$D$15:$D$167,V976,'Libro Diario Convencional'!$G$15:$G$167)</f>
        <v>0</v>
      </c>
      <c r="X982" s="168">
        <f>SUMIF('Libro Diario Convencional'!$D$15:$D$167,V976,'Libro Diario Convencional'!$H$15:$H$167)</f>
        <v>0</v>
      </c>
      <c r="Z982" s="236">
        <v>41670</v>
      </c>
      <c r="AA982" s="171"/>
      <c r="AB982" s="166" t="s">
        <v>470</v>
      </c>
      <c r="AC982" s="167">
        <f>SUMIF('Libro Diario Convencional'!$D$15:$D$167,AB976,'Libro Diario Convencional'!$G$15:$G$167)</f>
        <v>0</v>
      </c>
      <c r="AD982" s="168">
        <f>SUMIF('Libro Diario Convencional'!$D$15:$D$167,AB976,'Libro Diario Convencional'!$H$15:$H$167)</f>
        <v>0</v>
      </c>
    </row>
    <row r="983" spans="2:63" x14ac:dyDescent="0.25">
      <c r="B983" s="169">
        <v>41670</v>
      </c>
      <c r="C983" s="172"/>
      <c r="D983" s="161" t="s">
        <v>474</v>
      </c>
      <c r="E983" s="162">
        <f>SUMIF('Asientos de Cierre'!$D$6:$D$549,D976,'Asientos de Cierre'!$G$6:$G$549)</f>
        <v>0</v>
      </c>
      <c r="F983" s="163">
        <f>SUMIF('Asientos de Cierre'!$D$6:$D$549,D976,'Asientos de Cierre'!$H$6:$H$549)</f>
        <v>0</v>
      </c>
      <c r="H983" s="169">
        <v>41670</v>
      </c>
      <c r="I983" s="172"/>
      <c r="J983" s="161" t="s">
        <v>474</v>
      </c>
      <c r="K983" s="162">
        <f>SUMIF('Asientos de Cierre'!$D$6:$D$549,J976,'Asientos de Cierre'!$G$6:$G$549)</f>
        <v>0</v>
      </c>
      <c r="L983" s="163">
        <f>SUMIF('Asientos de Cierre'!$D$6:$D$549,J976,'Asientos de Cierre'!$H$6:$H$549)</f>
        <v>0</v>
      </c>
      <c r="N983" s="169">
        <v>41670</v>
      </c>
      <c r="O983" s="172"/>
      <c r="P983" s="161" t="s">
        <v>474</v>
      </c>
      <c r="Q983" s="162">
        <f>SUMIF('Asientos de Cierre'!$D$6:$D$549,P976,'Asientos de Cierre'!$G$6:$G$549)</f>
        <v>0</v>
      </c>
      <c r="R983" s="163">
        <f>SUMIF('Asientos de Cierre'!$D$6:$D$549,P976,'Asientos de Cierre'!$H$6:$H$549)</f>
        <v>0</v>
      </c>
      <c r="T983" s="169">
        <v>41670</v>
      </c>
      <c r="U983" s="172"/>
      <c r="V983" s="161" t="s">
        <v>474</v>
      </c>
      <c r="W983" s="162">
        <f>SUMIF('Asientos de Cierre'!$D$6:$D$549,V976,'Asientos de Cierre'!$G$6:$G$549)</f>
        <v>0</v>
      </c>
      <c r="X983" s="163">
        <f>SUMIF('Asientos de Cierre'!$D$6:$D$549,V976,'Asientos de Cierre'!$H$6:$H$549)</f>
        <v>0</v>
      </c>
      <c r="Z983" s="169">
        <v>41670</v>
      </c>
      <c r="AA983" s="172"/>
      <c r="AB983" s="161" t="s">
        <v>474</v>
      </c>
      <c r="AC983" s="162">
        <f>SUMIF('Asientos de Cierre'!$D$6:$D$549,AB976,'Asientos de Cierre'!$G$6:$G$549)</f>
        <v>0</v>
      </c>
      <c r="AD983" s="163">
        <f>SUMIF('Asientos de Cierre'!$D$6:$D$549,AB976,'Asientos de Cierre'!$H$6:$H$549)</f>
        <v>0</v>
      </c>
    </row>
    <row r="984" spans="2:63" x14ac:dyDescent="0.25">
      <c r="B984" s="169"/>
      <c r="C984" s="172"/>
      <c r="D984" s="161"/>
      <c r="E984" s="162"/>
      <c r="F984" s="163"/>
      <c r="H984" s="169"/>
      <c r="I984" s="172"/>
      <c r="J984" s="161"/>
      <c r="K984" s="162"/>
      <c r="L984" s="163"/>
      <c r="N984" s="169"/>
      <c r="O984" s="172"/>
      <c r="P984" s="161"/>
      <c r="Q984" s="162"/>
      <c r="R984" s="163"/>
      <c r="T984" s="169"/>
      <c r="U984" s="172"/>
      <c r="V984" s="161"/>
      <c r="W984" s="162"/>
      <c r="X984" s="163"/>
      <c r="Z984" s="169"/>
      <c r="AA984" s="172"/>
      <c r="AB984" s="161"/>
      <c r="AC984" s="162"/>
      <c r="AD984" s="163"/>
    </row>
    <row r="985" spans="2:63" ht="14.4" thickBot="1" x14ac:dyDescent="0.3">
      <c r="B985" s="169"/>
      <c r="C985" s="172"/>
      <c r="D985" s="161"/>
      <c r="E985" s="162"/>
      <c r="F985" s="163"/>
      <c r="H985" s="169"/>
      <c r="I985" s="172"/>
      <c r="J985" s="161"/>
      <c r="K985" s="162"/>
      <c r="L985" s="163"/>
      <c r="N985" s="169"/>
      <c r="O985" s="172"/>
      <c r="P985" s="161"/>
      <c r="Q985" s="162"/>
      <c r="R985" s="163"/>
      <c r="T985" s="169"/>
      <c r="U985" s="172"/>
      <c r="V985" s="161"/>
      <c r="W985" s="162"/>
      <c r="X985" s="163"/>
      <c r="Z985" s="169"/>
      <c r="AA985" s="172"/>
      <c r="AB985" s="161"/>
      <c r="AC985" s="162"/>
      <c r="AD985" s="163"/>
    </row>
    <row r="986" spans="2:63" ht="15" thickBot="1" x14ac:dyDescent="0.3">
      <c r="B986" s="169"/>
      <c r="C986" s="172"/>
      <c r="D986" s="161" t="s">
        <v>471</v>
      </c>
      <c r="E986" s="162">
        <f>SUM(E982:E985)</f>
        <v>0</v>
      </c>
      <c r="F986" s="163">
        <f>SUM(F982:F985)</f>
        <v>0</v>
      </c>
      <c r="H986" s="169"/>
      <c r="I986" s="172"/>
      <c r="J986" s="161" t="s">
        <v>471</v>
      </c>
      <c r="K986" s="162">
        <f>SUM(K982:K985)</f>
        <v>0</v>
      </c>
      <c r="L986" s="163">
        <f>SUM(L982:L985)</f>
        <v>0</v>
      </c>
      <c r="N986" s="169"/>
      <c r="O986" s="172"/>
      <c r="P986" s="161" t="s">
        <v>471</v>
      </c>
      <c r="Q986" s="162">
        <f>SUM(Q982:Q985)</f>
        <v>0</v>
      </c>
      <c r="R986" s="163">
        <f>SUM(R982:R985)</f>
        <v>0</v>
      </c>
      <c r="T986" s="169"/>
      <c r="U986" s="172"/>
      <c r="V986" s="161" t="s">
        <v>471</v>
      </c>
      <c r="W986" s="162">
        <f>SUM(W982:W985)</f>
        <v>0</v>
      </c>
      <c r="X986" s="163">
        <f>SUM(X982:X985)</f>
        <v>0</v>
      </c>
      <c r="Z986" s="169"/>
      <c r="AA986" s="172"/>
      <c r="AB986" s="161" t="s">
        <v>471</v>
      </c>
      <c r="AC986" s="162">
        <f>SUM(AC982:AC985)</f>
        <v>0</v>
      </c>
      <c r="AD986" s="163">
        <f>SUM(AD982:AD985)</f>
        <v>0</v>
      </c>
      <c r="BJ986" s="157">
        <f>SUM(E986,K986,Q986,W986,AC986,AI986,AO986,AU986,BA986,BG986)</f>
        <v>0</v>
      </c>
      <c r="BK986" s="158">
        <f>SUM(F986,L986,R986,X986,AD986,AJ986,AP986,AV986,BB986,BH986)</f>
        <v>0</v>
      </c>
    </row>
    <row r="987" spans="2:63" ht="14.4" thickBot="1" x14ac:dyDescent="0.3">
      <c r="B987" s="170"/>
      <c r="C987" s="173"/>
      <c r="D987" s="164" t="str">
        <f>IF(E986=F986,"",IF(E986&gt;F986,"Saldo Deudor","Saldo Acreedor"))</f>
        <v/>
      </c>
      <c r="E987" s="165" t="str">
        <f>IF(E986&gt;F986,E986-F986,"")</f>
        <v/>
      </c>
      <c r="F987" s="176" t="str">
        <f>IF(E986&lt;F986,F986-E986,"")</f>
        <v/>
      </c>
      <c r="H987" s="170"/>
      <c r="I987" s="173"/>
      <c r="J987" s="164" t="str">
        <f>IF(K986=L986,"",IF(K986&gt;L986,"Saldo Deudor","Saldo Acreedor"))</f>
        <v/>
      </c>
      <c r="K987" s="165" t="str">
        <f>IF(K986&gt;L986,K986-L986,"")</f>
        <v/>
      </c>
      <c r="L987" s="176" t="str">
        <f>IF(K986&lt;L986,L986-K986,"")</f>
        <v/>
      </c>
      <c r="N987" s="170"/>
      <c r="O987" s="173"/>
      <c r="P987" s="164" t="str">
        <f>IF(Q986=R986,"",IF(Q986&gt;R986,"Saldo Deudor","Saldo Acreedor"))</f>
        <v/>
      </c>
      <c r="Q987" s="165" t="str">
        <f>IF(Q986&gt;R986,Q986-R986,"")</f>
        <v/>
      </c>
      <c r="R987" s="176" t="str">
        <f>IF(Q986&lt;R986,R986-Q986,"")</f>
        <v/>
      </c>
      <c r="T987" s="170"/>
      <c r="U987" s="173"/>
      <c r="V987" s="164" t="str">
        <f>IF(W986=X986,"",IF(W986&gt;X986,"Saldo Deudor","Saldo Acreedor"))</f>
        <v/>
      </c>
      <c r="W987" s="165" t="str">
        <f>IF(W986&gt;X986,W986-X986,"")</f>
        <v/>
      </c>
      <c r="X987" s="176" t="str">
        <f>IF(W986&lt;X986,X986-W986,"")</f>
        <v/>
      </c>
      <c r="Z987" s="170"/>
      <c r="AA987" s="173"/>
      <c r="AB987" s="164" t="str">
        <f>IF(AC986=AD986,"",IF(AC986&gt;AD986,"Saldo Deudor","Saldo Acreedor"))</f>
        <v/>
      </c>
      <c r="AC987" s="165" t="str">
        <f>IF(AC986&gt;AD986,AC986-AD986,"")</f>
        <v/>
      </c>
      <c r="AD987" s="176" t="str">
        <f>IF(AC986&lt;AD986,AD986-AC986,"")</f>
        <v/>
      </c>
    </row>
    <row r="990" spans="2:63" ht="15.6" x14ac:dyDescent="0.25">
      <c r="B990" s="324" t="s">
        <v>472</v>
      </c>
      <c r="C990" s="324"/>
      <c r="D990" s="175">
        <v>6021</v>
      </c>
      <c r="E990" s="160"/>
      <c r="H990" s="324" t="s">
        <v>472</v>
      </c>
      <c r="I990" s="324"/>
      <c r="J990" s="175">
        <v>6022</v>
      </c>
      <c r="K990" s="160"/>
      <c r="N990" s="324" t="s">
        <v>472</v>
      </c>
      <c r="O990" s="324"/>
      <c r="P990" s="175">
        <v>6023</v>
      </c>
      <c r="Q990" s="160"/>
      <c r="T990" s="324" t="s">
        <v>472</v>
      </c>
      <c r="U990" s="324"/>
      <c r="V990" s="175">
        <v>6024</v>
      </c>
      <c r="W990" s="160"/>
    </row>
    <row r="991" spans="2:63" x14ac:dyDescent="0.25">
      <c r="B991" s="160"/>
      <c r="C991" s="160"/>
      <c r="D991" s="160"/>
      <c r="E991" s="160"/>
      <c r="H991" s="160"/>
      <c r="I991" s="160"/>
      <c r="J991" s="160"/>
      <c r="K991" s="160"/>
      <c r="N991" s="160"/>
      <c r="O991" s="160"/>
      <c r="P991" s="160"/>
      <c r="Q991" s="160"/>
      <c r="T991" s="160"/>
      <c r="U991" s="160"/>
      <c r="V991" s="160"/>
      <c r="W991" s="160"/>
    </row>
    <row r="992" spans="2:63" ht="15.6" x14ac:dyDescent="0.25">
      <c r="B992" s="324" t="s">
        <v>473</v>
      </c>
      <c r="C992" s="324"/>
      <c r="D992" s="234" t="str">
        <f>VLOOKUP(D990,DivisionariasContables,3,FALSE)</f>
        <v>Materias Primas - Materias Primas para Productos Manufacturados</v>
      </c>
      <c r="E992" s="160"/>
      <c r="H992" s="324" t="s">
        <v>473</v>
      </c>
      <c r="I992" s="324"/>
      <c r="J992" s="234" t="str">
        <f>VLOOKUP(J990,DivisionariasContables,3,FALSE)</f>
        <v>Materias Primas - Materias Primas para Productos de Extracción</v>
      </c>
      <c r="K992" s="160"/>
      <c r="N992" s="324" t="s">
        <v>473</v>
      </c>
      <c r="O992" s="324"/>
      <c r="P992" s="234" t="str">
        <f>VLOOKUP(P990,DivisionariasContables,3,FALSE)</f>
        <v>Materias Primas - Materias Primas para Productos Agropecuarios y Piscícolas</v>
      </c>
      <c r="Q992" s="160"/>
      <c r="T992" s="324" t="s">
        <v>473</v>
      </c>
      <c r="U992" s="324"/>
      <c r="V992" s="234" t="str">
        <f>VLOOKUP(V990,DivisionariasContables,3,FALSE)</f>
        <v>Materias Primas - Materias Primas para Productos Inmuebles</v>
      </c>
      <c r="W992" s="160"/>
    </row>
    <row r="993" spans="2:63" ht="14.4" thickBot="1" x14ac:dyDescent="0.3"/>
    <row r="994" spans="2:63" x14ac:dyDescent="0.25">
      <c r="B994" s="325" t="s">
        <v>466</v>
      </c>
      <c r="C994" s="327" t="s">
        <v>467</v>
      </c>
      <c r="D994" s="327" t="s">
        <v>468</v>
      </c>
      <c r="E994" s="329" t="s">
        <v>469</v>
      </c>
      <c r="F994" s="330"/>
      <c r="H994" s="325" t="s">
        <v>466</v>
      </c>
      <c r="I994" s="327" t="s">
        <v>467</v>
      </c>
      <c r="J994" s="327" t="s">
        <v>468</v>
      </c>
      <c r="K994" s="329" t="s">
        <v>469</v>
      </c>
      <c r="L994" s="330"/>
      <c r="N994" s="325" t="s">
        <v>466</v>
      </c>
      <c r="O994" s="327" t="s">
        <v>467</v>
      </c>
      <c r="P994" s="327" t="s">
        <v>468</v>
      </c>
      <c r="Q994" s="329" t="s">
        <v>469</v>
      </c>
      <c r="R994" s="330"/>
      <c r="T994" s="325" t="s">
        <v>466</v>
      </c>
      <c r="U994" s="327" t="s">
        <v>467</v>
      </c>
      <c r="V994" s="327" t="s">
        <v>468</v>
      </c>
      <c r="W994" s="329" t="s">
        <v>469</v>
      </c>
      <c r="X994" s="330"/>
    </row>
    <row r="995" spans="2:63" ht="14.4" thickBot="1" x14ac:dyDescent="0.3">
      <c r="B995" s="326"/>
      <c r="C995" s="328"/>
      <c r="D995" s="328"/>
      <c r="E995" s="232" t="s">
        <v>403</v>
      </c>
      <c r="F995" s="174" t="s">
        <v>402</v>
      </c>
      <c r="H995" s="326"/>
      <c r="I995" s="328"/>
      <c r="J995" s="328"/>
      <c r="K995" s="232" t="s">
        <v>403</v>
      </c>
      <c r="L995" s="174" t="s">
        <v>402</v>
      </c>
      <c r="N995" s="326"/>
      <c r="O995" s="328"/>
      <c r="P995" s="328"/>
      <c r="Q995" s="232" t="s">
        <v>403</v>
      </c>
      <c r="R995" s="174" t="s">
        <v>402</v>
      </c>
      <c r="T995" s="326"/>
      <c r="U995" s="328"/>
      <c r="V995" s="328"/>
      <c r="W995" s="232" t="s">
        <v>403</v>
      </c>
      <c r="X995" s="174" t="s">
        <v>402</v>
      </c>
    </row>
    <row r="996" spans="2:63" ht="14.4" thickTop="1" x14ac:dyDescent="0.25">
      <c r="B996" s="236">
        <v>41670</v>
      </c>
      <c r="C996" s="171"/>
      <c r="D996" s="166" t="s">
        <v>470</v>
      </c>
      <c r="E996" s="167">
        <f>SUMIF('Libro Diario Convencional'!$D$15:$D$167,D990,'Libro Diario Convencional'!$G$15:$G$167)</f>
        <v>0</v>
      </c>
      <c r="F996" s="168">
        <f>SUMIF('Libro Diario Convencional'!$D$15:$D$167,D990,'Libro Diario Convencional'!$H$15:$H$167)</f>
        <v>0</v>
      </c>
      <c r="H996" s="236">
        <v>41670</v>
      </c>
      <c r="I996" s="171"/>
      <c r="J996" s="166" t="s">
        <v>470</v>
      </c>
      <c r="K996" s="167">
        <f>SUMIF('Libro Diario Convencional'!$D$15:$D$167,J990,'Libro Diario Convencional'!$G$15:$G$167)</f>
        <v>0</v>
      </c>
      <c r="L996" s="168">
        <f>SUMIF('Libro Diario Convencional'!$D$15:$D$167,J990,'Libro Diario Convencional'!$H$15:$H$167)</f>
        <v>0</v>
      </c>
      <c r="N996" s="236">
        <v>41670</v>
      </c>
      <c r="O996" s="171"/>
      <c r="P996" s="166" t="s">
        <v>470</v>
      </c>
      <c r="Q996" s="167">
        <f>SUMIF('Libro Diario Convencional'!$D$15:$D$167,P990,'Libro Diario Convencional'!$G$15:$G$167)</f>
        <v>0</v>
      </c>
      <c r="R996" s="168">
        <f>SUMIF('Libro Diario Convencional'!$D$15:$D$167,P990,'Libro Diario Convencional'!$H$15:$H$167)</f>
        <v>0</v>
      </c>
      <c r="T996" s="236">
        <v>41670</v>
      </c>
      <c r="U996" s="171"/>
      <c r="V996" s="166" t="s">
        <v>470</v>
      </c>
      <c r="W996" s="167">
        <f>SUMIF('Libro Diario Convencional'!$D$15:$D$167,V990,'Libro Diario Convencional'!$G$15:$G$167)</f>
        <v>0</v>
      </c>
      <c r="X996" s="168">
        <f>SUMIF('Libro Diario Convencional'!$D$15:$D$167,V990,'Libro Diario Convencional'!$H$15:$H$167)</f>
        <v>0</v>
      </c>
    </row>
    <row r="997" spans="2:63" x14ac:dyDescent="0.25">
      <c r="B997" s="169">
        <v>41670</v>
      </c>
      <c r="C997" s="172"/>
      <c r="D997" s="161" t="s">
        <v>474</v>
      </c>
      <c r="E997" s="162">
        <f>SUMIF('Asientos de Cierre'!$D$6:$D$549,D990,'Asientos de Cierre'!$G$6:$G$549)</f>
        <v>0</v>
      </c>
      <c r="F997" s="163">
        <f>SUMIF('Asientos de Cierre'!$D$6:$D$549,D990,'Asientos de Cierre'!$H$6:$H$549)</f>
        <v>0</v>
      </c>
      <c r="H997" s="169">
        <v>41670</v>
      </c>
      <c r="I997" s="172"/>
      <c r="J997" s="161" t="s">
        <v>474</v>
      </c>
      <c r="K997" s="162">
        <f>SUMIF('Asientos de Cierre'!$D$6:$D$549,J990,'Asientos de Cierre'!$G$6:$G$549)</f>
        <v>0</v>
      </c>
      <c r="L997" s="163">
        <f>SUMIF('Asientos de Cierre'!$D$6:$D$549,J990,'Asientos de Cierre'!$H$6:$H$549)</f>
        <v>0</v>
      </c>
      <c r="N997" s="169">
        <v>41670</v>
      </c>
      <c r="O997" s="172"/>
      <c r="P997" s="161" t="s">
        <v>474</v>
      </c>
      <c r="Q997" s="162">
        <f>SUMIF('Asientos de Cierre'!$D$6:$D$549,P990,'Asientos de Cierre'!$G$6:$G$549)</f>
        <v>0</v>
      </c>
      <c r="R997" s="163">
        <f>SUMIF('Asientos de Cierre'!$D$6:$D$549,P990,'Asientos de Cierre'!$H$6:$H$549)</f>
        <v>0</v>
      </c>
      <c r="T997" s="169">
        <v>41670</v>
      </c>
      <c r="U997" s="172"/>
      <c r="V997" s="161" t="s">
        <v>474</v>
      </c>
      <c r="W997" s="162">
        <f>SUMIF('Asientos de Cierre'!$D$6:$D$549,V990,'Asientos de Cierre'!$G$6:$G$549)</f>
        <v>0</v>
      </c>
      <c r="X997" s="163">
        <f>SUMIF('Asientos de Cierre'!$D$6:$D$549,V990,'Asientos de Cierre'!$H$6:$H$549)</f>
        <v>0</v>
      </c>
    </row>
    <row r="998" spans="2:63" x14ac:dyDescent="0.25">
      <c r="B998" s="169"/>
      <c r="C998" s="172"/>
      <c r="D998" s="161"/>
      <c r="E998" s="162"/>
      <c r="F998" s="163"/>
      <c r="H998" s="169"/>
      <c r="I998" s="172"/>
      <c r="J998" s="161"/>
      <c r="K998" s="162"/>
      <c r="L998" s="163"/>
      <c r="N998" s="169"/>
      <c r="O998" s="172"/>
      <c r="P998" s="161"/>
      <c r="Q998" s="162"/>
      <c r="R998" s="163"/>
      <c r="T998" s="169"/>
      <c r="U998" s="172"/>
      <c r="V998" s="161"/>
      <c r="W998" s="162"/>
      <c r="X998" s="163"/>
    </row>
    <row r="999" spans="2:63" ht="14.4" thickBot="1" x14ac:dyDescent="0.3">
      <c r="B999" s="169"/>
      <c r="C999" s="172"/>
      <c r="D999" s="161"/>
      <c r="E999" s="162"/>
      <c r="F999" s="163"/>
      <c r="H999" s="169"/>
      <c r="I999" s="172"/>
      <c r="J999" s="161"/>
      <c r="K999" s="162"/>
      <c r="L999" s="163"/>
      <c r="N999" s="169"/>
      <c r="O999" s="172"/>
      <c r="P999" s="161"/>
      <c r="Q999" s="162"/>
      <c r="R999" s="163"/>
      <c r="T999" s="169"/>
      <c r="U999" s="172"/>
      <c r="V999" s="161"/>
      <c r="W999" s="162"/>
      <c r="X999" s="163"/>
    </row>
    <row r="1000" spans="2:63" ht="15" thickBot="1" x14ac:dyDescent="0.3">
      <c r="B1000" s="169"/>
      <c r="C1000" s="172"/>
      <c r="D1000" s="161" t="s">
        <v>471</v>
      </c>
      <c r="E1000" s="162">
        <f>SUM(E996:E999)</f>
        <v>0</v>
      </c>
      <c r="F1000" s="163">
        <f>SUM(F996:F999)</f>
        <v>0</v>
      </c>
      <c r="H1000" s="169"/>
      <c r="I1000" s="172"/>
      <c r="J1000" s="161" t="s">
        <v>471</v>
      </c>
      <c r="K1000" s="162">
        <f>SUM(K996:K999)</f>
        <v>0</v>
      </c>
      <c r="L1000" s="163">
        <f>SUM(L996:L999)</f>
        <v>0</v>
      </c>
      <c r="N1000" s="169"/>
      <c r="O1000" s="172"/>
      <c r="P1000" s="161" t="s">
        <v>471</v>
      </c>
      <c r="Q1000" s="162">
        <f>SUM(Q996:Q999)</f>
        <v>0</v>
      </c>
      <c r="R1000" s="163">
        <f>SUM(R996:R999)</f>
        <v>0</v>
      </c>
      <c r="T1000" s="169"/>
      <c r="U1000" s="172"/>
      <c r="V1000" s="161" t="s">
        <v>471</v>
      </c>
      <c r="W1000" s="162">
        <f>SUM(W996:W999)</f>
        <v>0</v>
      </c>
      <c r="X1000" s="163">
        <f>SUM(X996:X999)</f>
        <v>0</v>
      </c>
      <c r="BJ1000" s="157">
        <f>SUM(E1000,K1000,Q1000,W1000,AC1000,AI1000,AO1000,AU1000,BA1000,BG1000)</f>
        <v>0</v>
      </c>
      <c r="BK1000" s="158">
        <f>SUM(F1000,L1000,R1000,X1000,AD1000,AJ1000,AP1000,AV1000,BB1000,BH1000)</f>
        <v>0</v>
      </c>
    </row>
    <row r="1001" spans="2:63" ht="14.4" thickBot="1" x14ac:dyDescent="0.3">
      <c r="B1001" s="170"/>
      <c r="C1001" s="173"/>
      <c r="D1001" s="164" t="str">
        <f>IF(E1000=F1000,"",IF(E1000&gt;F1000,"Saldo Deudor","Saldo Acreedor"))</f>
        <v/>
      </c>
      <c r="E1001" s="165" t="str">
        <f>IF(E1000&gt;F1000,E1000-F1000,"")</f>
        <v/>
      </c>
      <c r="F1001" s="176" t="str">
        <f>IF(E1000&lt;F1000,F1000-E1000,"")</f>
        <v/>
      </c>
      <c r="H1001" s="170"/>
      <c r="I1001" s="173"/>
      <c r="J1001" s="164" t="str">
        <f>IF(K1000=L1000,"",IF(K1000&gt;L1000,"Saldo Deudor","Saldo Acreedor"))</f>
        <v/>
      </c>
      <c r="K1001" s="165" t="str">
        <f>IF(K1000&gt;L1000,K1000-L1000,"")</f>
        <v/>
      </c>
      <c r="L1001" s="176" t="str">
        <f>IF(K1000&lt;L1000,L1000-K1000,"")</f>
        <v/>
      </c>
      <c r="N1001" s="170"/>
      <c r="O1001" s="173"/>
      <c r="P1001" s="164" t="str">
        <f>IF(Q1000=R1000,"",IF(Q1000&gt;R1000,"Saldo Deudor","Saldo Acreedor"))</f>
        <v/>
      </c>
      <c r="Q1001" s="165" t="str">
        <f>IF(Q1000&gt;R1000,Q1000-R1000,"")</f>
        <v/>
      </c>
      <c r="R1001" s="176" t="str">
        <f>IF(Q1000&lt;R1000,R1000-Q1000,"")</f>
        <v/>
      </c>
      <c r="T1001" s="170"/>
      <c r="U1001" s="173"/>
      <c r="V1001" s="164" t="str">
        <f>IF(W1000=X1000,"",IF(W1000&gt;X1000,"Saldo Deudor","Saldo Acreedor"))</f>
        <v/>
      </c>
      <c r="W1001" s="165" t="str">
        <f>IF(W1000&gt;X1000,W1000-X1000,"")</f>
        <v/>
      </c>
      <c r="X1001" s="176" t="str">
        <f>IF(W1000&lt;X1000,X1000-W1000,"")</f>
        <v/>
      </c>
    </row>
    <row r="1004" spans="2:63" ht="15.6" x14ac:dyDescent="0.25">
      <c r="B1004" s="324" t="s">
        <v>472</v>
      </c>
      <c r="C1004" s="324"/>
      <c r="D1004" s="175">
        <v>6031</v>
      </c>
      <c r="E1004" s="160"/>
      <c r="H1004" s="324" t="s">
        <v>472</v>
      </c>
      <c r="I1004" s="324"/>
      <c r="J1004" s="175">
        <v>6032</v>
      </c>
      <c r="K1004" s="160"/>
      <c r="N1004" s="324" t="s">
        <v>472</v>
      </c>
      <c r="O1004" s="324"/>
      <c r="P1004" s="175">
        <v>6033</v>
      </c>
      <c r="Q1004" s="160"/>
    </row>
    <row r="1005" spans="2:63" x14ac:dyDescent="0.25">
      <c r="B1005" s="160"/>
      <c r="C1005" s="160"/>
      <c r="D1005" s="160"/>
      <c r="E1005" s="160"/>
      <c r="H1005" s="160"/>
      <c r="I1005" s="160"/>
      <c r="J1005" s="160"/>
      <c r="K1005" s="160"/>
      <c r="N1005" s="160"/>
      <c r="O1005" s="160"/>
      <c r="P1005" s="160"/>
      <c r="Q1005" s="160"/>
    </row>
    <row r="1006" spans="2:63" ht="15.6" x14ac:dyDescent="0.25">
      <c r="B1006" s="324" t="s">
        <v>473</v>
      </c>
      <c r="C1006" s="324"/>
      <c r="D1006" s="234" t="str">
        <f>VLOOKUP(D1004,DivisionariasContables,3,FALSE)</f>
        <v>Materiales Auxiliares, Suministros y Repuestos - Materiales Auxiliares</v>
      </c>
      <c r="E1006" s="160"/>
      <c r="H1006" s="324" t="s">
        <v>473</v>
      </c>
      <c r="I1006" s="324"/>
      <c r="J1006" s="234" t="str">
        <f>VLOOKUP(J1004,DivisionariasContables,3,FALSE)</f>
        <v>Materiales Auxiliares, Suministros y Repuestos - Suministros</v>
      </c>
      <c r="K1006" s="160"/>
      <c r="N1006" s="324" t="s">
        <v>473</v>
      </c>
      <c r="O1006" s="324"/>
      <c r="P1006" s="234" t="str">
        <f>VLOOKUP(P1004,DivisionariasContables,3,FALSE)</f>
        <v>Materiales Auxiliares, Suministros y Repuestos - Repuestos</v>
      </c>
      <c r="Q1006" s="160"/>
    </row>
    <row r="1007" spans="2:63" ht="14.4" thickBot="1" x14ac:dyDescent="0.3"/>
    <row r="1008" spans="2:63" x14ac:dyDescent="0.25">
      <c r="B1008" s="325" t="s">
        <v>466</v>
      </c>
      <c r="C1008" s="327" t="s">
        <v>467</v>
      </c>
      <c r="D1008" s="327" t="s">
        <v>468</v>
      </c>
      <c r="E1008" s="329" t="s">
        <v>469</v>
      </c>
      <c r="F1008" s="330"/>
      <c r="H1008" s="325" t="s">
        <v>466</v>
      </c>
      <c r="I1008" s="327" t="s">
        <v>467</v>
      </c>
      <c r="J1008" s="327" t="s">
        <v>468</v>
      </c>
      <c r="K1008" s="329" t="s">
        <v>469</v>
      </c>
      <c r="L1008" s="330"/>
      <c r="N1008" s="325" t="s">
        <v>466</v>
      </c>
      <c r="O1008" s="327" t="s">
        <v>467</v>
      </c>
      <c r="P1008" s="327" t="s">
        <v>468</v>
      </c>
      <c r="Q1008" s="329" t="s">
        <v>469</v>
      </c>
      <c r="R1008" s="330"/>
    </row>
    <row r="1009" spans="2:63" ht="14.4" thickBot="1" x14ac:dyDescent="0.3">
      <c r="B1009" s="326"/>
      <c r="C1009" s="328"/>
      <c r="D1009" s="328"/>
      <c r="E1009" s="232" t="s">
        <v>403</v>
      </c>
      <c r="F1009" s="174" t="s">
        <v>402</v>
      </c>
      <c r="H1009" s="326"/>
      <c r="I1009" s="328"/>
      <c r="J1009" s="328"/>
      <c r="K1009" s="232" t="s">
        <v>403</v>
      </c>
      <c r="L1009" s="174" t="s">
        <v>402</v>
      </c>
      <c r="N1009" s="326"/>
      <c r="O1009" s="328"/>
      <c r="P1009" s="328"/>
      <c r="Q1009" s="232" t="s">
        <v>403</v>
      </c>
      <c r="R1009" s="174" t="s">
        <v>402</v>
      </c>
    </row>
    <row r="1010" spans="2:63" ht="14.4" thickTop="1" x14ac:dyDescent="0.25">
      <c r="B1010" s="236">
        <v>41670</v>
      </c>
      <c r="C1010" s="171"/>
      <c r="D1010" s="166" t="s">
        <v>470</v>
      </c>
      <c r="E1010" s="167">
        <f>SUMIF('Libro Diario Convencional'!$D$15:$D$167,D1004,'Libro Diario Convencional'!$G$15:$G$167)</f>
        <v>0</v>
      </c>
      <c r="F1010" s="168">
        <f>SUMIF('Libro Diario Convencional'!$D$15:$D$167,D1004,'Libro Diario Convencional'!$H$15:$H$167)</f>
        <v>0</v>
      </c>
      <c r="H1010" s="236">
        <v>41670</v>
      </c>
      <c r="I1010" s="171"/>
      <c r="J1010" s="166" t="s">
        <v>470</v>
      </c>
      <c r="K1010" s="167">
        <f>SUMIF('Libro Diario Convencional'!$D$15:$D$167,J1004,'Libro Diario Convencional'!$G$15:$G$167)</f>
        <v>0</v>
      </c>
      <c r="L1010" s="168">
        <f>SUMIF('Libro Diario Convencional'!$D$15:$D$167,J1004,'Libro Diario Convencional'!$H$15:$H$167)</f>
        <v>0</v>
      </c>
      <c r="N1010" s="236">
        <v>41670</v>
      </c>
      <c r="O1010" s="171"/>
      <c r="P1010" s="166" t="s">
        <v>470</v>
      </c>
      <c r="Q1010" s="167">
        <f>SUMIF('Libro Diario Convencional'!$D$15:$D$167,P1004,'Libro Diario Convencional'!$G$15:$G$167)</f>
        <v>0</v>
      </c>
      <c r="R1010" s="168">
        <f>SUMIF('Libro Diario Convencional'!$D$15:$D$167,P1004,'Libro Diario Convencional'!$H$15:$H$167)</f>
        <v>0</v>
      </c>
    </row>
    <row r="1011" spans="2:63" x14ac:dyDescent="0.25">
      <c r="B1011" s="169">
        <v>41670</v>
      </c>
      <c r="C1011" s="172"/>
      <c r="D1011" s="161" t="s">
        <v>474</v>
      </c>
      <c r="E1011" s="162">
        <f>SUMIF('Asientos de Cierre'!$D$6:$D$549,D1004,'Asientos de Cierre'!$G$6:$G$549)</f>
        <v>0</v>
      </c>
      <c r="F1011" s="163">
        <f>SUMIF('Asientos de Cierre'!$D$6:$D$549,D1004,'Asientos de Cierre'!$H$6:$H$549)</f>
        <v>0</v>
      </c>
      <c r="H1011" s="169">
        <v>41670</v>
      </c>
      <c r="I1011" s="172"/>
      <c r="J1011" s="161" t="s">
        <v>474</v>
      </c>
      <c r="K1011" s="162">
        <f>SUMIF('Asientos de Cierre'!$D$6:$D$549,J1004,'Asientos de Cierre'!$G$6:$G$549)</f>
        <v>0</v>
      </c>
      <c r="L1011" s="163">
        <f>SUMIF('Asientos de Cierre'!$D$6:$D$549,J1004,'Asientos de Cierre'!$H$6:$H$549)</f>
        <v>0</v>
      </c>
      <c r="N1011" s="169">
        <v>41670</v>
      </c>
      <c r="O1011" s="172"/>
      <c r="P1011" s="161" t="s">
        <v>474</v>
      </c>
      <c r="Q1011" s="162">
        <f>SUMIF('Asientos de Cierre'!$D$6:$D$549,P1004,'Asientos de Cierre'!$G$6:$G$549)</f>
        <v>0</v>
      </c>
      <c r="R1011" s="163">
        <f>SUMIF('Asientos de Cierre'!$D$6:$D$549,P1004,'Asientos de Cierre'!$H$6:$H$549)</f>
        <v>0</v>
      </c>
    </row>
    <row r="1012" spans="2:63" x14ac:dyDescent="0.25">
      <c r="B1012" s="169"/>
      <c r="C1012" s="172"/>
      <c r="D1012" s="161"/>
      <c r="E1012" s="162"/>
      <c r="F1012" s="163"/>
      <c r="H1012" s="169"/>
      <c r="I1012" s="172"/>
      <c r="J1012" s="161"/>
      <c r="K1012" s="162"/>
      <c r="L1012" s="163"/>
      <c r="N1012" s="169"/>
      <c r="O1012" s="172"/>
      <c r="P1012" s="161"/>
      <c r="Q1012" s="162"/>
      <c r="R1012" s="163"/>
    </row>
    <row r="1013" spans="2:63" ht="14.4" thickBot="1" x14ac:dyDescent="0.3">
      <c r="B1013" s="169"/>
      <c r="C1013" s="172"/>
      <c r="D1013" s="161"/>
      <c r="E1013" s="162"/>
      <c r="F1013" s="163"/>
      <c r="H1013" s="169"/>
      <c r="I1013" s="172"/>
      <c r="J1013" s="161"/>
      <c r="K1013" s="162"/>
      <c r="L1013" s="163"/>
      <c r="N1013" s="169"/>
      <c r="O1013" s="172"/>
      <c r="P1013" s="161"/>
      <c r="Q1013" s="162"/>
      <c r="R1013" s="163"/>
    </row>
    <row r="1014" spans="2:63" ht="15" thickBot="1" x14ac:dyDescent="0.3">
      <c r="B1014" s="169"/>
      <c r="C1014" s="172"/>
      <c r="D1014" s="161" t="s">
        <v>471</v>
      </c>
      <c r="E1014" s="162">
        <f>SUM(E1010:E1013)</f>
        <v>0</v>
      </c>
      <c r="F1014" s="163">
        <f>SUM(F1010:F1013)</f>
        <v>0</v>
      </c>
      <c r="H1014" s="169"/>
      <c r="I1014" s="172"/>
      <c r="J1014" s="161" t="s">
        <v>471</v>
      </c>
      <c r="K1014" s="162">
        <f>SUM(K1010:K1013)</f>
        <v>0</v>
      </c>
      <c r="L1014" s="163">
        <f>SUM(L1010:L1013)</f>
        <v>0</v>
      </c>
      <c r="N1014" s="169"/>
      <c r="O1014" s="172"/>
      <c r="P1014" s="161" t="s">
        <v>471</v>
      </c>
      <c r="Q1014" s="162">
        <f>SUM(Q1010:Q1013)</f>
        <v>0</v>
      </c>
      <c r="R1014" s="163">
        <f>SUM(R1010:R1013)</f>
        <v>0</v>
      </c>
      <c r="BJ1014" s="157">
        <f>SUM(E1014,K1014,Q1014,W1014,AC1014,AI1014,AO1014,AU1014,BA1014,BG1014)</f>
        <v>0</v>
      </c>
      <c r="BK1014" s="158">
        <f>SUM(F1014,L1014,R1014,X1014,AD1014,AJ1014,AP1014,AV1014,BB1014,BH1014)</f>
        <v>0</v>
      </c>
    </row>
    <row r="1015" spans="2:63" ht="14.4" thickBot="1" x14ac:dyDescent="0.3">
      <c r="B1015" s="170"/>
      <c r="C1015" s="173"/>
      <c r="D1015" s="164" t="str">
        <f>IF(E1014=F1014,"",IF(E1014&gt;F1014,"Saldo Deudor","Saldo Acreedor"))</f>
        <v/>
      </c>
      <c r="E1015" s="165" t="str">
        <f>IF(E1014&gt;F1014,E1014-F1014,"")</f>
        <v/>
      </c>
      <c r="F1015" s="176" t="str">
        <f>IF(E1014&lt;F1014,F1014-E1014,"")</f>
        <v/>
      </c>
      <c r="H1015" s="170"/>
      <c r="I1015" s="173"/>
      <c r="J1015" s="164" t="str">
        <f>IF(K1014=L1014,"",IF(K1014&gt;L1014,"Saldo Deudor","Saldo Acreedor"))</f>
        <v/>
      </c>
      <c r="K1015" s="165" t="str">
        <f>IF(K1014&gt;L1014,K1014-L1014,"")</f>
        <v/>
      </c>
      <c r="L1015" s="176" t="str">
        <f>IF(K1014&lt;L1014,L1014-K1014,"")</f>
        <v/>
      </c>
      <c r="N1015" s="170"/>
      <c r="O1015" s="173"/>
      <c r="P1015" s="164" t="str">
        <f>IF(Q1014=R1014,"",IF(Q1014&gt;R1014,"Saldo Deudor","Saldo Acreedor"))</f>
        <v/>
      </c>
      <c r="Q1015" s="165" t="str">
        <f>IF(Q1014&gt;R1014,Q1014-R1014,"")</f>
        <v/>
      </c>
      <c r="R1015" s="176" t="str">
        <f>IF(Q1014&lt;R1014,R1014-Q1014,"")</f>
        <v/>
      </c>
    </row>
    <row r="1018" spans="2:63" ht="15.6" x14ac:dyDescent="0.25">
      <c r="B1018" s="324" t="s">
        <v>472</v>
      </c>
      <c r="C1018" s="324"/>
      <c r="D1018" s="175">
        <v>6041</v>
      </c>
      <c r="E1018" s="160"/>
      <c r="H1018" s="324" t="s">
        <v>472</v>
      </c>
      <c r="I1018" s="324"/>
      <c r="J1018" s="175">
        <v>6042</v>
      </c>
      <c r="K1018" s="160"/>
    </row>
    <row r="1019" spans="2:63" x14ac:dyDescent="0.25">
      <c r="B1019" s="160"/>
      <c r="C1019" s="160"/>
      <c r="D1019" s="160"/>
      <c r="E1019" s="160"/>
      <c r="H1019" s="160"/>
      <c r="I1019" s="160"/>
      <c r="J1019" s="160"/>
      <c r="K1019" s="160"/>
    </row>
    <row r="1020" spans="2:63" ht="15.6" x14ac:dyDescent="0.25">
      <c r="B1020" s="324" t="s">
        <v>473</v>
      </c>
      <c r="C1020" s="324"/>
      <c r="D1020" s="234" t="str">
        <f>VLOOKUP(D1018,DivisionariasContables,3,FALSE)</f>
        <v>Envases y Embalajes - Envases</v>
      </c>
      <c r="E1020" s="160"/>
      <c r="H1020" s="324" t="s">
        <v>473</v>
      </c>
      <c r="I1020" s="324"/>
      <c r="J1020" s="234" t="str">
        <f>VLOOKUP(J1018,DivisionariasContables,3,FALSE)</f>
        <v>Envases y Embalajes - Embalajes</v>
      </c>
      <c r="K1020" s="160"/>
    </row>
    <row r="1021" spans="2:63" ht="14.4" thickBot="1" x14ac:dyDescent="0.3"/>
    <row r="1022" spans="2:63" x14ac:dyDescent="0.25">
      <c r="B1022" s="325" t="s">
        <v>466</v>
      </c>
      <c r="C1022" s="327" t="s">
        <v>467</v>
      </c>
      <c r="D1022" s="327" t="s">
        <v>468</v>
      </c>
      <c r="E1022" s="329" t="s">
        <v>469</v>
      </c>
      <c r="F1022" s="330"/>
      <c r="H1022" s="325" t="s">
        <v>466</v>
      </c>
      <c r="I1022" s="327" t="s">
        <v>467</v>
      </c>
      <c r="J1022" s="327" t="s">
        <v>468</v>
      </c>
      <c r="K1022" s="329" t="s">
        <v>469</v>
      </c>
      <c r="L1022" s="330"/>
    </row>
    <row r="1023" spans="2:63" ht="14.4" thickBot="1" x14ac:dyDescent="0.3">
      <c r="B1023" s="326"/>
      <c r="C1023" s="328"/>
      <c r="D1023" s="328"/>
      <c r="E1023" s="232" t="s">
        <v>403</v>
      </c>
      <c r="F1023" s="174" t="s">
        <v>402</v>
      </c>
      <c r="H1023" s="326"/>
      <c r="I1023" s="328"/>
      <c r="J1023" s="328"/>
      <c r="K1023" s="232" t="s">
        <v>403</v>
      </c>
      <c r="L1023" s="174" t="s">
        <v>402</v>
      </c>
    </row>
    <row r="1024" spans="2:63" ht="14.4" thickTop="1" x14ac:dyDescent="0.25">
      <c r="B1024" s="236">
        <v>41670</v>
      </c>
      <c r="C1024" s="171"/>
      <c r="D1024" s="166" t="s">
        <v>470</v>
      </c>
      <c r="E1024" s="167">
        <f>SUMIF('Libro Diario Convencional'!$D$15:$D$167,D1018,'Libro Diario Convencional'!$G$15:$G$167)</f>
        <v>0</v>
      </c>
      <c r="F1024" s="168">
        <f>SUMIF('Libro Diario Convencional'!$D$15:$D$167,D1018,'Libro Diario Convencional'!$H$15:$H$167)</f>
        <v>0</v>
      </c>
      <c r="H1024" s="236">
        <v>41670</v>
      </c>
      <c r="I1024" s="171"/>
      <c r="J1024" s="166" t="s">
        <v>470</v>
      </c>
      <c r="K1024" s="167">
        <f>SUMIF('Libro Diario Convencional'!$D$15:$D$167,J1018,'Libro Diario Convencional'!$G$15:$G$167)</f>
        <v>0</v>
      </c>
      <c r="L1024" s="168">
        <f>SUMIF('Libro Diario Convencional'!$D$15:$D$167,J1018,'Libro Diario Convencional'!$H$15:$H$167)</f>
        <v>0</v>
      </c>
    </row>
    <row r="1025" spans="2:63" x14ac:dyDescent="0.25">
      <c r="B1025" s="169">
        <v>41670</v>
      </c>
      <c r="C1025" s="172"/>
      <c r="D1025" s="161" t="s">
        <v>474</v>
      </c>
      <c r="E1025" s="162">
        <f>SUMIF('Asientos de Cierre'!$D$6:$D$549,D1018,'Asientos de Cierre'!$G$6:$G$549)</f>
        <v>0</v>
      </c>
      <c r="F1025" s="163">
        <f>SUMIF('Asientos de Cierre'!$D$6:$D$549,D1018,'Asientos de Cierre'!$H$6:$H$549)</f>
        <v>0</v>
      </c>
      <c r="H1025" s="169">
        <v>41670</v>
      </c>
      <c r="I1025" s="172"/>
      <c r="J1025" s="161" t="s">
        <v>474</v>
      </c>
      <c r="K1025" s="162">
        <f>SUMIF('Asientos de Cierre'!$D$6:$D$549,J1018,'Asientos de Cierre'!$G$6:$G$549)</f>
        <v>0</v>
      </c>
      <c r="L1025" s="163">
        <f>SUMIF('Asientos de Cierre'!$D$6:$D$549,J1018,'Asientos de Cierre'!$H$6:$H$549)</f>
        <v>0</v>
      </c>
    </row>
    <row r="1026" spans="2:63" x14ac:dyDescent="0.25">
      <c r="B1026" s="169"/>
      <c r="C1026" s="172"/>
      <c r="D1026" s="161"/>
      <c r="E1026" s="162"/>
      <c r="F1026" s="163"/>
      <c r="H1026" s="169"/>
      <c r="I1026" s="172"/>
      <c r="J1026" s="161"/>
      <c r="K1026" s="162"/>
      <c r="L1026" s="163"/>
    </row>
    <row r="1027" spans="2:63" ht="14.4" thickBot="1" x14ac:dyDescent="0.3">
      <c r="B1027" s="169"/>
      <c r="C1027" s="172"/>
      <c r="D1027" s="161"/>
      <c r="E1027" s="162"/>
      <c r="F1027" s="163"/>
      <c r="H1027" s="169"/>
      <c r="I1027" s="172"/>
      <c r="J1027" s="161"/>
      <c r="K1027" s="162"/>
      <c r="L1027" s="163"/>
    </row>
    <row r="1028" spans="2:63" ht="15" thickBot="1" x14ac:dyDescent="0.3">
      <c r="B1028" s="169"/>
      <c r="C1028" s="172"/>
      <c r="D1028" s="161" t="s">
        <v>471</v>
      </c>
      <c r="E1028" s="162">
        <f>SUM(E1024:E1027)</f>
        <v>0</v>
      </c>
      <c r="F1028" s="163">
        <f>SUM(F1024:F1027)</f>
        <v>0</v>
      </c>
      <c r="H1028" s="169"/>
      <c r="I1028" s="172"/>
      <c r="J1028" s="161" t="s">
        <v>471</v>
      </c>
      <c r="K1028" s="162">
        <f>SUM(K1024:K1027)</f>
        <v>0</v>
      </c>
      <c r="L1028" s="163">
        <f>SUM(L1024:L1027)</f>
        <v>0</v>
      </c>
      <c r="BJ1028" s="157">
        <f>SUM(E1028,K1028,Q1028,W1028,AC1028,AI1028,AO1028,AU1028,BA1028,BG1028)</f>
        <v>0</v>
      </c>
      <c r="BK1028" s="158">
        <f>SUM(F1028,L1028,R1028,X1028,AD1028,AJ1028,AP1028,AV1028,BB1028,BH1028)</f>
        <v>0</v>
      </c>
    </row>
    <row r="1029" spans="2:63" ht="14.4" thickBot="1" x14ac:dyDescent="0.3">
      <c r="B1029" s="170"/>
      <c r="C1029" s="173"/>
      <c r="D1029" s="164" t="str">
        <f>IF(E1028=F1028,"",IF(E1028&gt;F1028,"Saldo Deudor","Saldo Acreedor"))</f>
        <v/>
      </c>
      <c r="E1029" s="165" t="str">
        <f>IF(E1028&gt;F1028,E1028-F1028,"")</f>
        <v/>
      </c>
      <c r="F1029" s="176" t="str">
        <f>IF(E1028&lt;F1028,F1028-E1028,"")</f>
        <v/>
      </c>
      <c r="H1029" s="170"/>
      <c r="I1029" s="173"/>
      <c r="J1029" s="164" t="str">
        <f>IF(K1028=L1028,"",IF(K1028&gt;L1028,"Saldo Deudor","Saldo Acreedor"))</f>
        <v/>
      </c>
      <c r="K1029" s="165" t="str">
        <f>IF(K1028&gt;L1028,K1028-L1028,"")</f>
        <v/>
      </c>
      <c r="L1029" s="176" t="str">
        <f>IF(K1028&lt;L1028,L1028-K1028,"")</f>
        <v/>
      </c>
    </row>
    <row r="1032" spans="2:63" ht="15.6" x14ac:dyDescent="0.25">
      <c r="B1032" s="324" t="s">
        <v>472</v>
      </c>
      <c r="C1032" s="324"/>
      <c r="D1032" s="175">
        <v>6091</v>
      </c>
      <c r="E1032" s="160"/>
      <c r="H1032" s="324" t="s">
        <v>472</v>
      </c>
      <c r="I1032" s="324"/>
      <c r="J1032" s="175">
        <v>6092</v>
      </c>
      <c r="K1032" s="160"/>
      <c r="N1032" s="324" t="s">
        <v>472</v>
      </c>
      <c r="O1032" s="324"/>
      <c r="P1032" s="175">
        <v>6099</v>
      </c>
      <c r="Q1032" s="160"/>
    </row>
    <row r="1033" spans="2:63" x14ac:dyDescent="0.25">
      <c r="B1033" s="160"/>
      <c r="C1033" s="160"/>
      <c r="D1033" s="160"/>
      <c r="E1033" s="160"/>
      <c r="H1033" s="160"/>
      <c r="I1033" s="160"/>
      <c r="J1033" s="160"/>
      <c r="K1033" s="160"/>
      <c r="N1033" s="160"/>
      <c r="O1033" s="160"/>
      <c r="P1033" s="160"/>
      <c r="Q1033" s="160"/>
    </row>
    <row r="1034" spans="2:63" ht="15.6" x14ac:dyDescent="0.25">
      <c r="B1034" s="324" t="s">
        <v>473</v>
      </c>
      <c r="C1034" s="324"/>
      <c r="D1034" s="234" t="str">
        <f>VLOOKUP(D1032,DivisionariasContables,3,FALSE)</f>
        <v>Costos Vinculados con las Compras de Mercaderías</v>
      </c>
      <c r="E1034" s="160"/>
      <c r="H1034" s="324" t="s">
        <v>473</v>
      </c>
      <c r="I1034" s="324"/>
      <c r="J1034" s="234" t="str">
        <f>VLOOKUP(J1032,DivisionariasContables,3,FALSE)</f>
        <v>Costos Vinculados con las Compras de Materias Primas</v>
      </c>
      <c r="K1034" s="160"/>
      <c r="N1034" s="324" t="s">
        <v>473</v>
      </c>
      <c r="O1034" s="324"/>
      <c r="P1034" s="234" t="str">
        <f>VLOOKUP(P1032,DivisionariasContables,3,FALSE)</f>
        <v>Costos Vinculados con las Compras - Reclasificación de IGV al Costo</v>
      </c>
      <c r="Q1034" s="160"/>
    </row>
    <row r="1035" spans="2:63" ht="14.4" thickBot="1" x14ac:dyDescent="0.3"/>
    <row r="1036" spans="2:63" x14ac:dyDescent="0.25">
      <c r="B1036" s="325" t="s">
        <v>466</v>
      </c>
      <c r="C1036" s="327" t="s">
        <v>467</v>
      </c>
      <c r="D1036" s="327" t="s">
        <v>468</v>
      </c>
      <c r="E1036" s="329" t="s">
        <v>469</v>
      </c>
      <c r="F1036" s="330"/>
      <c r="H1036" s="325" t="s">
        <v>466</v>
      </c>
      <c r="I1036" s="327" t="s">
        <v>467</v>
      </c>
      <c r="J1036" s="327" t="s">
        <v>468</v>
      </c>
      <c r="K1036" s="329" t="s">
        <v>469</v>
      </c>
      <c r="L1036" s="330"/>
      <c r="N1036" s="325" t="s">
        <v>466</v>
      </c>
      <c r="O1036" s="327" t="s">
        <v>467</v>
      </c>
      <c r="P1036" s="327" t="s">
        <v>468</v>
      </c>
      <c r="Q1036" s="329" t="s">
        <v>469</v>
      </c>
      <c r="R1036" s="330"/>
    </row>
    <row r="1037" spans="2:63" ht="14.4" thickBot="1" x14ac:dyDescent="0.3">
      <c r="B1037" s="326"/>
      <c r="C1037" s="328"/>
      <c r="D1037" s="328"/>
      <c r="E1037" s="232" t="s">
        <v>403</v>
      </c>
      <c r="F1037" s="174" t="s">
        <v>402</v>
      </c>
      <c r="H1037" s="326"/>
      <c r="I1037" s="328"/>
      <c r="J1037" s="328"/>
      <c r="K1037" s="232" t="s">
        <v>403</v>
      </c>
      <c r="L1037" s="174" t="s">
        <v>402</v>
      </c>
      <c r="N1037" s="326"/>
      <c r="O1037" s="328"/>
      <c r="P1037" s="328"/>
      <c r="Q1037" s="232" t="s">
        <v>403</v>
      </c>
      <c r="R1037" s="174" t="s">
        <v>402</v>
      </c>
    </row>
    <row r="1038" spans="2:63" ht="14.4" thickTop="1" x14ac:dyDescent="0.25">
      <c r="B1038" s="236">
        <v>41670</v>
      </c>
      <c r="C1038" s="171"/>
      <c r="D1038" s="166" t="s">
        <v>470</v>
      </c>
      <c r="E1038" s="167">
        <f>SUMIF('Libro Diario Convencional'!$D$15:$D$167,D1032,'Libro Diario Convencional'!$G$15:$G$167)</f>
        <v>0</v>
      </c>
      <c r="F1038" s="168">
        <f>SUMIF('Libro Diario Convencional'!$D$15:$D$167,D1032,'Libro Diario Convencional'!$H$15:$H$167)</f>
        <v>0</v>
      </c>
      <c r="H1038" s="236">
        <v>41670</v>
      </c>
      <c r="I1038" s="171"/>
      <c r="J1038" s="166" t="s">
        <v>470</v>
      </c>
      <c r="K1038" s="167">
        <f>SUMIF('Libro Diario Convencional'!$D$15:$D$167,J1032,'Libro Diario Convencional'!$G$15:$G$167)</f>
        <v>0</v>
      </c>
      <c r="L1038" s="168">
        <f>SUMIF('Libro Diario Convencional'!$D$15:$D$167,J1032,'Libro Diario Convencional'!$H$15:$H$167)</f>
        <v>0</v>
      </c>
      <c r="N1038" s="236">
        <v>41670</v>
      </c>
      <c r="O1038" s="171"/>
      <c r="P1038" s="166" t="s">
        <v>470</v>
      </c>
      <c r="Q1038" s="167">
        <f>SUMIF('Libro Diario Convencional'!$D$15:$D$167,P1032,'Libro Diario Convencional'!$G$15:$G$167)</f>
        <v>0</v>
      </c>
      <c r="R1038" s="168">
        <f>SUMIF('Libro Diario Convencional'!$D$15:$D$167,P1032,'Libro Diario Convencional'!$H$15:$H$167)</f>
        <v>0</v>
      </c>
    </row>
    <row r="1039" spans="2:63" x14ac:dyDescent="0.25">
      <c r="B1039" s="169">
        <v>41670</v>
      </c>
      <c r="C1039" s="172"/>
      <c r="D1039" s="161" t="s">
        <v>474</v>
      </c>
      <c r="E1039" s="162">
        <f>SUMIF('Asientos de Cierre'!$D$6:$D$549,D1032,'Asientos de Cierre'!$G$6:$G$549)</f>
        <v>0</v>
      </c>
      <c r="F1039" s="163">
        <f>SUMIF('Asientos de Cierre'!$D$6:$D$549,D1032,'Asientos de Cierre'!$H$6:$H$549)</f>
        <v>0</v>
      </c>
      <c r="H1039" s="169">
        <v>41670</v>
      </c>
      <c r="I1039" s="172"/>
      <c r="J1039" s="161" t="s">
        <v>474</v>
      </c>
      <c r="K1039" s="162">
        <f>SUMIF('Asientos de Cierre'!$D$6:$D$549,J1032,'Asientos de Cierre'!$G$6:$G$549)</f>
        <v>0</v>
      </c>
      <c r="L1039" s="163">
        <f>SUMIF('Asientos de Cierre'!$D$6:$D$549,J1032,'Asientos de Cierre'!$H$6:$H$549)</f>
        <v>0</v>
      </c>
      <c r="N1039" s="169">
        <v>41670</v>
      </c>
      <c r="O1039" s="172"/>
      <c r="P1039" s="161" t="s">
        <v>474</v>
      </c>
      <c r="Q1039" s="162">
        <f>SUMIF('Asientos de Cierre'!$D$6:$D$549,P1032,'Asientos de Cierre'!$G$6:$G$549)</f>
        <v>0</v>
      </c>
      <c r="R1039" s="163">
        <f>SUMIF('Asientos de Cierre'!$D$6:$D$549,P1032,'Asientos de Cierre'!$H$6:$H$549)</f>
        <v>0</v>
      </c>
    </row>
    <row r="1040" spans="2:63" x14ac:dyDescent="0.25">
      <c r="B1040" s="169"/>
      <c r="C1040" s="172"/>
      <c r="D1040" s="161"/>
      <c r="E1040" s="162"/>
      <c r="F1040" s="163"/>
      <c r="H1040" s="169"/>
      <c r="I1040" s="172"/>
      <c r="J1040" s="161"/>
      <c r="K1040" s="162"/>
      <c r="L1040" s="163"/>
      <c r="N1040" s="169"/>
      <c r="O1040" s="172"/>
      <c r="P1040" s="161"/>
      <c r="Q1040" s="162"/>
      <c r="R1040" s="163"/>
    </row>
    <row r="1041" spans="2:63" ht="14.4" thickBot="1" x14ac:dyDescent="0.3">
      <c r="B1041" s="169"/>
      <c r="C1041" s="172"/>
      <c r="D1041" s="161"/>
      <c r="E1041" s="162"/>
      <c r="F1041" s="163"/>
      <c r="H1041" s="169"/>
      <c r="I1041" s="172"/>
      <c r="J1041" s="161"/>
      <c r="K1041" s="162"/>
      <c r="L1041" s="163"/>
      <c r="N1041" s="169"/>
      <c r="O1041" s="172"/>
      <c r="P1041" s="161"/>
      <c r="Q1041" s="162"/>
      <c r="R1041" s="163"/>
    </row>
    <row r="1042" spans="2:63" ht="15" thickBot="1" x14ac:dyDescent="0.3">
      <c r="B1042" s="169"/>
      <c r="C1042" s="172"/>
      <c r="D1042" s="161" t="s">
        <v>471</v>
      </c>
      <c r="E1042" s="162">
        <f>SUM(E1038:E1041)</f>
        <v>0</v>
      </c>
      <c r="F1042" s="163">
        <f>SUM(F1038:F1041)</f>
        <v>0</v>
      </c>
      <c r="H1042" s="169"/>
      <c r="I1042" s="172"/>
      <c r="J1042" s="161" t="s">
        <v>471</v>
      </c>
      <c r="K1042" s="162">
        <f>SUM(K1038:K1041)</f>
        <v>0</v>
      </c>
      <c r="L1042" s="163">
        <f>SUM(L1038:L1041)</f>
        <v>0</v>
      </c>
      <c r="N1042" s="169"/>
      <c r="O1042" s="172"/>
      <c r="P1042" s="161" t="s">
        <v>471</v>
      </c>
      <c r="Q1042" s="162">
        <f>SUM(Q1038:Q1041)</f>
        <v>0</v>
      </c>
      <c r="R1042" s="163">
        <f>SUM(R1038:R1041)</f>
        <v>0</v>
      </c>
      <c r="BJ1042" s="157">
        <f>SUM(E1042,K1042,Q1042,W1042,AC1042,AI1042,AO1042,AU1042,BA1042,BG1042)</f>
        <v>0</v>
      </c>
      <c r="BK1042" s="158">
        <f>SUM(F1042,L1042,R1042,X1042,AD1042,AJ1042,AP1042,AV1042,BB1042,BH1042)</f>
        <v>0</v>
      </c>
    </row>
    <row r="1043" spans="2:63" ht="14.4" thickBot="1" x14ac:dyDescent="0.3">
      <c r="B1043" s="170"/>
      <c r="C1043" s="173"/>
      <c r="D1043" s="164" t="str">
        <f>IF(E1042=F1042,"",IF(E1042&gt;F1042,"Saldo Deudor","Saldo Acreedor"))</f>
        <v/>
      </c>
      <c r="E1043" s="165" t="str">
        <f>IF(E1042&gt;F1042,E1042-F1042,"")</f>
        <v/>
      </c>
      <c r="F1043" s="176" t="str">
        <f>IF(E1042&lt;F1042,F1042-E1042,"")</f>
        <v/>
      </c>
      <c r="H1043" s="170"/>
      <c r="I1043" s="173"/>
      <c r="J1043" s="164" t="str">
        <f>IF(K1042=L1042,"",IF(K1042&gt;L1042,"Saldo Deudor","Saldo Acreedor"))</f>
        <v/>
      </c>
      <c r="K1043" s="165" t="str">
        <f>IF(K1042&gt;L1042,K1042-L1042,"")</f>
        <v/>
      </c>
      <c r="L1043" s="176" t="str">
        <f>IF(K1042&lt;L1042,L1042-K1042,"")</f>
        <v/>
      </c>
      <c r="N1043" s="170"/>
      <c r="O1043" s="173"/>
      <c r="P1043" s="164" t="str">
        <f>IF(Q1042=R1042,"",IF(Q1042&gt;R1042,"Saldo Deudor","Saldo Acreedor"))</f>
        <v/>
      </c>
      <c r="Q1043" s="165" t="str">
        <f>IF(Q1042&gt;R1042,Q1042-R1042,"")</f>
        <v/>
      </c>
      <c r="R1043" s="176" t="str">
        <f>IF(Q1042&lt;R1042,R1042-Q1042,"")</f>
        <v/>
      </c>
    </row>
    <row r="1046" spans="2:63" ht="15.6" x14ac:dyDescent="0.25">
      <c r="B1046" s="324" t="s">
        <v>472</v>
      </c>
      <c r="C1046" s="324"/>
      <c r="D1046" s="175">
        <v>6111</v>
      </c>
      <c r="E1046" s="160"/>
    </row>
    <row r="1047" spans="2:63" x14ac:dyDescent="0.25">
      <c r="B1047" s="160"/>
      <c r="C1047" s="160"/>
      <c r="D1047" s="160"/>
      <c r="E1047" s="160"/>
    </row>
    <row r="1048" spans="2:63" ht="15.6" x14ac:dyDescent="0.25">
      <c r="B1048" s="324" t="s">
        <v>473</v>
      </c>
      <c r="C1048" s="324"/>
      <c r="D1048" s="234" t="str">
        <f>VLOOKUP(D1046,DivisionariasContables,3,FALSE)</f>
        <v>Mercaderías Manufacturadas</v>
      </c>
      <c r="E1048" s="160"/>
    </row>
    <row r="1049" spans="2:63" ht="14.4" thickBot="1" x14ac:dyDescent="0.3"/>
    <row r="1050" spans="2:63" x14ac:dyDescent="0.25">
      <c r="B1050" s="325" t="s">
        <v>466</v>
      </c>
      <c r="C1050" s="327" t="s">
        <v>467</v>
      </c>
      <c r="D1050" s="327" t="s">
        <v>468</v>
      </c>
      <c r="E1050" s="329" t="s">
        <v>469</v>
      </c>
      <c r="F1050" s="330"/>
    </row>
    <row r="1051" spans="2:63" ht="14.4" thickBot="1" x14ac:dyDescent="0.3">
      <c r="B1051" s="326"/>
      <c r="C1051" s="328"/>
      <c r="D1051" s="328"/>
      <c r="E1051" s="232" t="s">
        <v>403</v>
      </c>
      <c r="F1051" s="174" t="s">
        <v>402</v>
      </c>
    </row>
    <row r="1052" spans="2:63" ht="14.4" thickTop="1" x14ac:dyDescent="0.25">
      <c r="B1052" s="236">
        <v>41670</v>
      </c>
      <c r="C1052" s="171"/>
      <c r="D1052" s="166" t="s">
        <v>470</v>
      </c>
      <c r="E1052" s="167">
        <f>SUMIF('Libro Diario Convencional'!$D$15:$D$167,D1046,'Libro Diario Convencional'!$G$15:$G$167)</f>
        <v>0</v>
      </c>
      <c r="F1052" s="168">
        <f>SUMIF('Libro Diario Convencional'!$D$15:$D$167,D1046,'Libro Diario Convencional'!$H$15:$H$167)</f>
        <v>154100</v>
      </c>
    </row>
    <row r="1053" spans="2:63" x14ac:dyDescent="0.25">
      <c r="B1053" s="169">
        <v>41670</v>
      </c>
      <c r="C1053" s="172"/>
      <c r="D1053" s="161" t="s">
        <v>474</v>
      </c>
      <c r="E1053" s="162">
        <f>SUMIF('Asientos de Cierre'!$D$6:$D$549,D1046,'Asientos de Cierre'!$G$6:$G$549)</f>
        <v>154100</v>
      </c>
      <c r="F1053" s="163">
        <f>SUMIF('Asientos de Cierre'!$D$6:$D$549,D1046,'Asientos de Cierre'!$H$6:$H$549)</f>
        <v>0</v>
      </c>
    </row>
    <row r="1054" spans="2:63" x14ac:dyDescent="0.25">
      <c r="B1054" s="169"/>
      <c r="C1054" s="172"/>
      <c r="D1054" s="161"/>
      <c r="E1054" s="162"/>
      <c r="F1054" s="163"/>
    </row>
    <row r="1055" spans="2:63" ht="14.4" thickBot="1" x14ac:dyDescent="0.3">
      <c r="B1055" s="169"/>
      <c r="C1055" s="172"/>
      <c r="D1055" s="161"/>
      <c r="E1055" s="162"/>
      <c r="F1055" s="163"/>
    </row>
    <row r="1056" spans="2:63" ht="15" thickBot="1" x14ac:dyDescent="0.3">
      <c r="B1056" s="169"/>
      <c r="C1056" s="172"/>
      <c r="D1056" s="161" t="s">
        <v>471</v>
      </c>
      <c r="E1056" s="162">
        <f>SUM(E1052:E1055)</f>
        <v>154100</v>
      </c>
      <c r="F1056" s="163">
        <f>SUM(F1052:F1055)</f>
        <v>154100</v>
      </c>
      <c r="BJ1056" s="157">
        <f>SUM(E1056,K1056,Q1056,W1056,AC1056,AI1056,AO1056,AU1056,BA1056,BG1056)</f>
        <v>154100</v>
      </c>
      <c r="BK1056" s="158">
        <f>SUM(F1056,L1056,R1056,X1056,AD1056,AJ1056,AP1056,AV1056,BB1056,BH1056)</f>
        <v>154100</v>
      </c>
    </row>
    <row r="1057" spans="2:63" ht="14.4" thickBot="1" x14ac:dyDescent="0.3">
      <c r="B1057" s="170"/>
      <c r="C1057" s="173"/>
      <c r="D1057" s="164" t="str">
        <f>IF(E1056=F1056,"",IF(E1056&gt;F1056,"Saldo Deudor","Saldo Acreedor"))</f>
        <v/>
      </c>
      <c r="E1057" s="165" t="str">
        <f>IF(E1056&gt;F1056,E1056-F1056,"")</f>
        <v/>
      </c>
      <c r="F1057" s="176" t="str">
        <f>IF(E1056&lt;F1056,F1056-E1056,"")</f>
        <v/>
      </c>
    </row>
    <row r="1060" spans="2:63" ht="15.6" x14ac:dyDescent="0.25">
      <c r="B1060" s="324" t="s">
        <v>472</v>
      </c>
      <c r="C1060" s="324"/>
      <c r="D1060" s="175">
        <v>6121</v>
      </c>
      <c r="E1060" s="160"/>
    </row>
    <row r="1061" spans="2:63" x14ac:dyDescent="0.25">
      <c r="B1061" s="160"/>
      <c r="C1061" s="160"/>
      <c r="D1061" s="160"/>
      <c r="E1061" s="160"/>
    </row>
    <row r="1062" spans="2:63" ht="15.6" x14ac:dyDescent="0.25">
      <c r="B1062" s="324" t="s">
        <v>473</v>
      </c>
      <c r="C1062" s="324"/>
      <c r="D1062" s="234" t="str">
        <f>VLOOKUP(D1060,DivisionariasContables,3,FALSE)</f>
        <v>Materias Primas para Productos Manufacturados</v>
      </c>
      <c r="E1062" s="160"/>
    </row>
    <row r="1063" spans="2:63" ht="14.4" thickBot="1" x14ac:dyDescent="0.3"/>
    <row r="1064" spans="2:63" x14ac:dyDescent="0.25">
      <c r="B1064" s="325" t="s">
        <v>466</v>
      </c>
      <c r="C1064" s="327" t="s">
        <v>467</v>
      </c>
      <c r="D1064" s="327" t="s">
        <v>468</v>
      </c>
      <c r="E1064" s="329" t="s">
        <v>469</v>
      </c>
      <c r="F1064" s="330"/>
    </row>
    <row r="1065" spans="2:63" ht="14.4" thickBot="1" x14ac:dyDescent="0.3">
      <c r="B1065" s="326"/>
      <c r="C1065" s="328"/>
      <c r="D1065" s="328"/>
      <c r="E1065" s="232" t="s">
        <v>403</v>
      </c>
      <c r="F1065" s="174" t="s">
        <v>402</v>
      </c>
    </row>
    <row r="1066" spans="2:63" ht="14.4" thickTop="1" x14ac:dyDescent="0.25">
      <c r="B1066" s="236">
        <v>41670</v>
      </c>
      <c r="C1066" s="171"/>
      <c r="D1066" s="166" t="s">
        <v>470</v>
      </c>
      <c r="E1066" s="167">
        <f>SUMIF('Libro Diario Convencional'!$D$15:$D$167,D1060,'Libro Diario Convencional'!$G$15:$G$167)</f>
        <v>0</v>
      </c>
      <c r="F1066" s="168">
        <f>SUMIF('Libro Diario Convencional'!$D$15:$D$167,D1060,'Libro Diario Convencional'!$H$15:$H$167)</f>
        <v>0</v>
      </c>
    </row>
    <row r="1067" spans="2:63" x14ac:dyDescent="0.25">
      <c r="B1067" s="169">
        <v>41670</v>
      </c>
      <c r="C1067" s="172"/>
      <c r="D1067" s="161" t="s">
        <v>474</v>
      </c>
      <c r="E1067" s="162">
        <f>SUMIF('Asientos de Cierre'!$D$6:$D$549,D1060,'Asientos de Cierre'!$G$6:$G$549)</f>
        <v>0</v>
      </c>
      <c r="F1067" s="163">
        <f>SUMIF('Asientos de Cierre'!$D$6:$D$549,D1060,'Asientos de Cierre'!$H$6:$H$549)</f>
        <v>0</v>
      </c>
    </row>
    <row r="1068" spans="2:63" x14ac:dyDescent="0.25">
      <c r="B1068" s="169"/>
      <c r="C1068" s="172"/>
      <c r="D1068" s="161"/>
      <c r="E1068" s="162"/>
      <c r="F1068" s="163"/>
    </row>
    <row r="1069" spans="2:63" ht="14.4" thickBot="1" x14ac:dyDescent="0.3">
      <c r="B1069" s="169"/>
      <c r="C1069" s="172"/>
      <c r="D1069" s="161"/>
      <c r="E1069" s="162"/>
      <c r="F1069" s="163"/>
    </row>
    <row r="1070" spans="2:63" ht="15" thickBot="1" x14ac:dyDescent="0.3">
      <c r="B1070" s="169"/>
      <c r="C1070" s="172"/>
      <c r="D1070" s="161" t="s">
        <v>471</v>
      </c>
      <c r="E1070" s="162">
        <f>SUM(E1066:E1069)</f>
        <v>0</v>
      </c>
      <c r="F1070" s="163">
        <f>SUM(F1066:F1069)</f>
        <v>0</v>
      </c>
      <c r="BJ1070" s="157">
        <f>SUM(E1070,K1070,Q1070,W1070,AC1070,AI1070,AO1070,AU1070,BA1070,BG1070)</f>
        <v>0</v>
      </c>
      <c r="BK1070" s="158">
        <f>SUM(F1070,L1070,R1070,X1070,AD1070,AJ1070,AP1070,AV1070,BB1070,BH1070)</f>
        <v>0</v>
      </c>
    </row>
    <row r="1071" spans="2:63" ht="14.4" thickBot="1" x14ac:dyDescent="0.3">
      <c r="B1071" s="170"/>
      <c r="C1071" s="173"/>
      <c r="D1071" s="164" t="str">
        <f>IF(E1070=F1070,"",IF(E1070&gt;F1070,"Saldo Deudor","Saldo Acreedor"))</f>
        <v/>
      </c>
      <c r="E1071" s="165" t="str">
        <f>IF(E1070&gt;F1070,E1070-F1070,"")</f>
        <v/>
      </c>
      <c r="F1071" s="176" t="str">
        <f>IF(E1070&lt;F1070,F1070-E1070,"")</f>
        <v/>
      </c>
    </row>
    <row r="1074" spans="2:63" ht="15.6" x14ac:dyDescent="0.25">
      <c r="B1074" s="324" t="s">
        <v>472</v>
      </c>
      <c r="C1074" s="324"/>
      <c r="D1074" s="175">
        <v>6131</v>
      </c>
      <c r="E1074" s="160"/>
      <c r="H1074" s="324" t="s">
        <v>472</v>
      </c>
      <c r="I1074" s="324"/>
      <c r="J1074" s="175">
        <v>6132</v>
      </c>
      <c r="K1074" s="160"/>
      <c r="N1074" s="324" t="s">
        <v>472</v>
      </c>
      <c r="O1074" s="324"/>
      <c r="P1074" s="175">
        <v>6133</v>
      </c>
      <c r="Q1074" s="160"/>
    </row>
    <row r="1075" spans="2:63" x14ac:dyDescent="0.25">
      <c r="B1075" s="160"/>
      <c r="C1075" s="160"/>
      <c r="D1075" s="160"/>
      <c r="E1075" s="160"/>
      <c r="H1075" s="160"/>
      <c r="I1075" s="160"/>
      <c r="J1075" s="160"/>
      <c r="K1075" s="160"/>
      <c r="N1075" s="160"/>
      <c r="O1075" s="160"/>
      <c r="P1075" s="160"/>
      <c r="Q1075" s="160"/>
    </row>
    <row r="1076" spans="2:63" ht="15.6" x14ac:dyDescent="0.25">
      <c r="B1076" s="324" t="s">
        <v>473</v>
      </c>
      <c r="C1076" s="324"/>
      <c r="D1076" s="234" t="str">
        <f>VLOOKUP(D1074,DivisionariasContables,3,FALSE)</f>
        <v>Materiales Auxiliares</v>
      </c>
      <c r="E1076" s="160"/>
      <c r="H1076" s="324" t="s">
        <v>473</v>
      </c>
      <c r="I1076" s="324"/>
      <c r="J1076" s="234" t="str">
        <f>VLOOKUP(J1074,DivisionariasContables,3,FALSE)</f>
        <v>Suministros</v>
      </c>
      <c r="K1076" s="160"/>
      <c r="N1076" s="324" t="s">
        <v>473</v>
      </c>
      <c r="O1076" s="324"/>
      <c r="P1076" s="234" t="str">
        <f>VLOOKUP(P1074,DivisionariasContables,3,FALSE)</f>
        <v>Repuestos</v>
      </c>
      <c r="Q1076" s="160"/>
    </row>
    <row r="1077" spans="2:63" ht="14.4" thickBot="1" x14ac:dyDescent="0.3"/>
    <row r="1078" spans="2:63" x14ac:dyDescent="0.25">
      <c r="B1078" s="325" t="s">
        <v>466</v>
      </c>
      <c r="C1078" s="327" t="s">
        <v>467</v>
      </c>
      <c r="D1078" s="327" t="s">
        <v>468</v>
      </c>
      <c r="E1078" s="329" t="s">
        <v>469</v>
      </c>
      <c r="F1078" s="330"/>
      <c r="H1078" s="325" t="s">
        <v>466</v>
      </c>
      <c r="I1078" s="327" t="s">
        <v>467</v>
      </c>
      <c r="J1078" s="327" t="s">
        <v>468</v>
      </c>
      <c r="K1078" s="329" t="s">
        <v>469</v>
      </c>
      <c r="L1078" s="330"/>
      <c r="N1078" s="325" t="s">
        <v>466</v>
      </c>
      <c r="O1078" s="327" t="s">
        <v>467</v>
      </c>
      <c r="P1078" s="327" t="s">
        <v>468</v>
      </c>
      <c r="Q1078" s="329" t="s">
        <v>469</v>
      </c>
      <c r="R1078" s="330"/>
    </row>
    <row r="1079" spans="2:63" ht="14.4" thickBot="1" x14ac:dyDescent="0.3">
      <c r="B1079" s="326"/>
      <c r="C1079" s="328"/>
      <c r="D1079" s="328"/>
      <c r="E1079" s="232" t="s">
        <v>403</v>
      </c>
      <c r="F1079" s="174" t="s">
        <v>402</v>
      </c>
      <c r="H1079" s="326"/>
      <c r="I1079" s="328"/>
      <c r="J1079" s="328"/>
      <c r="K1079" s="232" t="s">
        <v>403</v>
      </c>
      <c r="L1079" s="174" t="s">
        <v>402</v>
      </c>
      <c r="N1079" s="326"/>
      <c r="O1079" s="328"/>
      <c r="P1079" s="328"/>
      <c r="Q1079" s="232" t="s">
        <v>403</v>
      </c>
      <c r="R1079" s="174" t="s">
        <v>402</v>
      </c>
    </row>
    <row r="1080" spans="2:63" ht="14.4" thickTop="1" x14ac:dyDescent="0.25">
      <c r="B1080" s="236">
        <v>41670</v>
      </c>
      <c r="C1080" s="171"/>
      <c r="D1080" s="166" t="s">
        <v>470</v>
      </c>
      <c r="E1080" s="167">
        <f>SUMIF('Libro Diario Convencional'!$D$15:$D$167,D1074,'Libro Diario Convencional'!$G$15:$G$167)</f>
        <v>0</v>
      </c>
      <c r="F1080" s="168">
        <f>SUMIF('Libro Diario Convencional'!$D$15:$D$167,D1074,'Libro Diario Convencional'!$H$15:$H$167)</f>
        <v>0</v>
      </c>
      <c r="H1080" s="236">
        <v>41670</v>
      </c>
      <c r="I1080" s="171"/>
      <c r="J1080" s="166" t="s">
        <v>470</v>
      </c>
      <c r="K1080" s="167">
        <f>SUMIF('Libro Diario Convencional'!$D$15:$D$167,J1074,'Libro Diario Convencional'!$G$15:$G$167)</f>
        <v>0</v>
      </c>
      <c r="L1080" s="168">
        <f>SUMIF('Libro Diario Convencional'!$D$15:$D$167,J1074,'Libro Diario Convencional'!$H$15:$H$167)</f>
        <v>0</v>
      </c>
      <c r="N1080" s="236">
        <v>41670</v>
      </c>
      <c r="O1080" s="171"/>
      <c r="P1080" s="166" t="s">
        <v>470</v>
      </c>
      <c r="Q1080" s="167">
        <f>SUMIF('Libro Diario Convencional'!$D$15:$D$167,P1074,'Libro Diario Convencional'!$G$15:$G$167)</f>
        <v>0</v>
      </c>
      <c r="R1080" s="168">
        <f>SUMIF('Libro Diario Convencional'!$D$15:$D$167,P1074,'Libro Diario Convencional'!$H$15:$H$167)</f>
        <v>0</v>
      </c>
    </row>
    <row r="1081" spans="2:63" x14ac:dyDescent="0.25">
      <c r="B1081" s="169">
        <v>41670</v>
      </c>
      <c r="C1081" s="172"/>
      <c r="D1081" s="161" t="s">
        <v>474</v>
      </c>
      <c r="E1081" s="162">
        <f>SUMIF('Asientos de Cierre'!$D$6:$D$549,D1074,'Asientos de Cierre'!$G$6:$G$549)</f>
        <v>0</v>
      </c>
      <c r="F1081" s="163">
        <f>SUMIF('Asientos de Cierre'!$D$6:$D$549,D1074,'Asientos de Cierre'!$H$6:$H$549)</f>
        <v>0</v>
      </c>
      <c r="H1081" s="169">
        <v>41670</v>
      </c>
      <c r="I1081" s="172"/>
      <c r="J1081" s="161" t="s">
        <v>474</v>
      </c>
      <c r="K1081" s="162">
        <f>SUMIF('Asientos de Cierre'!$D$6:$D$549,J1074,'Asientos de Cierre'!$G$6:$G$549)</f>
        <v>0</v>
      </c>
      <c r="L1081" s="163">
        <f>SUMIF('Asientos de Cierre'!$D$6:$D$549,J1074,'Asientos de Cierre'!$H$6:$H$549)</f>
        <v>0</v>
      </c>
      <c r="N1081" s="169">
        <v>41670</v>
      </c>
      <c r="O1081" s="172"/>
      <c r="P1081" s="161" t="s">
        <v>474</v>
      </c>
      <c r="Q1081" s="162">
        <f>SUMIF('Asientos de Cierre'!$D$6:$D$549,P1074,'Asientos de Cierre'!$G$6:$G$549)</f>
        <v>0</v>
      </c>
      <c r="R1081" s="163">
        <f>SUMIF('Asientos de Cierre'!$D$6:$D$549,P1074,'Asientos de Cierre'!$H$6:$H$549)</f>
        <v>0</v>
      </c>
    </row>
    <row r="1082" spans="2:63" x14ac:dyDescent="0.25">
      <c r="B1082" s="169"/>
      <c r="C1082" s="172"/>
      <c r="D1082" s="161"/>
      <c r="E1082" s="162"/>
      <c r="F1082" s="163"/>
      <c r="H1082" s="169"/>
      <c r="I1082" s="172"/>
      <c r="J1082" s="161"/>
      <c r="K1082" s="162"/>
      <c r="L1082" s="163"/>
      <c r="N1082" s="169"/>
      <c r="O1082" s="172"/>
      <c r="P1082" s="161"/>
      <c r="Q1082" s="162"/>
      <c r="R1082" s="163"/>
    </row>
    <row r="1083" spans="2:63" ht="14.4" thickBot="1" x14ac:dyDescent="0.3">
      <c r="B1083" s="169"/>
      <c r="C1083" s="172"/>
      <c r="D1083" s="161"/>
      <c r="E1083" s="162"/>
      <c r="F1083" s="163"/>
      <c r="H1083" s="169"/>
      <c r="I1083" s="172"/>
      <c r="J1083" s="161"/>
      <c r="K1083" s="162"/>
      <c r="L1083" s="163"/>
      <c r="N1083" s="169"/>
      <c r="O1083" s="172"/>
      <c r="P1083" s="161"/>
      <c r="Q1083" s="162"/>
      <c r="R1083" s="163"/>
    </row>
    <row r="1084" spans="2:63" ht="15" thickBot="1" x14ac:dyDescent="0.3">
      <c r="B1084" s="169"/>
      <c r="C1084" s="172"/>
      <c r="D1084" s="161" t="s">
        <v>471</v>
      </c>
      <c r="E1084" s="162">
        <f>SUM(E1080:E1083)</f>
        <v>0</v>
      </c>
      <c r="F1084" s="163">
        <f>SUM(F1080:F1083)</f>
        <v>0</v>
      </c>
      <c r="H1084" s="169"/>
      <c r="I1084" s="172"/>
      <c r="J1084" s="161" t="s">
        <v>471</v>
      </c>
      <c r="K1084" s="162">
        <f>SUM(K1080:K1083)</f>
        <v>0</v>
      </c>
      <c r="L1084" s="163">
        <f>SUM(L1080:L1083)</f>
        <v>0</v>
      </c>
      <c r="N1084" s="169"/>
      <c r="O1084" s="172"/>
      <c r="P1084" s="161" t="s">
        <v>471</v>
      </c>
      <c r="Q1084" s="162">
        <f>SUM(Q1080:Q1083)</f>
        <v>0</v>
      </c>
      <c r="R1084" s="163">
        <f>SUM(R1080:R1083)</f>
        <v>0</v>
      </c>
      <c r="BJ1084" s="157">
        <f>SUM(E1084,K1084,Q1084,W1084,AC1084,AI1084,AO1084,AU1084,BA1084,BG1084)</f>
        <v>0</v>
      </c>
      <c r="BK1084" s="158">
        <f>SUM(F1084,L1084,R1084,X1084,AD1084,AJ1084,AP1084,AV1084,BB1084,BH1084)</f>
        <v>0</v>
      </c>
    </row>
    <row r="1085" spans="2:63" ht="14.4" thickBot="1" x14ac:dyDescent="0.3">
      <c r="B1085" s="170"/>
      <c r="C1085" s="173"/>
      <c r="D1085" s="164" t="str">
        <f>IF(E1084=F1084,"",IF(E1084&gt;F1084,"Saldo Deudor","Saldo Acreedor"))</f>
        <v/>
      </c>
      <c r="E1085" s="165" t="str">
        <f>IF(E1084&gt;F1084,E1084-F1084,"")</f>
        <v/>
      </c>
      <c r="F1085" s="176" t="str">
        <f>IF(E1084&lt;F1084,F1084-E1084,"")</f>
        <v/>
      </c>
      <c r="H1085" s="170"/>
      <c r="I1085" s="173"/>
      <c r="J1085" s="164" t="str">
        <f>IF(K1084=L1084,"",IF(K1084&gt;L1084,"Saldo Deudor","Saldo Acreedor"))</f>
        <v/>
      </c>
      <c r="K1085" s="165" t="str">
        <f>IF(K1084&gt;L1084,K1084-L1084,"")</f>
        <v/>
      </c>
      <c r="L1085" s="176" t="str">
        <f>IF(K1084&lt;L1084,L1084-K1084,"")</f>
        <v/>
      </c>
      <c r="N1085" s="170"/>
      <c r="O1085" s="173"/>
      <c r="P1085" s="164" t="str">
        <f>IF(Q1084=R1084,"",IF(Q1084&gt;R1084,"Saldo Deudor","Saldo Acreedor"))</f>
        <v/>
      </c>
      <c r="Q1085" s="165" t="str">
        <f>IF(Q1084&gt;R1084,Q1084-R1084,"")</f>
        <v/>
      </c>
      <c r="R1085" s="176" t="str">
        <f>IF(Q1084&lt;R1084,R1084-Q1084,"")</f>
        <v/>
      </c>
    </row>
    <row r="1088" spans="2:63" ht="15.6" x14ac:dyDescent="0.25">
      <c r="B1088" s="324" t="s">
        <v>472</v>
      </c>
      <c r="C1088" s="324"/>
      <c r="D1088" s="175">
        <v>6141</v>
      </c>
      <c r="E1088" s="160"/>
      <c r="H1088" s="324" t="s">
        <v>472</v>
      </c>
      <c r="I1088" s="324"/>
      <c r="J1088" s="175">
        <v>6142</v>
      </c>
      <c r="K1088" s="160"/>
    </row>
    <row r="1089" spans="2:63" x14ac:dyDescent="0.25">
      <c r="B1089" s="160"/>
      <c r="C1089" s="160"/>
      <c r="D1089" s="160"/>
      <c r="E1089" s="160"/>
      <c r="H1089" s="160"/>
      <c r="I1089" s="160"/>
      <c r="J1089" s="160"/>
      <c r="K1089" s="160"/>
    </row>
    <row r="1090" spans="2:63" ht="15.6" x14ac:dyDescent="0.25">
      <c r="B1090" s="324" t="s">
        <v>473</v>
      </c>
      <c r="C1090" s="324"/>
      <c r="D1090" s="234" t="str">
        <f>VLOOKUP(D1088,DivisionariasContables,3,FALSE)</f>
        <v>Envases</v>
      </c>
      <c r="E1090" s="160"/>
      <c r="H1090" s="324" t="s">
        <v>473</v>
      </c>
      <c r="I1090" s="324"/>
      <c r="J1090" s="234" t="str">
        <f>VLOOKUP(J1088,DivisionariasContables,3,FALSE)</f>
        <v>Embalajes</v>
      </c>
      <c r="K1090" s="160"/>
    </row>
    <row r="1091" spans="2:63" ht="14.4" thickBot="1" x14ac:dyDescent="0.3"/>
    <row r="1092" spans="2:63" x14ac:dyDescent="0.25">
      <c r="B1092" s="325" t="s">
        <v>466</v>
      </c>
      <c r="C1092" s="327" t="s">
        <v>467</v>
      </c>
      <c r="D1092" s="327" t="s">
        <v>468</v>
      </c>
      <c r="E1092" s="329" t="s">
        <v>469</v>
      </c>
      <c r="F1092" s="330"/>
      <c r="H1092" s="325" t="s">
        <v>466</v>
      </c>
      <c r="I1092" s="327" t="s">
        <v>467</v>
      </c>
      <c r="J1092" s="327" t="s">
        <v>468</v>
      </c>
      <c r="K1092" s="329" t="s">
        <v>469</v>
      </c>
      <c r="L1092" s="330"/>
    </row>
    <row r="1093" spans="2:63" ht="14.4" thickBot="1" x14ac:dyDescent="0.3">
      <c r="B1093" s="326"/>
      <c r="C1093" s="328"/>
      <c r="D1093" s="328"/>
      <c r="E1093" s="232" t="s">
        <v>403</v>
      </c>
      <c r="F1093" s="174" t="s">
        <v>402</v>
      </c>
      <c r="H1093" s="326"/>
      <c r="I1093" s="328"/>
      <c r="J1093" s="328"/>
      <c r="K1093" s="232" t="s">
        <v>403</v>
      </c>
      <c r="L1093" s="174" t="s">
        <v>402</v>
      </c>
    </row>
    <row r="1094" spans="2:63" ht="14.4" thickTop="1" x14ac:dyDescent="0.25">
      <c r="B1094" s="236">
        <v>41670</v>
      </c>
      <c r="C1094" s="171"/>
      <c r="D1094" s="166" t="s">
        <v>470</v>
      </c>
      <c r="E1094" s="167">
        <f>SUMIF('Libro Diario Convencional'!$D$15:$D$167,D1088,'Libro Diario Convencional'!$G$15:$G$167)</f>
        <v>0</v>
      </c>
      <c r="F1094" s="168">
        <f>SUMIF('Libro Diario Convencional'!$D$15:$D$167,D1088,'Libro Diario Convencional'!$H$15:$H$167)</f>
        <v>0</v>
      </c>
      <c r="H1094" s="236">
        <v>41670</v>
      </c>
      <c r="I1094" s="171"/>
      <c r="J1094" s="166" t="s">
        <v>470</v>
      </c>
      <c r="K1094" s="167">
        <f>SUMIF('Libro Diario Convencional'!$D$15:$D$167,J1088,'Libro Diario Convencional'!$G$15:$G$167)</f>
        <v>0</v>
      </c>
      <c r="L1094" s="168">
        <f>SUMIF('Libro Diario Convencional'!$D$15:$D$167,J1088,'Libro Diario Convencional'!$H$15:$H$167)</f>
        <v>0</v>
      </c>
    </row>
    <row r="1095" spans="2:63" x14ac:dyDescent="0.25">
      <c r="B1095" s="169">
        <v>41670</v>
      </c>
      <c r="C1095" s="172"/>
      <c r="D1095" s="161" t="s">
        <v>474</v>
      </c>
      <c r="E1095" s="162">
        <f>SUMIF('Asientos de Cierre'!$D$6:$D$549,D1088,'Asientos de Cierre'!$G$6:$G$549)</f>
        <v>0</v>
      </c>
      <c r="F1095" s="163">
        <f>SUMIF('Asientos de Cierre'!$D$6:$D$549,D1088,'Asientos de Cierre'!$H$6:$H$549)</f>
        <v>0</v>
      </c>
      <c r="H1095" s="169">
        <v>41670</v>
      </c>
      <c r="I1095" s="172"/>
      <c r="J1095" s="161" t="s">
        <v>474</v>
      </c>
      <c r="K1095" s="162">
        <f>SUMIF('Asientos de Cierre'!$D$6:$D$549,J1088,'Asientos de Cierre'!$G$6:$G$549)</f>
        <v>0</v>
      </c>
      <c r="L1095" s="163">
        <f>SUMIF('Asientos de Cierre'!$D$6:$D$549,J1088,'Asientos de Cierre'!$H$6:$H$549)</f>
        <v>0</v>
      </c>
    </row>
    <row r="1096" spans="2:63" x14ac:dyDescent="0.25">
      <c r="B1096" s="169"/>
      <c r="C1096" s="172"/>
      <c r="D1096" s="161"/>
      <c r="E1096" s="162"/>
      <c r="F1096" s="163"/>
      <c r="H1096" s="169"/>
      <c r="I1096" s="172"/>
      <c r="J1096" s="161"/>
      <c r="K1096" s="162"/>
      <c r="L1096" s="163"/>
    </row>
    <row r="1097" spans="2:63" ht="14.4" thickBot="1" x14ac:dyDescent="0.3">
      <c r="B1097" s="169"/>
      <c r="C1097" s="172"/>
      <c r="D1097" s="161"/>
      <c r="E1097" s="162"/>
      <c r="F1097" s="163"/>
      <c r="H1097" s="169"/>
      <c r="I1097" s="172"/>
      <c r="J1097" s="161"/>
      <c r="K1097" s="162"/>
      <c r="L1097" s="163"/>
    </row>
    <row r="1098" spans="2:63" ht="15" thickBot="1" x14ac:dyDescent="0.3">
      <c r="B1098" s="169"/>
      <c r="C1098" s="172"/>
      <c r="D1098" s="161" t="s">
        <v>471</v>
      </c>
      <c r="E1098" s="162">
        <f>SUM(E1094:E1097)</f>
        <v>0</v>
      </c>
      <c r="F1098" s="163">
        <f>SUM(F1094:F1097)</f>
        <v>0</v>
      </c>
      <c r="H1098" s="169"/>
      <c r="I1098" s="172"/>
      <c r="J1098" s="161" t="s">
        <v>471</v>
      </c>
      <c r="K1098" s="162">
        <f>SUM(K1094:K1097)</f>
        <v>0</v>
      </c>
      <c r="L1098" s="163">
        <f>SUM(L1094:L1097)</f>
        <v>0</v>
      </c>
      <c r="BJ1098" s="157">
        <f>SUM(E1098,K1098,Q1098,W1098,AC1098,AI1098,AO1098,AU1098,BA1098,BG1098)</f>
        <v>0</v>
      </c>
      <c r="BK1098" s="158">
        <f>SUM(F1098,L1098,R1098,X1098,AD1098,AJ1098,AP1098,AV1098,BB1098,BH1098)</f>
        <v>0</v>
      </c>
    </row>
    <row r="1099" spans="2:63" ht="14.4" thickBot="1" x14ac:dyDescent="0.3">
      <c r="B1099" s="170"/>
      <c r="C1099" s="173"/>
      <c r="D1099" s="164" t="str">
        <f>IF(E1098=F1098,"",IF(E1098&gt;F1098,"Saldo Deudor","Saldo Acreedor"))</f>
        <v/>
      </c>
      <c r="E1099" s="165" t="str">
        <f>IF(E1098&gt;F1098,E1098-F1098,"")</f>
        <v/>
      </c>
      <c r="F1099" s="176" t="str">
        <f>IF(E1098&lt;F1098,F1098-E1098,"")</f>
        <v/>
      </c>
      <c r="H1099" s="170"/>
      <c r="I1099" s="173"/>
      <c r="J1099" s="164" t="str">
        <f>IF(K1098=L1098,"",IF(K1098&gt;L1098,"Saldo Deudor","Saldo Acreedor"))</f>
        <v/>
      </c>
      <c r="K1099" s="165" t="str">
        <f>IF(K1098&gt;L1098,K1098-L1098,"")</f>
        <v/>
      </c>
      <c r="L1099" s="176" t="str">
        <f>IF(K1098&lt;L1098,L1098-K1098,"")</f>
        <v/>
      </c>
    </row>
    <row r="1102" spans="2:63" ht="15.6" x14ac:dyDescent="0.25">
      <c r="B1102" s="324" t="s">
        <v>472</v>
      </c>
      <c r="C1102" s="324"/>
      <c r="D1102" s="175">
        <v>6211</v>
      </c>
      <c r="E1102" s="160"/>
      <c r="H1102" s="324" t="s">
        <v>472</v>
      </c>
      <c r="I1102" s="324"/>
      <c r="J1102" s="175">
        <v>6214</v>
      </c>
      <c r="K1102" s="160"/>
    </row>
    <row r="1103" spans="2:63" x14ac:dyDescent="0.25">
      <c r="B1103" s="160"/>
      <c r="C1103" s="160"/>
      <c r="D1103" s="160"/>
      <c r="E1103" s="160"/>
      <c r="H1103" s="160"/>
      <c r="I1103" s="160"/>
      <c r="J1103" s="160"/>
      <c r="K1103" s="160"/>
    </row>
    <row r="1104" spans="2:63" ht="15.6" x14ac:dyDescent="0.25">
      <c r="B1104" s="324" t="s">
        <v>473</v>
      </c>
      <c r="C1104" s="324"/>
      <c r="D1104" s="234" t="str">
        <f>VLOOKUP(D1102,DivisionariasContables,3,FALSE)</f>
        <v>Sueldos y Salarios</v>
      </c>
      <c r="E1104" s="160"/>
      <c r="H1104" s="324" t="s">
        <v>473</v>
      </c>
      <c r="I1104" s="324"/>
      <c r="J1104" s="234" t="str">
        <f>VLOOKUP(J1102,DivisionariasContables,3,FALSE)</f>
        <v>Gratificaciones</v>
      </c>
      <c r="K1104" s="160"/>
    </row>
    <row r="1105" spans="2:63" ht="14.4" thickBot="1" x14ac:dyDescent="0.3"/>
    <row r="1106" spans="2:63" x14ac:dyDescent="0.25">
      <c r="B1106" s="325" t="s">
        <v>466</v>
      </c>
      <c r="C1106" s="327" t="s">
        <v>467</v>
      </c>
      <c r="D1106" s="327" t="s">
        <v>468</v>
      </c>
      <c r="E1106" s="329" t="s">
        <v>469</v>
      </c>
      <c r="F1106" s="330"/>
      <c r="H1106" s="325" t="s">
        <v>466</v>
      </c>
      <c r="I1106" s="327" t="s">
        <v>467</v>
      </c>
      <c r="J1106" s="327" t="s">
        <v>468</v>
      </c>
      <c r="K1106" s="329" t="s">
        <v>469</v>
      </c>
      <c r="L1106" s="330"/>
    </row>
    <row r="1107" spans="2:63" ht="14.4" thickBot="1" x14ac:dyDescent="0.3">
      <c r="B1107" s="326"/>
      <c r="C1107" s="328"/>
      <c r="D1107" s="328"/>
      <c r="E1107" s="232" t="s">
        <v>403</v>
      </c>
      <c r="F1107" s="174" t="s">
        <v>402</v>
      </c>
      <c r="H1107" s="326"/>
      <c r="I1107" s="328"/>
      <c r="J1107" s="328"/>
      <c r="K1107" s="232" t="s">
        <v>403</v>
      </c>
      <c r="L1107" s="174" t="s">
        <v>402</v>
      </c>
    </row>
    <row r="1108" spans="2:63" ht="14.4" thickTop="1" x14ac:dyDescent="0.25">
      <c r="B1108" s="236">
        <v>41670</v>
      </c>
      <c r="C1108" s="171"/>
      <c r="D1108" s="166" t="s">
        <v>470</v>
      </c>
      <c r="E1108" s="167">
        <f>SUMIF('Libro Diario Convencional'!$D$15:$D$167,D1102,'Libro Diario Convencional'!$G$15:$G$167)</f>
        <v>300000</v>
      </c>
      <c r="F1108" s="168">
        <f>SUMIF('Libro Diario Convencional'!$D$15:$D$167,D1102,'Libro Diario Convencional'!$H$15:$H$167)</f>
        <v>0</v>
      </c>
      <c r="H1108" s="236">
        <v>41670</v>
      </c>
      <c r="I1108" s="171"/>
      <c r="J1108" s="166" t="s">
        <v>470</v>
      </c>
      <c r="K1108" s="167">
        <f>SUMIF('Libro Diario Convencional'!$D$15:$D$167,J1102,'Libro Diario Convencional'!$G$15:$G$167)</f>
        <v>0</v>
      </c>
      <c r="L1108" s="168">
        <f>SUMIF('Libro Diario Convencional'!$D$15:$D$167,J1102,'Libro Diario Convencional'!$H$15:$H$167)</f>
        <v>0</v>
      </c>
    </row>
    <row r="1109" spans="2:63" x14ac:dyDescent="0.25">
      <c r="B1109" s="169">
        <v>41670</v>
      </c>
      <c r="C1109" s="172"/>
      <c r="D1109" s="161" t="s">
        <v>474</v>
      </c>
      <c r="E1109" s="162">
        <f>SUMIF('Asientos de Cierre'!$D$6:$D$549,D1102,'Asientos de Cierre'!$G$6:$G$549)</f>
        <v>0</v>
      </c>
      <c r="F1109" s="163">
        <f>SUMIF('Asientos de Cierre'!$D$6:$D$549,D1102,'Asientos de Cierre'!$H$6:$H$549)</f>
        <v>300000</v>
      </c>
      <c r="H1109" s="169">
        <v>41670</v>
      </c>
      <c r="I1109" s="172"/>
      <c r="J1109" s="161" t="s">
        <v>474</v>
      </c>
      <c r="K1109" s="162">
        <f>SUMIF('Asientos de Cierre'!$D$6:$D$549,J1102,'Asientos de Cierre'!$G$6:$G$549)</f>
        <v>0</v>
      </c>
      <c r="L1109" s="163">
        <f>SUMIF('Asientos de Cierre'!$D$6:$D$549,J1102,'Asientos de Cierre'!$H$6:$H$549)</f>
        <v>0</v>
      </c>
    </row>
    <row r="1110" spans="2:63" x14ac:dyDescent="0.25">
      <c r="B1110" s="169"/>
      <c r="C1110" s="172"/>
      <c r="D1110" s="161"/>
      <c r="E1110" s="162"/>
      <c r="F1110" s="163"/>
      <c r="H1110" s="169"/>
      <c r="I1110" s="172"/>
      <c r="J1110" s="161"/>
      <c r="K1110" s="162"/>
      <c r="L1110" s="163"/>
    </row>
    <row r="1111" spans="2:63" ht="14.4" thickBot="1" x14ac:dyDescent="0.3">
      <c r="B1111" s="169"/>
      <c r="C1111" s="172"/>
      <c r="D1111" s="161"/>
      <c r="E1111" s="162"/>
      <c r="F1111" s="163"/>
      <c r="H1111" s="169"/>
      <c r="I1111" s="172"/>
      <c r="J1111" s="161"/>
      <c r="K1111" s="162"/>
      <c r="L1111" s="163"/>
    </row>
    <row r="1112" spans="2:63" ht="15" thickBot="1" x14ac:dyDescent="0.3">
      <c r="B1112" s="169"/>
      <c r="C1112" s="172"/>
      <c r="D1112" s="161" t="s">
        <v>471</v>
      </c>
      <c r="E1112" s="162">
        <f>SUM(E1108:E1111)</f>
        <v>300000</v>
      </c>
      <c r="F1112" s="163">
        <f>SUM(F1108:F1111)</f>
        <v>300000</v>
      </c>
      <c r="H1112" s="169"/>
      <c r="I1112" s="172"/>
      <c r="J1112" s="161" t="s">
        <v>471</v>
      </c>
      <c r="K1112" s="162">
        <f>SUM(K1108:K1111)</f>
        <v>0</v>
      </c>
      <c r="L1112" s="163">
        <f>SUM(L1108:L1111)</f>
        <v>0</v>
      </c>
      <c r="BJ1112" s="157">
        <f>SUM(E1112,K1112,Q1112,W1112,AC1112,AI1112,AO1112,AU1112,BA1112,BG1112)</f>
        <v>300000</v>
      </c>
      <c r="BK1112" s="158">
        <f>SUM(F1112,L1112,R1112,X1112,AD1112,AJ1112,AP1112,AV1112,BB1112,BH1112)</f>
        <v>300000</v>
      </c>
    </row>
    <row r="1113" spans="2:63" ht="14.4" thickBot="1" x14ac:dyDescent="0.3">
      <c r="B1113" s="170"/>
      <c r="C1113" s="173"/>
      <c r="D1113" s="164" t="str">
        <f>IF(E1112=F1112,"",IF(E1112&gt;F1112,"Saldo Deudor","Saldo Acreedor"))</f>
        <v/>
      </c>
      <c r="E1113" s="165" t="str">
        <f>IF(E1112&gt;F1112,E1112-F1112,"")</f>
        <v/>
      </c>
      <c r="F1113" s="176" t="str">
        <f>IF(E1112&lt;F1112,F1112-E1112,"")</f>
        <v/>
      </c>
      <c r="H1113" s="170"/>
      <c r="I1113" s="173"/>
      <c r="J1113" s="164" t="str">
        <f>IF(K1112=L1112,"",IF(K1112&gt;L1112,"Saldo Deudor","Saldo Acreedor"))</f>
        <v/>
      </c>
      <c r="K1113" s="165" t="str">
        <f>IF(K1112&gt;L1112,K1112-L1112,"")</f>
        <v/>
      </c>
      <c r="L1113" s="176" t="str">
        <f>IF(K1112&lt;L1112,L1112-K1112,"")</f>
        <v/>
      </c>
    </row>
    <row r="1116" spans="2:63" ht="15.6" x14ac:dyDescent="0.25">
      <c r="B1116" s="324" t="s">
        <v>472</v>
      </c>
      <c r="C1116" s="324"/>
      <c r="D1116" s="175">
        <v>6221</v>
      </c>
      <c r="E1116" s="160"/>
    </row>
    <row r="1117" spans="2:63" x14ac:dyDescent="0.25">
      <c r="B1117" s="160"/>
      <c r="C1117" s="160"/>
      <c r="D1117" s="160"/>
      <c r="E1117" s="160"/>
    </row>
    <row r="1118" spans="2:63" ht="15.6" x14ac:dyDescent="0.25">
      <c r="B1118" s="324" t="s">
        <v>473</v>
      </c>
      <c r="C1118" s="324"/>
      <c r="D1118" s="234" t="str">
        <f>VLOOKUP(D1116,DivisionariasContables,3,FALSE)</f>
        <v>Otras Remuneraciones</v>
      </c>
      <c r="E1118" s="160"/>
    </row>
    <row r="1119" spans="2:63" ht="14.4" thickBot="1" x14ac:dyDescent="0.3"/>
    <row r="1120" spans="2:63" x14ac:dyDescent="0.25">
      <c r="B1120" s="325" t="s">
        <v>466</v>
      </c>
      <c r="C1120" s="327" t="s">
        <v>467</v>
      </c>
      <c r="D1120" s="327" t="s">
        <v>468</v>
      </c>
      <c r="E1120" s="329" t="s">
        <v>469</v>
      </c>
      <c r="F1120" s="330"/>
    </row>
    <row r="1121" spans="2:63" ht="14.4" thickBot="1" x14ac:dyDescent="0.3">
      <c r="B1121" s="326"/>
      <c r="C1121" s="328"/>
      <c r="D1121" s="328"/>
      <c r="E1121" s="232" t="s">
        <v>403</v>
      </c>
      <c r="F1121" s="174" t="s">
        <v>402</v>
      </c>
    </row>
    <row r="1122" spans="2:63" ht="14.4" thickTop="1" x14ac:dyDescent="0.25">
      <c r="B1122" s="236">
        <v>41670</v>
      </c>
      <c r="C1122" s="171"/>
      <c r="D1122" s="166" t="s">
        <v>470</v>
      </c>
      <c r="E1122" s="167">
        <f>SUMIF('Libro Diario Convencional'!$D$15:$D$167,D1116,'Libro Diario Convencional'!$G$15:$G$167)</f>
        <v>0</v>
      </c>
      <c r="F1122" s="168">
        <f>SUMIF('Libro Diario Convencional'!$D$15:$D$167,D1116,'Libro Diario Convencional'!$H$15:$H$167)</f>
        <v>0</v>
      </c>
    </row>
    <row r="1123" spans="2:63" x14ac:dyDescent="0.25">
      <c r="B1123" s="169">
        <v>41670</v>
      </c>
      <c r="C1123" s="172"/>
      <c r="D1123" s="161" t="s">
        <v>474</v>
      </c>
      <c r="E1123" s="162">
        <f>SUMIF('Asientos de Cierre'!$D$6:$D$549,D1116,'Asientos de Cierre'!$G$6:$G$549)</f>
        <v>0</v>
      </c>
      <c r="F1123" s="163">
        <f>SUMIF('Asientos de Cierre'!$D$6:$D$549,D1116,'Asientos de Cierre'!$H$6:$H$549)</f>
        <v>0</v>
      </c>
    </row>
    <row r="1124" spans="2:63" x14ac:dyDescent="0.25">
      <c r="B1124" s="169"/>
      <c r="C1124" s="172"/>
      <c r="D1124" s="161"/>
      <c r="E1124" s="162"/>
      <c r="F1124" s="163"/>
    </row>
    <row r="1125" spans="2:63" ht="14.4" thickBot="1" x14ac:dyDescent="0.3">
      <c r="B1125" s="169"/>
      <c r="C1125" s="172"/>
      <c r="D1125" s="161"/>
      <c r="E1125" s="162"/>
      <c r="F1125" s="163"/>
    </row>
    <row r="1126" spans="2:63" ht="15" thickBot="1" x14ac:dyDescent="0.3">
      <c r="B1126" s="169"/>
      <c r="C1126" s="172"/>
      <c r="D1126" s="161" t="s">
        <v>471</v>
      </c>
      <c r="E1126" s="162">
        <f>SUM(E1122:E1125)</f>
        <v>0</v>
      </c>
      <c r="F1126" s="163">
        <f>SUM(F1122:F1125)</f>
        <v>0</v>
      </c>
      <c r="BJ1126" s="157">
        <f>SUM(E1126,K1126,Q1126,W1126,AC1126,AI1126,AO1126,AU1126,BA1126,BG1126)</f>
        <v>0</v>
      </c>
      <c r="BK1126" s="158">
        <f>SUM(F1126,L1126,R1126,X1126,AD1126,AJ1126,AP1126,AV1126,BB1126,BH1126)</f>
        <v>0</v>
      </c>
    </row>
    <row r="1127" spans="2:63" ht="14.4" thickBot="1" x14ac:dyDescent="0.3">
      <c r="B1127" s="170"/>
      <c r="C1127" s="173"/>
      <c r="D1127" s="164" t="str">
        <f>IF(E1126=F1126,"",IF(E1126&gt;F1126,"Saldo Deudor","Saldo Acreedor"))</f>
        <v/>
      </c>
      <c r="E1127" s="165" t="str">
        <f>IF(E1126&gt;F1126,E1126-F1126,"")</f>
        <v/>
      </c>
      <c r="F1127" s="176" t="str">
        <f>IF(E1126&lt;F1126,F1126-E1126,"")</f>
        <v/>
      </c>
    </row>
    <row r="1130" spans="2:63" ht="15.6" x14ac:dyDescent="0.25">
      <c r="B1130" s="324" t="s">
        <v>472</v>
      </c>
      <c r="C1130" s="324"/>
      <c r="D1130" s="175">
        <v>6271</v>
      </c>
      <c r="E1130" s="160"/>
      <c r="H1130" s="324" t="s">
        <v>472</v>
      </c>
      <c r="I1130" s="324"/>
      <c r="J1130" s="175">
        <v>6274</v>
      </c>
      <c r="K1130" s="160"/>
    </row>
    <row r="1131" spans="2:63" x14ac:dyDescent="0.25">
      <c r="B1131" s="160"/>
      <c r="C1131" s="160"/>
      <c r="D1131" s="160"/>
      <c r="E1131" s="160"/>
      <c r="H1131" s="160"/>
      <c r="I1131" s="160"/>
      <c r="J1131" s="160"/>
      <c r="K1131" s="160"/>
    </row>
    <row r="1132" spans="2:63" ht="15.6" x14ac:dyDescent="0.25">
      <c r="B1132" s="324" t="s">
        <v>473</v>
      </c>
      <c r="C1132" s="324"/>
      <c r="D1132" s="234" t="str">
        <f>VLOOKUP(D1130,DivisionariasContables,3,FALSE)</f>
        <v>Régimen de Prestaciones de Salud</v>
      </c>
      <c r="E1132" s="160"/>
      <c r="H1132" s="324" t="s">
        <v>473</v>
      </c>
      <c r="I1132" s="324"/>
      <c r="J1132" s="234" t="str">
        <f>VLOOKUP(J1130,DivisionariasContables,3,FALSE)</f>
        <v>Seguro de Vida</v>
      </c>
      <c r="K1132" s="160"/>
    </row>
    <row r="1133" spans="2:63" ht="14.4" thickBot="1" x14ac:dyDescent="0.3"/>
    <row r="1134" spans="2:63" x14ac:dyDescent="0.25">
      <c r="B1134" s="325" t="s">
        <v>466</v>
      </c>
      <c r="C1134" s="327" t="s">
        <v>467</v>
      </c>
      <c r="D1134" s="327" t="s">
        <v>468</v>
      </c>
      <c r="E1134" s="329" t="s">
        <v>469</v>
      </c>
      <c r="F1134" s="330"/>
      <c r="H1134" s="325" t="s">
        <v>466</v>
      </c>
      <c r="I1134" s="327" t="s">
        <v>467</v>
      </c>
      <c r="J1134" s="327" t="s">
        <v>468</v>
      </c>
      <c r="K1134" s="329" t="s">
        <v>469</v>
      </c>
      <c r="L1134" s="330"/>
    </row>
    <row r="1135" spans="2:63" ht="14.4" thickBot="1" x14ac:dyDescent="0.3">
      <c r="B1135" s="326"/>
      <c r="C1135" s="328"/>
      <c r="D1135" s="328"/>
      <c r="E1135" s="232" t="s">
        <v>403</v>
      </c>
      <c r="F1135" s="174" t="s">
        <v>402</v>
      </c>
      <c r="H1135" s="326"/>
      <c r="I1135" s="328"/>
      <c r="J1135" s="328"/>
      <c r="K1135" s="232" t="s">
        <v>403</v>
      </c>
      <c r="L1135" s="174" t="s">
        <v>402</v>
      </c>
    </row>
    <row r="1136" spans="2:63" ht="14.4" thickTop="1" x14ac:dyDescent="0.25">
      <c r="B1136" s="236">
        <v>41670</v>
      </c>
      <c r="C1136" s="171"/>
      <c r="D1136" s="166" t="s">
        <v>470</v>
      </c>
      <c r="E1136" s="167">
        <f>SUMIF('Libro Diario Convencional'!$D$15:$D$167,D1130,'Libro Diario Convencional'!$G$15:$G$167)</f>
        <v>27000</v>
      </c>
      <c r="F1136" s="168">
        <f>SUMIF('Libro Diario Convencional'!$D$15:$D$167,D1130,'Libro Diario Convencional'!$H$15:$H$167)</f>
        <v>0</v>
      </c>
      <c r="H1136" s="236">
        <v>41670</v>
      </c>
      <c r="I1136" s="171"/>
      <c r="J1136" s="166" t="s">
        <v>470</v>
      </c>
      <c r="K1136" s="167">
        <f>SUMIF('Libro Diario Convencional'!$D$15:$D$167,J1130,'Libro Diario Convencional'!$G$15:$G$167)</f>
        <v>0</v>
      </c>
      <c r="L1136" s="168">
        <f>SUMIF('Libro Diario Convencional'!$D$15:$D$167,J1130,'Libro Diario Convencional'!$H$15:$H$167)</f>
        <v>0</v>
      </c>
    </row>
    <row r="1137" spans="2:63" x14ac:dyDescent="0.25">
      <c r="B1137" s="169">
        <v>41670</v>
      </c>
      <c r="C1137" s="172"/>
      <c r="D1137" s="161" t="s">
        <v>474</v>
      </c>
      <c r="E1137" s="162">
        <f>SUMIF('Asientos de Cierre'!$D$6:$D$549,D1130,'Asientos de Cierre'!$G$6:$G$549)</f>
        <v>0</v>
      </c>
      <c r="F1137" s="163">
        <f>SUMIF('Asientos de Cierre'!$D$6:$D$549,D1130,'Asientos de Cierre'!$H$6:$H$549)</f>
        <v>27000</v>
      </c>
      <c r="H1137" s="169">
        <v>41670</v>
      </c>
      <c r="I1137" s="172"/>
      <c r="J1137" s="161" t="s">
        <v>474</v>
      </c>
      <c r="K1137" s="162">
        <f>SUMIF('Asientos de Cierre'!$D$6:$D$549,J1130,'Asientos de Cierre'!$G$6:$G$549)</f>
        <v>0</v>
      </c>
      <c r="L1137" s="163">
        <f>SUMIF('Asientos de Cierre'!$D$6:$D$549,J1130,'Asientos de Cierre'!$H$6:$H$549)</f>
        <v>0</v>
      </c>
    </row>
    <row r="1138" spans="2:63" x14ac:dyDescent="0.25">
      <c r="B1138" s="169"/>
      <c r="C1138" s="172"/>
      <c r="D1138" s="161"/>
      <c r="E1138" s="162"/>
      <c r="F1138" s="163"/>
      <c r="H1138" s="169"/>
      <c r="I1138" s="172"/>
      <c r="J1138" s="161"/>
      <c r="K1138" s="162"/>
      <c r="L1138" s="163"/>
    </row>
    <row r="1139" spans="2:63" ht="14.4" thickBot="1" x14ac:dyDescent="0.3">
      <c r="B1139" s="169"/>
      <c r="C1139" s="172"/>
      <c r="D1139" s="161"/>
      <c r="E1139" s="162"/>
      <c r="F1139" s="163"/>
      <c r="H1139" s="169"/>
      <c r="I1139" s="172"/>
      <c r="J1139" s="161"/>
      <c r="K1139" s="162"/>
      <c r="L1139" s="163"/>
    </row>
    <row r="1140" spans="2:63" ht="15" thickBot="1" x14ac:dyDescent="0.3">
      <c r="B1140" s="169"/>
      <c r="C1140" s="172"/>
      <c r="D1140" s="161" t="s">
        <v>471</v>
      </c>
      <c r="E1140" s="162">
        <f>SUM(E1136:E1139)</f>
        <v>27000</v>
      </c>
      <c r="F1140" s="163">
        <f>SUM(F1136:F1139)</f>
        <v>27000</v>
      </c>
      <c r="H1140" s="169"/>
      <c r="I1140" s="172"/>
      <c r="J1140" s="161" t="s">
        <v>471</v>
      </c>
      <c r="K1140" s="162">
        <f>SUM(K1136:K1139)</f>
        <v>0</v>
      </c>
      <c r="L1140" s="163">
        <f>SUM(L1136:L1139)</f>
        <v>0</v>
      </c>
      <c r="BJ1140" s="157">
        <f>SUM(E1140,K1140,Q1140,W1140,AC1140,AI1140,AO1140,AU1140,BA1140,BG1140)</f>
        <v>27000</v>
      </c>
      <c r="BK1140" s="158">
        <f>SUM(F1140,L1140,R1140,X1140,AD1140,AJ1140,AP1140,AV1140,BB1140,BH1140)</f>
        <v>27000</v>
      </c>
    </row>
    <row r="1141" spans="2:63" ht="14.4" thickBot="1" x14ac:dyDescent="0.3">
      <c r="B1141" s="170"/>
      <c r="C1141" s="173"/>
      <c r="D1141" s="164" t="str">
        <f>IF(E1140=F1140,"",IF(E1140&gt;F1140,"Saldo Deudor","Saldo Acreedor"))</f>
        <v/>
      </c>
      <c r="E1141" s="165" t="str">
        <f>IF(E1140&gt;F1140,E1140-F1140,"")</f>
        <v/>
      </c>
      <c r="F1141" s="176" t="str">
        <f>IF(E1140&lt;F1140,F1140-E1140,"")</f>
        <v/>
      </c>
      <c r="H1141" s="170"/>
      <c r="I1141" s="173"/>
      <c r="J1141" s="164" t="str">
        <f>IF(K1140=L1140,"",IF(K1140&gt;L1140,"Saldo Deudor","Saldo Acreedor"))</f>
        <v/>
      </c>
      <c r="K1141" s="165" t="str">
        <f>IF(K1140&gt;L1140,K1140-L1140,"")</f>
        <v/>
      </c>
      <c r="L1141" s="176" t="str">
        <f>IF(K1140&lt;L1140,L1140-K1140,"")</f>
        <v/>
      </c>
    </row>
    <row r="1144" spans="2:63" ht="15.6" x14ac:dyDescent="0.25">
      <c r="B1144" s="324" t="s">
        <v>472</v>
      </c>
      <c r="C1144" s="324"/>
      <c r="D1144" s="175">
        <v>6291</v>
      </c>
      <c r="E1144" s="160"/>
    </row>
    <row r="1145" spans="2:63" x14ac:dyDescent="0.25">
      <c r="B1145" s="160"/>
      <c r="C1145" s="160"/>
      <c r="D1145" s="160"/>
      <c r="E1145" s="160"/>
    </row>
    <row r="1146" spans="2:63" ht="15.6" x14ac:dyDescent="0.25">
      <c r="B1146" s="324" t="s">
        <v>473</v>
      </c>
      <c r="C1146" s="324"/>
      <c r="D1146" s="234" t="str">
        <f>VLOOKUP(D1144,DivisionariasContables,3,FALSE)</f>
        <v>Compensación por Tiempo de Servicio</v>
      </c>
      <c r="E1146" s="160"/>
    </row>
    <row r="1147" spans="2:63" ht="14.4" thickBot="1" x14ac:dyDescent="0.3"/>
    <row r="1148" spans="2:63" x14ac:dyDescent="0.25">
      <c r="B1148" s="325" t="s">
        <v>466</v>
      </c>
      <c r="C1148" s="327" t="s">
        <v>467</v>
      </c>
      <c r="D1148" s="327" t="s">
        <v>468</v>
      </c>
      <c r="E1148" s="329" t="s">
        <v>469</v>
      </c>
      <c r="F1148" s="330"/>
    </row>
    <row r="1149" spans="2:63" ht="14.4" thickBot="1" x14ac:dyDescent="0.3">
      <c r="B1149" s="326"/>
      <c r="C1149" s="328"/>
      <c r="D1149" s="328"/>
      <c r="E1149" s="232" t="s">
        <v>403</v>
      </c>
      <c r="F1149" s="174" t="s">
        <v>402</v>
      </c>
    </row>
    <row r="1150" spans="2:63" ht="14.4" thickTop="1" x14ac:dyDescent="0.25">
      <c r="B1150" s="236">
        <v>41670</v>
      </c>
      <c r="C1150" s="171"/>
      <c r="D1150" s="166" t="s">
        <v>470</v>
      </c>
      <c r="E1150" s="167">
        <f>SUMIF('Libro Diario Convencional'!$D$15:$D$167,D1144,'Libro Diario Convencional'!$G$15:$G$167)</f>
        <v>0</v>
      </c>
      <c r="F1150" s="168">
        <f>SUMIF('Libro Diario Convencional'!$D$15:$D$167,D1144,'Libro Diario Convencional'!$H$15:$H$167)</f>
        <v>0</v>
      </c>
    </row>
    <row r="1151" spans="2:63" x14ac:dyDescent="0.25">
      <c r="B1151" s="169">
        <v>41670</v>
      </c>
      <c r="C1151" s="172"/>
      <c r="D1151" s="161" t="s">
        <v>474</v>
      </c>
      <c r="E1151" s="162">
        <f>SUMIF('Asientos de Cierre'!$D$6:$D$549,D1144,'Asientos de Cierre'!$G$6:$G$549)</f>
        <v>0</v>
      </c>
      <c r="F1151" s="163">
        <f>SUMIF('Asientos de Cierre'!$D$6:$D$549,D1144,'Asientos de Cierre'!$H$6:$H$549)</f>
        <v>0</v>
      </c>
    </row>
    <row r="1152" spans="2:63" x14ac:dyDescent="0.25">
      <c r="B1152" s="169"/>
      <c r="C1152" s="172"/>
      <c r="D1152" s="161"/>
      <c r="E1152" s="162"/>
      <c r="F1152" s="163"/>
    </row>
    <row r="1153" spans="2:63" ht="14.4" thickBot="1" x14ac:dyDescent="0.3">
      <c r="B1153" s="169"/>
      <c r="C1153" s="172"/>
      <c r="D1153" s="161"/>
      <c r="E1153" s="162"/>
      <c r="F1153" s="163"/>
    </row>
    <row r="1154" spans="2:63" ht="15" thickBot="1" x14ac:dyDescent="0.3">
      <c r="B1154" s="169"/>
      <c r="C1154" s="172"/>
      <c r="D1154" s="161" t="s">
        <v>471</v>
      </c>
      <c r="E1154" s="162">
        <f>SUM(E1150:E1153)</f>
        <v>0</v>
      </c>
      <c r="F1154" s="163">
        <f>SUM(F1150:F1153)</f>
        <v>0</v>
      </c>
      <c r="BJ1154" s="157">
        <f>SUM(E1154,K1154,Q1154,W1154,AC1154,AI1154,AO1154,AU1154,BA1154,BG1154)</f>
        <v>0</v>
      </c>
      <c r="BK1154" s="158">
        <f>SUM(F1154,L1154,R1154,X1154,AD1154,AJ1154,AP1154,AV1154,BB1154,BH1154)</f>
        <v>0</v>
      </c>
    </row>
    <row r="1155" spans="2:63" ht="14.4" thickBot="1" x14ac:dyDescent="0.3">
      <c r="B1155" s="170"/>
      <c r="C1155" s="173"/>
      <c r="D1155" s="164" t="str">
        <f>IF(E1154=F1154,"",IF(E1154&gt;F1154,"Saldo Deudor","Saldo Acreedor"))</f>
        <v/>
      </c>
      <c r="E1155" s="165" t="str">
        <f>IF(E1154&gt;F1154,E1154-F1154,"")</f>
        <v/>
      </c>
      <c r="F1155" s="176" t="str">
        <f>IF(E1154&lt;F1154,F1154-E1154,"")</f>
        <v/>
      </c>
    </row>
    <row r="1158" spans="2:63" ht="15.6" x14ac:dyDescent="0.25">
      <c r="B1158" s="324" t="s">
        <v>472</v>
      </c>
      <c r="C1158" s="324"/>
      <c r="D1158" s="175">
        <v>6311</v>
      </c>
      <c r="E1158" s="160"/>
      <c r="H1158" s="324" t="s">
        <v>472</v>
      </c>
      <c r="I1158" s="324"/>
      <c r="J1158" s="175">
        <v>6312</v>
      </c>
      <c r="K1158" s="160"/>
      <c r="N1158" s="324" t="s">
        <v>472</v>
      </c>
      <c r="O1158" s="324"/>
      <c r="P1158" s="175">
        <v>6313</v>
      </c>
      <c r="Q1158" s="160"/>
      <c r="T1158" s="324" t="s">
        <v>472</v>
      </c>
      <c r="U1158" s="324"/>
      <c r="V1158" s="175">
        <v>6314</v>
      </c>
      <c r="W1158" s="160"/>
    </row>
    <row r="1159" spans="2:63" x14ac:dyDescent="0.25">
      <c r="B1159" s="160"/>
      <c r="C1159" s="160"/>
      <c r="D1159" s="160"/>
      <c r="E1159" s="160"/>
      <c r="H1159" s="160"/>
      <c r="I1159" s="160"/>
      <c r="J1159" s="160"/>
      <c r="K1159" s="160"/>
      <c r="N1159" s="160"/>
      <c r="O1159" s="160"/>
      <c r="P1159" s="160"/>
      <c r="Q1159" s="160"/>
      <c r="T1159" s="160"/>
      <c r="U1159" s="160"/>
      <c r="V1159" s="160"/>
      <c r="W1159" s="160"/>
    </row>
    <row r="1160" spans="2:63" ht="15.6" x14ac:dyDescent="0.25">
      <c r="B1160" s="324" t="s">
        <v>473</v>
      </c>
      <c r="C1160" s="324"/>
      <c r="D1160" s="234" t="str">
        <f>VLOOKUP(D1158,DivisionariasContables,3,FALSE)</f>
        <v>Transporte, Correos y Gastos de Viaje - Transporte</v>
      </c>
      <c r="E1160" s="160"/>
      <c r="H1160" s="324" t="s">
        <v>473</v>
      </c>
      <c r="I1160" s="324"/>
      <c r="J1160" s="234" t="str">
        <f>VLOOKUP(J1158,DivisionariasContables,3,FALSE)</f>
        <v>Transporte, Correos y Gastos de Viaje - Correos</v>
      </c>
      <c r="K1160" s="160"/>
      <c r="N1160" s="324" t="s">
        <v>473</v>
      </c>
      <c r="O1160" s="324"/>
      <c r="P1160" s="234" t="str">
        <f>VLOOKUP(P1158,DivisionariasContables,3,FALSE)</f>
        <v>Transporte, Correos y Gastos de Viaje - Alojamiento</v>
      </c>
      <c r="Q1160" s="160"/>
      <c r="T1160" s="324" t="s">
        <v>473</v>
      </c>
      <c r="U1160" s="324"/>
      <c r="V1160" s="234" t="str">
        <f>VLOOKUP(V1158,DivisionariasContables,3,FALSE)</f>
        <v>Transporte, Correos y Gastos de Viaje - Alimentación</v>
      </c>
      <c r="W1160" s="160"/>
    </row>
    <row r="1161" spans="2:63" ht="14.4" thickBot="1" x14ac:dyDescent="0.3"/>
    <row r="1162" spans="2:63" x14ac:dyDescent="0.25">
      <c r="B1162" s="325" t="s">
        <v>466</v>
      </c>
      <c r="C1162" s="327" t="s">
        <v>467</v>
      </c>
      <c r="D1162" s="327" t="s">
        <v>468</v>
      </c>
      <c r="E1162" s="329" t="s">
        <v>469</v>
      </c>
      <c r="F1162" s="330"/>
      <c r="H1162" s="325" t="s">
        <v>466</v>
      </c>
      <c r="I1162" s="327" t="s">
        <v>467</v>
      </c>
      <c r="J1162" s="327" t="s">
        <v>468</v>
      </c>
      <c r="K1162" s="329" t="s">
        <v>469</v>
      </c>
      <c r="L1162" s="330"/>
      <c r="N1162" s="325" t="s">
        <v>466</v>
      </c>
      <c r="O1162" s="327" t="s">
        <v>467</v>
      </c>
      <c r="P1162" s="327" t="s">
        <v>468</v>
      </c>
      <c r="Q1162" s="329" t="s">
        <v>469</v>
      </c>
      <c r="R1162" s="330"/>
      <c r="T1162" s="325" t="s">
        <v>466</v>
      </c>
      <c r="U1162" s="327" t="s">
        <v>467</v>
      </c>
      <c r="V1162" s="327" t="s">
        <v>468</v>
      </c>
      <c r="W1162" s="329" t="s">
        <v>469</v>
      </c>
      <c r="X1162" s="330"/>
    </row>
    <row r="1163" spans="2:63" ht="14.4" thickBot="1" x14ac:dyDescent="0.3">
      <c r="B1163" s="326"/>
      <c r="C1163" s="328"/>
      <c r="D1163" s="328"/>
      <c r="E1163" s="232" t="s">
        <v>403</v>
      </c>
      <c r="F1163" s="174" t="s">
        <v>402</v>
      </c>
      <c r="H1163" s="326"/>
      <c r="I1163" s="328"/>
      <c r="J1163" s="328"/>
      <c r="K1163" s="232" t="s">
        <v>403</v>
      </c>
      <c r="L1163" s="174" t="s">
        <v>402</v>
      </c>
      <c r="N1163" s="326"/>
      <c r="O1163" s="328"/>
      <c r="P1163" s="328"/>
      <c r="Q1163" s="232" t="s">
        <v>403</v>
      </c>
      <c r="R1163" s="174" t="s">
        <v>402</v>
      </c>
      <c r="T1163" s="326"/>
      <c r="U1163" s="328"/>
      <c r="V1163" s="328"/>
      <c r="W1163" s="232" t="s">
        <v>403</v>
      </c>
      <c r="X1163" s="174" t="s">
        <v>402</v>
      </c>
    </row>
    <row r="1164" spans="2:63" ht="14.4" thickTop="1" x14ac:dyDescent="0.25">
      <c r="B1164" s="236">
        <v>41670</v>
      </c>
      <c r="C1164" s="171"/>
      <c r="D1164" s="166" t="s">
        <v>470</v>
      </c>
      <c r="E1164" s="167">
        <f>SUMIF('Libro Diario Convencional'!$D$15:$D$167,D1158,'Libro Diario Convencional'!$G$15:$G$167)</f>
        <v>0</v>
      </c>
      <c r="F1164" s="168">
        <f>SUMIF('Libro Diario Convencional'!$D$15:$D$167,D1158,'Libro Diario Convencional'!$H$15:$H$167)</f>
        <v>0</v>
      </c>
      <c r="H1164" s="236">
        <v>41670</v>
      </c>
      <c r="I1164" s="171"/>
      <c r="J1164" s="166" t="s">
        <v>470</v>
      </c>
      <c r="K1164" s="167">
        <f>SUMIF('Libro Diario Convencional'!$D$15:$D$167,J1158,'Libro Diario Convencional'!$G$15:$G$167)</f>
        <v>0</v>
      </c>
      <c r="L1164" s="168">
        <f>SUMIF('Libro Diario Convencional'!$D$15:$D$167,J1158,'Libro Diario Convencional'!$H$15:$H$167)</f>
        <v>0</v>
      </c>
      <c r="N1164" s="236">
        <v>41670</v>
      </c>
      <c r="O1164" s="171"/>
      <c r="P1164" s="166" t="s">
        <v>470</v>
      </c>
      <c r="Q1164" s="167">
        <f>SUMIF('Libro Diario Convencional'!$D$15:$D$167,P1158,'Libro Diario Convencional'!$G$15:$G$167)</f>
        <v>0</v>
      </c>
      <c r="R1164" s="168">
        <f>SUMIF('Libro Diario Convencional'!$D$15:$D$167,P1158,'Libro Diario Convencional'!$H$15:$H$167)</f>
        <v>0</v>
      </c>
      <c r="T1164" s="236">
        <v>41670</v>
      </c>
      <c r="U1164" s="171"/>
      <c r="V1164" s="166" t="s">
        <v>470</v>
      </c>
      <c r="W1164" s="167">
        <f>SUMIF('Libro Diario Convencional'!$D$15:$D$167,V1158,'Libro Diario Convencional'!$G$15:$G$167)</f>
        <v>0</v>
      </c>
      <c r="X1164" s="168">
        <f>SUMIF('Libro Diario Convencional'!$D$15:$D$167,V1158,'Libro Diario Convencional'!$H$15:$H$167)</f>
        <v>0</v>
      </c>
    </row>
    <row r="1165" spans="2:63" x14ac:dyDescent="0.25">
      <c r="B1165" s="169">
        <v>41670</v>
      </c>
      <c r="C1165" s="172"/>
      <c r="D1165" s="161" t="s">
        <v>474</v>
      </c>
      <c r="E1165" s="162">
        <f>SUMIF('Asientos de Cierre'!$D$6:$D$549,D1158,'Asientos de Cierre'!$G$6:$G$549)</f>
        <v>0</v>
      </c>
      <c r="F1165" s="163">
        <f>SUMIF('Asientos de Cierre'!$D$6:$D$549,D1158,'Asientos de Cierre'!$H$6:$H$549)</f>
        <v>0</v>
      </c>
      <c r="H1165" s="169">
        <v>41670</v>
      </c>
      <c r="I1165" s="172"/>
      <c r="J1165" s="161" t="s">
        <v>474</v>
      </c>
      <c r="K1165" s="162">
        <f>SUMIF('Asientos de Cierre'!$D$6:$D$549,J1158,'Asientos de Cierre'!$G$6:$G$549)</f>
        <v>0</v>
      </c>
      <c r="L1165" s="163">
        <f>SUMIF('Asientos de Cierre'!$D$6:$D$549,J1158,'Asientos de Cierre'!$H$6:$H$549)</f>
        <v>0</v>
      </c>
      <c r="N1165" s="169">
        <v>41670</v>
      </c>
      <c r="O1165" s="172"/>
      <c r="P1165" s="161" t="s">
        <v>474</v>
      </c>
      <c r="Q1165" s="162">
        <f>SUMIF('Asientos de Cierre'!$D$6:$D$549,P1158,'Asientos de Cierre'!$G$6:$G$549)</f>
        <v>0</v>
      </c>
      <c r="R1165" s="163">
        <f>SUMIF('Asientos de Cierre'!$D$6:$D$549,P1158,'Asientos de Cierre'!$H$6:$H$549)</f>
        <v>0</v>
      </c>
      <c r="T1165" s="169">
        <v>41670</v>
      </c>
      <c r="U1165" s="172"/>
      <c r="V1165" s="161" t="s">
        <v>474</v>
      </c>
      <c r="W1165" s="162">
        <f>SUMIF('Asientos de Cierre'!$D$6:$D$549,V1158,'Asientos de Cierre'!$G$6:$G$549)</f>
        <v>0</v>
      </c>
      <c r="X1165" s="163">
        <f>SUMIF('Asientos de Cierre'!$D$6:$D$549,V1158,'Asientos de Cierre'!$H$6:$H$549)</f>
        <v>0</v>
      </c>
    </row>
    <row r="1166" spans="2:63" x14ac:dyDescent="0.25">
      <c r="B1166" s="169"/>
      <c r="C1166" s="172"/>
      <c r="D1166" s="161"/>
      <c r="E1166" s="162"/>
      <c r="F1166" s="163"/>
      <c r="H1166" s="169"/>
      <c r="I1166" s="172"/>
      <c r="J1166" s="161"/>
      <c r="K1166" s="162"/>
      <c r="L1166" s="163"/>
      <c r="N1166" s="169"/>
      <c r="O1166" s="172"/>
      <c r="P1166" s="161"/>
      <c r="Q1166" s="162"/>
      <c r="R1166" s="163"/>
      <c r="T1166" s="169"/>
      <c r="U1166" s="172"/>
      <c r="V1166" s="161"/>
      <c r="W1166" s="162"/>
      <c r="X1166" s="163"/>
    </row>
    <row r="1167" spans="2:63" ht="14.4" thickBot="1" x14ac:dyDescent="0.3">
      <c r="B1167" s="169"/>
      <c r="C1167" s="172"/>
      <c r="D1167" s="161"/>
      <c r="E1167" s="162"/>
      <c r="F1167" s="163"/>
      <c r="H1167" s="169"/>
      <c r="I1167" s="172"/>
      <c r="J1167" s="161"/>
      <c r="K1167" s="162"/>
      <c r="L1167" s="163"/>
      <c r="N1167" s="169"/>
      <c r="O1167" s="172"/>
      <c r="P1167" s="161"/>
      <c r="Q1167" s="162"/>
      <c r="R1167" s="163"/>
      <c r="T1167" s="169"/>
      <c r="U1167" s="172"/>
      <c r="V1167" s="161"/>
      <c r="W1167" s="162"/>
      <c r="X1167" s="163"/>
    </row>
    <row r="1168" spans="2:63" ht="15" thickBot="1" x14ac:dyDescent="0.3">
      <c r="B1168" s="169"/>
      <c r="C1168" s="172"/>
      <c r="D1168" s="161" t="s">
        <v>471</v>
      </c>
      <c r="E1168" s="162">
        <f>SUM(E1164:E1167)</f>
        <v>0</v>
      </c>
      <c r="F1168" s="163">
        <f>SUM(F1164:F1167)</f>
        <v>0</v>
      </c>
      <c r="H1168" s="169"/>
      <c r="I1168" s="172"/>
      <c r="J1168" s="161" t="s">
        <v>471</v>
      </c>
      <c r="K1168" s="162">
        <f>SUM(K1164:K1167)</f>
        <v>0</v>
      </c>
      <c r="L1168" s="163">
        <f>SUM(L1164:L1167)</f>
        <v>0</v>
      </c>
      <c r="N1168" s="169"/>
      <c r="O1168" s="172"/>
      <c r="P1168" s="161" t="s">
        <v>471</v>
      </c>
      <c r="Q1168" s="162">
        <f>SUM(Q1164:Q1167)</f>
        <v>0</v>
      </c>
      <c r="R1168" s="163">
        <f>SUM(R1164:R1167)</f>
        <v>0</v>
      </c>
      <c r="T1168" s="169"/>
      <c r="U1168" s="172"/>
      <c r="V1168" s="161" t="s">
        <v>471</v>
      </c>
      <c r="W1168" s="162">
        <f>SUM(W1164:W1167)</f>
        <v>0</v>
      </c>
      <c r="X1168" s="163">
        <f>SUM(X1164:X1167)</f>
        <v>0</v>
      </c>
      <c r="BJ1168" s="157">
        <f>SUM(E1168,K1168,Q1168,W1168,AC1168,AI1168,AO1168,AU1168,BA1168,BG1168)</f>
        <v>0</v>
      </c>
      <c r="BK1168" s="158">
        <f>SUM(F1168,L1168,R1168,X1168,AD1168,AJ1168,AP1168,AV1168,BB1168,BH1168)</f>
        <v>0</v>
      </c>
    </row>
    <row r="1169" spans="2:63" ht="14.4" thickBot="1" x14ac:dyDescent="0.3">
      <c r="B1169" s="170"/>
      <c r="C1169" s="173"/>
      <c r="D1169" s="164" t="str">
        <f>IF(E1168=F1168,"",IF(E1168&gt;F1168,"Saldo Deudor","Saldo Acreedor"))</f>
        <v/>
      </c>
      <c r="E1169" s="165" t="str">
        <f>IF(E1168&gt;F1168,E1168-F1168,"")</f>
        <v/>
      </c>
      <c r="F1169" s="176" t="str">
        <f>IF(E1168&lt;F1168,F1168-E1168,"")</f>
        <v/>
      </c>
      <c r="H1169" s="170"/>
      <c r="I1169" s="173"/>
      <c r="J1169" s="164" t="str">
        <f>IF(K1168=L1168,"",IF(K1168&gt;L1168,"Saldo Deudor","Saldo Acreedor"))</f>
        <v/>
      </c>
      <c r="K1169" s="165" t="str">
        <f>IF(K1168&gt;L1168,K1168-L1168,"")</f>
        <v/>
      </c>
      <c r="L1169" s="176" t="str">
        <f>IF(K1168&lt;L1168,L1168-K1168,"")</f>
        <v/>
      </c>
      <c r="N1169" s="170"/>
      <c r="O1169" s="173"/>
      <c r="P1169" s="164" t="str">
        <f>IF(Q1168=R1168,"",IF(Q1168&gt;R1168,"Saldo Deudor","Saldo Acreedor"))</f>
        <v/>
      </c>
      <c r="Q1169" s="165" t="str">
        <f>IF(Q1168&gt;R1168,Q1168-R1168,"")</f>
        <v/>
      </c>
      <c r="R1169" s="176" t="str">
        <f>IF(Q1168&lt;R1168,R1168-Q1168,"")</f>
        <v/>
      </c>
      <c r="T1169" s="170"/>
      <c r="U1169" s="173"/>
      <c r="V1169" s="164" t="str">
        <f>IF(W1168=X1168,"",IF(W1168&gt;X1168,"Saldo Deudor","Saldo Acreedor"))</f>
        <v/>
      </c>
      <c r="W1169" s="165" t="str">
        <f>IF(W1168&gt;X1168,W1168-X1168,"")</f>
        <v/>
      </c>
      <c r="X1169" s="176" t="str">
        <f>IF(W1168&lt;X1168,X1168-W1168,"")</f>
        <v/>
      </c>
    </row>
    <row r="1172" spans="2:63" ht="15.6" x14ac:dyDescent="0.25">
      <c r="B1172" s="324" t="s">
        <v>472</v>
      </c>
      <c r="C1172" s="324"/>
      <c r="D1172" s="175">
        <v>6321</v>
      </c>
      <c r="E1172" s="160"/>
      <c r="H1172" s="324" t="s">
        <v>472</v>
      </c>
      <c r="I1172" s="324"/>
      <c r="J1172" s="175">
        <v>6322</v>
      </c>
      <c r="K1172" s="160"/>
      <c r="N1172" s="324" t="s">
        <v>472</v>
      </c>
      <c r="O1172" s="324"/>
      <c r="P1172" s="175">
        <v>6323</v>
      </c>
      <c r="Q1172" s="160"/>
    </row>
    <row r="1173" spans="2:63" x14ac:dyDescent="0.25">
      <c r="B1173" s="160"/>
      <c r="C1173" s="160"/>
      <c r="D1173" s="160"/>
      <c r="E1173" s="160"/>
      <c r="H1173" s="160"/>
      <c r="I1173" s="160"/>
      <c r="J1173" s="160"/>
      <c r="K1173" s="160"/>
      <c r="N1173" s="160"/>
      <c r="O1173" s="160"/>
      <c r="P1173" s="160"/>
      <c r="Q1173" s="160"/>
    </row>
    <row r="1174" spans="2:63" ht="15.6" x14ac:dyDescent="0.25">
      <c r="B1174" s="324" t="s">
        <v>473</v>
      </c>
      <c r="C1174" s="324"/>
      <c r="D1174" s="234" t="str">
        <f>VLOOKUP(D1172,DivisionariasContables,3,FALSE)</f>
        <v>Asesoría y Consultoría - Administrativa</v>
      </c>
      <c r="E1174" s="160"/>
      <c r="H1174" s="324" t="s">
        <v>473</v>
      </c>
      <c r="I1174" s="324"/>
      <c r="J1174" s="234" t="str">
        <f>VLOOKUP(J1172,DivisionariasContables,3,FALSE)</f>
        <v>Asesoría y Consultoría - Legal y Tributario</v>
      </c>
      <c r="K1174" s="160"/>
      <c r="N1174" s="324" t="s">
        <v>473</v>
      </c>
      <c r="O1174" s="324"/>
      <c r="P1174" s="234" t="str">
        <f>VLOOKUP(P1172,DivisionariasContables,3,FALSE)</f>
        <v>Asesoría y Consultoría - Auditoría y Contable</v>
      </c>
      <c r="Q1174" s="160"/>
    </row>
    <row r="1175" spans="2:63" ht="14.4" thickBot="1" x14ac:dyDescent="0.3"/>
    <row r="1176" spans="2:63" x14ac:dyDescent="0.25">
      <c r="B1176" s="325" t="s">
        <v>466</v>
      </c>
      <c r="C1176" s="327" t="s">
        <v>467</v>
      </c>
      <c r="D1176" s="327" t="s">
        <v>468</v>
      </c>
      <c r="E1176" s="329" t="s">
        <v>469</v>
      </c>
      <c r="F1176" s="330"/>
      <c r="H1176" s="325" t="s">
        <v>466</v>
      </c>
      <c r="I1176" s="327" t="s">
        <v>467</v>
      </c>
      <c r="J1176" s="327" t="s">
        <v>468</v>
      </c>
      <c r="K1176" s="329" t="s">
        <v>469</v>
      </c>
      <c r="L1176" s="330"/>
      <c r="N1176" s="325" t="s">
        <v>466</v>
      </c>
      <c r="O1176" s="327" t="s">
        <v>467</v>
      </c>
      <c r="P1176" s="327" t="s">
        <v>468</v>
      </c>
      <c r="Q1176" s="329" t="s">
        <v>469</v>
      </c>
      <c r="R1176" s="330"/>
    </row>
    <row r="1177" spans="2:63" ht="14.4" thickBot="1" x14ac:dyDescent="0.3">
      <c r="B1177" s="326"/>
      <c r="C1177" s="328"/>
      <c r="D1177" s="328"/>
      <c r="E1177" s="232" t="s">
        <v>403</v>
      </c>
      <c r="F1177" s="174" t="s">
        <v>402</v>
      </c>
      <c r="H1177" s="326"/>
      <c r="I1177" s="328"/>
      <c r="J1177" s="328"/>
      <c r="K1177" s="232" t="s">
        <v>403</v>
      </c>
      <c r="L1177" s="174" t="s">
        <v>402</v>
      </c>
      <c r="N1177" s="326"/>
      <c r="O1177" s="328"/>
      <c r="P1177" s="328"/>
      <c r="Q1177" s="232" t="s">
        <v>403</v>
      </c>
      <c r="R1177" s="174" t="s">
        <v>402</v>
      </c>
    </row>
    <row r="1178" spans="2:63" ht="14.4" thickTop="1" x14ac:dyDescent="0.25">
      <c r="B1178" s="236">
        <v>41670</v>
      </c>
      <c r="C1178" s="171"/>
      <c r="D1178" s="166" t="s">
        <v>470</v>
      </c>
      <c r="E1178" s="167">
        <f>SUMIF('Libro Diario Convencional'!$D$15:$D$167,D1172,'Libro Diario Convencional'!$G$15:$G$167)</f>
        <v>0</v>
      </c>
      <c r="F1178" s="168">
        <f>SUMIF('Libro Diario Convencional'!$D$15:$D$167,D1172,'Libro Diario Convencional'!$H$15:$H$167)</f>
        <v>0</v>
      </c>
      <c r="H1178" s="236">
        <v>41670</v>
      </c>
      <c r="I1178" s="171"/>
      <c r="J1178" s="166" t="s">
        <v>470</v>
      </c>
      <c r="K1178" s="167">
        <f>SUMIF('Libro Diario Convencional'!$D$15:$D$167,J1172,'Libro Diario Convencional'!$G$15:$G$167)</f>
        <v>0</v>
      </c>
      <c r="L1178" s="168">
        <f>SUMIF('Libro Diario Convencional'!$D$15:$D$167,J1172,'Libro Diario Convencional'!$H$15:$H$167)</f>
        <v>0</v>
      </c>
      <c r="N1178" s="236">
        <v>41670</v>
      </c>
      <c r="O1178" s="171"/>
      <c r="P1178" s="166" t="s">
        <v>470</v>
      </c>
      <c r="Q1178" s="167">
        <f>SUMIF('Libro Diario Convencional'!$D$15:$D$167,P1172,'Libro Diario Convencional'!$G$15:$G$167)</f>
        <v>12000</v>
      </c>
      <c r="R1178" s="168">
        <f>SUMIF('Libro Diario Convencional'!$D$15:$D$167,P1172,'Libro Diario Convencional'!$H$15:$H$167)</f>
        <v>0</v>
      </c>
    </row>
    <row r="1179" spans="2:63" x14ac:dyDescent="0.25">
      <c r="B1179" s="169">
        <v>41670</v>
      </c>
      <c r="C1179" s="172"/>
      <c r="D1179" s="161" t="s">
        <v>474</v>
      </c>
      <c r="E1179" s="162">
        <f>SUMIF('Asientos de Cierre'!$D$6:$D$549,D1172,'Asientos de Cierre'!$G$6:$G$549)</f>
        <v>0</v>
      </c>
      <c r="F1179" s="163">
        <f>SUMIF('Asientos de Cierre'!$D$6:$D$549,D1172,'Asientos de Cierre'!$H$6:$H$549)</f>
        <v>0</v>
      </c>
      <c r="H1179" s="169">
        <v>41670</v>
      </c>
      <c r="I1179" s="172"/>
      <c r="J1179" s="161" t="s">
        <v>474</v>
      </c>
      <c r="K1179" s="162">
        <f>SUMIF('Asientos de Cierre'!$D$6:$D$549,J1172,'Asientos de Cierre'!$G$6:$G$549)</f>
        <v>0</v>
      </c>
      <c r="L1179" s="163">
        <f>SUMIF('Asientos de Cierre'!$D$6:$D$549,J1172,'Asientos de Cierre'!$H$6:$H$549)</f>
        <v>0</v>
      </c>
      <c r="N1179" s="169">
        <v>41670</v>
      </c>
      <c r="O1179" s="172"/>
      <c r="P1179" s="161" t="s">
        <v>474</v>
      </c>
      <c r="Q1179" s="162">
        <f>SUMIF('Asientos de Cierre'!$D$6:$D$549,P1172,'Asientos de Cierre'!$G$6:$G$549)</f>
        <v>0</v>
      </c>
      <c r="R1179" s="163">
        <f>SUMIF('Asientos de Cierre'!$D$6:$D$549,P1172,'Asientos de Cierre'!$H$6:$H$549)</f>
        <v>12000</v>
      </c>
    </row>
    <row r="1180" spans="2:63" x14ac:dyDescent="0.25">
      <c r="B1180" s="169"/>
      <c r="C1180" s="172"/>
      <c r="D1180" s="161"/>
      <c r="E1180" s="162"/>
      <c r="F1180" s="163"/>
      <c r="H1180" s="169"/>
      <c r="I1180" s="172"/>
      <c r="J1180" s="161"/>
      <c r="K1180" s="162"/>
      <c r="L1180" s="163"/>
      <c r="N1180" s="169"/>
      <c r="O1180" s="172"/>
      <c r="P1180" s="161"/>
      <c r="Q1180" s="162"/>
      <c r="R1180" s="163"/>
    </row>
    <row r="1181" spans="2:63" ht="14.4" thickBot="1" x14ac:dyDescent="0.3">
      <c r="B1181" s="169"/>
      <c r="C1181" s="172"/>
      <c r="D1181" s="161"/>
      <c r="E1181" s="162"/>
      <c r="F1181" s="163"/>
      <c r="H1181" s="169"/>
      <c r="I1181" s="172"/>
      <c r="J1181" s="161"/>
      <c r="K1181" s="162"/>
      <c r="L1181" s="163"/>
      <c r="N1181" s="169"/>
      <c r="O1181" s="172"/>
      <c r="P1181" s="161"/>
      <c r="Q1181" s="162"/>
      <c r="R1181" s="163"/>
    </row>
    <row r="1182" spans="2:63" ht="15" thickBot="1" x14ac:dyDescent="0.3">
      <c r="B1182" s="169"/>
      <c r="C1182" s="172"/>
      <c r="D1182" s="161" t="s">
        <v>471</v>
      </c>
      <c r="E1182" s="162">
        <f>SUM(E1178:E1181)</f>
        <v>0</v>
      </c>
      <c r="F1182" s="163">
        <f>SUM(F1178:F1181)</f>
        <v>0</v>
      </c>
      <c r="H1182" s="169"/>
      <c r="I1182" s="172"/>
      <c r="J1182" s="161" t="s">
        <v>471</v>
      </c>
      <c r="K1182" s="162">
        <f>SUM(K1178:K1181)</f>
        <v>0</v>
      </c>
      <c r="L1182" s="163">
        <f>SUM(L1178:L1181)</f>
        <v>0</v>
      </c>
      <c r="N1182" s="169"/>
      <c r="O1182" s="172"/>
      <c r="P1182" s="161" t="s">
        <v>471</v>
      </c>
      <c r="Q1182" s="162">
        <f>SUM(Q1178:Q1181)</f>
        <v>12000</v>
      </c>
      <c r="R1182" s="163">
        <f>SUM(R1178:R1181)</f>
        <v>12000</v>
      </c>
      <c r="BJ1182" s="157">
        <f>SUM(E1182,K1182,Q1182,W1182,AC1182,AI1182,AO1182,AU1182,BA1182,BG1182)</f>
        <v>12000</v>
      </c>
      <c r="BK1182" s="158">
        <f>SUM(F1182,L1182,R1182,X1182,AD1182,AJ1182,AP1182,AV1182,BB1182,BH1182)</f>
        <v>12000</v>
      </c>
    </row>
    <row r="1183" spans="2:63" ht="14.4" thickBot="1" x14ac:dyDescent="0.3">
      <c r="B1183" s="170"/>
      <c r="C1183" s="173"/>
      <c r="D1183" s="164" t="str">
        <f>IF(E1182=F1182,"",IF(E1182&gt;F1182,"Saldo Deudor","Saldo Acreedor"))</f>
        <v/>
      </c>
      <c r="E1183" s="165" t="str">
        <f>IF(E1182&gt;F1182,E1182-F1182,"")</f>
        <v/>
      </c>
      <c r="F1183" s="176" t="str">
        <f>IF(E1182&lt;F1182,F1182-E1182,"")</f>
        <v/>
      </c>
      <c r="H1183" s="170"/>
      <c r="I1183" s="173"/>
      <c r="J1183" s="164" t="str">
        <f>IF(K1182=L1182,"",IF(K1182&gt;L1182,"Saldo Deudor","Saldo Acreedor"))</f>
        <v/>
      </c>
      <c r="K1183" s="165" t="str">
        <f>IF(K1182&gt;L1182,K1182-L1182,"")</f>
        <v/>
      </c>
      <c r="L1183" s="176" t="str">
        <f>IF(K1182&lt;L1182,L1182-K1182,"")</f>
        <v/>
      </c>
      <c r="N1183" s="170"/>
      <c r="O1183" s="173"/>
      <c r="P1183" s="164" t="str">
        <f>IF(Q1182=R1182,"",IF(Q1182&gt;R1182,"Saldo Deudor","Saldo Acreedor"))</f>
        <v/>
      </c>
      <c r="Q1183" s="165" t="str">
        <f>IF(Q1182&gt;R1182,Q1182-R1182,"")</f>
        <v/>
      </c>
      <c r="R1183" s="176" t="str">
        <f>IF(Q1182&lt;R1182,R1182-Q1182,"")</f>
        <v/>
      </c>
    </row>
    <row r="1186" spans="2:63" ht="15.6" x14ac:dyDescent="0.25">
      <c r="B1186" s="324" t="s">
        <v>472</v>
      </c>
      <c r="C1186" s="324"/>
      <c r="D1186" s="175">
        <v>6331</v>
      </c>
      <c r="E1186" s="160"/>
    </row>
    <row r="1187" spans="2:63" x14ac:dyDescent="0.25">
      <c r="B1187" s="160"/>
      <c r="C1187" s="160"/>
      <c r="D1187" s="160"/>
      <c r="E1187" s="160"/>
    </row>
    <row r="1188" spans="2:63" ht="15.6" x14ac:dyDescent="0.25">
      <c r="B1188" s="324" t="s">
        <v>473</v>
      </c>
      <c r="C1188" s="324"/>
      <c r="D1188" s="234" t="str">
        <f>VLOOKUP(D1186,DivisionariasContables,3,FALSE)</f>
        <v>Producción Encargada a Terceros</v>
      </c>
      <c r="E1188" s="160"/>
    </row>
    <row r="1189" spans="2:63" ht="14.4" thickBot="1" x14ac:dyDescent="0.3"/>
    <row r="1190" spans="2:63" x14ac:dyDescent="0.25">
      <c r="B1190" s="325" t="s">
        <v>466</v>
      </c>
      <c r="C1190" s="327" t="s">
        <v>467</v>
      </c>
      <c r="D1190" s="327" t="s">
        <v>468</v>
      </c>
      <c r="E1190" s="329" t="s">
        <v>469</v>
      </c>
      <c r="F1190" s="330"/>
    </row>
    <row r="1191" spans="2:63" ht="14.4" thickBot="1" x14ac:dyDescent="0.3">
      <c r="B1191" s="326"/>
      <c r="C1191" s="328"/>
      <c r="D1191" s="328"/>
      <c r="E1191" s="232" t="s">
        <v>403</v>
      </c>
      <c r="F1191" s="174" t="s">
        <v>402</v>
      </c>
    </row>
    <row r="1192" spans="2:63" ht="14.4" thickTop="1" x14ac:dyDescent="0.25">
      <c r="B1192" s="236">
        <v>41670</v>
      </c>
      <c r="C1192" s="171"/>
      <c r="D1192" s="166" t="s">
        <v>470</v>
      </c>
      <c r="E1192" s="167">
        <f>SUMIF('Libro Diario Convencional'!$D$15:$D$167,D1186,'Libro Diario Convencional'!$G$15:$G$167)</f>
        <v>0</v>
      </c>
      <c r="F1192" s="168">
        <f>SUMIF('Libro Diario Convencional'!$D$15:$D$167,D1186,'Libro Diario Convencional'!$H$15:$H$167)</f>
        <v>0</v>
      </c>
    </row>
    <row r="1193" spans="2:63" x14ac:dyDescent="0.25">
      <c r="B1193" s="169">
        <v>41670</v>
      </c>
      <c r="C1193" s="172"/>
      <c r="D1193" s="161" t="s">
        <v>474</v>
      </c>
      <c r="E1193" s="162">
        <f>SUMIF('Asientos de Cierre'!$D$6:$D$549,D1186,'Asientos de Cierre'!$G$6:$G$549)</f>
        <v>0</v>
      </c>
      <c r="F1193" s="163">
        <f>SUMIF('Asientos de Cierre'!$D$6:$D$549,D1186,'Asientos de Cierre'!$H$6:$H$549)</f>
        <v>0</v>
      </c>
    </row>
    <row r="1194" spans="2:63" x14ac:dyDescent="0.25">
      <c r="B1194" s="169"/>
      <c r="C1194" s="172"/>
      <c r="D1194" s="161"/>
      <c r="E1194" s="162"/>
      <c r="F1194" s="163"/>
    </row>
    <row r="1195" spans="2:63" ht="14.4" thickBot="1" x14ac:dyDescent="0.3">
      <c r="B1195" s="169"/>
      <c r="C1195" s="172"/>
      <c r="D1195" s="161"/>
      <c r="E1195" s="162"/>
      <c r="F1195" s="163"/>
    </row>
    <row r="1196" spans="2:63" ht="15" thickBot="1" x14ac:dyDescent="0.3">
      <c r="B1196" s="169"/>
      <c r="C1196" s="172"/>
      <c r="D1196" s="161" t="s">
        <v>471</v>
      </c>
      <c r="E1196" s="162">
        <f>SUM(E1192:E1195)</f>
        <v>0</v>
      </c>
      <c r="F1196" s="163">
        <f>SUM(F1192:F1195)</f>
        <v>0</v>
      </c>
      <c r="BJ1196" s="157">
        <f>SUM(E1196,K1196,Q1196,W1196,AC1196,AI1196,AO1196,AU1196,BA1196,BG1196)</f>
        <v>0</v>
      </c>
      <c r="BK1196" s="158">
        <f>SUM(F1196,L1196,R1196,X1196,AD1196,AJ1196,AP1196,AV1196,BB1196,BH1196)</f>
        <v>0</v>
      </c>
    </row>
    <row r="1197" spans="2:63" ht="14.4" thickBot="1" x14ac:dyDescent="0.3">
      <c r="B1197" s="170"/>
      <c r="C1197" s="173"/>
      <c r="D1197" s="164" t="str">
        <f>IF(E1196=F1196,"",IF(E1196&gt;F1196,"Saldo Deudor","Saldo Acreedor"))</f>
        <v/>
      </c>
      <c r="E1197" s="165" t="str">
        <f>IF(E1196&gt;F1196,E1196-F1196,"")</f>
        <v/>
      </c>
      <c r="F1197" s="176" t="str">
        <f>IF(E1196&lt;F1196,F1196-E1196,"")</f>
        <v/>
      </c>
    </row>
    <row r="1200" spans="2:63" ht="15.6" x14ac:dyDescent="0.25">
      <c r="B1200" s="324" t="s">
        <v>472</v>
      </c>
      <c r="C1200" s="324"/>
      <c r="D1200" s="175">
        <v>6341</v>
      </c>
      <c r="E1200" s="160"/>
      <c r="H1200" s="324" t="s">
        <v>472</v>
      </c>
      <c r="I1200" s="324"/>
      <c r="J1200" s="175">
        <v>6342</v>
      </c>
      <c r="K1200" s="160"/>
    </row>
    <row r="1201" spans="2:63" x14ac:dyDescent="0.25">
      <c r="B1201" s="160"/>
      <c r="C1201" s="160"/>
      <c r="D1201" s="160"/>
      <c r="E1201" s="160"/>
      <c r="H1201" s="160"/>
      <c r="I1201" s="160"/>
      <c r="J1201" s="160"/>
      <c r="K1201" s="160"/>
    </row>
    <row r="1202" spans="2:63" ht="15.6" x14ac:dyDescent="0.25">
      <c r="B1202" s="324" t="s">
        <v>473</v>
      </c>
      <c r="C1202" s="324"/>
      <c r="D1202" s="234" t="str">
        <f>VLOOKUP(D1200,DivisionariasContables,3,FALSE)</f>
        <v>Mantenimiento y Reparación - Inversión Inmobiliaria</v>
      </c>
      <c r="E1202" s="160"/>
      <c r="H1202" s="324" t="s">
        <v>473</v>
      </c>
      <c r="I1202" s="324"/>
      <c r="J1202" s="234" t="str">
        <f>VLOOKUP(J1200,DivisionariasContables,3,FALSE)</f>
        <v>Mantenimiento y Reparación - Activos Adquiridos en Arrendamiento Financiero</v>
      </c>
      <c r="K1202" s="160"/>
    </row>
    <row r="1203" spans="2:63" ht="14.4" thickBot="1" x14ac:dyDescent="0.3"/>
    <row r="1204" spans="2:63" x14ac:dyDescent="0.25">
      <c r="B1204" s="325" t="s">
        <v>466</v>
      </c>
      <c r="C1204" s="327" t="s">
        <v>467</v>
      </c>
      <c r="D1204" s="327" t="s">
        <v>468</v>
      </c>
      <c r="E1204" s="329" t="s">
        <v>469</v>
      </c>
      <c r="F1204" s="330"/>
      <c r="H1204" s="325" t="s">
        <v>466</v>
      </c>
      <c r="I1204" s="327" t="s">
        <v>467</v>
      </c>
      <c r="J1204" s="327" t="s">
        <v>468</v>
      </c>
      <c r="K1204" s="329" t="s">
        <v>469</v>
      </c>
      <c r="L1204" s="330"/>
    </row>
    <row r="1205" spans="2:63" ht="14.4" thickBot="1" x14ac:dyDescent="0.3">
      <c r="B1205" s="326"/>
      <c r="C1205" s="328"/>
      <c r="D1205" s="328"/>
      <c r="E1205" s="232" t="s">
        <v>403</v>
      </c>
      <c r="F1205" s="174" t="s">
        <v>402</v>
      </c>
      <c r="H1205" s="326"/>
      <c r="I1205" s="328"/>
      <c r="J1205" s="328"/>
      <c r="K1205" s="232" t="s">
        <v>403</v>
      </c>
      <c r="L1205" s="174" t="s">
        <v>402</v>
      </c>
    </row>
    <row r="1206" spans="2:63" ht="14.4" thickTop="1" x14ac:dyDescent="0.25">
      <c r="B1206" s="236">
        <v>41670</v>
      </c>
      <c r="C1206" s="171"/>
      <c r="D1206" s="166" t="s">
        <v>470</v>
      </c>
      <c r="E1206" s="167">
        <f>SUMIF('Libro Diario Convencional'!$D$15:$D$167,D1200,'Libro Diario Convencional'!$G$15:$G$167)</f>
        <v>0</v>
      </c>
      <c r="F1206" s="168">
        <f>SUMIF('Libro Diario Convencional'!$D$15:$D$167,D1200,'Libro Diario Convencional'!$H$15:$H$167)</f>
        <v>0</v>
      </c>
      <c r="H1206" s="236">
        <v>41670</v>
      </c>
      <c r="I1206" s="171"/>
      <c r="J1206" s="166" t="s">
        <v>470</v>
      </c>
      <c r="K1206" s="167">
        <f>SUMIF('Libro Diario Convencional'!$D$15:$D$167,J1200,'Libro Diario Convencional'!$G$15:$G$167)</f>
        <v>0</v>
      </c>
      <c r="L1206" s="168">
        <f>SUMIF('Libro Diario Convencional'!$D$15:$D$167,J1200,'Libro Diario Convencional'!$H$15:$H$167)</f>
        <v>0</v>
      </c>
    </row>
    <row r="1207" spans="2:63" x14ac:dyDescent="0.25">
      <c r="B1207" s="169">
        <v>41670</v>
      </c>
      <c r="C1207" s="172"/>
      <c r="D1207" s="161" t="s">
        <v>474</v>
      </c>
      <c r="E1207" s="162">
        <f>SUMIF('Asientos de Cierre'!$D$6:$D$549,D1200,'Asientos de Cierre'!$G$6:$G$549)</f>
        <v>0</v>
      </c>
      <c r="F1207" s="163">
        <f>SUMIF('Asientos de Cierre'!$D$6:$D$549,D1200,'Asientos de Cierre'!$H$6:$H$549)</f>
        <v>0</v>
      </c>
      <c r="H1207" s="169">
        <v>41670</v>
      </c>
      <c r="I1207" s="172"/>
      <c r="J1207" s="161" t="s">
        <v>474</v>
      </c>
      <c r="K1207" s="162">
        <f>SUMIF('Asientos de Cierre'!$D$6:$D$549,J1200,'Asientos de Cierre'!$G$6:$G$549)</f>
        <v>0</v>
      </c>
      <c r="L1207" s="163">
        <f>SUMIF('Asientos de Cierre'!$D$6:$D$549,J1200,'Asientos de Cierre'!$H$6:$H$549)</f>
        <v>0</v>
      </c>
    </row>
    <row r="1208" spans="2:63" x14ac:dyDescent="0.25">
      <c r="B1208" s="169"/>
      <c r="C1208" s="172"/>
      <c r="D1208" s="161"/>
      <c r="E1208" s="162"/>
      <c r="F1208" s="163"/>
      <c r="H1208" s="169"/>
      <c r="I1208" s="172"/>
      <c r="J1208" s="161"/>
      <c r="K1208" s="162"/>
      <c r="L1208" s="163"/>
    </row>
    <row r="1209" spans="2:63" ht="14.4" thickBot="1" x14ac:dyDescent="0.3">
      <c r="B1209" s="169"/>
      <c r="C1209" s="172"/>
      <c r="D1209" s="161"/>
      <c r="E1209" s="162"/>
      <c r="F1209" s="163"/>
      <c r="H1209" s="169"/>
      <c r="I1209" s="172"/>
      <c r="J1209" s="161"/>
      <c r="K1209" s="162"/>
      <c r="L1209" s="163"/>
    </row>
    <row r="1210" spans="2:63" ht="15" thickBot="1" x14ac:dyDescent="0.3">
      <c r="B1210" s="169"/>
      <c r="C1210" s="172"/>
      <c r="D1210" s="161" t="s">
        <v>471</v>
      </c>
      <c r="E1210" s="162">
        <f>SUM(E1206:E1209)</f>
        <v>0</v>
      </c>
      <c r="F1210" s="163">
        <f>SUM(F1206:F1209)</f>
        <v>0</v>
      </c>
      <c r="H1210" s="169"/>
      <c r="I1210" s="172"/>
      <c r="J1210" s="161" t="s">
        <v>471</v>
      </c>
      <c r="K1210" s="162">
        <f>SUM(K1206:K1209)</f>
        <v>0</v>
      </c>
      <c r="L1210" s="163">
        <f>SUM(L1206:L1209)</f>
        <v>0</v>
      </c>
      <c r="BJ1210" s="157">
        <f>SUM(E1210,K1210,Q1210,W1210,AC1210,AI1210,AO1210,AU1210,BA1210,BG1210)</f>
        <v>0</v>
      </c>
      <c r="BK1210" s="158">
        <f>SUM(F1210,L1210,R1210,X1210,AD1210,AJ1210,AP1210,AV1210,BB1210,BH1210)</f>
        <v>0</v>
      </c>
    </row>
    <row r="1211" spans="2:63" ht="14.4" thickBot="1" x14ac:dyDescent="0.3">
      <c r="B1211" s="170"/>
      <c r="C1211" s="173"/>
      <c r="D1211" s="164" t="str">
        <f>IF(E1210=F1210,"",IF(E1210&gt;F1210,"Saldo Deudor","Saldo Acreedor"))</f>
        <v/>
      </c>
      <c r="E1211" s="165" t="str">
        <f>IF(E1210&gt;F1210,E1210-F1210,"")</f>
        <v/>
      </c>
      <c r="F1211" s="176" t="str">
        <f>IF(E1210&lt;F1210,F1210-E1210,"")</f>
        <v/>
      </c>
      <c r="H1211" s="170"/>
      <c r="I1211" s="173"/>
      <c r="J1211" s="164" t="str">
        <f>IF(K1210=L1210,"",IF(K1210&gt;L1210,"Saldo Deudor","Saldo Acreedor"))</f>
        <v/>
      </c>
      <c r="K1211" s="165" t="str">
        <f>IF(K1210&gt;L1210,K1210-L1210,"")</f>
        <v/>
      </c>
      <c r="L1211" s="176" t="str">
        <f>IF(K1210&lt;L1210,L1210-K1210,"")</f>
        <v/>
      </c>
    </row>
    <row r="1214" spans="2:63" ht="15.6" x14ac:dyDescent="0.25">
      <c r="B1214" s="324" t="s">
        <v>472</v>
      </c>
      <c r="C1214" s="324"/>
      <c r="D1214" s="175">
        <v>6351</v>
      </c>
      <c r="E1214" s="160"/>
      <c r="H1214" s="324" t="s">
        <v>472</v>
      </c>
      <c r="I1214" s="324"/>
      <c r="J1214" s="175">
        <v>6352</v>
      </c>
      <c r="K1214" s="160"/>
      <c r="N1214" s="324" t="s">
        <v>472</v>
      </c>
      <c r="O1214" s="324"/>
      <c r="P1214" s="175">
        <v>6353</v>
      </c>
      <c r="Q1214" s="160"/>
      <c r="T1214" s="324" t="s">
        <v>472</v>
      </c>
      <c r="U1214" s="324"/>
      <c r="V1214" s="175">
        <v>6354</v>
      </c>
      <c r="W1214" s="160"/>
      <c r="Z1214" s="324" t="s">
        <v>472</v>
      </c>
      <c r="AA1214" s="324"/>
      <c r="AB1214" s="175">
        <v>6356</v>
      </c>
      <c r="AC1214" s="160"/>
    </row>
    <row r="1215" spans="2:63" x14ac:dyDescent="0.25">
      <c r="B1215" s="160"/>
      <c r="C1215" s="160"/>
      <c r="D1215" s="160"/>
      <c r="E1215" s="160"/>
      <c r="H1215" s="160"/>
      <c r="I1215" s="160"/>
      <c r="J1215" s="160"/>
      <c r="K1215" s="160"/>
      <c r="N1215" s="160"/>
      <c r="O1215" s="160"/>
      <c r="P1215" s="160"/>
      <c r="Q1215" s="160"/>
      <c r="T1215" s="160"/>
      <c r="U1215" s="160"/>
      <c r="V1215" s="160"/>
      <c r="W1215" s="160"/>
      <c r="Z1215" s="160"/>
      <c r="AA1215" s="160"/>
      <c r="AB1215" s="160"/>
      <c r="AC1215" s="160"/>
    </row>
    <row r="1216" spans="2:63" ht="15.6" x14ac:dyDescent="0.25">
      <c r="B1216" s="324" t="s">
        <v>473</v>
      </c>
      <c r="C1216" s="324"/>
      <c r="D1216" s="234" t="str">
        <f>VLOOKUP(D1214,DivisionariasContables,3,FALSE)</f>
        <v>Alquileres - Terrenos</v>
      </c>
      <c r="E1216" s="160"/>
      <c r="H1216" s="324" t="s">
        <v>473</v>
      </c>
      <c r="I1216" s="324"/>
      <c r="J1216" s="234" t="str">
        <f>VLOOKUP(J1214,DivisionariasContables,3,FALSE)</f>
        <v>Alquileres - Edificaciones</v>
      </c>
      <c r="K1216" s="160"/>
      <c r="N1216" s="324" t="s">
        <v>473</v>
      </c>
      <c r="O1216" s="324"/>
      <c r="P1216" s="234" t="str">
        <f>VLOOKUP(P1214,DivisionariasContables,3,FALSE)</f>
        <v>Alquileres - Maquinarias y Equipos de Explotación</v>
      </c>
      <c r="Q1216" s="160"/>
      <c r="T1216" s="324" t="s">
        <v>473</v>
      </c>
      <c r="U1216" s="324"/>
      <c r="V1216" s="234" t="str">
        <f>VLOOKUP(V1214,DivisionariasContables,3,FALSE)</f>
        <v>Alquileres - Equipos de Transporte</v>
      </c>
      <c r="W1216" s="160"/>
      <c r="Z1216" s="324" t="s">
        <v>473</v>
      </c>
      <c r="AA1216" s="324"/>
      <c r="AB1216" s="234" t="str">
        <f>VLOOKUP(AB1214,DivisionariasContables,3,FALSE)</f>
        <v>Alquileres - Equipos Diversos</v>
      </c>
      <c r="AC1216" s="160"/>
    </row>
    <row r="1217" spans="2:63" ht="14.4" thickBot="1" x14ac:dyDescent="0.3"/>
    <row r="1218" spans="2:63" x14ac:dyDescent="0.25">
      <c r="B1218" s="325" t="s">
        <v>466</v>
      </c>
      <c r="C1218" s="327" t="s">
        <v>467</v>
      </c>
      <c r="D1218" s="327" t="s">
        <v>468</v>
      </c>
      <c r="E1218" s="329" t="s">
        <v>469</v>
      </c>
      <c r="F1218" s="330"/>
      <c r="H1218" s="325" t="s">
        <v>466</v>
      </c>
      <c r="I1218" s="327" t="s">
        <v>467</v>
      </c>
      <c r="J1218" s="327" t="s">
        <v>468</v>
      </c>
      <c r="K1218" s="329" t="s">
        <v>469</v>
      </c>
      <c r="L1218" s="330"/>
      <c r="N1218" s="325" t="s">
        <v>466</v>
      </c>
      <c r="O1218" s="327" t="s">
        <v>467</v>
      </c>
      <c r="P1218" s="327" t="s">
        <v>468</v>
      </c>
      <c r="Q1218" s="329" t="s">
        <v>469</v>
      </c>
      <c r="R1218" s="330"/>
      <c r="T1218" s="325" t="s">
        <v>466</v>
      </c>
      <c r="U1218" s="327" t="s">
        <v>467</v>
      </c>
      <c r="V1218" s="327" t="s">
        <v>468</v>
      </c>
      <c r="W1218" s="329" t="s">
        <v>469</v>
      </c>
      <c r="X1218" s="330"/>
      <c r="Z1218" s="325" t="s">
        <v>466</v>
      </c>
      <c r="AA1218" s="327" t="s">
        <v>467</v>
      </c>
      <c r="AB1218" s="327" t="s">
        <v>468</v>
      </c>
      <c r="AC1218" s="329" t="s">
        <v>469</v>
      </c>
      <c r="AD1218" s="330"/>
    </row>
    <row r="1219" spans="2:63" ht="14.4" thickBot="1" x14ac:dyDescent="0.3">
      <c r="B1219" s="326"/>
      <c r="C1219" s="328"/>
      <c r="D1219" s="328"/>
      <c r="E1219" s="232" t="s">
        <v>403</v>
      </c>
      <c r="F1219" s="174" t="s">
        <v>402</v>
      </c>
      <c r="H1219" s="326"/>
      <c r="I1219" s="328"/>
      <c r="J1219" s="328"/>
      <c r="K1219" s="232" t="s">
        <v>403</v>
      </c>
      <c r="L1219" s="174" t="s">
        <v>402</v>
      </c>
      <c r="N1219" s="326"/>
      <c r="O1219" s="328"/>
      <c r="P1219" s="328"/>
      <c r="Q1219" s="232" t="s">
        <v>403</v>
      </c>
      <c r="R1219" s="174" t="s">
        <v>402</v>
      </c>
      <c r="T1219" s="326"/>
      <c r="U1219" s="328"/>
      <c r="V1219" s="328"/>
      <c r="W1219" s="232" t="s">
        <v>403</v>
      </c>
      <c r="X1219" s="174" t="s">
        <v>402</v>
      </c>
      <c r="Z1219" s="326"/>
      <c r="AA1219" s="328"/>
      <c r="AB1219" s="328"/>
      <c r="AC1219" s="232" t="s">
        <v>403</v>
      </c>
      <c r="AD1219" s="174" t="s">
        <v>402</v>
      </c>
    </row>
    <row r="1220" spans="2:63" ht="14.4" thickTop="1" x14ac:dyDescent="0.25">
      <c r="B1220" s="236">
        <v>41670</v>
      </c>
      <c r="C1220" s="171"/>
      <c r="D1220" s="166" t="s">
        <v>470</v>
      </c>
      <c r="E1220" s="167">
        <f>SUMIF('Libro Diario Convencional'!$D$15:$D$167,D1214,'Libro Diario Convencional'!$G$15:$G$167)</f>
        <v>0</v>
      </c>
      <c r="F1220" s="168">
        <f>SUMIF('Libro Diario Convencional'!$D$15:$D$167,D1214,'Libro Diario Convencional'!$H$15:$H$167)</f>
        <v>0</v>
      </c>
      <c r="H1220" s="236">
        <v>41670</v>
      </c>
      <c r="I1220" s="171"/>
      <c r="J1220" s="166" t="s">
        <v>470</v>
      </c>
      <c r="K1220" s="167">
        <f>SUMIF('Libro Diario Convencional'!$D$15:$D$167,J1214,'Libro Diario Convencional'!$G$15:$G$167)</f>
        <v>0</v>
      </c>
      <c r="L1220" s="168">
        <f>SUMIF('Libro Diario Convencional'!$D$15:$D$167,J1214,'Libro Diario Convencional'!$H$15:$H$167)</f>
        <v>0</v>
      </c>
      <c r="N1220" s="236">
        <v>41670</v>
      </c>
      <c r="O1220" s="171"/>
      <c r="P1220" s="166" t="s">
        <v>470</v>
      </c>
      <c r="Q1220" s="167">
        <f>SUMIF('Libro Diario Convencional'!$D$15:$D$167,P1214,'Libro Diario Convencional'!$G$15:$G$167)</f>
        <v>0</v>
      </c>
      <c r="R1220" s="168">
        <f>SUMIF('Libro Diario Convencional'!$D$15:$D$167,P1214,'Libro Diario Convencional'!$H$15:$H$167)</f>
        <v>0</v>
      </c>
      <c r="T1220" s="236">
        <v>41670</v>
      </c>
      <c r="U1220" s="171"/>
      <c r="V1220" s="166" t="s">
        <v>470</v>
      </c>
      <c r="W1220" s="167">
        <f>SUMIF('Libro Diario Convencional'!$D$15:$D$167,V1214,'Libro Diario Convencional'!$G$15:$G$167)</f>
        <v>0</v>
      </c>
      <c r="X1220" s="168">
        <f>SUMIF('Libro Diario Convencional'!$D$15:$D$167,V1214,'Libro Diario Convencional'!$H$15:$H$167)</f>
        <v>0</v>
      </c>
      <c r="Z1220" s="236">
        <v>41670</v>
      </c>
      <c r="AA1220" s="171"/>
      <c r="AB1220" s="166" t="s">
        <v>470</v>
      </c>
      <c r="AC1220" s="167">
        <f>SUMIF('Libro Diario Convencional'!$D$15:$D$167,AB1214,'Libro Diario Convencional'!$G$15:$G$167)</f>
        <v>0</v>
      </c>
      <c r="AD1220" s="168">
        <f>SUMIF('Libro Diario Convencional'!$D$15:$D$167,AB1214,'Libro Diario Convencional'!$H$15:$H$167)</f>
        <v>0</v>
      </c>
    </row>
    <row r="1221" spans="2:63" x14ac:dyDescent="0.25">
      <c r="B1221" s="169">
        <v>41670</v>
      </c>
      <c r="C1221" s="172"/>
      <c r="D1221" s="161" t="s">
        <v>474</v>
      </c>
      <c r="E1221" s="162">
        <f>SUMIF('Asientos de Cierre'!$D$6:$D$549,D1214,'Asientos de Cierre'!$G$6:$G$549)</f>
        <v>0</v>
      </c>
      <c r="F1221" s="163">
        <f>SUMIF('Asientos de Cierre'!$D$6:$D$549,D1214,'Asientos de Cierre'!$H$6:$H$549)</f>
        <v>0</v>
      </c>
      <c r="H1221" s="169">
        <v>41670</v>
      </c>
      <c r="I1221" s="172"/>
      <c r="J1221" s="161" t="s">
        <v>474</v>
      </c>
      <c r="K1221" s="162">
        <f>SUMIF('Asientos de Cierre'!$D$6:$D$549,J1214,'Asientos de Cierre'!$G$6:$G$549)</f>
        <v>0</v>
      </c>
      <c r="L1221" s="163">
        <f>SUMIF('Asientos de Cierre'!$D$6:$D$549,J1214,'Asientos de Cierre'!$H$6:$H$549)</f>
        <v>0</v>
      </c>
      <c r="N1221" s="169">
        <v>41670</v>
      </c>
      <c r="O1221" s="172"/>
      <c r="P1221" s="161" t="s">
        <v>474</v>
      </c>
      <c r="Q1221" s="162">
        <f>SUMIF('Asientos de Cierre'!$D$6:$D$549,P1214,'Asientos de Cierre'!$G$6:$G$549)</f>
        <v>0</v>
      </c>
      <c r="R1221" s="163">
        <f>SUMIF('Asientos de Cierre'!$D$6:$D$549,P1214,'Asientos de Cierre'!$H$6:$H$549)</f>
        <v>0</v>
      </c>
      <c r="T1221" s="169">
        <v>41670</v>
      </c>
      <c r="U1221" s="172"/>
      <c r="V1221" s="161" t="s">
        <v>474</v>
      </c>
      <c r="W1221" s="162">
        <f>SUMIF('Asientos de Cierre'!$D$6:$D$549,V1214,'Asientos de Cierre'!$G$6:$G$549)</f>
        <v>0</v>
      </c>
      <c r="X1221" s="163">
        <f>SUMIF('Asientos de Cierre'!$D$6:$D$549,V1214,'Asientos de Cierre'!$H$6:$H$549)</f>
        <v>0</v>
      </c>
      <c r="Z1221" s="169">
        <v>41670</v>
      </c>
      <c r="AA1221" s="172"/>
      <c r="AB1221" s="161" t="s">
        <v>474</v>
      </c>
      <c r="AC1221" s="162">
        <f>SUMIF('Asientos de Cierre'!$D$6:$D$549,AB1214,'Asientos de Cierre'!$G$6:$G$549)</f>
        <v>0</v>
      </c>
      <c r="AD1221" s="163">
        <f>SUMIF('Asientos de Cierre'!$D$6:$D$549,AB1214,'Asientos de Cierre'!$H$6:$H$549)</f>
        <v>0</v>
      </c>
    </row>
    <row r="1222" spans="2:63" x14ac:dyDescent="0.25">
      <c r="B1222" s="169"/>
      <c r="C1222" s="172"/>
      <c r="D1222" s="161"/>
      <c r="E1222" s="162"/>
      <c r="F1222" s="163"/>
      <c r="H1222" s="169"/>
      <c r="I1222" s="172"/>
      <c r="J1222" s="161"/>
      <c r="K1222" s="162"/>
      <c r="L1222" s="163"/>
      <c r="N1222" s="169"/>
      <c r="O1222" s="172"/>
      <c r="P1222" s="161"/>
      <c r="Q1222" s="162"/>
      <c r="R1222" s="163"/>
      <c r="T1222" s="169"/>
      <c r="U1222" s="172"/>
      <c r="V1222" s="161"/>
      <c r="W1222" s="162"/>
      <c r="X1222" s="163"/>
      <c r="Z1222" s="169"/>
      <c r="AA1222" s="172"/>
      <c r="AB1222" s="161"/>
      <c r="AC1222" s="162"/>
      <c r="AD1222" s="163"/>
    </row>
    <row r="1223" spans="2:63" ht="14.4" thickBot="1" x14ac:dyDescent="0.3">
      <c r="B1223" s="169"/>
      <c r="C1223" s="172"/>
      <c r="D1223" s="161"/>
      <c r="E1223" s="162"/>
      <c r="F1223" s="163"/>
      <c r="H1223" s="169"/>
      <c r="I1223" s="172"/>
      <c r="J1223" s="161"/>
      <c r="K1223" s="162"/>
      <c r="L1223" s="163"/>
      <c r="N1223" s="169"/>
      <c r="O1223" s="172"/>
      <c r="P1223" s="161"/>
      <c r="Q1223" s="162"/>
      <c r="R1223" s="163"/>
      <c r="T1223" s="169"/>
      <c r="U1223" s="172"/>
      <c r="V1223" s="161"/>
      <c r="W1223" s="162"/>
      <c r="X1223" s="163"/>
      <c r="Z1223" s="169"/>
      <c r="AA1223" s="172"/>
      <c r="AB1223" s="161"/>
      <c r="AC1223" s="162"/>
      <c r="AD1223" s="163"/>
    </row>
    <row r="1224" spans="2:63" ht="15" thickBot="1" x14ac:dyDescent="0.3">
      <c r="B1224" s="169"/>
      <c r="C1224" s="172"/>
      <c r="D1224" s="161" t="s">
        <v>471</v>
      </c>
      <c r="E1224" s="162">
        <f>SUM(E1220:E1223)</f>
        <v>0</v>
      </c>
      <c r="F1224" s="163">
        <f>SUM(F1220:F1223)</f>
        <v>0</v>
      </c>
      <c r="H1224" s="169"/>
      <c r="I1224" s="172"/>
      <c r="J1224" s="161" t="s">
        <v>471</v>
      </c>
      <c r="K1224" s="162">
        <f>SUM(K1220:K1223)</f>
        <v>0</v>
      </c>
      <c r="L1224" s="163">
        <f>SUM(L1220:L1223)</f>
        <v>0</v>
      </c>
      <c r="N1224" s="169"/>
      <c r="O1224" s="172"/>
      <c r="P1224" s="161" t="s">
        <v>471</v>
      </c>
      <c r="Q1224" s="162">
        <f>SUM(Q1220:Q1223)</f>
        <v>0</v>
      </c>
      <c r="R1224" s="163">
        <f>SUM(R1220:R1223)</f>
        <v>0</v>
      </c>
      <c r="T1224" s="169"/>
      <c r="U1224" s="172"/>
      <c r="V1224" s="161" t="s">
        <v>471</v>
      </c>
      <c r="W1224" s="162">
        <f>SUM(W1220:W1223)</f>
        <v>0</v>
      </c>
      <c r="X1224" s="163">
        <f>SUM(X1220:X1223)</f>
        <v>0</v>
      </c>
      <c r="Z1224" s="169"/>
      <c r="AA1224" s="172"/>
      <c r="AB1224" s="161" t="s">
        <v>471</v>
      </c>
      <c r="AC1224" s="162">
        <f>SUM(AC1220:AC1223)</f>
        <v>0</v>
      </c>
      <c r="AD1224" s="163">
        <f>SUM(AD1220:AD1223)</f>
        <v>0</v>
      </c>
      <c r="BJ1224" s="157">
        <f>SUM(E1224,K1224,Q1224,W1224,AC1224,AI1224,AO1224,AU1224,BA1224,BG1224)</f>
        <v>0</v>
      </c>
      <c r="BK1224" s="158">
        <f>SUM(F1224,L1224,R1224,X1224,AD1224,AJ1224,AP1224,AV1224,BB1224,BH1224)</f>
        <v>0</v>
      </c>
    </row>
    <row r="1225" spans="2:63" ht="14.4" thickBot="1" x14ac:dyDescent="0.3">
      <c r="B1225" s="170"/>
      <c r="C1225" s="173"/>
      <c r="D1225" s="164" t="str">
        <f>IF(E1224=F1224,"",IF(E1224&gt;F1224,"Saldo Deudor","Saldo Acreedor"))</f>
        <v/>
      </c>
      <c r="E1225" s="165" t="str">
        <f>IF(E1224&gt;F1224,E1224-F1224,"")</f>
        <v/>
      </c>
      <c r="F1225" s="176" t="str">
        <f>IF(E1224&lt;F1224,F1224-E1224,"")</f>
        <v/>
      </c>
      <c r="H1225" s="170"/>
      <c r="I1225" s="173"/>
      <c r="J1225" s="164" t="str">
        <f>IF(K1224=L1224,"",IF(K1224&gt;L1224,"Saldo Deudor","Saldo Acreedor"))</f>
        <v/>
      </c>
      <c r="K1225" s="165" t="str">
        <f>IF(K1224&gt;L1224,K1224-L1224,"")</f>
        <v/>
      </c>
      <c r="L1225" s="176" t="str">
        <f>IF(K1224&lt;L1224,L1224-K1224,"")</f>
        <v/>
      </c>
      <c r="N1225" s="170"/>
      <c r="O1225" s="173"/>
      <c r="P1225" s="164" t="str">
        <f>IF(Q1224=R1224,"",IF(Q1224&gt;R1224,"Saldo Deudor","Saldo Acreedor"))</f>
        <v/>
      </c>
      <c r="Q1225" s="165" t="str">
        <f>IF(Q1224&gt;R1224,Q1224-R1224,"")</f>
        <v/>
      </c>
      <c r="R1225" s="176" t="str">
        <f>IF(Q1224&lt;R1224,R1224-Q1224,"")</f>
        <v/>
      </c>
      <c r="T1225" s="170"/>
      <c r="U1225" s="173"/>
      <c r="V1225" s="164" t="str">
        <f>IF(W1224=X1224,"",IF(W1224&gt;X1224,"Saldo Deudor","Saldo Acreedor"))</f>
        <v/>
      </c>
      <c r="W1225" s="165" t="str">
        <f>IF(W1224&gt;X1224,W1224-X1224,"")</f>
        <v/>
      </c>
      <c r="X1225" s="176" t="str">
        <f>IF(W1224&lt;X1224,X1224-W1224,"")</f>
        <v/>
      </c>
      <c r="Z1225" s="170"/>
      <c r="AA1225" s="173"/>
      <c r="AB1225" s="164" t="str">
        <f>IF(AC1224=AD1224,"",IF(AC1224&gt;AD1224,"Saldo Deudor","Saldo Acreedor"))</f>
        <v/>
      </c>
      <c r="AC1225" s="165" t="str">
        <f>IF(AC1224&gt;AD1224,AC1224-AD1224,"")</f>
        <v/>
      </c>
      <c r="AD1225" s="176" t="str">
        <f>IF(AC1224&lt;AD1224,AD1224-AC1224,"")</f>
        <v/>
      </c>
    </row>
    <row r="1228" spans="2:63" ht="15.6" x14ac:dyDescent="0.25">
      <c r="B1228" s="324" t="s">
        <v>472</v>
      </c>
      <c r="C1228" s="324"/>
      <c r="D1228" s="175">
        <v>6361</v>
      </c>
      <c r="E1228" s="160"/>
      <c r="H1228" s="324" t="s">
        <v>472</v>
      </c>
      <c r="I1228" s="324"/>
      <c r="J1228" s="175">
        <v>6362</v>
      </c>
      <c r="K1228" s="160"/>
      <c r="N1228" s="324" t="s">
        <v>472</v>
      </c>
      <c r="O1228" s="324"/>
      <c r="P1228" s="175">
        <v>6363</v>
      </c>
      <c r="Q1228" s="160"/>
      <c r="T1228" s="324" t="s">
        <v>472</v>
      </c>
      <c r="U1228" s="324"/>
      <c r="V1228" s="175">
        <v>6364</v>
      </c>
      <c r="W1228" s="160"/>
      <c r="Z1228" s="324" t="s">
        <v>472</v>
      </c>
      <c r="AA1228" s="324"/>
      <c r="AB1228" s="175">
        <v>6365</v>
      </c>
      <c r="AC1228" s="160"/>
      <c r="AF1228" s="324" t="s">
        <v>472</v>
      </c>
      <c r="AG1228" s="324"/>
      <c r="AH1228" s="175">
        <v>6366</v>
      </c>
      <c r="AI1228" s="160"/>
      <c r="AL1228" s="324" t="s">
        <v>472</v>
      </c>
      <c r="AM1228" s="324"/>
      <c r="AN1228" s="175">
        <v>6367</v>
      </c>
      <c r="AO1228" s="160"/>
    </row>
    <row r="1229" spans="2:63" x14ac:dyDescent="0.25">
      <c r="B1229" s="160"/>
      <c r="C1229" s="160"/>
      <c r="D1229" s="160"/>
      <c r="E1229" s="160"/>
      <c r="H1229" s="160"/>
      <c r="I1229" s="160"/>
      <c r="J1229" s="160"/>
      <c r="K1229" s="160"/>
      <c r="N1229" s="160"/>
      <c r="O1229" s="160"/>
      <c r="P1229" s="160"/>
      <c r="Q1229" s="160"/>
      <c r="T1229" s="160"/>
      <c r="U1229" s="160"/>
      <c r="V1229" s="160"/>
      <c r="W1229" s="160"/>
      <c r="Z1229" s="160"/>
      <c r="AA1229" s="160"/>
      <c r="AB1229" s="160"/>
      <c r="AC1229" s="160"/>
      <c r="AF1229" s="160"/>
      <c r="AG1229" s="160"/>
      <c r="AH1229" s="160"/>
      <c r="AI1229" s="160"/>
      <c r="AL1229" s="160"/>
      <c r="AM1229" s="160"/>
      <c r="AN1229" s="160"/>
      <c r="AO1229" s="160"/>
    </row>
    <row r="1230" spans="2:63" ht="15.6" x14ac:dyDescent="0.25">
      <c r="B1230" s="324" t="s">
        <v>473</v>
      </c>
      <c r="C1230" s="324"/>
      <c r="D1230" s="234" t="str">
        <f>VLOOKUP(D1228,DivisionariasContables,3,FALSE)</f>
        <v>Servicios Básicos - Energía Eléctrica</v>
      </c>
      <c r="E1230" s="160"/>
      <c r="H1230" s="324" t="s">
        <v>473</v>
      </c>
      <c r="I1230" s="324"/>
      <c r="J1230" s="234" t="str">
        <f>VLOOKUP(J1228,DivisionariasContables,3,FALSE)</f>
        <v>Servicios Básicos - Gas</v>
      </c>
      <c r="K1230" s="160"/>
      <c r="N1230" s="324" t="s">
        <v>473</v>
      </c>
      <c r="O1230" s="324"/>
      <c r="P1230" s="234" t="str">
        <f>VLOOKUP(P1228,DivisionariasContables,3,FALSE)</f>
        <v>Servicios Básicos - Agua</v>
      </c>
      <c r="Q1230" s="160"/>
      <c r="T1230" s="324" t="s">
        <v>473</v>
      </c>
      <c r="U1230" s="324"/>
      <c r="V1230" s="234" t="str">
        <f>VLOOKUP(V1228,DivisionariasContables,3,FALSE)</f>
        <v>Servicios Básicos - Teléfono</v>
      </c>
      <c r="W1230" s="160"/>
      <c r="Z1230" s="324" t="s">
        <v>473</v>
      </c>
      <c r="AA1230" s="324"/>
      <c r="AB1230" s="234" t="str">
        <f>VLOOKUP(AB1228,DivisionariasContables,3,FALSE)</f>
        <v>Servicios Básicos - Internet</v>
      </c>
      <c r="AC1230" s="160"/>
      <c r="AF1230" s="324" t="s">
        <v>473</v>
      </c>
      <c r="AG1230" s="324"/>
      <c r="AH1230" s="234" t="str">
        <f>VLOOKUP(AH1228,DivisionariasContables,3,FALSE)</f>
        <v>Servicios Básicos - Radio</v>
      </c>
      <c r="AI1230" s="160"/>
      <c r="AL1230" s="324" t="s">
        <v>473</v>
      </c>
      <c r="AM1230" s="324"/>
      <c r="AN1230" s="234" t="str">
        <f>VLOOKUP(AN1228,DivisionariasContables,3,FALSE)</f>
        <v>Servicios Básicos - Cable</v>
      </c>
      <c r="AO1230" s="160"/>
    </row>
    <row r="1231" spans="2:63" ht="14.4" thickBot="1" x14ac:dyDescent="0.3"/>
    <row r="1232" spans="2:63" x14ac:dyDescent="0.25">
      <c r="B1232" s="325" t="s">
        <v>466</v>
      </c>
      <c r="C1232" s="327" t="s">
        <v>467</v>
      </c>
      <c r="D1232" s="327" t="s">
        <v>468</v>
      </c>
      <c r="E1232" s="329" t="s">
        <v>469</v>
      </c>
      <c r="F1232" s="330"/>
      <c r="H1232" s="325" t="s">
        <v>466</v>
      </c>
      <c r="I1232" s="327" t="s">
        <v>467</v>
      </c>
      <c r="J1232" s="327" t="s">
        <v>468</v>
      </c>
      <c r="K1232" s="329" t="s">
        <v>469</v>
      </c>
      <c r="L1232" s="330"/>
      <c r="N1232" s="325" t="s">
        <v>466</v>
      </c>
      <c r="O1232" s="327" t="s">
        <v>467</v>
      </c>
      <c r="P1232" s="327" t="s">
        <v>468</v>
      </c>
      <c r="Q1232" s="329" t="s">
        <v>469</v>
      </c>
      <c r="R1232" s="330"/>
      <c r="T1232" s="325" t="s">
        <v>466</v>
      </c>
      <c r="U1232" s="327" t="s">
        <v>467</v>
      </c>
      <c r="V1232" s="327" t="s">
        <v>468</v>
      </c>
      <c r="W1232" s="329" t="s">
        <v>469</v>
      </c>
      <c r="X1232" s="330"/>
      <c r="Z1232" s="325" t="s">
        <v>466</v>
      </c>
      <c r="AA1232" s="327" t="s">
        <v>467</v>
      </c>
      <c r="AB1232" s="327" t="s">
        <v>468</v>
      </c>
      <c r="AC1232" s="329" t="s">
        <v>469</v>
      </c>
      <c r="AD1232" s="330"/>
      <c r="AF1232" s="325" t="s">
        <v>466</v>
      </c>
      <c r="AG1232" s="327" t="s">
        <v>467</v>
      </c>
      <c r="AH1232" s="327" t="s">
        <v>468</v>
      </c>
      <c r="AI1232" s="329" t="s">
        <v>469</v>
      </c>
      <c r="AJ1232" s="330"/>
      <c r="AL1232" s="325" t="s">
        <v>466</v>
      </c>
      <c r="AM1232" s="327" t="s">
        <v>467</v>
      </c>
      <c r="AN1232" s="327" t="s">
        <v>468</v>
      </c>
      <c r="AO1232" s="329" t="s">
        <v>469</v>
      </c>
      <c r="AP1232" s="330"/>
    </row>
    <row r="1233" spans="2:63" ht="14.4" thickBot="1" x14ac:dyDescent="0.3">
      <c r="B1233" s="326"/>
      <c r="C1233" s="328"/>
      <c r="D1233" s="328"/>
      <c r="E1233" s="232" t="s">
        <v>403</v>
      </c>
      <c r="F1233" s="174" t="s">
        <v>402</v>
      </c>
      <c r="H1233" s="326"/>
      <c r="I1233" s="328"/>
      <c r="J1233" s="328"/>
      <c r="K1233" s="232" t="s">
        <v>403</v>
      </c>
      <c r="L1233" s="174" t="s">
        <v>402</v>
      </c>
      <c r="N1233" s="326"/>
      <c r="O1233" s="328"/>
      <c r="P1233" s="328"/>
      <c r="Q1233" s="232" t="s">
        <v>403</v>
      </c>
      <c r="R1233" s="174" t="s">
        <v>402</v>
      </c>
      <c r="T1233" s="326"/>
      <c r="U1233" s="328"/>
      <c r="V1233" s="328"/>
      <c r="W1233" s="232" t="s">
        <v>403</v>
      </c>
      <c r="X1233" s="174" t="s">
        <v>402</v>
      </c>
      <c r="Z1233" s="326"/>
      <c r="AA1233" s="328"/>
      <c r="AB1233" s="328"/>
      <c r="AC1233" s="232" t="s">
        <v>403</v>
      </c>
      <c r="AD1233" s="174" t="s">
        <v>402</v>
      </c>
      <c r="AF1233" s="326"/>
      <c r="AG1233" s="328"/>
      <c r="AH1233" s="328"/>
      <c r="AI1233" s="232" t="s">
        <v>403</v>
      </c>
      <c r="AJ1233" s="174" t="s">
        <v>402</v>
      </c>
      <c r="AL1233" s="326"/>
      <c r="AM1233" s="328"/>
      <c r="AN1233" s="328"/>
      <c r="AO1233" s="232" t="s">
        <v>403</v>
      </c>
      <c r="AP1233" s="174" t="s">
        <v>402</v>
      </c>
    </row>
    <row r="1234" spans="2:63" ht="14.4" thickTop="1" x14ac:dyDescent="0.25">
      <c r="B1234" s="236">
        <v>41670</v>
      </c>
      <c r="C1234" s="171"/>
      <c r="D1234" s="166" t="s">
        <v>470</v>
      </c>
      <c r="E1234" s="167">
        <f>SUMIF('Libro Diario Convencional'!$D$15:$D$167,D1228,'Libro Diario Convencional'!$G$15:$G$167)</f>
        <v>8542.3728813559319</v>
      </c>
      <c r="F1234" s="168">
        <f>SUMIF('Libro Diario Convencional'!$D$15:$D$167,D1228,'Libro Diario Convencional'!$H$15:$H$167)</f>
        <v>0</v>
      </c>
      <c r="H1234" s="236">
        <v>41670</v>
      </c>
      <c r="I1234" s="171"/>
      <c r="J1234" s="166" t="s">
        <v>470</v>
      </c>
      <c r="K1234" s="167">
        <f>SUMIF('Libro Diario Convencional'!$D$15:$D$167,J1228,'Libro Diario Convencional'!$G$15:$G$167)</f>
        <v>0</v>
      </c>
      <c r="L1234" s="168">
        <f>SUMIF('Libro Diario Convencional'!$D$15:$D$167,J1228,'Libro Diario Convencional'!$H$15:$H$167)</f>
        <v>0</v>
      </c>
      <c r="N1234" s="236">
        <v>41670</v>
      </c>
      <c r="O1234" s="171"/>
      <c r="P1234" s="166" t="s">
        <v>470</v>
      </c>
      <c r="Q1234" s="167">
        <f>SUMIF('Libro Diario Convencional'!$D$15:$D$167,P1228,'Libro Diario Convencional'!$G$15:$G$167)</f>
        <v>0</v>
      </c>
      <c r="R1234" s="168">
        <f>SUMIF('Libro Diario Convencional'!$D$15:$D$167,P1228,'Libro Diario Convencional'!$H$15:$H$167)</f>
        <v>0</v>
      </c>
      <c r="T1234" s="236">
        <v>41670</v>
      </c>
      <c r="U1234" s="171"/>
      <c r="V1234" s="166" t="s">
        <v>470</v>
      </c>
      <c r="W1234" s="167">
        <f>SUMIF('Libro Diario Convencional'!$D$15:$D$167,V1228,'Libro Diario Convencional'!$G$15:$G$167)</f>
        <v>0</v>
      </c>
      <c r="X1234" s="168">
        <f>SUMIF('Libro Diario Convencional'!$D$15:$D$167,V1228,'Libro Diario Convencional'!$H$15:$H$167)</f>
        <v>0</v>
      </c>
      <c r="Z1234" s="236">
        <v>41670</v>
      </c>
      <c r="AA1234" s="171"/>
      <c r="AB1234" s="166" t="s">
        <v>470</v>
      </c>
      <c r="AC1234" s="167">
        <f>SUMIF('Libro Diario Convencional'!$D$15:$D$167,AB1228,'Libro Diario Convencional'!$G$15:$G$167)</f>
        <v>0</v>
      </c>
      <c r="AD1234" s="168">
        <f>SUMIF('Libro Diario Convencional'!$D$15:$D$167,AB1228,'Libro Diario Convencional'!$H$15:$H$167)</f>
        <v>0</v>
      </c>
      <c r="AF1234" s="236">
        <v>41670</v>
      </c>
      <c r="AG1234" s="171"/>
      <c r="AH1234" s="166" t="s">
        <v>470</v>
      </c>
      <c r="AI1234" s="167">
        <f>SUMIF('Libro Diario Convencional'!$D$15:$D$167,AH1228,'Libro Diario Convencional'!$G$15:$G$167)</f>
        <v>0</v>
      </c>
      <c r="AJ1234" s="168">
        <f>SUMIF('Libro Diario Convencional'!$D$15:$D$167,AH1228,'Libro Diario Convencional'!$H$15:$H$167)</f>
        <v>0</v>
      </c>
      <c r="AL1234" s="236">
        <v>41670</v>
      </c>
      <c r="AM1234" s="171"/>
      <c r="AN1234" s="166" t="s">
        <v>470</v>
      </c>
      <c r="AO1234" s="167">
        <f>SUMIF('Libro Diario Convencional'!$D$15:$D$167,AN1228,'Libro Diario Convencional'!$G$15:$G$167)</f>
        <v>0</v>
      </c>
      <c r="AP1234" s="168">
        <f>SUMIF('Libro Diario Convencional'!$D$15:$D$167,AN1228,'Libro Diario Convencional'!$H$15:$H$167)</f>
        <v>0</v>
      </c>
    </row>
    <row r="1235" spans="2:63" x14ac:dyDescent="0.25">
      <c r="B1235" s="169">
        <v>41670</v>
      </c>
      <c r="C1235" s="172"/>
      <c r="D1235" s="161" t="s">
        <v>474</v>
      </c>
      <c r="E1235" s="162">
        <f>SUMIF('Asientos de Cierre'!$D$6:$D$549,D1228,'Asientos de Cierre'!$G$6:$G$549)</f>
        <v>0</v>
      </c>
      <c r="F1235" s="163">
        <f>SUMIF('Asientos de Cierre'!$D$6:$D$549,D1228,'Asientos de Cierre'!$H$6:$H$549)</f>
        <v>8542.3728813559319</v>
      </c>
      <c r="H1235" s="169">
        <v>41670</v>
      </c>
      <c r="I1235" s="172"/>
      <c r="J1235" s="161" t="s">
        <v>474</v>
      </c>
      <c r="K1235" s="162">
        <f>SUMIF('Asientos de Cierre'!$D$6:$D$549,J1228,'Asientos de Cierre'!$G$6:$G$549)</f>
        <v>0</v>
      </c>
      <c r="L1235" s="163">
        <f>SUMIF('Asientos de Cierre'!$D$6:$D$549,J1228,'Asientos de Cierre'!$H$6:$H$549)</f>
        <v>0</v>
      </c>
      <c r="N1235" s="169">
        <v>41670</v>
      </c>
      <c r="O1235" s="172"/>
      <c r="P1235" s="161" t="s">
        <v>474</v>
      </c>
      <c r="Q1235" s="162">
        <f>SUMIF('Asientos de Cierre'!$D$6:$D$549,P1228,'Asientos de Cierre'!$G$6:$G$549)</f>
        <v>0</v>
      </c>
      <c r="R1235" s="163">
        <f>SUMIF('Asientos de Cierre'!$D$6:$D$549,P1228,'Asientos de Cierre'!$H$6:$H$549)</f>
        <v>0</v>
      </c>
      <c r="T1235" s="169">
        <v>41670</v>
      </c>
      <c r="U1235" s="172"/>
      <c r="V1235" s="161" t="s">
        <v>474</v>
      </c>
      <c r="W1235" s="162">
        <f>SUMIF('Asientos de Cierre'!$D$6:$D$549,V1228,'Asientos de Cierre'!$G$6:$G$549)</f>
        <v>0</v>
      </c>
      <c r="X1235" s="163">
        <f>SUMIF('Asientos de Cierre'!$D$6:$D$549,V1228,'Asientos de Cierre'!$H$6:$H$549)</f>
        <v>0</v>
      </c>
      <c r="Z1235" s="169">
        <v>41670</v>
      </c>
      <c r="AA1235" s="172"/>
      <c r="AB1235" s="161" t="s">
        <v>474</v>
      </c>
      <c r="AC1235" s="162">
        <f>SUMIF('Asientos de Cierre'!$D$6:$D$549,AB1228,'Asientos de Cierre'!$G$6:$G$549)</f>
        <v>0</v>
      </c>
      <c r="AD1235" s="163">
        <f>SUMIF('Asientos de Cierre'!$D$6:$D$549,AB1228,'Asientos de Cierre'!$H$6:$H$549)</f>
        <v>0</v>
      </c>
      <c r="AF1235" s="169">
        <v>41670</v>
      </c>
      <c r="AG1235" s="172"/>
      <c r="AH1235" s="161" t="s">
        <v>474</v>
      </c>
      <c r="AI1235" s="162">
        <f>SUMIF('Asientos de Cierre'!$D$6:$D$549,AH1228,'Asientos de Cierre'!$G$6:$G$549)</f>
        <v>0</v>
      </c>
      <c r="AJ1235" s="163">
        <f>SUMIF('Asientos de Cierre'!$D$6:$D$549,AH1228,'Asientos de Cierre'!$H$6:$H$549)</f>
        <v>0</v>
      </c>
      <c r="AL1235" s="169">
        <v>41670</v>
      </c>
      <c r="AM1235" s="172"/>
      <c r="AN1235" s="161" t="s">
        <v>474</v>
      </c>
      <c r="AO1235" s="162">
        <f>SUMIF('Asientos de Cierre'!$D$6:$D$549,AN1228,'Asientos de Cierre'!$G$6:$G$549)</f>
        <v>0</v>
      </c>
      <c r="AP1235" s="163">
        <f>SUMIF('Asientos de Cierre'!$D$6:$D$549,AN1228,'Asientos de Cierre'!$H$6:$H$549)</f>
        <v>0</v>
      </c>
    </row>
    <row r="1236" spans="2:63" x14ac:dyDescent="0.25">
      <c r="B1236" s="169"/>
      <c r="C1236" s="172"/>
      <c r="D1236" s="161"/>
      <c r="E1236" s="162"/>
      <c r="F1236" s="163"/>
      <c r="H1236" s="169"/>
      <c r="I1236" s="172"/>
      <c r="J1236" s="161"/>
      <c r="K1236" s="162"/>
      <c r="L1236" s="163"/>
      <c r="N1236" s="169"/>
      <c r="O1236" s="172"/>
      <c r="P1236" s="161"/>
      <c r="Q1236" s="162"/>
      <c r="R1236" s="163"/>
      <c r="T1236" s="169"/>
      <c r="U1236" s="172"/>
      <c r="V1236" s="161"/>
      <c r="W1236" s="162"/>
      <c r="X1236" s="163"/>
      <c r="Z1236" s="169"/>
      <c r="AA1236" s="172"/>
      <c r="AB1236" s="161"/>
      <c r="AC1236" s="162"/>
      <c r="AD1236" s="163"/>
      <c r="AF1236" s="169"/>
      <c r="AG1236" s="172"/>
      <c r="AH1236" s="161"/>
      <c r="AI1236" s="162"/>
      <c r="AJ1236" s="163"/>
      <c r="AL1236" s="169"/>
      <c r="AM1236" s="172"/>
      <c r="AN1236" s="161"/>
      <c r="AO1236" s="162"/>
      <c r="AP1236" s="163"/>
    </row>
    <row r="1237" spans="2:63" ht="14.4" thickBot="1" x14ac:dyDescent="0.3">
      <c r="B1237" s="169"/>
      <c r="C1237" s="172"/>
      <c r="D1237" s="161"/>
      <c r="E1237" s="162"/>
      <c r="F1237" s="163"/>
      <c r="H1237" s="169"/>
      <c r="I1237" s="172"/>
      <c r="J1237" s="161"/>
      <c r="K1237" s="162"/>
      <c r="L1237" s="163"/>
      <c r="N1237" s="169"/>
      <c r="O1237" s="172"/>
      <c r="P1237" s="161"/>
      <c r="Q1237" s="162"/>
      <c r="R1237" s="163"/>
      <c r="T1237" s="169"/>
      <c r="U1237" s="172"/>
      <c r="V1237" s="161"/>
      <c r="W1237" s="162"/>
      <c r="X1237" s="163"/>
      <c r="Z1237" s="169"/>
      <c r="AA1237" s="172"/>
      <c r="AB1237" s="161"/>
      <c r="AC1237" s="162"/>
      <c r="AD1237" s="163"/>
      <c r="AF1237" s="169"/>
      <c r="AG1237" s="172"/>
      <c r="AH1237" s="161"/>
      <c r="AI1237" s="162"/>
      <c r="AJ1237" s="163"/>
      <c r="AL1237" s="169"/>
      <c r="AM1237" s="172"/>
      <c r="AN1237" s="161"/>
      <c r="AO1237" s="162"/>
      <c r="AP1237" s="163"/>
    </row>
    <row r="1238" spans="2:63" ht="15" thickBot="1" x14ac:dyDescent="0.3">
      <c r="B1238" s="169"/>
      <c r="C1238" s="172"/>
      <c r="D1238" s="161" t="s">
        <v>471</v>
      </c>
      <c r="E1238" s="162">
        <f>SUM(E1234:E1237)</f>
        <v>8542.3728813559319</v>
      </c>
      <c r="F1238" s="163">
        <f>SUM(F1234:F1237)</f>
        <v>8542.3728813559319</v>
      </c>
      <c r="H1238" s="169"/>
      <c r="I1238" s="172"/>
      <c r="J1238" s="161" t="s">
        <v>471</v>
      </c>
      <c r="K1238" s="162">
        <f>SUM(K1234:K1237)</f>
        <v>0</v>
      </c>
      <c r="L1238" s="163">
        <f>SUM(L1234:L1237)</f>
        <v>0</v>
      </c>
      <c r="N1238" s="169"/>
      <c r="O1238" s="172"/>
      <c r="P1238" s="161" t="s">
        <v>471</v>
      </c>
      <c r="Q1238" s="162">
        <f>SUM(Q1234:Q1237)</f>
        <v>0</v>
      </c>
      <c r="R1238" s="163">
        <f>SUM(R1234:R1237)</f>
        <v>0</v>
      </c>
      <c r="T1238" s="169"/>
      <c r="U1238" s="172"/>
      <c r="V1238" s="161" t="s">
        <v>471</v>
      </c>
      <c r="W1238" s="162">
        <f>SUM(W1234:W1237)</f>
        <v>0</v>
      </c>
      <c r="X1238" s="163">
        <f>SUM(X1234:X1237)</f>
        <v>0</v>
      </c>
      <c r="Z1238" s="169"/>
      <c r="AA1238" s="172"/>
      <c r="AB1238" s="161" t="s">
        <v>471</v>
      </c>
      <c r="AC1238" s="162">
        <f>SUM(AC1234:AC1237)</f>
        <v>0</v>
      </c>
      <c r="AD1238" s="163">
        <f>SUM(AD1234:AD1237)</f>
        <v>0</v>
      </c>
      <c r="AF1238" s="169"/>
      <c r="AG1238" s="172"/>
      <c r="AH1238" s="161" t="s">
        <v>471</v>
      </c>
      <c r="AI1238" s="162">
        <f>SUM(AI1234:AI1237)</f>
        <v>0</v>
      </c>
      <c r="AJ1238" s="163">
        <f>SUM(AJ1234:AJ1237)</f>
        <v>0</v>
      </c>
      <c r="AL1238" s="169"/>
      <c r="AM1238" s="172"/>
      <c r="AN1238" s="161" t="s">
        <v>471</v>
      </c>
      <c r="AO1238" s="162">
        <f>SUM(AO1234:AO1237)</f>
        <v>0</v>
      </c>
      <c r="AP1238" s="163">
        <f>SUM(AP1234:AP1237)</f>
        <v>0</v>
      </c>
      <c r="BJ1238" s="157">
        <f>SUM(E1238,K1238,Q1238,W1238,AC1238,AI1238,AO1238,AU1238,BA1238,BG1238)</f>
        <v>8542.3728813559319</v>
      </c>
      <c r="BK1238" s="158">
        <f>SUM(F1238,L1238,R1238,X1238,AD1238,AJ1238,AP1238,AV1238,BB1238,BH1238)</f>
        <v>8542.3728813559319</v>
      </c>
    </row>
    <row r="1239" spans="2:63" ht="14.4" thickBot="1" x14ac:dyDescent="0.3">
      <c r="B1239" s="170"/>
      <c r="C1239" s="173"/>
      <c r="D1239" s="164" t="str">
        <f>IF(E1238=F1238,"",IF(E1238&gt;F1238,"Saldo Deudor","Saldo Acreedor"))</f>
        <v/>
      </c>
      <c r="E1239" s="165" t="str">
        <f>IF(E1238&gt;F1238,E1238-F1238,"")</f>
        <v/>
      </c>
      <c r="F1239" s="176" t="str">
        <f>IF(E1238&lt;F1238,F1238-E1238,"")</f>
        <v/>
      </c>
      <c r="H1239" s="170"/>
      <c r="I1239" s="173"/>
      <c r="J1239" s="164" t="str">
        <f>IF(K1238=L1238,"",IF(K1238&gt;L1238,"Saldo Deudor","Saldo Acreedor"))</f>
        <v/>
      </c>
      <c r="K1239" s="165" t="str">
        <f>IF(K1238&gt;L1238,K1238-L1238,"")</f>
        <v/>
      </c>
      <c r="L1239" s="176" t="str">
        <f>IF(K1238&lt;L1238,L1238-K1238,"")</f>
        <v/>
      </c>
      <c r="N1239" s="170"/>
      <c r="O1239" s="173"/>
      <c r="P1239" s="164" t="str">
        <f>IF(Q1238=R1238,"",IF(Q1238&gt;R1238,"Saldo Deudor","Saldo Acreedor"))</f>
        <v/>
      </c>
      <c r="Q1239" s="165" t="str">
        <f>IF(Q1238&gt;R1238,Q1238-R1238,"")</f>
        <v/>
      </c>
      <c r="R1239" s="176" t="str">
        <f>IF(Q1238&lt;R1238,R1238-Q1238,"")</f>
        <v/>
      </c>
      <c r="T1239" s="170"/>
      <c r="U1239" s="173"/>
      <c r="V1239" s="164" t="str">
        <f>IF(W1238=X1238,"",IF(W1238&gt;X1238,"Saldo Deudor","Saldo Acreedor"))</f>
        <v/>
      </c>
      <c r="W1239" s="165" t="str">
        <f>IF(W1238&gt;X1238,W1238-X1238,"")</f>
        <v/>
      </c>
      <c r="X1239" s="176" t="str">
        <f>IF(W1238&lt;X1238,X1238-W1238,"")</f>
        <v/>
      </c>
      <c r="Z1239" s="170"/>
      <c r="AA1239" s="173"/>
      <c r="AB1239" s="164" t="str">
        <f>IF(AC1238=AD1238,"",IF(AC1238&gt;AD1238,"Saldo Deudor","Saldo Acreedor"))</f>
        <v/>
      </c>
      <c r="AC1239" s="165" t="str">
        <f>IF(AC1238&gt;AD1238,AC1238-AD1238,"")</f>
        <v/>
      </c>
      <c r="AD1239" s="176" t="str">
        <f>IF(AC1238&lt;AD1238,AD1238-AC1238,"")</f>
        <v/>
      </c>
      <c r="AF1239" s="170"/>
      <c r="AG1239" s="173"/>
      <c r="AH1239" s="164" t="str">
        <f>IF(AI1238=AJ1238,"",IF(AI1238&gt;AJ1238,"Saldo Deudor","Saldo Acreedor"))</f>
        <v/>
      </c>
      <c r="AI1239" s="165" t="str">
        <f>IF(AI1238&gt;AJ1238,AI1238-AJ1238,"")</f>
        <v/>
      </c>
      <c r="AJ1239" s="176" t="str">
        <f>IF(AI1238&lt;AJ1238,AJ1238-AI1238,"")</f>
        <v/>
      </c>
      <c r="AL1239" s="170"/>
      <c r="AM1239" s="173"/>
      <c r="AN1239" s="164" t="str">
        <f>IF(AO1238=AP1238,"",IF(AO1238&gt;AP1238,"Saldo Deudor","Saldo Acreedor"))</f>
        <v/>
      </c>
      <c r="AO1239" s="165" t="str">
        <f>IF(AO1238&gt;AP1238,AO1238-AP1238,"")</f>
        <v/>
      </c>
      <c r="AP1239" s="176" t="str">
        <f>IF(AO1238&lt;AP1238,AP1238-AO1238,"")</f>
        <v/>
      </c>
    </row>
    <row r="1242" spans="2:63" ht="15.6" x14ac:dyDescent="0.25">
      <c r="B1242" s="324" t="s">
        <v>472</v>
      </c>
      <c r="C1242" s="324"/>
      <c r="D1242" s="175">
        <v>6371</v>
      </c>
      <c r="E1242" s="160"/>
      <c r="H1242" s="324" t="s">
        <v>472</v>
      </c>
      <c r="I1242" s="324"/>
      <c r="J1242" s="175">
        <v>6372</v>
      </c>
      <c r="K1242" s="160"/>
      <c r="N1242" s="324" t="s">
        <v>472</v>
      </c>
      <c r="O1242" s="324"/>
      <c r="P1242" s="175">
        <v>6373</v>
      </c>
      <c r="Q1242" s="160"/>
    </row>
    <row r="1243" spans="2:63" x14ac:dyDescent="0.25">
      <c r="B1243" s="160"/>
      <c r="C1243" s="160"/>
      <c r="D1243" s="160"/>
      <c r="E1243" s="160"/>
      <c r="H1243" s="160"/>
      <c r="I1243" s="160"/>
      <c r="J1243" s="160"/>
      <c r="K1243" s="160"/>
      <c r="N1243" s="160"/>
      <c r="O1243" s="160"/>
      <c r="P1243" s="160"/>
      <c r="Q1243" s="160"/>
    </row>
    <row r="1244" spans="2:63" ht="15.6" x14ac:dyDescent="0.25">
      <c r="B1244" s="324" t="s">
        <v>473</v>
      </c>
      <c r="C1244" s="324"/>
      <c r="D1244" s="234" t="str">
        <f>VLOOKUP(D1242,DivisionariasContables,3,FALSE)</f>
        <v>Publicidad</v>
      </c>
      <c r="E1244" s="160"/>
      <c r="H1244" s="324" t="s">
        <v>473</v>
      </c>
      <c r="I1244" s="324"/>
      <c r="J1244" s="234" t="str">
        <f>VLOOKUP(J1242,DivisionariasContables,3,FALSE)</f>
        <v>Publicaciones</v>
      </c>
      <c r="K1244" s="160"/>
      <c r="N1244" s="324" t="s">
        <v>473</v>
      </c>
      <c r="O1244" s="324"/>
      <c r="P1244" s="234" t="str">
        <f>VLOOKUP(P1242,DivisionariasContables,3,FALSE)</f>
        <v>Relaciones Públicas</v>
      </c>
      <c r="Q1244" s="160"/>
    </row>
    <row r="1245" spans="2:63" ht="14.4" thickBot="1" x14ac:dyDescent="0.3"/>
    <row r="1246" spans="2:63" x14ac:dyDescent="0.25">
      <c r="B1246" s="325" t="s">
        <v>466</v>
      </c>
      <c r="C1246" s="327" t="s">
        <v>467</v>
      </c>
      <c r="D1246" s="327" t="s">
        <v>468</v>
      </c>
      <c r="E1246" s="329" t="s">
        <v>469</v>
      </c>
      <c r="F1246" s="330"/>
      <c r="H1246" s="325" t="s">
        <v>466</v>
      </c>
      <c r="I1246" s="327" t="s">
        <v>467</v>
      </c>
      <c r="J1246" s="327" t="s">
        <v>468</v>
      </c>
      <c r="K1246" s="329" t="s">
        <v>469</v>
      </c>
      <c r="L1246" s="330"/>
      <c r="N1246" s="325" t="s">
        <v>466</v>
      </c>
      <c r="O1246" s="327" t="s">
        <v>467</v>
      </c>
      <c r="P1246" s="327" t="s">
        <v>468</v>
      </c>
      <c r="Q1246" s="329" t="s">
        <v>469</v>
      </c>
      <c r="R1246" s="330"/>
    </row>
    <row r="1247" spans="2:63" ht="14.4" thickBot="1" x14ac:dyDescent="0.3">
      <c r="B1247" s="326"/>
      <c r="C1247" s="328"/>
      <c r="D1247" s="328"/>
      <c r="E1247" s="232" t="s">
        <v>403</v>
      </c>
      <c r="F1247" s="174" t="s">
        <v>402</v>
      </c>
      <c r="H1247" s="326"/>
      <c r="I1247" s="328"/>
      <c r="J1247" s="328"/>
      <c r="K1247" s="232" t="s">
        <v>403</v>
      </c>
      <c r="L1247" s="174" t="s">
        <v>402</v>
      </c>
      <c r="N1247" s="326"/>
      <c r="O1247" s="328"/>
      <c r="P1247" s="328"/>
      <c r="Q1247" s="232" t="s">
        <v>403</v>
      </c>
      <c r="R1247" s="174" t="s">
        <v>402</v>
      </c>
    </row>
    <row r="1248" spans="2:63" ht="14.4" thickTop="1" x14ac:dyDescent="0.25">
      <c r="B1248" s="236">
        <v>41670</v>
      </c>
      <c r="C1248" s="171"/>
      <c r="D1248" s="166" t="s">
        <v>470</v>
      </c>
      <c r="E1248" s="167">
        <f>SUMIF('Libro Diario Convencional'!$D$15:$D$167,D1242,'Libro Diario Convencional'!$G$15:$G$167)</f>
        <v>0</v>
      </c>
      <c r="F1248" s="168">
        <f>SUMIF('Libro Diario Convencional'!$D$15:$D$167,D1242,'Libro Diario Convencional'!$H$15:$H$167)</f>
        <v>0</v>
      </c>
      <c r="H1248" s="236">
        <v>41670</v>
      </c>
      <c r="I1248" s="171"/>
      <c r="J1248" s="166" t="s">
        <v>470</v>
      </c>
      <c r="K1248" s="167">
        <f>SUMIF('Libro Diario Convencional'!$D$15:$D$167,J1242,'Libro Diario Convencional'!$G$15:$G$167)</f>
        <v>0</v>
      </c>
      <c r="L1248" s="168">
        <f>SUMIF('Libro Diario Convencional'!$D$15:$D$167,J1242,'Libro Diario Convencional'!$H$15:$H$167)</f>
        <v>0</v>
      </c>
      <c r="N1248" s="236">
        <v>41670</v>
      </c>
      <c r="O1248" s="171"/>
      <c r="P1248" s="166" t="s">
        <v>470</v>
      </c>
      <c r="Q1248" s="167">
        <f>SUMIF('Libro Diario Convencional'!$D$15:$D$167,P1242,'Libro Diario Convencional'!$G$15:$G$167)</f>
        <v>0</v>
      </c>
      <c r="R1248" s="168">
        <f>SUMIF('Libro Diario Convencional'!$D$15:$D$167,P1242,'Libro Diario Convencional'!$H$15:$H$167)</f>
        <v>0</v>
      </c>
    </row>
    <row r="1249" spans="2:63" x14ac:dyDescent="0.25">
      <c r="B1249" s="169">
        <v>41670</v>
      </c>
      <c r="C1249" s="172"/>
      <c r="D1249" s="161" t="s">
        <v>474</v>
      </c>
      <c r="E1249" s="162">
        <f>SUMIF('Asientos de Cierre'!$D$6:$D$549,D1242,'Asientos de Cierre'!$G$6:$G$549)</f>
        <v>0</v>
      </c>
      <c r="F1249" s="163">
        <f>SUMIF('Asientos de Cierre'!$D$6:$D$549,D1242,'Asientos de Cierre'!$H$6:$H$549)</f>
        <v>0</v>
      </c>
      <c r="H1249" s="169">
        <v>41670</v>
      </c>
      <c r="I1249" s="172"/>
      <c r="J1249" s="161" t="s">
        <v>474</v>
      </c>
      <c r="K1249" s="162">
        <f>SUMIF('Asientos de Cierre'!$D$6:$D$549,J1242,'Asientos de Cierre'!$G$6:$G$549)</f>
        <v>0</v>
      </c>
      <c r="L1249" s="163">
        <f>SUMIF('Asientos de Cierre'!$D$6:$D$549,J1242,'Asientos de Cierre'!$H$6:$H$549)</f>
        <v>0</v>
      </c>
      <c r="N1249" s="169">
        <v>41670</v>
      </c>
      <c r="O1249" s="172"/>
      <c r="P1249" s="161" t="s">
        <v>474</v>
      </c>
      <c r="Q1249" s="162">
        <f>SUMIF('Asientos de Cierre'!$D$6:$D$549,P1242,'Asientos de Cierre'!$G$6:$G$549)</f>
        <v>0</v>
      </c>
      <c r="R1249" s="163">
        <f>SUMIF('Asientos de Cierre'!$D$6:$D$549,P1242,'Asientos de Cierre'!$H$6:$H$549)</f>
        <v>0</v>
      </c>
    </row>
    <row r="1250" spans="2:63" x14ac:dyDescent="0.25">
      <c r="B1250" s="169"/>
      <c r="C1250" s="172"/>
      <c r="D1250" s="161"/>
      <c r="E1250" s="162"/>
      <c r="F1250" s="163"/>
      <c r="H1250" s="169"/>
      <c r="I1250" s="172"/>
      <c r="J1250" s="161"/>
      <c r="K1250" s="162"/>
      <c r="L1250" s="163"/>
      <c r="N1250" s="169"/>
      <c r="O1250" s="172"/>
      <c r="P1250" s="161"/>
      <c r="Q1250" s="162"/>
      <c r="R1250" s="163"/>
    </row>
    <row r="1251" spans="2:63" ht="14.4" thickBot="1" x14ac:dyDescent="0.3">
      <c r="B1251" s="169"/>
      <c r="C1251" s="172"/>
      <c r="D1251" s="161"/>
      <c r="E1251" s="162"/>
      <c r="F1251" s="163"/>
      <c r="H1251" s="169"/>
      <c r="I1251" s="172"/>
      <c r="J1251" s="161"/>
      <c r="K1251" s="162"/>
      <c r="L1251" s="163"/>
      <c r="N1251" s="169"/>
      <c r="O1251" s="172"/>
      <c r="P1251" s="161"/>
      <c r="Q1251" s="162"/>
      <c r="R1251" s="163"/>
    </row>
    <row r="1252" spans="2:63" ht="15" thickBot="1" x14ac:dyDescent="0.3">
      <c r="B1252" s="169"/>
      <c r="C1252" s="172"/>
      <c r="D1252" s="161" t="s">
        <v>471</v>
      </c>
      <c r="E1252" s="162">
        <f>SUM(E1248:E1251)</f>
        <v>0</v>
      </c>
      <c r="F1252" s="163">
        <f>SUM(F1248:F1251)</f>
        <v>0</v>
      </c>
      <c r="H1252" s="169"/>
      <c r="I1252" s="172"/>
      <c r="J1252" s="161" t="s">
        <v>471</v>
      </c>
      <c r="K1252" s="162">
        <f>SUM(K1248:K1251)</f>
        <v>0</v>
      </c>
      <c r="L1252" s="163">
        <f>SUM(L1248:L1251)</f>
        <v>0</v>
      </c>
      <c r="N1252" s="169"/>
      <c r="O1252" s="172"/>
      <c r="P1252" s="161" t="s">
        <v>471</v>
      </c>
      <c r="Q1252" s="162">
        <f>SUM(Q1248:Q1251)</f>
        <v>0</v>
      </c>
      <c r="R1252" s="163">
        <f>SUM(R1248:R1251)</f>
        <v>0</v>
      </c>
      <c r="BJ1252" s="157">
        <f>SUM(E1252,K1252,Q1252,W1252,AC1252,AI1252,AO1252,AU1252,BA1252,BG1252)</f>
        <v>0</v>
      </c>
      <c r="BK1252" s="158">
        <f>SUM(F1252,L1252,R1252,X1252,AD1252,AJ1252,AP1252,AV1252,BB1252,BH1252)</f>
        <v>0</v>
      </c>
    </row>
    <row r="1253" spans="2:63" ht="14.4" thickBot="1" x14ac:dyDescent="0.3">
      <c r="B1253" s="170"/>
      <c r="C1253" s="173"/>
      <c r="D1253" s="164" t="str">
        <f>IF(E1252=F1252,"",IF(E1252&gt;F1252,"Saldo Deudor","Saldo Acreedor"))</f>
        <v/>
      </c>
      <c r="E1253" s="165" t="str">
        <f>IF(E1252&gt;F1252,E1252-F1252,"")</f>
        <v/>
      </c>
      <c r="F1253" s="176" t="str">
        <f>IF(E1252&lt;F1252,F1252-E1252,"")</f>
        <v/>
      </c>
      <c r="H1253" s="170"/>
      <c r="I1253" s="173"/>
      <c r="J1253" s="164" t="str">
        <f>IF(K1252=L1252,"",IF(K1252&gt;L1252,"Saldo Deudor","Saldo Acreedor"))</f>
        <v/>
      </c>
      <c r="K1253" s="165" t="str">
        <f>IF(K1252&gt;L1252,K1252-L1252,"")</f>
        <v/>
      </c>
      <c r="L1253" s="176" t="str">
        <f>IF(K1252&lt;L1252,L1252-K1252,"")</f>
        <v/>
      </c>
      <c r="N1253" s="170"/>
      <c r="O1253" s="173"/>
      <c r="P1253" s="164" t="str">
        <f>IF(Q1252=R1252,"",IF(Q1252&gt;R1252,"Saldo Deudor","Saldo Acreedor"))</f>
        <v/>
      </c>
      <c r="Q1253" s="165" t="str">
        <f>IF(Q1252&gt;R1252,Q1252-R1252,"")</f>
        <v/>
      </c>
      <c r="R1253" s="176" t="str">
        <f>IF(Q1252&lt;R1252,R1252-Q1252,"")</f>
        <v/>
      </c>
    </row>
    <row r="1256" spans="2:63" ht="15.6" x14ac:dyDescent="0.25">
      <c r="B1256" s="324" t="s">
        <v>472</v>
      </c>
      <c r="C1256" s="324"/>
      <c r="D1256" s="175">
        <v>6391</v>
      </c>
      <c r="E1256" s="160"/>
      <c r="H1256" s="324" t="s">
        <v>472</v>
      </c>
      <c r="I1256" s="324"/>
      <c r="J1256" s="175">
        <v>6392</v>
      </c>
      <c r="K1256" s="160"/>
      <c r="N1256" s="324" t="s">
        <v>472</v>
      </c>
      <c r="O1256" s="324"/>
      <c r="P1256" s="175">
        <v>6398</v>
      </c>
      <c r="Q1256" s="160"/>
      <c r="T1256" s="324" t="s">
        <v>472</v>
      </c>
      <c r="U1256" s="324"/>
      <c r="V1256" s="175">
        <v>6399</v>
      </c>
      <c r="W1256" s="160"/>
    </row>
    <row r="1257" spans="2:63" x14ac:dyDescent="0.25">
      <c r="B1257" s="160"/>
      <c r="C1257" s="160"/>
      <c r="D1257" s="160"/>
      <c r="E1257" s="160"/>
      <c r="H1257" s="160"/>
      <c r="I1257" s="160"/>
      <c r="J1257" s="160"/>
      <c r="K1257" s="160"/>
      <c r="N1257" s="160"/>
      <c r="O1257" s="160"/>
      <c r="P1257" s="160"/>
      <c r="Q1257" s="160"/>
      <c r="T1257" s="160"/>
      <c r="U1257" s="160"/>
      <c r="V1257" s="160"/>
      <c r="W1257" s="160"/>
    </row>
    <row r="1258" spans="2:63" ht="15.6" x14ac:dyDescent="0.25">
      <c r="B1258" s="324" t="s">
        <v>473</v>
      </c>
      <c r="C1258" s="324"/>
      <c r="D1258" s="234" t="str">
        <f>VLOOKUP(D1256,DivisionariasContables,3,FALSE)</f>
        <v>Gastos Bancarios</v>
      </c>
      <c r="E1258" s="160"/>
      <c r="H1258" s="324" t="s">
        <v>473</v>
      </c>
      <c r="I1258" s="324"/>
      <c r="J1258" s="234" t="str">
        <f>VLOOKUP(J1256,DivisionariasContables,3,FALSE)</f>
        <v>Gastos de Laboratorio</v>
      </c>
      <c r="K1258" s="160"/>
      <c r="N1258" s="324" t="s">
        <v>473</v>
      </c>
      <c r="O1258" s="324"/>
      <c r="P1258" s="234" t="str">
        <f>VLOOKUP(P1256,DivisionariasContables,3,FALSE)</f>
        <v>Reclasificación de IGV al Gasto</v>
      </c>
      <c r="Q1258" s="160"/>
      <c r="T1258" s="324" t="s">
        <v>473</v>
      </c>
      <c r="U1258" s="324"/>
      <c r="V1258" s="234" t="str">
        <f>VLOOKUP(V1256,DivisionariasContables,3,FALSE)</f>
        <v>Otros Gastos por Servicios Prestados por Terceros</v>
      </c>
      <c r="W1258" s="160"/>
    </row>
    <row r="1259" spans="2:63" ht="14.4" thickBot="1" x14ac:dyDescent="0.3"/>
    <row r="1260" spans="2:63" ht="12.75" customHeight="1" x14ac:dyDescent="0.25">
      <c r="B1260" s="325" t="s">
        <v>466</v>
      </c>
      <c r="C1260" s="327" t="s">
        <v>467</v>
      </c>
      <c r="D1260" s="327" t="s">
        <v>468</v>
      </c>
      <c r="E1260" s="329" t="s">
        <v>469</v>
      </c>
      <c r="F1260" s="330"/>
      <c r="H1260" s="325" t="s">
        <v>466</v>
      </c>
      <c r="I1260" s="327" t="s">
        <v>467</v>
      </c>
      <c r="J1260" s="327" t="s">
        <v>468</v>
      </c>
      <c r="K1260" s="329" t="s">
        <v>469</v>
      </c>
      <c r="L1260" s="330"/>
      <c r="N1260" s="325" t="s">
        <v>466</v>
      </c>
      <c r="O1260" s="327" t="s">
        <v>467</v>
      </c>
      <c r="P1260" s="327" t="s">
        <v>468</v>
      </c>
      <c r="Q1260" s="329" t="s">
        <v>469</v>
      </c>
      <c r="R1260" s="330"/>
      <c r="T1260" s="325" t="s">
        <v>466</v>
      </c>
      <c r="U1260" s="327" t="s">
        <v>467</v>
      </c>
      <c r="V1260" s="327" t="s">
        <v>468</v>
      </c>
      <c r="W1260" s="329" t="s">
        <v>469</v>
      </c>
      <c r="X1260" s="330"/>
    </row>
    <row r="1261" spans="2:63" ht="14.4" thickBot="1" x14ac:dyDescent="0.3">
      <c r="B1261" s="326"/>
      <c r="C1261" s="328"/>
      <c r="D1261" s="328"/>
      <c r="E1261" s="232" t="s">
        <v>403</v>
      </c>
      <c r="F1261" s="174" t="s">
        <v>402</v>
      </c>
      <c r="H1261" s="326"/>
      <c r="I1261" s="328"/>
      <c r="J1261" s="328"/>
      <c r="K1261" s="232" t="s">
        <v>403</v>
      </c>
      <c r="L1261" s="174" t="s">
        <v>402</v>
      </c>
      <c r="N1261" s="326"/>
      <c r="O1261" s="328"/>
      <c r="P1261" s="328"/>
      <c r="Q1261" s="232" t="s">
        <v>403</v>
      </c>
      <c r="R1261" s="174" t="s">
        <v>402</v>
      </c>
      <c r="T1261" s="326"/>
      <c r="U1261" s="328"/>
      <c r="V1261" s="328"/>
      <c r="W1261" s="232" t="s">
        <v>403</v>
      </c>
      <c r="X1261" s="174" t="s">
        <v>402</v>
      </c>
    </row>
    <row r="1262" spans="2:63" ht="14.4" thickTop="1" x14ac:dyDescent="0.25">
      <c r="B1262" s="236">
        <v>41670</v>
      </c>
      <c r="C1262" s="171"/>
      <c r="D1262" s="166" t="s">
        <v>470</v>
      </c>
      <c r="E1262" s="167">
        <f>SUMIF('Libro Diario Convencional'!$D$15:$D$167,D1256,'Libro Diario Convencional'!$G$15:$G$167)</f>
        <v>0</v>
      </c>
      <c r="F1262" s="168">
        <f>SUMIF('Libro Diario Convencional'!$D$15:$D$167,D1256,'Libro Diario Convencional'!$H$15:$H$167)</f>
        <v>0</v>
      </c>
      <c r="H1262" s="236">
        <v>41670</v>
      </c>
      <c r="I1262" s="171"/>
      <c r="J1262" s="166" t="s">
        <v>470</v>
      </c>
      <c r="K1262" s="167">
        <f>SUMIF('Libro Diario Convencional'!$D$15:$D$167,J1256,'Libro Diario Convencional'!$G$15:$G$167)</f>
        <v>0</v>
      </c>
      <c r="L1262" s="168">
        <f>SUMIF('Libro Diario Convencional'!$D$15:$D$167,J1256,'Libro Diario Convencional'!$H$15:$H$167)</f>
        <v>0</v>
      </c>
      <c r="N1262" s="236">
        <v>41670</v>
      </c>
      <c r="O1262" s="171"/>
      <c r="P1262" s="166" t="s">
        <v>470</v>
      </c>
      <c r="Q1262" s="167">
        <f>SUMIF('Libro Diario Convencional'!$D$15:$D$167,P1256,'Libro Diario Convencional'!$G$15:$G$167)</f>
        <v>0</v>
      </c>
      <c r="R1262" s="168">
        <f>SUMIF('Libro Diario Convencional'!$D$15:$D$167,P1256,'Libro Diario Convencional'!$H$15:$H$167)</f>
        <v>0</v>
      </c>
      <c r="T1262" s="236">
        <v>41670</v>
      </c>
      <c r="U1262" s="171"/>
      <c r="V1262" s="166" t="s">
        <v>470</v>
      </c>
      <c r="W1262" s="167">
        <f>SUMIF('Libro Diario Convencional'!$D$15:$D$167,V1256,'Libro Diario Convencional'!$G$15:$G$167)</f>
        <v>0</v>
      </c>
      <c r="X1262" s="168">
        <f>SUMIF('Libro Diario Convencional'!$D$15:$D$167,V1256,'Libro Diario Convencional'!$H$15:$H$167)</f>
        <v>0</v>
      </c>
    </row>
    <row r="1263" spans="2:63" x14ac:dyDescent="0.25">
      <c r="B1263" s="169">
        <v>41670</v>
      </c>
      <c r="C1263" s="172"/>
      <c r="D1263" s="161" t="s">
        <v>474</v>
      </c>
      <c r="E1263" s="162">
        <f>SUMIF('Asientos de Cierre'!$D$6:$D$549,D1256,'Asientos de Cierre'!$G$6:$G$549)</f>
        <v>0</v>
      </c>
      <c r="F1263" s="163">
        <f>SUMIF('Asientos de Cierre'!$D$6:$D$549,D1256,'Asientos de Cierre'!$H$6:$H$549)</f>
        <v>0</v>
      </c>
      <c r="H1263" s="169">
        <v>41670</v>
      </c>
      <c r="I1263" s="172"/>
      <c r="J1263" s="161" t="s">
        <v>474</v>
      </c>
      <c r="K1263" s="162">
        <f>SUMIF('Asientos de Cierre'!$D$6:$D$549,J1256,'Asientos de Cierre'!$G$6:$G$549)</f>
        <v>0</v>
      </c>
      <c r="L1263" s="163">
        <f>SUMIF('Asientos de Cierre'!$D$6:$D$549,J1256,'Asientos de Cierre'!$H$6:$H$549)</f>
        <v>0</v>
      </c>
      <c r="N1263" s="169">
        <v>41670</v>
      </c>
      <c r="O1263" s="172"/>
      <c r="P1263" s="161" t="s">
        <v>474</v>
      </c>
      <c r="Q1263" s="162">
        <f>SUMIF('Asientos de Cierre'!$D$6:$D$549,P1256,'Asientos de Cierre'!$G$6:$G$549)</f>
        <v>0</v>
      </c>
      <c r="R1263" s="163">
        <f>SUMIF('Asientos de Cierre'!$D$6:$D$549,P1256,'Asientos de Cierre'!$H$6:$H$549)</f>
        <v>0</v>
      </c>
      <c r="T1263" s="169">
        <v>41670</v>
      </c>
      <c r="U1263" s="172"/>
      <c r="V1263" s="161" t="s">
        <v>474</v>
      </c>
      <c r="W1263" s="162">
        <f>SUMIF('Asientos de Cierre'!$D$6:$D$549,V1256,'Asientos de Cierre'!$G$6:$G$549)</f>
        <v>0</v>
      </c>
      <c r="X1263" s="163">
        <f>SUMIF('Asientos de Cierre'!$D$6:$D$549,V1256,'Asientos de Cierre'!$H$6:$H$549)</f>
        <v>0</v>
      </c>
    </row>
    <row r="1264" spans="2:63" x14ac:dyDescent="0.25">
      <c r="B1264" s="169"/>
      <c r="C1264" s="172"/>
      <c r="D1264" s="161"/>
      <c r="E1264" s="162"/>
      <c r="F1264" s="163"/>
      <c r="H1264" s="169"/>
      <c r="I1264" s="172"/>
      <c r="J1264" s="161"/>
      <c r="K1264" s="162"/>
      <c r="L1264" s="163"/>
      <c r="N1264" s="169"/>
      <c r="O1264" s="172"/>
      <c r="P1264" s="161"/>
      <c r="Q1264" s="162"/>
      <c r="R1264" s="163"/>
      <c r="T1264" s="169"/>
      <c r="U1264" s="172"/>
      <c r="V1264" s="161"/>
      <c r="W1264" s="162"/>
      <c r="X1264" s="163"/>
    </row>
    <row r="1265" spans="2:63" ht="14.4" thickBot="1" x14ac:dyDescent="0.3">
      <c r="B1265" s="169"/>
      <c r="C1265" s="172"/>
      <c r="D1265" s="161"/>
      <c r="E1265" s="162"/>
      <c r="F1265" s="163"/>
      <c r="H1265" s="169"/>
      <c r="I1265" s="172"/>
      <c r="J1265" s="161"/>
      <c r="K1265" s="162"/>
      <c r="L1265" s="163"/>
      <c r="N1265" s="169"/>
      <c r="O1265" s="172"/>
      <c r="P1265" s="161"/>
      <c r="Q1265" s="162"/>
      <c r="R1265" s="163"/>
      <c r="T1265" s="169"/>
      <c r="U1265" s="172"/>
      <c r="V1265" s="161"/>
      <c r="W1265" s="162"/>
      <c r="X1265" s="163"/>
    </row>
    <row r="1266" spans="2:63" ht="15" thickBot="1" x14ac:dyDescent="0.3">
      <c r="B1266" s="169"/>
      <c r="C1266" s="172"/>
      <c r="D1266" s="161" t="s">
        <v>471</v>
      </c>
      <c r="E1266" s="162">
        <f>SUM(E1262:E1265)</f>
        <v>0</v>
      </c>
      <c r="F1266" s="163">
        <f>SUM(F1262:F1265)</f>
        <v>0</v>
      </c>
      <c r="H1266" s="169"/>
      <c r="I1266" s="172"/>
      <c r="J1266" s="161" t="s">
        <v>471</v>
      </c>
      <c r="K1266" s="162">
        <f>SUM(K1262:K1265)</f>
        <v>0</v>
      </c>
      <c r="L1266" s="163">
        <f>SUM(L1262:L1265)</f>
        <v>0</v>
      </c>
      <c r="N1266" s="169"/>
      <c r="O1266" s="172"/>
      <c r="P1266" s="161" t="s">
        <v>471</v>
      </c>
      <c r="Q1266" s="162">
        <f>SUM(Q1262:Q1265)</f>
        <v>0</v>
      </c>
      <c r="R1266" s="163">
        <f>SUM(R1262:R1265)</f>
        <v>0</v>
      </c>
      <c r="T1266" s="169"/>
      <c r="U1266" s="172"/>
      <c r="V1266" s="161" t="s">
        <v>471</v>
      </c>
      <c r="W1266" s="162">
        <f>SUM(W1262:W1265)</f>
        <v>0</v>
      </c>
      <c r="X1266" s="163">
        <f>SUM(X1262:X1265)</f>
        <v>0</v>
      </c>
      <c r="BJ1266" s="157">
        <f>SUM(E1266,K1266,Q1266,W1266,AC1266,AI1266,AO1266,AU1266,BA1266,BG1266)</f>
        <v>0</v>
      </c>
      <c r="BK1266" s="158">
        <f>SUM(F1266,L1266,R1266,X1266,AD1266,AJ1266,AP1266,AV1266,BB1266,BH1266)</f>
        <v>0</v>
      </c>
    </row>
    <row r="1267" spans="2:63" ht="14.4" thickBot="1" x14ac:dyDescent="0.3">
      <c r="B1267" s="170"/>
      <c r="C1267" s="173"/>
      <c r="D1267" s="164" t="str">
        <f>IF(E1266=F1266,"",IF(E1266&gt;F1266,"Saldo Deudor","Saldo Acreedor"))</f>
        <v/>
      </c>
      <c r="E1267" s="165" t="str">
        <f>IF(E1266&gt;F1266,E1266-F1266,"")</f>
        <v/>
      </c>
      <c r="F1267" s="176" t="str">
        <f>IF(E1266&lt;F1266,F1266-E1266,"")</f>
        <v/>
      </c>
      <c r="H1267" s="170"/>
      <c r="I1267" s="173"/>
      <c r="J1267" s="164" t="str">
        <f>IF(K1266=L1266,"",IF(K1266&gt;L1266,"Saldo Deudor","Saldo Acreedor"))</f>
        <v/>
      </c>
      <c r="K1267" s="165" t="str">
        <f>IF(K1266&gt;L1266,K1266-L1266,"")</f>
        <v/>
      </c>
      <c r="L1267" s="176" t="str">
        <f>IF(K1266&lt;L1266,L1266-K1266,"")</f>
        <v/>
      </c>
      <c r="N1267" s="170"/>
      <c r="O1267" s="173"/>
      <c r="P1267" s="164" t="str">
        <f>IF(Q1266=R1266,"",IF(Q1266&gt;R1266,"Saldo Deudor","Saldo Acreedor"))</f>
        <v/>
      </c>
      <c r="Q1267" s="165" t="str">
        <f>IF(Q1266&gt;R1266,Q1266-R1266,"")</f>
        <v/>
      </c>
      <c r="R1267" s="176" t="str">
        <f>IF(Q1266&lt;R1266,R1266-Q1266,"")</f>
        <v/>
      </c>
      <c r="T1267" s="170"/>
      <c r="U1267" s="173"/>
      <c r="V1267" s="164" t="str">
        <f>IF(W1266=X1266,"",IF(W1266&gt;X1266,"Saldo Deudor","Saldo Acreedor"))</f>
        <v/>
      </c>
      <c r="W1267" s="165" t="str">
        <f>IF(W1266&gt;X1266,W1266-X1266,"")</f>
        <v/>
      </c>
      <c r="X1267" s="176" t="str">
        <f>IF(W1266&lt;X1266,X1266-W1266,"")</f>
        <v/>
      </c>
    </row>
    <row r="1270" spans="2:63" ht="15.6" x14ac:dyDescent="0.25">
      <c r="B1270" s="324" t="s">
        <v>472</v>
      </c>
      <c r="C1270" s="324"/>
      <c r="D1270" s="175">
        <v>6492</v>
      </c>
      <c r="E1270" s="160"/>
    </row>
    <row r="1271" spans="2:63" x14ac:dyDescent="0.25">
      <c r="B1271" s="160"/>
      <c r="C1271" s="160"/>
      <c r="D1271" s="160"/>
      <c r="E1271" s="160"/>
    </row>
    <row r="1272" spans="2:63" ht="15.6" x14ac:dyDescent="0.25">
      <c r="B1272" s="324" t="s">
        <v>473</v>
      </c>
      <c r="C1272" s="324"/>
      <c r="D1272" s="234" t="e">
        <f>VLOOKUP(D1270,DivisionariasContables,3,FALSE)</f>
        <v>#N/A</v>
      </c>
      <c r="E1272" s="160"/>
    </row>
    <row r="1273" spans="2:63" ht="14.4" thickBot="1" x14ac:dyDescent="0.3"/>
    <row r="1274" spans="2:63" x14ac:dyDescent="0.25">
      <c r="B1274" s="325" t="s">
        <v>466</v>
      </c>
      <c r="C1274" s="327" t="s">
        <v>467</v>
      </c>
      <c r="D1274" s="327" t="s">
        <v>468</v>
      </c>
      <c r="E1274" s="329" t="s">
        <v>469</v>
      </c>
      <c r="F1274" s="330"/>
    </row>
    <row r="1275" spans="2:63" ht="14.4" thickBot="1" x14ac:dyDescent="0.3">
      <c r="B1275" s="326"/>
      <c r="C1275" s="328"/>
      <c r="D1275" s="328"/>
      <c r="E1275" s="232" t="s">
        <v>403</v>
      </c>
      <c r="F1275" s="174" t="s">
        <v>402</v>
      </c>
    </row>
    <row r="1276" spans="2:63" ht="14.4" thickTop="1" x14ac:dyDescent="0.25">
      <c r="B1276" s="236">
        <v>41670</v>
      </c>
      <c r="C1276" s="171"/>
      <c r="D1276" s="166" t="s">
        <v>470</v>
      </c>
      <c r="E1276" s="167">
        <f>SUMIF('Libro Diario Convencional'!$D$15:$D$167,D1270,'Libro Diario Convencional'!$G$15:$G$167)</f>
        <v>0</v>
      </c>
      <c r="F1276" s="168">
        <f>SUMIF('Libro Diario Convencional'!$D$15:$D$167,D1270,'Libro Diario Convencional'!$H$15:$H$167)</f>
        <v>0</v>
      </c>
    </row>
    <row r="1277" spans="2:63" x14ac:dyDescent="0.25">
      <c r="B1277" s="169">
        <v>41670</v>
      </c>
      <c r="C1277" s="172"/>
      <c r="D1277" s="161" t="s">
        <v>474</v>
      </c>
      <c r="E1277" s="162">
        <f>SUMIF('Asientos de Cierre'!$D$6:$D$549,D1270,'Asientos de Cierre'!$G$6:$G$549)</f>
        <v>0</v>
      </c>
      <c r="F1277" s="163">
        <f>SUMIF('Asientos de Cierre'!$D$6:$D$549,D1270,'Asientos de Cierre'!$H$6:$H$549)</f>
        <v>0</v>
      </c>
    </row>
    <row r="1278" spans="2:63" x14ac:dyDescent="0.25">
      <c r="B1278" s="169"/>
      <c r="C1278" s="172"/>
      <c r="D1278" s="161"/>
      <c r="E1278" s="162"/>
      <c r="F1278" s="163"/>
    </row>
    <row r="1279" spans="2:63" ht="14.4" thickBot="1" x14ac:dyDescent="0.3">
      <c r="B1279" s="169"/>
      <c r="C1279" s="172"/>
      <c r="D1279" s="161"/>
      <c r="E1279" s="162"/>
      <c r="F1279" s="163"/>
    </row>
    <row r="1280" spans="2:63" ht="15" thickBot="1" x14ac:dyDescent="0.3">
      <c r="B1280" s="169"/>
      <c r="C1280" s="172"/>
      <c r="D1280" s="161" t="s">
        <v>471</v>
      </c>
      <c r="E1280" s="162">
        <f>SUM(E1276:E1279)</f>
        <v>0</v>
      </c>
      <c r="F1280" s="163">
        <f>SUM(F1276:F1279)</f>
        <v>0</v>
      </c>
      <c r="BJ1280" s="157">
        <f>SUM(E1280,K1280,Q1280,W1280,AC1280,AI1280,AO1280,AU1280,BA1280,BG1280)</f>
        <v>0</v>
      </c>
      <c r="BK1280" s="158">
        <f>SUM(F1280,L1280,R1280,X1280,AD1280,AJ1280,AP1280,AV1280,BB1280,BH1280)</f>
        <v>0</v>
      </c>
    </row>
    <row r="1281" spans="2:63" ht="14.4" thickBot="1" x14ac:dyDescent="0.3">
      <c r="B1281" s="170"/>
      <c r="C1281" s="173"/>
      <c r="D1281" s="164" t="str">
        <f>IF(E1280=F1280,"",IF(E1280&gt;F1280,"Saldo Deudor","Saldo Acreedor"))</f>
        <v/>
      </c>
      <c r="E1281" s="165" t="str">
        <f>IF(E1280&gt;F1280,E1280-F1280,"")</f>
        <v/>
      </c>
      <c r="F1281" s="176" t="str">
        <f>IF(E1280&lt;F1280,F1280-E1280,"")</f>
        <v/>
      </c>
    </row>
    <row r="1284" spans="2:63" ht="15.6" x14ac:dyDescent="0.25">
      <c r="B1284" s="324" t="s">
        <v>472</v>
      </c>
      <c r="C1284" s="324"/>
      <c r="D1284" s="175">
        <v>6511</v>
      </c>
      <c r="E1284" s="160"/>
    </row>
    <row r="1285" spans="2:63" x14ac:dyDescent="0.25">
      <c r="B1285" s="160"/>
      <c r="C1285" s="160"/>
      <c r="D1285" s="160"/>
      <c r="E1285" s="160"/>
    </row>
    <row r="1286" spans="2:63" ht="15.6" x14ac:dyDescent="0.25">
      <c r="B1286" s="324" t="s">
        <v>473</v>
      </c>
      <c r="C1286" s="324"/>
      <c r="D1286" s="234" t="str">
        <f>VLOOKUP(D1284,DivisionariasContables,3,FALSE)</f>
        <v>Seguros</v>
      </c>
      <c r="E1286" s="160"/>
    </row>
    <row r="1287" spans="2:63" ht="14.4" thickBot="1" x14ac:dyDescent="0.3"/>
    <row r="1288" spans="2:63" x14ac:dyDescent="0.25">
      <c r="B1288" s="325" t="s">
        <v>466</v>
      </c>
      <c r="C1288" s="327" t="s">
        <v>467</v>
      </c>
      <c r="D1288" s="327" t="s">
        <v>468</v>
      </c>
      <c r="E1288" s="329" t="s">
        <v>469</v>
      </c>
      <c r="F1288" s="330"/>
    </row>
    <row r="1289" spans="2:63" ht="14.4" thickBot="1" x14ac:dyDescent="0.3">
      <c r="B1289" s="326"/>
      <c r="C1289" s="328"/>
      <c r="D1289" s="328"/>
      <c r="E1289" s="232" t="s">
        <v>403</v>
      </c>
      <c r="F1289" s="174" t="s">
        <v>402</v>
      </c>
    </row>
    <row r="1290" spans="2:63" ht="14.4" thickTop="1" x14ac:dyDescent="0.25">
      <c r="B1290" s="236">
        <v>41670</v>
      </c>
      <c r="C1290" s="171"/>
      <c r="D1290" s="166" t="s">
        <v>470</v>
      </c>
      <c r="E1290" s="167">
        <f>SUMIF('Libro Diario Convencional'!$D$15:$D$167,D1284,'Libro Diario Convencional'!$G$15:$G$167)</f>
        <v>0</v>
      </c>
      <c r="F1290" s="168">
        <f>SUMIF('Libro Diario Convencional'!$D$15:$D$167,D1284,'Libro Diario Convencional'!$H$15:$H$167)</f>
        <v>0</v>
      </c>
    </row>
    <row r="1291" spans="2:63" x14ac:dyDescent="0.25">
      <c r="B1291" s="169">
        <v>41670</v>
      </c>
      <c r="C1291" s="172"/>
      <c r="D1291" s="161" t="s">
        <v>474</v>
      </c>
      <c r="E1291" s="162">
        <f>SUMIF('Asientos de Cierre'!$D$6:$D$549,D1284,'Asientos de Cierre'!$G$6:$G$549)</f>
        <v>0</v>
      </c>
      <c r="F1291" s="163">
        <f>SUMIF('Asientos de Cierre'!$D$6:$D$549,D1284,'Asientos de Cierre'!$H$6:$H$549)</f>
        <v>0</v>
      </c>
    </row>
    <row r="1292" spans="2:63" x14ac:dyDescent="0.25">
      <c r="B1292" s="169"/>
      <c r="C1292" s="172"/>
      <c r="D1292" s="161"/>
      <c r="E1292" s="162"/>
      <c r="F1292" s="163"/>
    </row>
    <row r="1293" spans="2:63" ht="14.4" thickBot="1" x14ac:dyDescent="0.3">
      <c r="B1293" s="169"/>
      <c r="C1293" s="172"/>
      <c r="D1293" s="161"/>
      <c r="E1293" s="162"/>
      <c r="F1293" s="163"/>
    </row>
    <row r="1294" spans="2:63" ht="15" thickBot="1" x14ac:dyDescent="0.3">
      <c r="B1294" s="169"/>
      <c r="C1294" s="172"/>
      <c r="D1294" s="161" t="s">
        <v>471</v>
      </c>
      <c r="E1294" s="162">
        <f>SUM(E1290:E1293)</f>
        <v>0</v>
      </c>
      <c r="F1294" s="163">
        <f>SUM(F1290:F1293)</f>
        <v>0</v>
      </c>
      <c r="BJ1294" s="157">
        <f>SUM(E1294,K1294,Q1294,W1294,AC1294,AI1294,AO1294,AU1294,BA1294,BG1294)</f>
        <v>0</v>
      </c>
      <c r="BK1294" s="158">
        <f>SUM(F1294,L1294,R1294,X1294,AD1294,AJ1294,AP1294,AV1294,BB1294,BH1294)</f>
        <v>0</v>
      </c>
    </row>
    <row r="1295" spans="2:63" ht="14.4" thickBot="1" x14ac:dyDescent="0.3">
      <c r="B1295" s="170"/>
      <c r="C1295" s="173"/>
      <c r="D1295" s="164" t="str">
        <f>IF(E1294=F1294,"",IF(E1294&gt;F1294,"Saldo Deudor","Saldo Acreedor"))</f>
        <v/>
      </c>
      <c r="E1295" s="165" t="str">
        <f>IF(E1294&gt;F1294,E1294-F1294,"")</f>
        <v/>
      </c>
      <c r="F1295" s="176" t="str">
        <f>IF(E1294&lt;F1294,F1294-E1294,"")</f>
        <v/>
      </c>
    </row>
    <row r="1298" spans="2:63" ht="15.6" x14ac:dyDescent="0.25">
      <c r="B1298" s="324" t="s">
        <v>472</v>
      </c>
      <c r="C1298" s="324"/>
      <c r="D1298" s="175">
        <v>6521</v>
      </c>
      <c r="E1298" s="160"/>
    </row>
    <row r="1299" spans="2:63" x14ac:dyDescent="0.25">
      <c r="B1299" s="160"/>
      <c r="C1299" s="160"/>
      <c r="D1299" s="160"/>
      <c r="E1299" s="160"/>
    </row>
    <row r="1300" spans="2:63" ht="15.6" x14ac:dyDescent="0.25">
      <c r="B1300" s="324" t="s">
        <v>473</v>
      </c>
      <c r="C1300" s="324"/>
      <c r="D1300" s="234" t="str">
        <f>VLOOKUP(D1298,DivisionariasContables,3,FALSE)</f>
        <v>Regalías</v>
      </c>
      <c r="E1300" s="160"/>
    </row>
    <row r="1301" spans="2:63" ht="14.4" thickBot="1" x14ac:dyDescent="0.3"/>
    <row r="1302" spans="2:63" x14ac:dyDescent="0.25">
      <c r="B1302" s="325" t="s">
        <v>466</v>
      </c>
      <c r="C1302" s="327" t="s">
        <v>467</v>
      </c>
      <c r="D1302" s="327" t="s">
        <v>468</v>
      </c>
      <c r="E1302" s="329" t="s">
        <v>469</v>
      </c>
      <c r="F1302" s="330"/>
    </row>
    <row r="1303" spans="2:63" ht="14.4" thickBot="1" x14ac:dyDescent="0.3">
      <c r="B1303" s="326"/>
      <c r="C1303" s="328"/>
      <c r="D1303" s="328"/>
      <c r="E1303" s="232" t="s">
        <v>403</v>
      </c>
      <c r="F1303" s="174" t="s">
        <v>402</v>
      </c>
    </row>
    <row r="1304" spans="2:63" ht="14.4" thickTop="1" x14ac:dyDescent="0.25">
      <c r="B1304" s="236">
        <v>41670</v>
      </c>
      <c r="C1304" s="171"/>
      <c r="D1304" s="166" t="s">
        <v>470</v>
      </c>
      <c r="E1304" s="167">
        <f>SUMIF('Libro Diario Convencional'!$D$15:$D$167,D1298,'Libro Diario Convencional'!$G$15:$G$167)</f>
        <v>0</v>
      </c>
      <c r="F1304" s="168">
        <f>SUMIF('Libro Diario Convencional'!$D$15:$D$167,D1298,'Libro Diario Convencional'!$H$15:$H$167)</f>
        <v>0</v>
      </c>
    </row>
    <row r="1305" spans="2:63" x14ac:dyDescent="0.25">
      <c r="B1305" s="169">
        <v>41670</v>
      </c>
      <c r="C1305" s="172"/>
      <c r="D1305" s="161" t="s">
        <v>474</v>
      </c>
      <c r="E1305" s="162">
        <f>SUMIF('Asientos de Cierre'!$D$6:$D$549,D1298,'Asientos de Cierre'!$G$6:$G$549)</f>
        <v>0</v>
      </c>
      <c r="F1305" s="163">
        <f>SUMIF('Asientos de Cierre'!$D$6:$D$549,D1298,'Asientos de Cierre'!$H$6:$H$549)</f>
        <v>0</v>
      </c>
    </row>
    <row r="1306" spans="2:63" x14ac:dyDescent="0.25">
      <c r="B1306" s="169"/>
      <c r="C1306" s="172"/>
      <c r="D1306" s="161"/>
      <c r="E1306" s="162"/>
      <c r="F1306" s="163"/>
    </row>
    <row r="1307" spans="2:63" ht="14.4" thickBot="1" x14ac:dyDescent="0.3">
      <c r="B1307" s="169"/>
      <c r="C1307" s="172"/>
      <c r="D1307" s="161"/>
      <c r="E1307" s="162"/>
      <c r="F1307" s="163"/>
    </row>
    <row r="1308" spans="2:63" ht="15" thickBot="1" x14ac:dyDescent="0.3">
      <c r="B1308" s="169"/>
      <c r="C1308" s="172"/>
      <c r="D1308" s="161" t="s">
        <v>471</v>
      </c>
      <c r="E1308" s="162">
        <f>SUM(E1304:E1307)</f>
        <v>0</v>
      </c>
      <c r="F1308" s="163">
        <f>SUM(F1304:F1307)</f>
        <v>0</v>
      </c>
      <c r="BJ1308" s="157">
        <f>SUM(E1308,K1308,Q1308,W1308,AC1308,AI1308,AO1308,AU1308,BA1308,BG1308)</f>
        <v>0</v>
      </c>
      <c r="BK1308" s="158">
        <f>SUM(F1308,L1308,R1308,X1308,AD1308,AJ1308,AP1308,AV1308,BB1308,BH1308)</f>
        <v>0</v>
      </c>
    </row>
    <row r="1309" spans="2:63" ht="14.4" thickBot="1" x14ac:dyDescent="0.3">
      <c r="B1309" s="170"/>
      <c r="C1309" s="173"/>
      <c r="D1309" s="164" t="str">
        <f>IF(E1308=F1308,"",IF(E1308&gt;F1308,"Saldo Deudor","Saldo Acreedor"))</f>
        <v/>
      </c>
      <c r="E1309" s="165" t="str">
        <f>IF(E1308&gt;F1308,E1308-F1308,"")</f>
        <v/>
      </c>
      <c r="F1309" s="176" t="str">
        <f>IF(E1308&lt;F1308,F1308-E1308,"")</f>
        <v/>
      </c>
    </row>
    <row r="1312" spans="2:63" ht="15.6" x14ac:dyDescent="0.25">
      <c r="B1312" s="324" t="s">
        <v>472</v>
      </c>
      <c r="C1312" s="324"/>
      <c r="D1312" s="175">
        <v>6531</v>
      </c>
      <c r="E1312" s="160"/>
      <c r="H1312" s="324" t="s">
        <v>472</v>
      </c>
      <c r="I1312" s="324"/>
      <c r="J1312" s="175">
        <v>6532</v>
      </c>
      <c r="K1312" s="160"/>
    </row>
    <row r="1313" spans="2:63" x14ac:dyDescent="0.25">
      <c r="B1313" s="160"/>
      <c r="C1313" s="160"/>
      <c r="D1313" s="160"/>
      <c r="E1313" s="160"/>
      <c r="H1313" s="160"/>
      <c r="I1313" s="160"/>
      <c r="J1313" s="160"/>
      <c r="K1313" s="160"/>
    </row>
    <row r="1314" spans="2:63" ht="15.6" x14ac:dyDescent="0.25">
      <c r="B1314" s="324" t="s">
        <v>473</v>
      </c>
      <c r="C1314" s="324"/>
      <c r="D1314" s="234" t="str">
        <f>VLOOKUP(D1312,DivisionariasContables,3,FALSE)</f>
        <v>Suscripciones</v>
      </c>
      <c r="E1314" s="160"/>
      <c r="H1314" s="324" t="s">
        <v>473</v>
      </c>
      <c r="I1314" s="324"/>
      <c r="J1314" s="234" t="e">
        <f>VLOOKUP(J1312,DivisionariasContables,3,FALSE)</f>
        <v>#N/A</v>
      </c>
      <c r="K1314" s="160"/>
    </row>
    <row r="1315" spans="2:63" ht="14.4" thickBot="1" x14ac:dyDescent="0.3"/>
    <row r="1316" spans="2:63" x14ac:dyDescent="0.25">
      <c r="B1316" s="325" t="s">
        <v>466</v>
      </c>
      <c r="C1316" s="327" t="s">
        <v>467</v>
      </c>
      <c r="D1316" s="327" t="s">
        <v>468</v>
      </c>
      <c r="E1316" s="329" t="s">
        <v>469</v>
      </c>
      <c r="F1316" s="330"/>
      <c r="H1316" s="325" t="s">
        <v>466</v>
      </c>
      <c r="I1316" s="327" t="s">
        <v>467</v>
      </c>
      <c r="J1316" s="327" t="s">
        <v>468</v>
      </c>
      <c r="K1316" s="329" t="s">
        <v>469</v>
      </c>
      <c r="L1316" s="330"/>
    </row>
    <row r="1317" spans="2:63" ht="14.4" thickBot="1" x14ac:dyDescent="0.3">
      <c r="B1317" s="326"/>
      <c r="C1317" s="328"/>
      <c r="D1317" s="328"/>
      <c r="E1317" s="232" t="s">
        <v>403</v>
      </c>
      <c r="F1317" s="174" t="s">
        <v>402</v>
      </c>
      <c r="H1317" s="326"/>
      <c r="I1317" s="328"/>
      <c r="J1317" s="328"/>
      <c r="K1317" s="232" t="s">
        <v>403</v>
      </c>
      <c r="L1317" s="174" t="s">
        <v>402</v>
      </c>
    </row>
    <row r="1318" spans="2:63" ht="14.4" thickTop="1" x14ac:dyDescent="0.25">
      <c r="B1318" s="236">
        <v>41670</v>
      </c>
      <c r="C1318" s="171"/>
      <c r="D1318" s="166" t="s">
        <v>470</v>
      </c>
      <c r="E1318" s="167">
        <f>SUMIF('Libro Diario Convencional'!$D$15:$D$167,D1312,'Libro Diario Convencional'!$G$15:$G$167)</f>
        <v>0</v>
      </c>
      <c r="F1318" s="168">
        <f>SUMIF('Libro Diario Convencional'!$D$15:$D$167,D1312,'Libro Diario Convencional'!$H$15:$H$167)</f>
        <v>0</v>
      </c>
      <c r="H1318" s="236">
        <v>41670</v>
      </c>
      <c r="I1318" s="171"/>
      <c r="J1318" s="166" t="s">
        <v>470</v>
      </c>
      <c r="K1318" s="167">
        <f>SUMIF('Libro Diario Convencional'!$D$15:$D$167,J1312,'Libro Diario Convencional'!$G$15:$G$167)</f>
        <v>0</v>
      </c>
      <c r="L1318" s="168">
        <f>SUMIF('Libro Diario Convencional'!$D$15:$D$167,J1312,'Libro Diario Convencional'!$H$15:$H$167)</f>
        <v>0</v>
      </c>
    </row>
    <row r="1319" spans="2:63" x14ac:dyDescent="0.25">
      <c r="B1319" s="169">
        <v>41670</v>
      </c>
      <c r="C1319" s="172"/>
      <c r="D1319" s="161" t="s">
        <v>474</v>
      </c>
      <c r="E1319" s="162">
        <f>SUMIF('Asientos de Cierre'!$D$6:$D$549,D1312,'Asientos de Cierre'!$G$6:$G$549)</f>
        <v>0</v>
      </c>
      <c r="F1319" s="163">
        <f>SUMIF('Asientos de Cierre'!$D$6:$D$549,D1312,'Asientos de Cierre'!$H$6:$H$549)</f>
        <v>0</v>
      </c>
      <c r="H1319" s="169">
        <v>41670</v>
      </c>
      <c r="I1319" s="172"/>
      <c r="J1319" s="161" t="s">
        <v>474</v>
      </c>
      <c r="K1319" s="162">
        <f>SUMIF('Asientos de Cierre'!$D$6:$D$549,J1312,'Asientos de Cierre'!$G$6:$G$549)</f>
        <v>0</v>
      </c>
      <c r="L1319" s="163">
        <f>SUMIF('Asientos de Cierre'!$D$6:$D$549,J1312,'Asientos de Cierre'!$H$6:$H$549)</f>
        <v>0</v>
      </c>
    </row>
    <row r="1320" spans="2:63" x14ac:dyDescent="0.25">
      <c r="B1320" s="169"/>
      <c r="C1320" s="172"/>
      <c r="D1320" s="161"/>
      <c r="E1320" s="162"/>
      <c r="F1320" s="163"/>
      <c r="H1320" s="169"/>
      <c r="I1320" s="172"/>
      <c r="J1320" s="161"/>
      <c r="K1320" s="162"/>
      <c r="L1320" s="163"/>
    </row>
    <row r="1321" spans="2:63" ht="14.4" thickBot="1" x14ac:dyDescent="0.3">
      <c r="B1321" s="169"/>
      <c r="C1321" s="172"/>
      <c r="D1321" s="161"/>
      <c r="E1321" s="162"/>
      <c r="F1321" s="163"/>
      <c r="H1321" s="169"/>
      <c r="I1321" s="172"/>
      <c r="J1321" s="161"/>
      <c r="K1321" s="162"/>
      <c r="L1321" s="163"/>
    </row>
    <row r="1322" spans="2:63" ht="15" thickBot="1" x14ac:dyDescent="0.3">
      <c r="B1322" s="169"/>
      <c r="C1322" s="172"/>
      <c r="D1322" s="161" t="s">
        <v>471</v>
      </c>
      <c r="E1322" s="162">
        <f>SUM(E1318:E1321)</f>
        <v>0</v>
      </c>
      <c r="F1322" s="163">
        <f>SUM(F1318:F1321)</f>
        <v>0</v>
      </c>
      <c r="H1322" s="169"/>
      <c r="I1322" s="172"/>
      <c r="J1322" s="161" t="s">
        <v>471</v>
      </c>
      <c r="K1322" s="162">
        <f>SUM(K1318:K1321)</f>
        <v>0</v>
      </c>
      <c r="L1322" s="163">
        <f>SUM(L1318:L1321)</f>
        <v>0</v>
      </c>
      <c r="BJ1322" s="157">
        <f>SUM(E1322,K1322,Q1322,W1322,AC1322,AI1322,AO1322,AU1322,BA1322,BG1322)</f>
        <v>0</v>
      </c>
      <c r="BK1322" s="158">
        <f>SUM(F1322,L1322,R1322,X1322,AD1322,AJ1322,AP1322,AV1322,BB1322,BH1322)</f>
        <v>0</v>
      </c>
    </row>
    <row r="1323" spans="2:63" ht="14.4" thickBot="1" x14ac:dyDescent="0.3">
      <c r="B1323" s="170"/>
      <c r="C1323" s="173"/>
      <c r="D1323" s="164" t="str">
        <f>IF(E1322=F1322,"",IF(E1322&gt;F1322,"Saldo Deudor","Saldo Acreedor"))</f>
        <v/>
      </c>
      <c r="E1323" s="165" t="str">
        <f>IF(E1322&gt;F1322,E1322-F1322,"")</f>
        <v/>
      </c>
      <c r="F1323" s="176" t="str">
        <f>IF(E1322&lt;F1322,F1322-E1322,"")</f>
        <v/>
      </c>
      <c r="H1323" s="170"/>
      <c r="I1323" s="173"/>
      <c r="J1323" s="164" t="str">
        <f>IF(K1322=L1322,"",IF(K1322&gt;L1322,"Saldo Deudor","Saldo Acreedor"))</f>
        <v/>
      </c>
      <c r="K1323" s="165" t="str">
        <f>IF(K1322&gt;L1322,K1322-L1322,"")</f>
        <v/>
      </c>
      <c r="L1323" s="176" t="str">
        <f>IF(K1322&lt;L1322,L1322-K1322,"")</f>
        <v/>
      </c>
    </row>
    <row r="1326" spans="2:63" ht="15.6" x14ac:dyDescent="0.25">
      <c r="B1326" s="324" t="s">
        <v>472</v>
      </c>
      <c r="C1326" s="324"/>
      <c r="D1326" s="175">
        <v>6541</v>
      </c>
      <c r="E1326" s="160"/>
      <c r="H1326" s="324" t="s">
        <v>472</v>
      </c>
      <c r="I1326" s="324"/>
      <c r="J1326" s="175">
        <v>6542</v>
      </c>
      <c r="K1326" s="160"/>
    </row>
    <row r="1327" spans="2:63" x14ac:dyDescent="0.25">
      <c r="B1327" s="160"/>
      <c r="C1327" s="160"/>
      <c r="D1327" s="160"/>
      <c r="E1327" s="160"/>
      <c r="H1327" s="160"/>
      <c r="I1327" s="160"/>
      <c r="J1327" s="160"/>
      <c r="K1327" s="160"/>
    </row>
    <row r="1328" spans="2:63" ht="15.6" x14ac:dyDescent="0.25">
      <c r="B1328" s="324" t="s">
        <v>473</v>
      </c>
      <c r="C1328" s="324"/>
      <c r="D1328" s="234" t="str">
        <f>VLOOKUP(D1326,DivisionariasContables,3,FALSE)</f>
        <v>Licencias</v>
      </c>
      <c r="E1328" s="160"/>
      <c r="H1328" s="324" t="s">
        <v>473</v>
      </c>
      <c r="I1328" s="324"/>
      <c r="J1328" s="234" t="str">
        <f>VLOOKUP(J1326,DivisionariasContables,3,FALSE)</f>
        <v>Derechos de Vigencia</v>
      </c>
      <c r="K1328" s="160"/>
    </row>
    <row r="1329" spans="2:63" ht="14.4" thickBot="1" x14ac:dyDescent="0.3"/>
    <row r="1330" spans="2:63" x14ac:dyDescent="0.25">
      <c r="B1330" s="325" t="s">
        <v>466</v>
      </c>
      <c r="C1330" s="327" t="s">
        <v>467</v>
      </c>
      <c r="D1330" s="327" t="s">
        <v>468</v>
      </c>
      <c r="E1330" s="329" t="s">
        <v>469</v>
      </c>
      <c r="F1330" s="330"/>
      <c r="H1330" s="325" t="s">
        <v>466</v>
      </c>
      <c r="I1330" s="327" t="s">
        <v>467</v>
      </c>
      <c r="J1330" s="327" t="s">
        <v>468</v>
      </c>
      <c r="K1330" s="329" t="s">
        <v>469</v>
      </c>
      <c r="L1330" s="330"/>
    </row>
    <row r="1331" spans="2:63" ht="14.4" thickBot="1" x14ac:dyDescent="0.3">
      <c r="B1331" s="326"/>
      <c r="C1331" s="328"/>
      <c r="D1331" s="328"/>
      <c r="E1331" s="232" t="s">
        <v>403</v>
      </c>
      <c r="F1331" s="174" t="s">
        <v>402</v>
      </c>
      <c r="H1331" s="326"/>
      <c r="I1331" s="328"/>
      <c r="J1331" s="328"/>
      <c r="K1331" s="232" t="s">
        <v>403</v>
      </c>
      <c r="L1331" s="174" t="s">
        <v>402</v>
      </c>
    </row>
    <row r="1332" spans="2:63" ht="14.4" thickTop="1" x14ac:dyDescent="0.25">
      <c r="B1332" s="236">
        <v>41670</v>
      </c>
      <c r="C1332" s="171"/>
      <c r="D1332" s="166" t="s">
        <v>470</v>
      </c>
      <c r="E1332" s="167">
        <f>SUMIF('Libro Diario Convencional'!$D$15:$D$167,D1326,'Libro Diario Convencional'!$G$15:$G$167)</f>
        <v>0</v>
      </c>
      <c r="F1332" s="168">
        <f>SUMIF('Libro Diario Convencional'!$D$15:$D$167,D1326,'Libro Diario Convencional'!$H$15:$H$167)</f>
        <v>0</v>
      </c>
      <c r="H1332" s="236">
        <v>41670</v>
      </c>
      <c r="I1332" s="171"/>
      <c r="J1332" s="166" t="s">
        <v>470</v>
      </c>
      <c r="K1332" s="167">
        <f>SUMIF('Libro Diario Convencional'!$D$15:$D$167,J1326,'Libro Diario Convencional'!$G$15:$G$167)</f>
        <v>0</v>
      </c>
      <c r="L1332" s="168">
        <f>SUMIF('Libro Diario Convencional'!$D$15:$D$167,J1326,'Libro Diario Convencional'!$H$15:$H$167)</f>
        <v>0</v>
      </c>
    </row>
    <row r="1333" spans="2:63" x14ac:dyDescent="0.25">
      <c r="B1333" s="169">
        <v>41670</v>
      </c>
      <c r="C1333" s="172"/>
      <c r="D1333" s="161" t="s">
        <v>474</v>
      </c>
      <c r="E1333" s="162">
        <f>SUMIF('Asientos de Cierre'!$D$6:$D$549,D1326,'Asientos de Cierre'!$G$6:$G$549)</f>
        <v>0</v>
      </c>
      <c r="F1333" s="163">
        <f>SUMIF('Asientos de Cierre'!$D$6:$D$549,D1326,'Asientos de Cierre'!$H$6:$H$549)</f>
        <v>0</v>
      </c>
      <c r="H1333" s="169">
        <v>41670</v>
      </c>
      <c r="I1333" s="172"/>
      <c r="J1333" s="161" t="s">
        <v>474</v>
      </c>
      <c r="K1333" s="162">
        <f>SUMIF('Asientos de Cierre'!$D$6:$D$549,J1326,'Asientos de Cierre'!$G$6:$G$549)</f>
        <v>0</v>
      </c>
      <c r="L1333" s="163">
        <f>SUMIF('Asientos de Cierre'!$D$6:$D$549,J1326,'Asientos de Cierre'!$H$6:$H$549)</f>
        <v>0</v>
      </c>
    </row>
    <row r="1334" spans="2:63" x14ac:dyDescent="0.25">
      <c r="B1334" s="169"/>
      <c r="C1334" s="172"/>
      <c r="D1334" s="161"/>
      <c r="E1334" s="162"/>
      <c r="F1334" s="163"/>
      <c r="H1334" s="169"/>
      <c r="I1334" s="172"/>
      <c r="J1334" s="161"/>
      <c r="K1334" s="162"/>
      <c r="L1334" s="163"/>
    </row>
    <row r="1335" spans="2:63" ht="14.4" thickBot="1" x14ac:dyDescent="0.3">
      <c r="B1335" s="169"/>
      <c r="C1335" s="172"/>
      <c r="D1335" s="161"/>
      <c r="E1335" s="162"/>
      <c r="F1335" s="163"/>
      <c r="H1335" s="169"/>
      <c r="I1335" s="172"/>
      <c r="J1335" s="161"/>
      <c r="K1335" s="162"/>
      <c r="L1335" s="163"/>
    </row>
    <row r="1336" spans="2:63" ht="15" thickBot="1" x14ac:dyDescent="0.3">
      <c r="B1336" s="169"/>
      <c r="C1336" s="172"/>
      <c r="D1336" s="161" t="s">
        <v>471</v>
      </c>
      <c r="E1336" s="162">
        <f>SUM(E1332:E1335)</f>
        <v>0</v>
      </c>
      <c r="F1336" s="163">
        <f>SUM(F1332:F1335)</f>
        <v>0</v>
      </c>
      <c r="H1336" s="169"/>
      <c r="I1336" s="172"/>
      <c r="J1336" s="161" t="s">
        <v>471</v>
      </c>
      <c r="K1336" s="162">
        <f>SUM(K1332:K1335)</f>
        <v>0</v>
      </c>
      <c r="L1336" s="163">
        <f>SUM(L1332:L1335)</f>
        <v>0</v>
      </c>
      <c r="BJ1336" s="157">
        <f>SUM(E1336,K1336,Q1336,W1336,AC1336,AI1336,AO1336,AU1336,BA1336,BG1336)</f>
        <v>0</v>
      </c>
      <c r="BK1336" s="158">
        <f>SUM(F1336,L1336,R1336,X1336,AD1336,AJ1336,AP1336,AV1336,BB1336,BH1336)</f>
        <v>0</v>
      </c>
    </row>
    <row r="1337" spans="2:63" ht="14.4" thickBot="1" x14ac:dyDescent="0.3">
      <c r="B1337" s="170"/>
      <c r="C1337" s="173"/>
      <c r="D1337" s="164" t="str">
        <f>IF(E1336=F1336,"",IF(E1336&gt;F1336,"Saldo Deudor","Saldo Acreedor"))</f>
        <v/>
      </c>
      <c r="E1337" s="165" t="str">
        <f>IF(E1336&gt;F1336,E1336-F1336,"")</f>
        <v/>
      </c>
      <c r="F1337" s="176" t="str">
        <f>IF(E1336&lt;F1336,F1336-E1336,"")</f>
        <v/>
      </c>
      <c r="H1337" s="170"/>
      <c r="I1337" s="173"/>
      <c r="J1337" s="164" t="str">
        <f>IF(K1336=L1336,"",IF(K1336&gt;L1336,"Saldo Deudor","Saldo Acreedor"))</f>
        <v/>
      </c>
      <c r="K1337" s="165" t="str">
        <f>IF(K1336&gt;L1336,K1336-L1336,"")</f>
        <v/>
      </c>
      <c r="L1337" s="176" t="str">
        <f>IF(K1336&lt;L1336,L1336-K1336,"")</f>
        <v/>
      </c>
    </row>
    <row r="1340" spans="2:63" ht="15.6" x14ac:dyDescent="0.25">
      <c r="B1340" s="324" t="s">
        <v>472</v>
      </c>
      <c r="C1340" s="324"/>
      <c r="D1340" s="175">
        <v>6551</v>
      </c>
      <c r="E1340" s="160"/>
      <c r="H1340" s="324" t="s">
        <v>472</v>
      </c>
      <c r="I1340" s="324"/>
      <c r="J1340" s="175">
        <v>6552</v>
      </c>
      <c r="K1340" s="160"/>
    </row>
    <row r="1341" spans="2:63" x14ac:dyDescent="0.25">
      <c r="B1341" s="160"/>
      <c r="C1341" s="160"/>
      <c r="D1341" s="160"/>
      <c r="E1341" s="160"/>
      <c r="H1341" s="160"/>
      <c r="I1341" s="160"/>
      <c r="J1341" s="160"/>
      <c r="K1341" s="160"/>
    </row>
    <row r="1342" spans="2:63" ht="15.6" x14ac:dyDescent="0.25">
      <c r="B1342" s="324" t="s">
        <v>473</v>
      </c>
      <c r="C1342" s="324"/>
      <c r="D1342" s="234" t="str">
        <f>VLOOKUP(D1340,DivisionariasContables,3,FALSE)</f>
        <v>Costo Neto de Enajenación de Activos Inmovilizados</v>
      </c>
      <c r="E1342" s="160"/>
      <c r="H1342" s="324" t="s">
        <v>473</v>
      </c>
      <c r="I1342" s="324"/>
      <c r="J1342" s="234" t="str">
        <f>VLOOKUP(J1340,DivisionariasContables,3,FALSE)</f>
        <v>Operaciones Discontinuadas – Abandono de Activos</v>
      </c>
      <c r="K1342" s="160"/>
    </row>
    <row r="1343" spans="2:63" ht="14.4" thickBot="1" x14ac:dyDescent="0.3"/>
    <row r="1344" spans="2:63" x14ac:dyDescent="0.25">
      <c r="B1344" s="325" t="s">
        <v>466</v>
      </c>
      <c r="C1344" s="327" t="s">
        <v>467</v>
      </c>
      <c r="D1344" s="327" t="s">
        <v>468</v>
      </c>
      <c r="E1344" s="329" t="s">
        <v>469</v>
      </c>
      <c r="F1344" s="330"/>
      <c r="H1344" s="325" t="s">
        <v>466</v>
      </c>
      <c r="I1344" s="327" t="s">
        <v>467</v>
      </c>
      <c r="J1344" s="327" t="s">
        <v>468</v>
      </c>
      <c r="K1344" s="329" t="s">
        <v>469</v>
      </c>
      <c r="L1344" s="330"/>
    </row>
    <row r="1345" spans="2:63" ht="14.4" thickBot="1" x14ac:dyDescent="0.3">
      <c r="B1345" s="326"/>
      <c r="C1345" s="328"/>
      <c r="D1345" s="328"/>
      <c r="E1345" s="232" t="s">
        <v>403</v>
      </c>
      <c r="F1345" s="174" t="s">
        <v>402</v>
      </c>
      <c r="H1345" s="326"/>
      <c r="I1345" s="328"/>
      <c r="J1345" s="328"/>
      <c r="K1345" s="232" t="s">
        <v>403</v>
      </c>
      <c r="L1345" s="174" t="s">
        <v>402</v>
      </c>
    </row>
    <row r="1346" spans="2:63" ht="14.4" thickTop="1" x14ac:dyDescent="0.25">
      <c r="B1346" s="236">
        <v>41670</v>
      </c>
      <c r="C1346" s="171"/>
      <c r="D1346" s="166" t="s">
        <v>470</v>
      </c>
      <c r="E1346" s="167">
        <f>SUMIF('Libro Diario Convencional'!$D$15:$D$167,D1340,'Libro Diario Convencional'!$G$15:$G$167)</f>
        <v>0</v>
      </c>
      <c r="F1346" s="168">
        <f>SUMIF('Libro Diario Convencional'!$D$15:$D$167,D1340,'Libro Diario Convencional'!$H$15:$H$167)</f>
        <v>0</v>
      </c>
      <c r="H1346" s="236">
        <v>41670</v>
      </c>
      <c r="I1346" s="171"/>
      <c r="J1346" s="166" t="s">
        <v>470</v>
      </c>
      <c r="K1346" s="167">
        <f>SUMIF('Libro Diario Convencional'!$D$15:$D$167,J1340,'Libro Diario Convencional'!$G$15:$G$167)</f>
        <v>0</v>
      </c>
      <c r="L1346" s="168">
        <f>SUMIF('Libro Diario Convencional'!$D$15:$D$167,J1340,'Libro Diario Convencional'!$H$15:$H$167)</f>
        <v>0</v>
      </c>
    </row>
    <row r="1347" spans="2:63" x14ac:dyDescent="0.25">
      <c r="B1347" s="169">
        <v>41670</v>
      </c>
      <c r="C1347" s="172"/>
      <c r="D1347" s="161" t="s">
        <v>474</v>
      </c>
      <c r="E1347" s="162">
        <f>SUMIF('Asientos de Cierre'!$D$6:$D$549,D1340,'Asientos de Cierre'!$G$6:$G$549)</f>
        <v>0</v>
      </c>
      <c r="F1347" s="163">
        <f>SUMIF('Asientos de Cierre'!$D$6:$D$549,D1340,'Asientos de Cierre'!$H$6:$H$549)</f>
        <v>0</v>
      </c>
      <c r="H1347" s="169">
        <v>41670</v>
      </c>
      <c r="I1347" s="172"/>
      <c r="J1347" s="161" t="s">
        <v>474</v>
      </c>
      <c r="K1347" s="162">
        <f>SUMIF('Asientos de Cierre'!$D$6:$D$549,J1340,'Asientos de Cierre'!$G$6:$G$549)</f>
        <v>0</v>
      </c>
      <c r="L1347" s="163">
        <f>SUMIF('Asientos de Cierre'!$D$6:$D$549,J1340,'Asientos de Cierre'!$H$6:$H$549)</f>
        <v>0</v>
      </c>
    </row>
    <row r="1348" spans="2:63" x14ac:dyDescent="0.25">
      <c r="B1348" s="169"/>
      <c r="C1348" s="172"/>
      <c r="D1348" s="161"/>
      <c r="E1348" s="162"/>
      <c r="F1348" s="163"/>
      <c r="H1348" s="169"/>
      <c r="I1348" s="172"/>
      <c r="J1348" s="161"/>
      <c r="K1348" s="162"/>
      <c r="L1348" s="163"/>
    </row>
    <row r="1349" spans="2:63" ht="14.4" thickBot="1" x14ac:dyDescent="0.3">
      <c r="B1349" s="169"/>
      <c r="C1349" s="172"/>
      <c r="D1349" s="161"/>
      <c r="E1349" s="162"/>
      <c r="F1349" s="163"/>
      <c r="H1349" s="169"/>
      <c r="I1349" s="172"/>
      <c r="J1349" s="161"/>
      <c r="K1349" s="162"/>
      <c r="L1349" s="163"/>
    </row>
    <row r="1350" spans="2:63" ht="15" thickBot="1" x14ac:dyDescent="0.3">
      <c r="B1350" s="169"/>
      <c r="C1350" s="172"/>
      <c r="D1350" s="161" t="s">
        <v>471</v>
      </c>
      <c r="E1350" s="162">
        <f>SUM(E1346:E1349)</f>
        <v>0</v>
      </c>
      <c r="F1350" s="163">
        <f>SUM(F1346:F1349)</f>
        <v>0</v>
      </c>
      <c r="H1350" s="169"/>
      <c r="I1350" s="172"/>
      <c r="J1350" s="161" t="s">
        <v>471</v>
      </c>
      <c r="K1350" s="162">
        <f>SUM(K1346:K1349)</f>
        <v>0</v>
      </c>
      <c r="L1350" s="163">
        <f>SUM(L1346:L1349)</f>
        <v>0</v>
      </c>
      <c r="BJ1350" s="157">
        <f>SUM(E1350,K1350,Q1350,W1350,AC1350,AI1350,AO1350,AU1350,BA1350,BG1350)</f>
        <v>0</v>
      </c>
      <c r="BK1350" s="158">
        <f>SUM(F1350,L1350,R1350,X1350,AD1350,AJ1350,AP1350,AV1350,BB1350,BH1350)</f>
        <v>0</v>
      </c>
    </row>
    <row r="1351" spans="2:63" ht="14.4" thickBot="1" x14ac:dyDescent="0.3">
      <c r="B1351" s="170"/>
      <c r="C1351" s="173"/>
      <c r="D1351" s="164" t="str">
        <f>IF(E1350=F1350,"",IF(E1350&gt;F1350,"Saldo Deudor","Saldo Acreedor"))</f>
        <v/>
      </c>
      <c r="E1351" s="165" t="str">
        <f>IF(E1350&gt;F1350,E1350-F1350,"")</f>
        <v/>
      </c>
      <c r="F1351" s="176" t="str">
        <f>IF(E1350&lt;F1350,F1350-E1350,"")</f>
        <v/>
      </c>
      <c r="H1351" s="170"/>
      <c r="I1351" s="173"/>
      <c r="J1351" s="164" t="str">
        <f>IF(K1350=L1350,"",IF(K1350&gt;L1350,"Saldo Deudor","Saldo Acreedor"))</f>
        <v/>
      </c>
      <c r="K1351" s="165" t="str">
        <f>IF(K1350&gt;L1350,K1350-L1350,"")</f>
        <v/>
      </c>
      <c r="L1351" s="176" t="str">
        <f>IF(K1350&lt;L1350,L1350-K1350,"")</f>
        <v/>
      </c>
    </row>
    <row r="1354" spans="2:63" ht="15.6" x14ac:dyDescent="0.25">
      <c r="B1354" s="324" t="s">
        <v>472</v>
      </c>
      <c r="C1354" s="324"/>
      <c r="D1354" s="175">
        <v>6561</v>
      </c>
      <c r="E1354" s="160"/>
    </row>
    <row r="1355" spans="2:63" x14ac:dyDescent="0.25">
      <c r="B1355" s="160"/>
      <c r="C1355" s="160"/>
      <c r="D1355" s="160"/>
      <c r="E1355" s="160"/>
    </row>
    <row r="1356" spans="2:63" ht="15.6" x14ac:dyDescent="0.25">
      <c r="B1356" s="324" t="s">
        <v>473</v>
      </c>
      <c r="C1356" s="324"/>
      <c r="D1356" s="234" t="str">
        <f>VLOOKUP(D1354,DivisionariasContables,3,FALSE)</f>
        <v>Suministros</v>
      </c>
      <c r="E1356" s="160"/>
    </row>
    <row r="1357" spans="2:63" ht="14.4" thickBot="1" x14ac:dyDescent="0.3"/>
    <row r="1358" spans="2:63" x14ac:dyDescent="0.25">
      <c r="B1358" s="325" t="s">
        <v>466</v>
      </c>
      <c r="C1358" s="327" t="s">
        <v>467</v>
      </c>
      <c r="D1358" s="327" t="s">
        <v>468</v>
      </c>
      <c r="E1358" s="329" t="s">
        <v>469</v>
      </c>
      <c r="F1358" s="330"/>
    </row>
    <row r="1359" spans="2:63" ht="14.4" thickBot="1" x14ac:dyDescent="0.3">
      <c r="B1359" s="326"/>
      <c r="C1359" s="328"/>
      <c r="D1359" s="328"/>
      <c r="E1359" s="232" t="s">
        <v>403</v>
      </c>
      <c r="F1359" s="174" t="s">
        <v>402</v>
      </c>
    </row>
    <row r="1360" spans="2:63" ht="14.4" thickTop="1" x14ac:dyDescent="0.25">
      <c r="B1360" s="236">
        <v>41670</v>
      </c>
      <c r="C1360" s="171"/>
      <c r="D1360" s="166" t="s">
        <v>470</v>
      </c>
      <c r="E1360" s="167">
        <f>SUMIF('Libro Diario Convencional'!$D$15:$D$167,D1354,'Libro Diario Convencional'!$G$15:$G$167)</f>
        <v>0</v>
      </c>
      <c r="F1360" s="168">
        <f>SUMIF('Libro Diario Convencional'!$D$15:$D$167,D1354,'Libro Diario Convencional'!$H$15:$H$167)</f>
        <v>0</v>
      </c>
    </row>
    <row r="1361" spans="2:63" x14ac:dyDescent="0.25">
      <c r="B1361" s="169">
        <v>41670</v>
      </c>
      <c r="C1361" s="172"/>
      <c r="D1361" s="161" t="s">
        <v>474</v>
      </c>
      <c r="E1361" s="162">
        <f>SUMIF('Asientos de Cierre'!$D$6:$D$549,D1354,'Asientos de Cierre'!$G$6:$G$549)</f>
        <v>0</v>
      </c>
      <c r="F1361" s="163">
        <f>SUMIF('Asientos de Cierre'!$D$6:$D$549,D1354,'Asientos de Cierre'!$H$6:$H$549)</f>
        <v>0</v>
      </c>
    </row>
    <row r="1362" spans="2:63" x14ac:dyDescent="0.25">
      <c r="B1362" s="169"/>
      <c r="C1362" s="172"/>
      <c r="D1362" s="161"/>
      <c r="E1362" s="162"/>
      <c r="F1362" s="163"/>
    </row>
    <row r="1363" spans="2:63" ht="14.4" thickBot="1" x14ac:dyDescent="0.3">
      <c r="B1363" s="169"/>
      <c r="C1363" s="172"/>
      <c r="D1363" s="161"/>
      <c r="E1363" s="162"/>
      <c r="F1363" s="163"/>
    </row>
    <row r="1364" spans="2:63" ht="15" thickBot="1" x14ac:dyDescent="0.3">
      <c r="B1364" s="169"/>
      <c r="C1364" s="172"/>
      <c r="D1364" s="161" t="s">
        <v>471</v>
      </c>
      <c r="E1364" s="162">
        <f>SUM(E1360:E1363)</f>
        <v>0</v>
      </c>
      <c r="F1364" s="163">
        <f>SUM(F1360:F1363)</f>
        <v>0</v>
      </c>
      <c r="BJ1364" s="157">
        <f>SUM(E1364,K1364,Q1364,W1364,AC1364,AI1364,AO1364,AU1364,BA1364,BG1364)</f>
        <v>0</v>
      </c>
      <c r="BK1364" s="158">
        <f>SUM(F1364,L1364,R1364,X1364,AD1364,AJ1364,AP1364,AV1364,BB1364,BH1364)</f>
        <v>0</v>
      </c>
    </row>
    <row r="1365" spans="2:63" ht="14.4" thickBot="1" x14ac:dyDescent="0.3">
      <c r="B1365" s="170"/>
      <c r="C1365" s="173"/>
      <c r="D1365" s="164" t="str">
        <f>IF(E1364=F1364,"",IF(E1364&gt;F1364,"Saldo Deudor","Saldo Acreedor"))</f>
        <v/>
      </c>
      <c r="E1365" s="165" t="str">
        <f>IF(E1364&gt;F1364,E1364-F1364,"")</f>
        <v/>
      </c>
      <c r="F1365" s="176" t="str">
        <f>IF(E1364&lt;F1364,F1364-E1364,"")</f>
        <v/>
      </c>
    </row>
    <row r="1368" spans="2:63" ht="15.6" x14ac:dyDescent="0.25">
      <c r="B1368" s="324" t="s">
        <v>472</v>
      </c>
      <c r="C1368" s="324"/>
      <c r="D1368" s="175">
        <v>6571</v>
      </c>
      <c r="E1368" s="160"/>
      <c r="H1368" s="324" t="s">
        <v>472</v>
      </c>
      <c r="I1368" s="324"/>
      <c r="J1368" s="175">
        <v>6572</v>
      </c>
      <c r="K1368" s="160"/>
    </row>
    <row r="1369" spans="2:63" x14ac:dyDescent="0.25">
      <c r="B1369" s="160"/>
      <c r="C1369" s="160"/>
      <c r="D1369" s="160"/>
      <c r="E1369" s="160"/>
      <c r="H1369" s="160"/>
      <c r="I1369" s="160"/>
      <c r="J1369" s="160"/>
      <c r="K1369" s="160"/>
    </row>
    <row r="1370" spans="2:63" ht="15.6" x14ac:dyDescent="0.25">
      <c r="B1370" s="324" t="s">
        <v>473</v>
      </c>
      <c r="C1370" s="324"/>
      <c r="D1370" s="234" t="e">
        <f>VLOOKUP(D1368,DivisionariasContables,3,FALSE)</f>
        <v>#N/A</v>
      </c>
      <c r="E1370" s="160"/>
      <c r="H1370" s="324" t="s">
        <v>473</v>
      </c>
      <c r="I1370" s="324"/>
      <c r="J1370" s="234" t="e">
        <f>VLOOKUP(J1368,DivisionariasContables,3,FALSE)</f>
        <v>#N/A</v>
      </c>
      <c r="K1370" s="160"/>
    </row>
    <row r="1371" spans="2:63" ht="14.4" thickBot="1" x14ac:dyDescent="0.3"/>
    <row r="1372" spans="2:63" x14ac:dyDescent="0.25">
      <c r="B1372" s="325" t="s">
        <v>466</v>
      </c>
      <c r="C1372" s="327" t="s">
        <v>467</v>
      </c>
      <c r="D1372" s="327" t="s">
        <v>468</v>
      </c>
      <c r="E1372" s="329" t="s">
        <v>469</v>
      </c>
      <c r="F1372" s="330"/>
      <c r="H1372" s="325" t="s">
        <v>466</v>
      </c>
      <c r="I1372" s="327" t="s">
        <v>467</v>
      </c>
      <c r="J1372" s="327" t="s">
        <v>468</v>
      </c>
      <c r="K1372" s="329" t="s">
        <v>469</v>
      </c>
      <c r="L1372" s="330"/>
    </row>
    <row r="1373" spans="2:63" ht="14.4" thickBot="1" x14ac:dyDescent="0.3">
      <c r="B1373" s="326"/>
      <c r="C1373" s="328"/>
      <c r="D1373" s="328"/>
      <c r="E1373" s="232" t="s">
        <v>403</v>
      </c>
      <c r="F1373" s="174" t="s">
        <v>402</v>
      </c>
      <c r="H1373" s="326"/>
      <c r="I1373" s="328"/>
      <c r="J1373" s="328"/>
      <c r="K1373" s="232" t="s">
        <v>403</v>
      </c>
      <c r="L1373" s="174" t="s">
        <v>402</v>
      </c>
    </row>
    <row r="1374" spans="2:63" ht="14.4" thickTop="1" x14ac:dyDescent="0.25">
      <c r="B1374" s="236">
        <v>41670</v>
      </c>
      <c r="C1374" s="171"/>
      <c r="D1374" s="166" t="s">
        <v>470</v>
      </c>
      <c r="E1374" s="167">
        <f>SUMIF('Libro Diario Convencional'!$D$15:$D$167,D1368,'Libro Diario Convencional'!$G$15:$G$167)</f>
        <v>0</v>
      </c>
      <c r="F1374" s="168">
        <f>SUMIF('Libro Diario Convencional'!$D$15:$D$167,D1368,'Libro Diario Convencional'!$H$15:$H$167)</f>
        <v>0</v>
      </c>
      <c r="H1374" s="236">
        <v>41670</v>
      </c>
      <c r="I1374" s="171"/>
      <c r="J1374" s="166" t="s">
        <v>470</v>
      </c>
      <c r="K1374" s="167">
        <f>SUMIF('Libro Diario Convencional'!$D$15:$D$167,J1368,'Libro Diario Convencional'!$G$15:$G$167)</f>
        <v>0</v>
      </c>
      <c r="L1374" s="168">
        <f>SUMIF('Libro Diario Convencional'!$D$15:$D$167,J1368,'Libro Diario Convencional'!$H$15:$H$167)</f>
        <v>0</v>
      </c>
    </row>
    <row r="1375" spans="2:63" x14ac:dyDescent="0.25">
      <c r="B1375" s="169">
        <v>41670</v>
      </c>
      <c r="C1375" s="172"/>
      <c r="D1375" s="161" t="s">
        <v>474</v>
      </c>
      <c r="E1375" s="162">
        <f>SUMIF('Asientos de Cierre'!$D$6:$D$549,D1368,'Asientos de Cierre'!$G$6:$G$549)</f>
        <v>0</v>
      </c>
      <c r="F1375" s="163">
        <f>SUMIF('Asientos de Cierre'!$D$6:$D$549,D1368,'Asientos de Cierre'!$H$6:$H$549)</f>
        <v>0</v>
      </c>
      <c r="H1375" s="169">
        <v>41670</v>
      </c>
      <c r="I1375" s="172"/>
      <c r="J1375" s="161" t="s">
        <v>474</v>
      </c>
      <c r="K1375" s="162">
        <f>SUMIF('Asientos de Cierre'!$D$6:$D$549,J1368,'Asientos de Cierre'!$G$6:$G$549)</f>
        <v>0</v>
      </c>
      <c r="L1375" s="163">
        <f>SUMIF('Asientos de Cierre'!$D$6:$D$549,J1368,'Asientos de Cierre'!$H$6:$H$549)</f>
        <v>0</v>
      </c>
    </row>
    <row r="1376" spans="2:63" x14ac:dyDescent="0.25">
      <c r="B1376" s="169"/>
      <c r="C1376" s="172"/>
      <c r="D1376" s="161"/>
      <c r="E1376" s="162"/>
      <c r="F1376" s="163"/>
      <c r="H1376" s="169"/>
      <c r="I1376" s="172"/>
      <c r="J1376" s="161"/>
      <c r="K1376" s="162"/>
      <c r="L1376" s="163"/>
    </row>
    <row r="1377" spans="2:63" ht="14.4" thickBot="1" x14ac:dyDescent="0.3">
      <c r="B1377" s="169"/>
      <c r="C1377" s="172"/>
      <c r="D1377" s="161"/>
      <c r="E1377" s="162"/>
      <c r="F1377" s="163"/>
      <c r="H1377" s="169"/>
      <c r="I1377" s="172"/>
      <c r="J1377" s="161"/>
      <c r="K1377" s="162"/>
      <c r="L1377" s="163"/>
    </row>
    <row r="1378" spans="2:63" ht="15" thickBot="1" x14ac:dyDescent="0.3">
      <c r="B1378" s="169"/>
      <c r="C1378" s="172"/>
      <c r="D1378" s="161" t="s">
        <v>471</v>
      </c>
      <c r="E1378" s="162">
        <f>SUM(E1374:E1377)</f>
        <v>0</v>
      </c>
      <c r="F1378" s="163">
        <f>SUM(F1374:F1377)</f>
        <v>0</v>
      </c>
      <c r="H1378" s="169"/>
      <c r="I1378" s="172"/>
      <c r="J1378" s="161" t="s">
        <v>471</v>
      </c>
      <c r="K1378" s="162">
        <f>SUM(K1374:K1377)</f>
        <v>0</v>
      </c>
      <c r="L1378" s="163">
        <f>SUM(L1374:L1377)</f>
        <v>0</v>
      </c>
      <c r="BJ1378" s="157">
        <f>SUM(E1378,K1378,Q1378,W1378,AC1378,AI1378,AO1378,AU1378,BA1378,BG1378)</f>
        <v>0</v>
      </c>
      <c r="BK1378" s="158">
        <f>SUM(F1378,L1378,R1378,X1378,AD1378,AJ1378,AP1378,AV1378,BB1378,BH1378)</f>
        <v>0</v>
      </c>
    </row>
    <row r="1379" spans="2:63" ht="14.4" thickBot="1" x14ac:dyDescent="0.3">
      <c r="B1379" s="170"/>
      <c r="C1379" s="173"/>
      <c r="D1379" s="164" t="str">
        <f>IF(E1378=F1378,"",IF(E1378&gt;F1378,"Saldo Deudor","Saldo Acreedor"))</f>
        <v/>
      </c>
      <c r="E1379" s="165" t="str">
        <f>IF(E1378&gt;F1378,E1378-F1378,"")</f>
        <v/>
      </c>
      <c r="F1379" s="176" t="str">
        <f>IF(E1378&lt;F1378,F1378-E1378,"")</f>
        <v/>
      </c>
      <c r="H1379" s="170"/>
      <c r="I1379" s="173"/>
      <c r="J1379" s="164" t="str">
        <f>IF(K1378=L1378,"",IF(K1378&gt;L1378,"Saldo Deudor","Saldo Acreedor"))</f>
        <v/>
      </c>
      <c r="K1379" s="165" t="str">
        <f>IF(K1378&gt;L1378,K1378-L1378,"")</f>
        <v/>
      </c>
      <c r="L1379" s="176" t="str">
        <f>IF(K1378&lt;L1378,L1378-K1378,"")</f>
        <v/>
      </c>
    </row>
    <row r="1382" spans="2:63" ht="15.6" x14ac:dyDescent="0.25">
      <c r="B1382" s="324" t="s">
        <v>472</v>
      </c>
      <c r="C1382" s="324"/>
      <c r="D1382" s="175">
        <v>6581</v>
      </c>
      <c r="E1382" s="160"/>
    </row>
    <row r="1383" spans="2:63" x14ac:dyDescent="0.25">
      <c r="B1383" s="160"/>
      <c r="C1383" s="160"/>
      <c r="D1383" s="160"/>
      <c r="E1383" s="160"/>
    </row>
    <row r="1384" spans="2:63" ht="15.6" x14ac:dyDescent="0.25">
      <c r="B1384" s="324" t="s">
        <v>473</v>
      </c>
      <c r="C1384" s="324"/>
      <c r="D1384" s="234" t="str">
        <f>VLOOKUP(D1382,DivisionariasContables,3,FALSE)</f>
        <v>Gestión Medioambiental</v>
      </c>
      <c r="E1384" s="160"/>
    </row>
    <row r="1385" spans="2:63" ht="14.4" thickBot="1" x14ac:dyDescent="0.3"/>
    <row r="1386" spans="2:63" x14ac:dyDescent="0.25">
      <c r="B1386" s="325" t="s">
        <v>466</v>
      </c>
      <c r="C1386" s="327" t="s">
        <v>467</v>
      </c>
      <c r="D1386" s="327" t="s">
        <v>468</v>
      </c>
      <c r="E1386" s="329" t="s">
        <v>469</v>
      </c>
      <c r="F1386" s="330"/>
    </row>
    <row r="1387" spans="2:63" ht="14.4" thickBot="1" x14ac:dyDescent="0.3">
      <c r="B1387" s="326"/>
      <c r="C1387" s="328"/>
      <c r="D1387" s="328"/>
      <c r="E1387" s="232" t="s">
        <v>403</v>
      </c>
      <c r="F1387" s="174" t="s">
        <v>402</v>
      </c>
    </row>
    <row r="1388" spans="2:63" ht="14.4" thickTop="1" x14ac:dyDescent="0.25">
      <c r="B1388" s="236">
        <v>41670</v>
      </c>
      <c r="C1388" s="171"/>
      <c r="D1388" s="166" t="s">
        <v>470</v>
      </c>
      <c r="E1388" s="167">
        <f>SUMIF('Libro Diario Convencional'!$D$15:$D$167,D1382,'Libro Diario Convencional'!$G$15:$G$167)</f>
        <v>0</v>
      </c>
      <c r="F1388" s="168">
        <f>SUMIF('Libro Diario Convencional'!$D$15:$D$167,D1382,'Libro Diario Convencional'!$H$15:$H$167)</f>
        <v>0</v>
      </c>
    </row>
    <row r="1389" spans="2:63" x14ac:dyDescent="0.25">
      <c r="B1389" s="169">
        <v>41670</v>
      </c>
      <c r="C1389" s="172"/>
      <c r="D1389" s="161" t="s">
        <v>474</v>
      </c>
      <c r="E1389" s="162">
        <f>SUMIF('Asientos de Cierre'!$D$6:$D$549,D1382,'Asientos de Cierre'!$G$6:$G$549)</f>
        <v>0</v>
      </c>
      <c r="F1389" s="163">
        <f>SUMIF('Asientos de Cierre'!$D$6:$D$549,D1382,'Asientos de Cierre'!$H$6:$H$549)</f>
        <v>0</v>
      </c>
    </row>
    <row r="1390" spans="2:63" x14ac:dyDescent="0.25">
      <c r="B1390" s="169"/>
      <c r="C1390" s="172"/>
      <c r="D1390" s="161"/>
      <c r="E1390" s="162"/>
      <c r="F1390" s="163"/>
    </row>
    <row r="1391" spans="2:63" ht="14.4" thickBot="1" x14ac:dyDescent="0.3">
      <c r="B1391" s="169"/>
      <c r="C1391" s="172"/>
      <c r="D1391" s="161"/>
      <c r="E1391" s="162"/>
      <c r="F1391" s="163"/>
    </row>
    <row r="1392" spans="2:63" ht="15" thickBot="1" x14ac:dyDescent="0.3">
      <c r="B1392" s="169"/>
      <c r="C1392" s="172"/>
      <c r="D1392" s="161" t="s">
        <v>471</v>
      </c>
      <c r="E1392" s="162">
        <f>SUM(E1388:E1391)</f>
        <v>0</v>
      </c>
      <c r="F1392" s="163">
        <f>SUM(F1388:F1391)</f>
        <v>0</v>
      </c>
      <c r="BJ1392" s="157">
        <f>SUM(E1392,K1392,Q1392,W1392,AC1392,AI1392,AO1392,AU1392,BA1392,BG1392)</f>
        <v>0</v>
      </c>
      <c r="BK1392" s="158">
        <f>SUM(F1392,L1392,R1392,X1392,AD1392,AJ1392,AP1392,AV1392,BB1392,BH1392)</f>
        <v>0</v>
      </c>
    </row>
    <row r="1393" spans="2:63" ht="14.4" thickBot="1" x14ac:dyDescent="0.3">
      <c r="B1393" s="170"/>
      <c r="C1393" s="173"/>
      <c r="D1393" s="164" t="str">
        <f>IF(E1392=F1392,"",IF(E1392&gt;F1392,"Saldo Deudor","Saldo Acreedor"))</f>
        <v/>
      </c>
      <c r="E1393" s="165" t="str">
        <f>IF(E1392&gt;F1392,E1392-F1392,"")</f>
        <v/>
      </c>
      <c r="F1393" s="176" t="str">
        <f>IF(E1392&lt;F1392,F1392-E1392,"")</f>
        <v/>
      </c>
    </row>
    <row r="1396" spans="2:63" ht="15.6" x14ac:dyDescent="0.25">
      <c r="B1396" s="324" t="s">
        <v>472</v>
      </c>
      <c r="C1396" s="324"/>
      <c r="D1396" s="175">
        <v>6591</v>
      </c>
      <c r="E1396" s="160"/>
      <c r="H1396" s="324" t="s">
        <v>472</v>
      </c>
      <c r="I1396" s="324"/>
      <c r="J1396" s="175">
        <v>6592</v>
      </c>
      <c r="K1396" s="160"/>
      <c r="N1396" s="324" t="s">
        <v>472</v>
      </c>
      <c r="O1396" s="324"/>
      <c r="P1396" s="175">
        <v>6593</v>
      </c>
      <c r="Q1396" s="160"/>
      <c r="T1396" s="324" t="s">
        <v>472</v>
      </c>
      <c r="U1396" s="324"/>
      <c r="V1396" s="175">
        <v>6598</v>
      </c>
      <c r="W1396" s="160"/>
      <c r="Z1396" s="324" t="s">
        <v>472</v>
      </c>
      <c r="AA1396" s="324"/>
      <c r="AB1396" s="175">
        <v>6599</v>
      </c>
      <c r="AC1396" s="160"/>
    </row>
    <row r="1397" spans="2:63" x14ac:dyDescent="0.25">
      <c r="B1397" s="160"/>
      <c r="C1397" s="160"/>
      <c r="D1397" s="160"/>
      <c r="E1397" s="160"/>
      <c r="H1397" s="160"/>
      <c r="I1397" s="160"/>
      <c r="J1397" s="160"/>
      <c r="K1397" s="160"/>
      <c r="N1397" s="160"/>
      <c r="O1397" s="160"/>
      <c r="P1397" s="160"/>
      <c r="Q1397" s="160"/>
      <c r="T1397" s="160"/>
      <c r="U1397" s="160"/>
      <c r="V1397" s="160"/>
      <c r="W1397" s="160"/>
      <c r="Z1397" s="160"/>
      <c r="AA1397" s="160"/>
      <c r="AB1397" s="160"/>
      <c r="AC1397" s="160"/>
    </row>
    <row r="1398" spans="2:63" ht="15.6" x14ac:dyDescent="0.25">
      <c r="B1398" s="324" t="s">
        <v>473</v>
      </c>
      <c r="C1398" s="324"/>
      <c r="D1398" s="234" t="str">
        <f>VLOOKUP(D1396,DivisionariasContables,3,FALSE)</f>
        <v>Donaciones</v>
      </c>
      <c r="E1398" s="160"/>
      <c r="H1398" s="324" t="s">
        <v>473</v>
      </c>
      <c r="I1398" s="324"/>
      <c r="J1398" s="234" t="str">
        <f>VLOOKUP(J1396,DivisionariasContables,3,FALSE)</f>
        <v>Sanciones Administrativas</v>
      </c>
      <c r="K1398" s="160"/>
      <c r="N1398" s="324" t="s">
        <v>473</v>
      </c>
      <c r="O1398" s="324"/>
      <c r="P1398" s="234" t="e">
        <f>VLOOKUP(P1396,DivisionariasContables,3,FALSE)</f>
        <v>#N/A</v>
      </c>
      <c r="Q1398" s="160"/>
      <c r="T1398" s="324" t="s">
        <v>473</v>
      </c>
      <c r="U1398" s="324"/>
      <c r="V1398" s="234" t="str">
        <f>VLOOKUP(V1396,DivisionariasContables,3,FALSE)</f>
        <v>Reclasificación de IGV al Gasto</v>
      </c>
      <c r="W1398" s="160"/>
      <c r="Z1398" s="324" t="s">
        <v>473</v>
      </c>
      <c r="AA1398" s="324"/>
      <c r="AB1398" s="234" t="str">
        <f>VLOOKUP(AB1396,DivisionariasContables,3,FALSE)</f>
        <v>Varios Gastos de Gestión</v>
      </c>
      <c r="AC1398" s="160"/>
    </row>
    <row r="1399" spans="2:63" ht="14.4" thickBot="1" x14ac:dyDescent="0.3"/>
    <row r="1400" spans="2:63" x14ac:dyDescent="0.25">
      <c r="B1400" s="325" t="s">
        <v>466</v>
      </c>
      <c r="C1400" s="327" t="s">
        <v>467</v>
      </c>
      <c r="D1400" s="327" t="s">
        <v>468</v>
      </c>
      <c r="E1400" s="329" t="s">
        <v>469</v>
      </c>
      <c r="F1400" s="330"/>
      <c r="H1400" s="325" t="s">
        <v>466</v>
      </c>
      <c r="I1400" s="327" t="s">
        <v>467</v>
      </c>
      <c r="J1400" s="327" t="s">
        <v>468</v>
      </c>
      <c r="K1400" s="329" t="s">
        <v>469</v>
      </c>
      <c r="L1400" s="330"/>
      <c r="N1400" s="325" t="s">
        <v>466</v>
      </c>
      <c r="O1400" s="327" t="s">
        <v>467</v>
      </c>
      <c r="P1400" s="327" t="s">
        <v>468</v>
      </c>
      <c r="Q1400" s="329" t="s">
        <v>469</v>
      </c>
      <c r="R1400" s="330"/>
      <c r="T1400" s="325" t="s">
        <v>466</v>
      </c>
      <c r="U1400" s="327" t="s">
        <v>467</v>
      </c>
      <c r="V1400" s="327" t="s">
        <v>468</v>
      </c>
      <c r="W1400" s="329" t="s">
        <v>469</v>
      </c>
      <c r="X1400" s="330"/>
      <c r="Z1400" s="325" t="s">
        <v>466</v>
      </c>
      <c r="AA1400" s="327" t="s">
        <v>467</v>
      </c>
      <c r="AB1400" s="327" t="s">
        <v>468</v>
      </c>
      <c r="AC1400" s="329" t="s">
        <v>469</v>
      </c>
      <c r="AD1400" s="330"/>
    </row>
    <row r="1401" spans="2:63" ht="14.4" thickBot="1" x14ac:dyDescent="0.3">
      <c r="B1401" s="326"/>
      <c r="C1401" s="328"/>
      <c r="D1401" s="328"/>
      <c r="E1401" s="232" t="s">
        <v>403</v>
      </c>
      <c r="F1401" s="174" t="s">
        <v>402</v>
      </c>
      <c r="H1401" s="326"/>
      <c r="I1401" s="328"/>
      <c r="J1401" s="328"/>
      <c r="K1401" s="232" t="s">
        <v>403</v>
      </c>
      <c r="L1401" s="174" t="s">
        <v>402</v>
      </c>
      <c r="N1401" s="326"/>
      <c r="O1401" s="328"/>
      <c r="P1401" s="328"/>
      <c r="Q1401" s="232" t="s">
        <v>403</v>
      </c>
      <c r="R1401" s="174" t="s">
        <v>402</v>
      </c>
      <c r="T1401" s="326"/>
      <c r="U1401" s="328"/>
      <c r="V1401" s="328"/>
      <c r="W1401" s="232" t="s">
        <v>403</v>
      </c>
      <c r="X1401" s="174" t="s">
        <v>402</v>
      </c>
      <c r="Z1401" s="326"/>
      <c r="AA1401" s="328"/>
      <c r="AB1401" s="328"/>
      <c r="AC1401" s="232" t="s">
        <v>403</v>
      </c>
      <c r="AD1401" s="174" t="s">
        <v>402</v>
      </c>
    </row>
    <row r="1402" spans="2:63" ht="14.4" thickTop="1" x14ac:dyDescent="0.25">
      <c r="B1402" s="236">
        <v>41670</v>
      </c>
      <c r="C1402" s="171"/>
      <c r="D1402" s="166" t="s">
        <v>470</v>
      </c>
      <c r="E1402" s="167">
        <f>SUMIF('Libro Diario Convencional'!$D$15:$D$167,D1396,'Libro Diario Convencional'!$G$15:$G$167)</f>
        <v>0</v>
      </c>
      <c r="F1402" s="168">
        <f>SUMIF('Libro Diario Convencional'!$D$15:$D$167,D1396,'Libro Diario Convencional'!$H$15:$H$167)</f>
        <v>0</v>
      </c>
      <c r="H1402" s="236">
        <v>41670</v>
      </c>
      <c r="I1402" s="171"/>
      <c r="J1402" s="166" t="s">
        <v>470</v>
      </c>
      <c r="K1402" s="167">
        <f>SUMIF('Libro Diario Convencional'!$D$15:$D$167,J1396,'Libro Diario Convencional'!$G$15:$G$167)</f>
        <v>0</v>
      </c>
      <c r="L1402" s="168">
        <f>SUMIF('Libro Diario Convencional'!$D$15:$D$167,J1396,'Libro Diario Convencional'!$H$15:$H$167)</f>
        <v>0</v>
      </c>
      <c r="N1402" s="236">
        <v>41670</v>
      </c>
      <c r="O1402" s="171"/>
      <c r="P1402" s="166" t="s">
        <v>470</v>
      </c>
      <c r="Q1402" s="167">
        <f>SUMIF('Libro Diario Convencional'!$D$15:$D$167,P1396,'Libro Diario Convencional'!$G$15:$G$167)</f>
        <v>0</v>
      </c>
      <c r="R1402" s="168">
        <f>SUMIF('Libro Diario Convencional'!$D$15:$D$167,P1396,'Libro Diario Convencional'!$H$15:$H$167)</f>
        <v>0</v>
      </c>
      <c r="T1402" s="236">
        <v>41670</v>
      </c>
      <c r="U1402" s="171"/>
      <c r="V1402" s="166" t="s">
        <v>470</v>
      </c>
      <c r="W1402" s="167">
        <f>SUMIF('Libro Diario Convencional'!$D$15:$D$167,V1396,'Libro Diario Convencional'!$G$15:$G$167)</f>
        <v>0</v>
      </c>
      <c r="X1402" s="168">
        <f>SUMIF('Libro Diario Convencional'!$D$15:$D$167,V1396,'Libro Diario Convencional'!$H$15:$H$167)</f>
        <v>0</v>
      </c>
      <c r="Z1402" s="236">
        <v>41670</v>
      </c>
      <c r="AA1402" s="171"/>
      <c r="AB1402" s="166" t="s">
        <v>470</v>
      </c>
      <c r="AC1402" s="167">
        <f>SUMIF('Libro Diario Convencional'!$D$15:$D$167,AB1396,'Libro Diario Convencional'!$G$15:$G$167)</f>
        <v>8450</v>
      </c>
      <c r="AD1402" s="168">
        <f>SUMIF('Libro Diario Convencional'!$D$15:$D$167,AB1396,'Libro Diario Convencional'!$H$15:$H$167)</f>
        <v>0</v>
      </c>
    </row>
    <row r="1403" spans="2:63" x14ac:dyDescent="0.25">
      <c r="B1403" s="169">
        <v>41670</v>
      </c>
      <c r="C1403" s="172"/>
      <c r="D1403" s="161" t="s">
        <v>474</v>
      </c>
      <c r="E1403" s="162">
        <f>SUMIF('Asientos de Cierre'!$D$6:$D$549,D1396,'Asientos de Cierre'!$G$6:$G$549)</f>
        <v>0</v>
      </c>
      <c r="F1403" s="163">
        <f>SUMIF('Asientos de Cierre'!$D$6:$D$549,D1396,'Asientos de Cierre'!$H$6:$H$549)</f>
        <v>0</v>
      </c>
      <c r="H1403" s="169">
        <v>41670</v>
      </c>
      <c r="I1403" s="172"/>
      <c r="J1403" s="161" t="s">
        <v>474</v>
      </c>
      <c r="K1403" s="162">
        <f>SUMIF('Asientos de Cierre'!$D$6:$D$549,J1396,'Asientos de Cierre'!$G$6:$G$549)</f>
        <v>0</v>
      </c>
      <c r="L1403" s="163">
        <f>SUMIF('Asientos de Cierre'!$D$6:$D$549,J1396,'Asientos de Cierre'!$H$6:$H$549)</f>
        <v>0</v>
      </c>
      <c r="N1403" s="169">
        <v>41670</v>
      </c>
      <c r="O1403" s="172"/>
      <c r="P1403" s="161" t="s">
        <v>474</v>
      </c>
      <c r="Q1403" s="162">
        <f>SUMIF('Asientos de Cierre'!$D$6:$D$549,P1396,'Asientos de Cierre'!$G$6:$G$549)</f>
        <v>0</v>
      </c>
      <c r="R1403" s="163">
        <f>SUMIF('Asientos de Cierre'!$D$6:$D$549,P1396,'Asientos de Cierre'!$H$6:$H$549)</f>
        <v>0</v>
      </c>
      <c r="T1403" s="169">
        <v>41670</v>
      </c>
      <c r="U1403" s="172"/>
      <c r="V1403" s="161" t="s">
        <v>474</v>
      </c>
      <c r="W1403" s="162">
        <f>SUMIF('Asientos de Cierre'!$D$6:$D$549,V1396,'Asientos de Cierre'!$G$6:$G$549)</f>
        <v>0</v>
      </c>
      <c r="X1403" s="163">
        <f>SUMIF('Asientos de Cierre'!$D$6:$D$549,V1396,'Asientos de Cierre'!$H$6:$H$549)</f>
        <v>8450</v>
      </c>
      <c r="Z1403" s="169">
        <v>41670</v>
      </c>
      <c r="AA1403" s="172"/>
      <c r="AB1403" s="161" t="s">
        <v>474</v>
      </c>
      <c r="AC1403" s="162">
        <f>SUMIF('Asientos de Cierre'!$D$6:$D$549,AB1396,'Asientos de Cierre'!$G$6:$G$549)</f>
        <v>0</v>
      </c>
      <c r="AD1403" s="163">
        <f>SUMIF('Asientos de Cierre'!$D$6:$D$549,AB1396,'Asientos de Cierre'!$H$6:$H$549)</f>
        <v>0</v>
      </c>
    </row>
    <row r="1404" spans="2:63" x14ac:dyDescent="0.25">
      <c r="B1404" s="169"/>
      <c r="C1404" s="172"/>
      <c r="D1404" s="161"/>
      <c r="E1404" s="162"/>
      <c r="F1404" s="163"/>
      <c r="H1404" s="169"/>
      <c r="I1404" s="172"/>
      <c r="J1404" s="161"/>
      <c r="K1404" s="162"/>
      <c r="L1404" s="163"/>
      <c r="N1404" s="169"/>
      <c r="O1404" s="172"/>
      <c r="P1404" s="161"/>
      <c r="Q1404" s="162"/>
      <c r="R1404" s="163"/>
      <c r="T1404" s="169"/>
      <c r="U1404" s="172"/>
      <c r="V1404" s="161"/>
      <c r="W1404" s="162"/>
      <c r="X1404" s="163"/>
      <c r="Z1404" s="169"/>
      <c r="AA1404" s="172"/>
      <c r="AB1404" s="161"/>
      <c r="AC1404" s="162"/>
      <c r="AD1404" s="163"/>
    </row>
    <row r="1405" spans="2:63" ht="14.4" thickBot="1" x14ac:dyDescent="0.3">
      <c r="B1405" s="169"/>
      <c r="C1405" s="172"/>
      <c r="D1405" s="161"/>
      <c r="E1405" s="162"/>
      <c r="F1405" s="163"/>
      <c r="H1405" s="169"/>
      <c r="I1405" s="172"/>
      <c r="J1405" s="161"/>
      <c r="K1405" s="162"/>
      <c r="L1405" s="163"/>
      <c r="N1405" s="169"/>
      <c r="O1405" s="172"/>
      <c r="P1405" s="161"/>
      <c r="Q1405" s="162"/>
      <c r="R1405" s="163"/>
      <c r="T1405" s="169"/>
      <c r="U1405" s="172"/>
      <c r="V1405" s="161"/>
      <c r="W1405" s="162"/>
      <c r="X1405" s="163"/>
      <c r="Z1405" s="169"/>
      <c r="AA1405" s="172"/>
      <c r="AB1405" s="161"/>
      <c r="AC1405" s="162"/>
      <c r="AD1405" s="163"/>
    </row>
    <row r="1406" spans="2:63" ht="15" thickBot="1" x14ac:dyDescent="0.3">
      <c r="B1406" s="169"/>
      <c r="C1406" s="172"/>
      <c r="D1406" s="161" t="s">
        <v>471</v>
      </c>
      <c r="E1406" s="162">
        <f>SUM(E1402:E1405)</f>
        <v>0</v>
      </c>
      <c r="F1406" s="163">
        <f>SUM(F1402:F1405)</f>
        <v>0</v>
      </c>
      <c r="H1406" s="169"/>
      <c r="I1406" s="172"/>
      <c r="J1406" s="161" t="s">
        <v>471</v>
      </c>
      <c r="K1406" s="162">
        <f>SUM(K1402:K1405)</f>
        <v>0</v>
      </c>
      <c r="L1406" s="163">
        <f>SUM(L1402:L1405)</f>
        <v>0</v>
      </c>
      <c r="N1406" s="169"/>
      <c r="O1406" s="172"/>
      <c r="P1406" s="161" t="s">
        <v>471</v>
      </c>
      <c r="Q1406" s="162">
        <f>SUM(Q1402:Q1405)</f>
        <v>0</v>
      </c>
      <c r="R1406" s="163">
        <f>SUM(R1402:R1405)</f>
        <v>0</v>
      </c>
      <c r="T1406" s="169"/>
      <c r="U1406" s="172"/>
      <c r="V1406" s="161" t="s">
        <v>471</v>
      </c>
      <c r="W1406" s="162">
        <f>SUM(W1402:W1405)</f>
        <v>0</v>
      </c>
      <c r="X1406" s="163">
        <f>SUM(X1402:X1405)</f>
        <v>8450</v>
      </c>
      <c r="Z1406" s="169"/>
      <c r="AA1406" s="172"/>
      <c r="AB1406" s="161" t="s">
        <v>471</v>
      </c>
      <c r="AC1406" s="162">
        <f>SUM(AC1402:AC1405)</f>
        <v>8450</v>
      </c>
      <c r="AD1406" s="163">
        <f>SUM(AD1402:AD1405)</f>
        <v>0</v>
      </c>
      <c r="BJ1406" s="157">
        <f>SUM(E1406,K1406,Q1406,W1406,AC1406,AI1406,AO1406,AU1406,BA1406,BG1406)</f>
        <v>8450</v>
      </c>
      <c r="BK1406" s="158">
        <f>SUM(F1406,L1406,R1406,X1406,AD1406,AJ1406,AP1406,AV1406,BB1406,BH1406)</f>
        <v>8450</v>
      </c>
    </row>
    <row r="1407" spans="2:63" ht="14.4" thickBot="1" x14ac:dyDescent="0.3">
      <c r="B1407" s="170"/>
      <c r="C1407" s="173"/>
      <c r="D1407" s="164" t="str">
        <f>IF(E1406=F1406,"",IF(E1406&gt;F1406,"Saldo Deudor","Saldo Acreedor"))</f>
        <v/>
      </c>
      <c r="E1407" s="165" t="str">
        <f>IF(E1406&gt;F1406,E1406-F1406,"")</f>
        <v/>
      </c>
      <c r="F1407" s="176" t="str">
        <f>IF(E1406&lt;F1406,F1406-E1406,"")</f>
        <v/>
      </c>
      <c r="H1407" s="170"/>
      <c r="I1407" s="173"/>
      <c r="J1407" s="164" t="str">
        <f>IF(K1406=L1406,"",IF(K1406&gt;L1406,"Saldo Deudor","Saldo Acreedor"))</f>
        <v/>
      </c>
      <c r="K1407" s="165" t="str">
        <f>IF(K1406&gt;L1406,K1406-L1406,"")</f>
        <v/>
      </c>
      <c r="L1407" s="176" t="str">
        <f>IF(K1406&lt;L1406,L1406-K1406,"")</f>
        <v/>
      </c>
      <c r="N1407" s="170"/>
      <c r="O1407" s="173"/>
      <c r="P1407" s="164" t="str">
        <f>IF(Q1406=R1406,"",IF(Q1406&gt;R1406,"Saldo Deudor","Saldo Acreedor"))</f>
        <v/>
      </c>
      <c r="Q1407" s="165" t="str">
        <f>IF(Q1406&gt;R1406,Q1406-R1406,"")</f>
        <v/>
      </c>
      <c r="R1407" s="176" t="str">
        <f>IF(Q1406&lt;R1406,R1406-Q1406,"")</f>
        <v/>
      </c>
      <c r="T1407" s="170"/>
      <c r="U1407" s="173"/>
      <c r="V1407" s="164" t="str">
        <f>IF(W1406=X1406,"",IF(W1406&gt;X1406,"Saldo Deudor","Saldo Acreedor"))</f>
        <v>Saldo Acreedor</v>
      </c>
      <c r="W1407" s="165" t="str">
        <f>IF(W1406&gt;X1406,W1406-X1406,"")</f>
        <v/>
      </c>
      <c r="X1407" s="176">
        <f>IF(W1406&lt;X1406,X1406-W1406,"")</f>
        <v>8450</v>
      </c>
      <c r="Z1407" s="170"/>
      <c r="AA1407" s="173"/>
      <c r="AB1407" s="164" t="str">
        <f>IF(AC1406=AD1406,"",IF(AC1406&gt;AD1406,"Saldo Deudor","Saldo Acreedor"))</f>
        <v>Saldo Deudor</v>
      </c>
      <c r="AC1407" s="165">
        <f>IF(AC1406&gt;AD1406,AC1406-AD1406,"")</f>
        <v>8450</v>
      </c>
      <c r="AD1407" s="176" t="str">
        <f>IF(AC1406&lt;AD1406,AD1406-AC1406,"")</f>
        <v/>
      </c>
    </row>
    <row r="1410" spans="2:63" ht="15.6" x14ac:dyDescent="0.25">
      <c r="B1410" s="324" t="s">
        <v>472</v>
      </c>
      <c r="C1410" s="324"/>
      <c r="D1410" s="175">
        <v>6711</v>
      </c>
      <c r="E1410" s="160"/>
      <c r="H1410" s="324" t="s">
        <v>472</v>
      </c>
      <c r="I1410" s="324"/>
      <c r="J1410" s="175">
        <v>6712</v>
      </c>
      <c r="K1410" s="160"/>
      <c r="N1410" s="324" t="s">
        <v>472</v>
      </c>
      <c r="O1410" s="324"/>
      <c r="P1410" s="175">
        <v>6713</v>
      </c>
      <c r="Q1410" s="160"/>
      <c r="T1410" s="324" t="s">
        <v>472</v>
      </c>
      <c r="U1410" s="324"/>
      <c r="V1410" s="175">
        <v>6714</v>
      </c>
      <c r="W1410" s="160"/>
    </row>
    <row r="1411" spans="2:63" x14ac:dyDescent="0.25">
      <c r="B1411" s="160"/>
      <c r="C1411" s="160"/>
      <c r="D1411" s="160"/>
      <c r="E1411" s="160"/>
      <c r="H1411" s="160"/>
      <c r="I1411" s="160"/>
      <c r="J1411" s="160"/>
      <c r="K1411" s="160"/>
      <c r="N1411" s="160"/>
      <c r="O1411" s="160"/>
      <c r="P1411" s="160"/>
      <c r="Q1411" s="160"/>
      <c r="T1411" s="160"/>
      <c r="U1411" s="160"/>
      <c r="V1411" s="160"/>
      <c r="W1411" s="160"/>
    </row>
    <row r="1412" spans="2:63" ht="15.6" x14ac:dyDescent="0.25">
      <c r="B1412" s="324" t="s">
        <v>473</v>
      </c>
      <c r="C1412" s="324"/>
      <c r="D1412" s="234" t="str">
        <f>VLOOKUP(D1410,DivisionariasContables,3,FALSE)</f>
        <v>Préstamos de Instituciones Financieras y Otras Entidades</v>
      </c>
      <c r="E1412" s="160"/>
      <c r="H1412" s="324" t="s">
        <v>473</v>
      </c>
      <c r="I1412" s="324"/>
      <c r="J1412" s="234" t="str">
        <f>VLOOKUP(J1410,DivisionariasContables,3,FALSE)</f>
        <v>Contratos de Arrendamiento Financiero</v>
      </c>
      <c r="K1412" s="160"/>
      <c r="N1412" s="324" t="s">
        <v>473</v>
      </c>
      <c r="O1412" s="324"/>
      <c r="P1412" s="234" t="str">
        <f>VLOOKUP(P1410,DivisionariasContables,3,FALSE)</f>
        <v>Emisión y Colocación de Instrumentos Representativos de Deuda y Patrimonio</v>
      </c>
      <c r="Q1412" s="160"/>
      <c r="T1412" s="324" t="s">
        <v>473</v>
      </c>
      <c r="U1412" s="324"/>
      <c r="V1412" s="234" t="str">
        <f>VLOOKUP(V1410,DivisionariasContables,3,FALSE)</f>
        <v>Documentos Vendidos o Descontados</v>
      </c>
      <c r="W1412" s="160"/>
    </row>
    <row r="1413" spans="2:63" ht="14.4" thickBot="1" x14ac:dyDescent="0.3"/>
    <row r="1414" spans="2:63" x14ac:dyDescent="0.25">
      <c r="B1414" s="325" t="s">
        <v>466</v>
      </c>
      <c r="C1414" s="327" t="s">
        <v>467</v>
      </c>
      <c r="D1414" s="327" t="s">
        <v>468</v>
      </c>
      <c r="E1414" s="329" t="s">
        <v>469</v>
      </c>
      <c r="F1414" s="330"/>
      <c r="H1414" s="325" t="s">
        <v>466</v>
      </c>
      <c r="I1414" s="327" t="s">
        <v>467</v>
      </c>
      <c r="J1414" s="327" t="s">
        <v>468</v>
      </c>
      <c r="K1414" s="329" t="s">
        <v>469</v>
      </c>
      <c r="L1414" s="330"/>
      <c r="N1414" s="325" t="s">
        <v>466</v>
      </c>
      <c r="O1414" s="327" t="s">
        <v>467</v>
      </c>
      <c r="P1414" s="327" t="s">
        <v>468</v>
      </c>
      <c r="Q1414" s="329" t="s">
        <v>469</v>
      </c>
      <c r="R1414" s="330"/>
      <c r="T1414" s="325" t="s">
        <v>466</v>
      </c>
      <c r="U1414" s="327" t="s">
        <v>467</v>
      </c>
      <c r="V1414" s="327" t="s">
        <v>468</v>
      </c>
      <c r="W1414" s="329" t="s">
        <v>469</v>
      </c>
      <c r="X1414" s="330"/>
    </row>
    <row r="1415" spans="2:63" ht="14.4" thickBot="1" x14ac:dyDescent="0.3">
      <c r="B1415" s="326"/>
      <c r="C1415" s="328"/>
      <c r="D1415" s="328"/>
      <c r="E1415" s="232" t="s">
        <v>403</v>
      </c>
      <c r="F1415" s="174" t="s">
        <v>402</v>
      </c>
      <c r="H1415" s="326"/>
      <c r="I1415" s="328"/>
      <c r="J1415" s="328"/>
      <c r="K1415" s="232" t="s">
        <v>403</v>
      </c>
      <c r="L1415" s="174" t="s">
        <v>402</v>
      </c>
      <c r="N1415" s="326"/>
      <c r="O1415" s="328"/>
      <c r="P1415" s="328"/>
      <c r="Q1415" s="232" t="s">
        <v>403</v>
      </c>
      <c r="R1415" s="174" t="s">
        <v>402</v>
      </c>
      <c r="T1415" s="326"/>
      <c r="U1415" s="328"/>
      <c r="V1415" s="328"/>
      <c r="W1415" s="232" t="s">
        <v>403</v>
      </c>
      <c r="X1415" s="174" t="s">
        <v>402</v>
      </c>
    </row>
    <row r="1416" spans="2:63" ht="14.4" thickTop="1" x14ac:dyDescent="0.25">
      <c r="B1416" s="236">
        <v>41670</v>
      </c>
      <c r="C1416" s="171"/>
      <c r="D1416" s="166" t="s">
        <v>470</v>
      </c>
      <c r="E1416" s="167">
        <f>SUMIF('Libro Diario Convencional'!$D$15:$D$167,D1410,'Libro Diario Convencional'!$G$15:$G$167)</f>
        <v>0</v>
      </c>
      <c r="F1416" s="168">
        <f>SUMIF('Libro Diario Convencional'!$D$15:$D$167,D1410,'Libro Diario Convencional'!$H$15:$H$167)</f>
        <v>0</v>
      </c>
      <c r="H1416" s="236">
        <v>41670</v>
      </c>
      <c r="I1416" s="171"/>
      <c r="J1416" s="166" t="s">
        <v>470</v>
      </c>
      <c r="K1416" s="167">
        <f>SUMIF('Libro Diario Convencional'!$D$15:$D$167,J1410,'Libro Diario Convencional'!$G$15:$G$167)</f>
        <v>0</v>
      </c>
      <c r="L1416" s="168">
        <f>SUMIF('Libro Diario Convencional'!$D$15:$D$167,J1410,'Libro Diario Convencional'!$H$15:$H$167)</f>
        <v>0</v>
      </c>
      <c r="N1416" s="236">
        <v>41670</v>
      </c>
      <c r="O1416" s="171"/>
      <c r="P1416" s="166" t="s">
        <v>470</v>
      </c>
      <c r="Q1416" s="167">
        <f>SUMIF('Libro Diario Convencional'!$D$15:$D$167,P1410,'Libro Diario Convencional'!$G$15:$G$167)</f>
        <v>0</v>
      </c>
      <c r="R1416" s="168">
        <f>SUMIF('Libro Diario Convencional'!$D$15:$D$167,P1410,'Libro Diario Convencional'!$H$15:$H$167)</f>
        <v>0</v>
      </c>
      <c r="T1416" s="236">
        <v>41670</v>
      </c>
      <c r="U1416" s="171"/>
      <c r="V1416" s="166" t="s">
        <v>470</v>
      </c>
      <c r="W1416" s="167">
        <f>SUMIF('Libro Diario Convencional'!$D$15:$D$167,V1410,'Libro Diario Convencional'!$G$15:$G$167)</f>
        <v>0</v>
      </c>
      <c r="X1416" s="168">
        <f>SUMIF('Libro Diario Convencional'!$D$15:$D$167,V1410,'Libro Diario Convencional'!$H$15:$H$167)</f>
        <v>0</v>
      </c>
    </row>
    <row r="1417" spans="2:63" x14ac:dyDescent="0.25">
      <c r="B1417" s="169">
        <v>41670</v>
      </c>
      <c r="C1417" s="172"/>
      <c r="D1417" s="161" t="s">
        <v>474</v>
      </c>
      <c r="E1417" s="162">
        <f>SUMIF('Asientos de Cierre'!$D$6:$D$549,D1410,'Asientos de Cierre'!$G$6:$G$549)</f>
        <v>0</v>
      </c>
      <c r="F1417" s="163">
        <f>SUMIF('Asientos de Cierre'!$D$6:$D$549,D1410,'Asientos de Cierre'!$H$6:$H$549)</f>
        <v>0</v>
      </c>
      <c r="H1417" s="169">
        <v>41670</v>
      </c>
      <c r="I1417" s="172"/>
      <c r="J1417" s="161" t="s">
        <v>474</v>
      </c>
      <c r="K1417" s="162">
        <f>SUMIF('Asientos de Cierre'!$D$6:$D$549,J1410,'Asientos de Cierre'!$G$6:$G$549)</f>
        <v>0</v>
      </c>
      <c r="L1417" s="163">
        <f>SUMIF('Asientos de Cierre'!$D$6:$D$549,J1410,'Asientos de Cierre'!$H$6:$H$549)</f>
        <v>0</v>
      </c>
      <c r="N1417" s="169">
        <v>41670</v>
      </c>
      <c r="O1417" s="172"/>
      <c r="P1417" s="161" t="s">
        <v>474</v>
      </c>
      <c r="Q1417" s="162">
        <f>SUMIF('Asientos de Cierre'!$D$6:$D$549,P1410,'Asientos de Cierre'!$G$6:$G$549)</f>
        <v>0</v>
      </c>
      <c r="R1417" s="163">
        <f>SUMIF('Asientos de Cierre'!$D$6:$D$549,P1410,'Asientos de Cierre'!$H$6:$H$549)</f>
        <v>0</v>
      </c>
      <c r="T1417" s="169">
        <v>41670</v>
      </c>
      <c r="U1417" s="172"/>
      <c r="V1417" s="161" t="s">
        <v>474</v>
      </c>
      <c r="W1417" s="162">
        <f>SUMIF('Asientos de Cierre'!$D$6:$D$549,V1410,'Asientos de Cierre'!$G$6:$G$549)</f>
        <v>0</v>
      </c>
      <c r="X1417" s="163">
        <f>SUMIF('Asientos de Cierre'!$D$6:$D$549,V1410,'Asientos de Cierre'!$H$6:$H$549)</f>
        <v>0</v>
      </c>
    </row>
    <row r="1418" spans="2:63" x14ac:dyDescent="0.25">
      <c r="B1418" s="169"/>
      <c r="C1418" s="172"/>
      <c r="D1418" s="161"/>
      <c r="E1418" s="162"/>
      <c r="F1418" s="163"/>
      <c r="H1418" s="169"/>
      <c r="I1418" s="172"/>
      <c r="J1418" s="161"/>
      <c r="K1418" s="162"/>
      <c r="L1418" s="163"/>
      <c r="N1418" s="169"/>
      <c r="O1418" s="172"/>
      <c r="P1418" s="161"/>
      <c r="Q1418" s="162"/>
      <c r="R1418" s="163"/>
      <c r="T1418" s="169"/>
      <c r="U1418" s="172"/>
      <c r="V1418" s="161"/>
      <c r="W1418" s="162"/>
      <c r="X1418" s="163"/>
    </row>
    <row r="1419" spans="2:63" ht="14.4" thickBot="1" x14ac:dyDescent="0.3">
      <c r="B1419" s="169"/>
      <c r="C1419" s="172"/>
      <c r="D1419" s="161"/>
      <c r="E1419" s="162"/>
      <c r="F1419" s="163"/>
      <c r="H1419" s="169"/>
      <c r="I1419" s="172"/>
      <c r="J1419" s="161"/>
      <c r="K1419" s="162"/>
      <c r="L1419" s="163"/>
      <c r="N1419" s="169"/>
      <c r="O1419" s="172"/>
      <c r="P1419" s="161"/>
      <c r="Q1419" s="162"/>
      <c r="R1419" s="163"/>
      <c r="T1419" s="169"/>
      <c r="U1419" s="172"/>
      <c r="V1419" s="161"/>
      <c r="W1419" s="162"/>
      <c r="X1419" s="163"/>
    </row>
    <row r="1420" spans="2:63" ht="15" thickBot="1" x14ac:dyDescent="0.3">
      <c r="B1420" s="169"/>
      <c r="C1420" s="172"/>
      <c r="D1420" s="161" t="s">
        <v>471</v>
      </c>
      <c r="E1420" s="162">
        <f>SUM(E1416:E1419)</f>
        <v>0</v>
      </c>
      <c r="F1420" s="163">
        <f>SUM(F1416:F1419)</f>
        <v>0</v>
      </c>
      <c r="H1420" s="169"/>
      <c r="I1420" s="172"/>
      <c r="J1420" s="161" t="s">
        <v>471</v>
      </c>
      <c r="K1420" s="162">
        <f>SUM(K1416:K1419)</f>
        <v>0</v>
      </c>
      <c r="L1420" s="163">
        <f>SUM(L1416:L1419)</f>
        <v>0</v>
      </c>
      <c r="N1420" s="169"/>
      <c r="O1420" s="172"/>
      <c r="P1420" s="161" t="s">
        <v>471</v>
      </c>
      <c r="Q1420" s="162">
        <f>SUM(Q1416:Q1419)</f>
        <v>0</v>
      </c>
      <c r="R1420" s="163">
        <f>SUM(R1416:R1419)</f>
        <v>0</v>
      </c>
      <c r="T1420" s="169"/>
      <c r="U1420" s="172"/>
      <c r="V1420" s="161" t="s">
        <v>471</v>
      </c>
      <c r="W1420" s="162">
        <f>SUM(W1416:W1419)</f>
        <v>0</v>
      </c>
      <c r="X1420" s="163">
        <f>SUM(X1416:X1419)</f>
        <v>0</v>
      </c>
      <c r="BJ1420" s="157">
        <f>SUM(E1420,K1420,Q1420,W1420,AC1420,AI1420,AO1420,AU1420,BA1420,BG1420)</f>
        <v>0</v>
      </c>
      <c r="BK1420" s="158">
        <f>SUM(F1420,L1420,R1420,X1420,AD1420,AJ1420,AP1420,AV1420,BB1420,BH1420)</f>
        <v>0</v>
      </c>
    </row>
    <row r="1421" spans="2:63" ht="14.4" thickBot="1" x14ac:dyDescent="0.3">
      <c r="B1421" s="170"/>
      <c r="C1421" s="173"/>
      <c r="D1421" s="164" t="str">
        <f>IF(E1420=F1420,"",IF(E1420&gt;F1420,"Saldo Deudor","Saldo Acreedor"))</f>
        <v/>
      </c>
      <c r="E1421" s="165" t="str">
        <f>IF(E1420&gt;F1420,E1420-F1420,"")</f>
        <v/>
      </c>
      <c r="F1421" s="176" t="str">
        <f>IF(E1420&lt;F1420,F1420-E1420,"")</f>
        <v/>
      </c>
      <c r="H1421" s="170"/>
      <c r="I1421" s="173"/>
      <c r="J1421" s="164" t="str">
        <f>IF(K1420=L1420,"",IF(K1420&gt;L1420,"Saldo Deudor","Saldo Acreedor"))</f>
        <v/>
      </c>
      <c r="K1421" s="165" t="str">
        <f>IF(K1420&gt;L1420,K1420-L1420,"")</f>
        <v/>
      </c>
      <c r="L1421" s="176" t="str">
        <f>IF(K1420&lt;L1420,L1420-K1420,"")</f>
        <v/>
      </c>
      <c r="N1421" s="170"/>
      <c r="O1421" s="173"/>
      <c r="P1421" s="164" t="str">
        <f>IF(Q1420=R1420,"",IF(Q1420&gt;R1420,"Saldo Deudor","Saldo Acreedor"))</f>
        <v/>
      </c>
      <c r="Q1421" s="165" t="str">
        <f>IF(Q1420&gt;R1420,Q1420-R1420,"")</f>
        <v/>
      </c>
      <c r="R1421" s="176" t="str">
        <f>IF(Q1420&lt;R1420,R1420-Q1420,"")</f>
        <v/>
      </c>
      <c r="T1421" s="170"/>
      <c r="U1421" s="173"/>
      <c r="V1421" s="164" t="str">
        <f>IF(W1420=X1420,"",IF(W1420&gt;X1420,"Saldo Deudor","Saldo Acreedor"))</f>
        <v/>
      </c>
      <c r="W1421" s="165" t="str">
        <f>IF(W1420&gt;X1420,W1420-X1420,"")</f>
        <v/>
      </c>
      <c r="X1421" s="176" t="str">
        <f>IF(W1420&lt;X1420,X1420-W1420,"")</f>
        <v/>
      </c>
    </row>
    <row r="1424" spans="2:63" ht="15.6" x14ac:dyDescent="0.25">
      <c r="B1424" s="324" t="s">
        <v>472</v>
      </c>
      <c r="C1424" s="324"/>
      <c r="D1424" s="175">
        <v>6721</v>
      </c>
      <c r="E1424" s="160"/>
    </row>
    <row r="1425" spans="2:63" x14ac:dyDescent="0.25">
      <c r="B1425" s="160"/>
      <c r="C1425" s="160"/>
      <c r="D1425" s="160"/>
      <c r="E1425" s="160"/>
    </row>
    <row r="1426" spans="2:63" ht="15.6" x14ac:dyDescent="0.25">
      <c r="B1426" s="324" t="s">
        <v>473</v>
      </c>
      <c r="C1426" s="324"/>
      <c r="D1426" s="234" t="str">
        <f>VLOOKUP(D1424,DivisionariasContables,3,FALSE)</f>
        <v>Pérdida por Instrumentos Financieros Derivados</v>
      </c>
      <c r="E1426" s="160"/>
    </row>
    <row r="1427" spans="2:63" ht="14.4" thickBot="1" x14ac:dyDescent="0.3"/>
    <row r="1428" spans="2:63" x14ac:dyDescent="0.25">
      <c r="B1428" s="325" t="s">
        <v>466</v>
      </c>
      <c r="C1428" s="327" t="s">
        <v>467</v>
      </c>
      <c r="D1428" s="327" t="s">
        <v>468</v>
      </c>
      <c r="E1428" s="329" t="s">
        <v>469</v>
      </c>
      <c r="F1428" s="330"/>
    </row>
    <row r="1429" spans="2:63" ht="14.4" thickBot="1" x14ac:dyDescent="0.3">
      <c r="B1429" s="326"/>
      <c r="C1429" s="328"/>
      <c r="D1429" s="328"/>
      <c r="E1429" s="232" t="s">
        <v>403</v>
      </c>
      <c r="F1429" s="174" t="s">
        <v>402</v>
      </c>
    </row>
    <row r="1430" spans="2:63" ht="14.4" thickTop="1" x14ac:dyDescent="0.25">
      <c r="B1430" s="236">
        <v>41670</v>
      </c>
      <c r="C1430" s="171"/>
      <c r="D1430" s="166" t="s">
        <v>470</v>
      </c>
      <c r="E1430" s="167">
        <f>SUMIF('Libro Diario Convencional'!$D$15:$D$167,D1424,'Libro Diario Convencional'!$G$15:$G$167)</f>
        <v>0</v>
      </c>
      <c r="F1430" s="168">
        <f>SUMIF('Libro Diario Convencional'!$D$15:$D$167,D1424,'Libro Diario Convencional'!$H$15:$H$167)</f>
        <v>0</v>
      </c>
    </row>
    <row r="1431" spans="2:63" x14ac:dyDescent="0.25">
      <c r="B1431" s="169">
        <v>41670</v>
      </c>
      <c r="C1431" s="172"/>
      <c r="D1431" s="161" t="s">
        <v>474</v>
      </c>
      <c r="E1431" s="162">
        <f>SUMIF('Asientos de Cierre'!$D$6:$D$549,D1424,'Asientos de Cierre'!$G$6:$G$549)</f>
        <v>0</v>
      </c>
      <c r="F1431" s="163">
        <f>SUMIF('Asientos de Cierre'!$D$6:$D$549,D1424,'Asientos de Cierre'!$H$6:$H$549)</f>
        <v>0</v>
      </c>
    </row>
    <row r="1432" spans="2:63" x14ac:dyDescent="0.25">
      <c r="B1432" s="169"/>
      <c r="C1432" s="172"/>
      <c r="D1432" s="161"/>
      <c r="E1432" s="162"/>
      <c r="F1432" s="163"/>
    </row>
    <row r="1433" spans="2:63" ht="14.4" thickBot="1" x14ac:dyDescent="0.3">
      <c r="B1433" s="169"/>
      <c r="C1433" s="172"/>
      <c r="D1433" s="161"/>
      <c r="E1433" s="162"/>
      <c r="F1433" s="163"/>
    </row>
    <row r="1434" spans="2:63" ht="15" thickBot="1" x14ac:dyDescent="0.3">
      <c r="B1434" s="169"/>
      <c r="C1434" s="172"/>
      <c r="D1434" s="161" t="s">
        <v>471</v>
      </c>
      <c r="E1434" s="162">
        <f>SUM(E1430:E1433)</f>
        <v>0</v>
      </c>
      <c r="F1434" s="163">
        <f>SUM(F1430:F1433)</f>
        <v>0</v>
      </c>
      <c r="BJ1434" s="157">
        <f>SUM(E1434,K1434,Q1434,W1434,AC1434,AI1434,AO1434,AU1434,BA1434,BG1434)</f>
        <v>0</v>
      </c>
      <c r="BK1434" s="158">
        <f>SUM(F1434,L1434,R1434,X1434,AD1434,AJ1434,AP1434,AV1434,BB1434,BH1434)</f>
        <v>0</v>
      </c>
    </row>
    <row r="1435" spans="2:63" ht="14.4" thickBot="1" x14ac:dyDescent="0.3">
      <c r="B1435" s="170"/>
      <c r="C1435" s="173"/>
      <c r="D1435" s="164" t="str">
        <f>IF(E1434=F1434,"",IF(E1434&gt;F1434,"Saldo Deudor","Saldo Acreedor"))</f>
        <v/>
      </c>
      <c r="E1435" s="165" t="str">
        <f>IF(E1434&gt;F1434,E1434-F1434,"")</f>
        <v/>
      </c>
      <c r="F1435" s="176" t="str">
        <f>IF(E1434&lt;F1434,F1434-E1434,"")</f>
        <v/>
      </c>
    </row>
    <row r="1438" spans="2:63" ht="15.6" x14ac:dyDescent="0.25">
      <c r="B1438" s="324" t="s">
        <v>472</v>
      </c>
      <c r="C1438" s="324"/>
      <c r="D1438" s="175">
        <v>6731</v>
      </c>
      <c r="E1438" s="160"/>
      <c r="H1438" s="324" t="s">
        <v>472</v>
      </c>
      <c r="I1438" s="324"/>
      <c r="J1438" s="175">
        <v>6732</v>
      </c>
      <c r="K1438" s="160"/>
      <c r="N1438" s="324" t="s">
        <v>472</v>
      </c>
      <c r="O1438" s="324"/>
      <c r="P1438" s="175">
        <v>6733</v>
      </c>
      <c r="Q1438" s="160"/>
      <c r="T1438" s="324" t="s">
        <v>472</v>
      </c>
      <c r="U1438" s="324"/>
      <c r="V1438" s="175">
        <v>6734</v>
      </c>
      <c r="W1438" s="160"/>
      <c r="Z1438" s="324" t="s">
        <v>472</v>
      </c>
      <c r="AA1438" s="324"/>
      <c r="AB1438" s="175">
        <v>6735</v>
      </c>
      <c r="AC1438" s="160"/>
      <c r="AF1438" s="324" t="s">
        <v>472</v>
      </c>
      <c r="AG1438" s="324"/>
      <c r="AH1438" s="175">
        <v>6736</v>
      </c>
      <c r="AI1438" s="160"/>
      <c r="AL1438" s="324" t="s">
        <v>472</v>
      </c>
      <c r="AM1438" s="324"/>
      <c r="AN1438" s="175">
        <v>6737</v>
      </c>
      <c r="AO1438" s="160"/>
    </row>
    <row r="1439" spans="2:63" x14ac:dyDescent="0.25">
      <c r="B1439" s="160"/>
      <c r="C1439" s="160"/>
      <c r="D1439" s="160"/>
      <c r="E1439" s="160"/>
      <c r="H1439" s="160"/>
      <c r="I1439" s="160"/>
      <c r="J1439" s="160"/>
      <c r="K1439" s="160"/>
      <c r="N1439" s="160"/>
      <c r="O1439" s="160"/>
      <c r="P1439" s="160"/>
      <c r="Q1439" s="160"/>
      <c r="T1439" s="160"/>
      <c r="U1439" s="160"/>
      <c r="V1439" s="160"/>
      <c r="W1439" s="160"/>
      <c r="Z1439" s="160"/>
      <c r="AA1439" s="160"/>
      <c r="AB1439" s="160"/>
      <c r="AC1439" s="160"/>
      <c r="AF1439" s="160"/>
      <c r="AG1439" s="160"/>
      <c r="AH1439" s="160"/>
      <c r="AI1439" s="160"/>
      <c r="AL1439" s="160"/>
      <c r="AM1439" s="160"/>
      <c r="AN1439" s="160"/>
      <c r="AO1439" s="160"/>
    </row>
    <row r="1440" spans="2:63" ht="15.6" x14ac:dyDescent="0.25">
      <c r="B1440" s="324" t="s">
        <v>473</v>
      </c>
      <c r="C1440" s="324"/>
      <c r="D1440" s="234" t="str">
        <f>VLOOKUP(D1438,DivisionariasContables,3,FALSE)</f>
        <v>Préstamos de Instituciones Financieras y Otras Entidades</v>
      </c>
      <c r="E1440" s="160"/>
      <c r="H1440" s="324" t="s">
        <v>473</v>
      </c>
      <c r="I1440" s="324"/>
      <c r="J1440" s="234" t="str">
        <f>VLOOKUP(J1438,DivisionariasContables,3,FALSE)</f>
        <v>Contratos de Arrendamiento Financiero</v>
      </c>
      <c r="K1440" s="160"/>
      <c r="N1440" s="324" t="s">
        <v>473</v>
      </c>
      <c r="O1440" s="324"/>
      <c r="P1440" s="234" t="str">
        <f>VLOOKUP(P1438,DivisionariasContables,3,FALSE)</f>
        <v>Otros Instrumentos Financieros por Pagar</v>
      </c>
      <c r="Q1440" s="160"/>
      <c r="T1440" s="324" t="s">
        <v>473</v>
      </c>
      <c r="U1440" s="324"/>
      <c r="V1440" s="234" t="str">
        <f>VLOOKUP(V1438,DivisionariasContables,3,FALSE)</f>
        <v>Documentos Vendidos o Descontados</v>
      </c>
      <c r="W1440" s="160"/>
      <c r="Z1440" s="324" t="s">
        <v>473</v>
      </c>
      <c r="AA1440" s="324"/>
      <c r="AB1440" s="234" t="str">
        <f>VLOOKUP(AB1438,DivisionariasContables,3,FALSE)</f>
        <v>Obligaciones Emitidas</v>
      </c>
      <c r="AC1440" s="160"/>
      <c r="AF1440" s="324" t="s">
        <v>473</v>
      </c>
      <c r="AG1440" s="324"/>
      <c r="AH1440" s="234" t="str">
        <f>VLOOKUP(AH1438,DivisionariasContables,3,FALSE)</f>
        <v>Obligaciones Comerciales</v>
      </c>
      <c r="AI1440" s="160"/>
      <c r="AL1440" s="324" t="s">
        <v>473</v>
      </c>
      <c r="AM1440" s="324"/>
      <c r="AN1440" s="234" t="str">
        <f>VLOOKUP(AN1438,DivisionariasContables,3,FALSE)</f>
        <v>Obligaciones Tributarias</v>
      </c>
      <c r="AO1440" s="160"/>
    </row>
    <row r="1441" spans="2:63" ht="14.4" thickBot="1" x14ac:dyDescent="0.3"/>
    <row r="1442" spans="2:63" x14ac:dyDescent="0.25">
      <c r="B1442" s="325" t="s">
        <v>466</v>
      </c>
      <c r="C1442" s="327" t="s">
        <v>467</v>
      </c>
      <c r="D1442" s="327" t="s">
        <v>468</v>
      </c>
      <c r="E1442" s="329" t="s">
        <v>469</v>
      </c>
      <c r="F1442" s="330"/>
      <c r="H1442" s="325" t="s">
        <v>466</v>
      </c>
      <c r="I1442" s="327" t="s">
        <v>467</v>
      </c>
      <c r="J1442" s="327" t="s">
        <v>468</v>
      </c>
      <c r="K1442" s="329" t="s">
        <v>469</v>
      </c>
      <c r="L1442" s="330"/>
      <c r="N1442" s="325" t="s">
        <v>466</v>
      </c>
      <c r="O1442" s="327" t="s">
        <v>467</v>
      </c>
      <c r="P1442" s="327" t="s">
        <v>468</v>
      </c>
      <c r="Q1442" s="329" t="s">
        <v>469</v>
      </c>
      <c r="R1442" s="330"/>
      <c r="T1442" s="325" t="s">
        <v>466</v>
      </c>
      <c r="U1442" s="327" t="s">
        <v>467</v>
      </c>
      <c r="V1442" s="327" t="s">
        <v>468</v>
      </c>
      <c r="W1442" s="329" t="s">
        <v>469</v>
      </c>
      <c r="X1442" s="330"/>
      <c r="Z1442" s="325" t="s">
        <v>466</v>
      </c>
      <c r="AA1442" s="327" t="s">
        <v>467</v>
      </c>
      <c r="AB1442" s="327" t="s">
        <v>468</v>
      </c>
      <c r="AC1442" s="329" t="s">
        <v>469</v>
      </c>
      <c r="AD1442" s="330"/>
      <c r="AF1442" s="325" t="s">
        <v>466</v>
      </c>
      <c r="AG1442" s="327" t="s">
        <v>467</v>
      </c>
      <c r="AH1442" s="327" t="s">
        <v>468</v>
      </c>
      <c r="AI1442" s="329" t="s">
        <v>469</v>
      </c>
      <c r="AJ1442" s="330"/>
      <c r="AL1442" s="325" t="s">
        <v>466</v>
      </c>
      <c r="AM1442" s="327" t="s">
        <v>467</v>
      </c>
      <c r="AN1442" s="327" t="s">
        <v>468</v>
      </c>
      <c r="AO1442" s="329" t="s">
        <v>469</v>
      </c>
      <c r="AP1442" s="330"/>
    </row>
    <row r="1443" spans="2:63" ht="14.4" thickBot="1" x14ac:dyDescent="0.3">
      <c r="B1443" s="326"/>
      <c r="C1443" s="328"/>
      <c r="D1443" s="328"/>
      <c r="E1443" s="232" t="s">
        <v>403</v>
      </c>
      <c r="F1443" s="174" t="s">
        <v>402</v>
      </c>
      <c r="H1443" s="326"/>
      <c r="I1443" s="328"/>
      <c r="J1443" s="328"/>
      <c r="K1443" s="232" t="s">
        <v>403</v>
      </c>
      <c r="L1443" s="174" t="s">
        <v>402</v>
      </c>
      <c r="N1443" s="326"/>
      <c r="O1443" s="328"/>
      <c r="P1443" s="328"/>
      <c r="Q1443" s="232" t="s">
        <v>403</v>
      </c>
      <c r="R1443" s="174" t="s">
        <v>402</v>
      </c>
      <c r="T1443" s="326"/>
      <c r="U1443" s="328"/>
      <c r="V1443" s="328"/>
      <c r="W1443" s="232" t="s">
        <v>403</v>
      </c>
      <c r="X1443" s="174" t="s">
        <v>402</v>
      </c>
      <c r="Z1443" s="326"/>
      <c r="AA1443" s="328"/>
      <c r="AB1443" s="328"/>
      <c r="AC1443" s="232" t="s">
        <v>403</v>
      </c>
      <c r="AD1443" s="174" t="s">
        <v>402</v>
      </c>
      <c r="AF1443" s="326"/>
      <c r="AG1443" s="328"/>
      <c r="AH1443" s="328"/>
      <c r="AI1443" s="232" t="s">
        <v>403</v>
      </c>
      <c r="AJ1443" s="174" t="s">
        <v>402</v>
      </c>
      <c r="AL1443" s="326"/>
      <c r="AM1443" s="328"/>
      <c r="AN1443" s="328"/>
      <c r="AO1443" s="232" t="s">
        <v>403</v>
      </c>
      <c r="AP1443" s="174" t="s">
        <v>402</v>
      </c>
    </row>
    <row r="1444" spans="2:63" ht="14.4" thickTop="1" x14ac:dyDescent="0.25">
      <c r="B1444" s="236">
        <v>41670</v>
      </c>
      <c r="C1444" s="171"/>
      <c r="D1444" s="166" t="s">
        <v>470</v>
      </c>
      <c r="E1444" s="167">
        <f>SUMIF('Libro Diario Convencional'!$D$15:$D$167,D1438,'Libro Diario Convencional'!$G$15:$G$167)</f>
        <v>0</v>
      </c>
      <c r="F1444" s="168">
        <f>SUMIF('Libro Diario Convencional'!$D$15:$D$167,D1438,'Libro Diario Convencional'!$H$15:$H$167)</f>
        <v>0</v>
      </c>
      <c r="H1444" s="236">
        <v>41670</v>
      </c>
      <c r="I1444" s="171"/>
      <c r="J1444" s="166" t="s">
        <v>470</v>
      </c>
      <c r="K1444" s="167">
        <f>SUMIF('Libro Diario Convencional'!$D$15:$D$167,J1438,'Libro Diario Convencional'!$G$15:$G$167)</f>
        <v>0</v>
      </c>
      <c r="L1444" s="168">
        <f>SUMIF('Libro Diario Convencional'!$D$15:$D$167,J1438,'Libro Diario Convencional'!$H$15:$H$167)</f>
        <v>0</v>
      </c>
      <c r="N1444" s="236">
        <v>41670</v>
      </c>
      <c r="O1444" s="171"/>
      <c r="P1444" s="166" t="s">
        <v>470</v>
      </c>
      <c r="Q1444" s="167">
        <f>SUMIF('Libro Diario Convencional'!$D$15:$D$167,P1438,'Libro Diario Convencional'!$G$15:$G$167)</f>
        <v>0</v>
      </c>
      <c r="R1444" s="168">
        <f>SUMIF('Libro Diario Convencional'!$D$15:$D$167,P1438,'Libro Diario Convencional'!$H$15:$H$167)</f>
        <v>0</v>
      </c>
      <c r="T1444" s="236">
        <v>41670</v>
      </c>
      <c r="U1444" s="171"/>
      <c r="V1444" s="166" t="s">
        <v>470</v>
      </c>
      <c r="W1444" s="167">
        <f>SUMIF('Libro Diario Convencional'!$D$15:$D$167,V1438,'Libro Diario Convencional'!$G$15:$G$167)</f>
        <v>0</v>
      </c>
      <c r="X1444" s="168">
        <f>SUMIF('Libro Diario Convencional'!$D$15:$D$167,V1438,'Libro Diario Convencional'!$H$15:$H$167)</f>
        <v>0</v>
      </c>
      <c r="Z1444" s="236">
        <v>41670</v>
      </c>
      <c r="AA1444" s="171"/>
      <c r="AB1444" s="166" t="s">
        <v>470</v>
      </c>
      <c r="AC1444" s="167">
        <f>SUMIF('Libro Diario Convencional'!$D$15:$D$167,AB1438,'Libro Diario Convencional'!$G$15:$G$167)</f>
        <v>0</v>
      </c>
      <c r="AD1444" s="168">
        <f>SUMIF('Libro Diario Convencional'!$D$15:$D$167,AB1438,'Libro Diario Convencional'!$H$15:$H$167)</f>
        <v>0</v>
      </c>
      <c r="AF1444" s="236">
        <v>41670</v>
      </c>
      <c r="AG1444" s="171"/>
      <c r="AH1444" s="166" t="s">
        <v>470</v>
      </c>
      <c r="AI1444" s="167">
        <f>SUMIF('Libro Diario Convencional'!$D$15:$D$167,AH1438,'Libro Diario Convencional'!$G$15:$G$167)</f>
        <v>0</v>
      </c>
      <c r="AJ1444" s="168">
        <f>SUMIF('Libro Diario Convencional'!$D$15:$D$167,AH1438,'Libro Diario Convencional'!$H$15:$H$167)</f>
        <v>0</v>
      </c>
      <c r="AL1444" s="236">
        <v>41670</v>
      </c>
      <c r="AM1444" s="171"/>
      <c r="AN1444" s="166" t="s">
        <v>470</v>
      </c>
      <c r="AO1444" s="167">
        <f>SUMIF('Libro Diario Convencional'!$D$15:$D$167,AN1438,'Libro Diario Convencional'!$G$15:$G$167)</f>
        <v>0</v>
      </c>
      <c r="AP1444" s="168">
        <f>SUMIF('Libro Diario Convencional'!$D$15:$D$167,AN1438,'Libro Diario Convencional'!$H$15:$H$167)</f>
        <v>0</v>
      </c>
    </row>
    <row r="1445" spans="2:63" x14ac:dyDescent="0.25">
      <c r="B1445" s="169">
        <v>41670</v>
      </c>
      <c r="C1445" s="172"/>
      <c r="D1445" s="161" t="s">
        <v>474</v>
      </c>
      <c r="E1445" s="162">
        <f>SUMIF('Asientos de Cierre'!$D$6:$D$549,D1438,'Asientos de Cierre'!$G$6:$G$549)</f>
        <v>0</v>
      </c>
      <c r="F1445" s="163">
        <f>SUMIF('Asientos de Cierre'!$D$6:$D$549,D1438,'Asientos de Cierre'!$H$6:$H$549)</f>
        <v>0</v>
      </c>
      <c r="H1445" s="169">
        <v>41670</v>
      </c>
      <c r="I1445" s="172"/>
      <c r="J1445" s="161" t="s">
        <v>474</v>
      </c>
      <c r="K1445" s="162">
        <f>SUMIF('Asientos de Cierre'!$D$6:$D$549,J1438,'Asientos de Cierre'!$G$6:$G$549)</f>
        <v>0</v>
      </c>
      <c r="L1445" s="163">
        <f>SUMIF('Asientos de Cierre'!$D$6:$D$549,J1438,'Asientos de Cierre'!$H$6:$H$549)</f>
        <v>0</v>
      </c>
      <c r="N1445" s="169">
        <v>41670</v>
      </c>
      <c r="O1445" s="172"/>
      <c r="P1445" s="161" t="s">
        <v>474</v>
      </c>
      <c r="Q1445" s="162">
        <f>SUMIF('Asientos de Cierre'!$D$6:$D$549,P1438,'Asientos de Cierre'!$G$6:$G$549)</f>
        <v>0</v>
      </c>
      <c r="R1445" s="163">
        <f>SUMIF('Asientos de Cierre'!$D$6:$D$549,P1438,'Asientos de Cierre'!$H$6:$H$549)</f>
        <v>0</v>
      </c>
      <c r="T1445" s="169">
        <v>41670</v>
      </c>
      <c r="U1445" s="172"/>
      <c r="V1445" s="161" t="s">
        <v>474</v>
      </c>
      <c r="W1445" s="162">
        <f>SUMIF('Asientos de Cierre'!$D$6:$D$549,V1438,'Asientos de Cierre'!$G$6:$G$549)</f>
        <v>0</v>
      </c>
      <c r="X1445" s="163">
        <f>SUMIF('Asientos de Cierre'!$D$6:$D$549,V1438,'Asientos de Cierre'!$H$6:$H$549)</f>
        <v>0</v>
      </c>
      <c r="Z1445" s="169">
        <v>41670</v>
      </c>
      <c r="AA1445" s="172"/>
      <c r="AB1445" s="161" t="s">
        <v>474</v>
      </c>
      <c r="AC1445" s="162">
        <f>SUMIF('Asientos de Cierre'!$D$6:$D$549,AB1438,'Asientos de Cierre'!$G$6:$G$549)</f>
        <v>0</v>
      </c>
      <c r="AD1445" s="163">
        <f>SUMIF('Asientos de Cierre'!$D$6:$D$549,AB1438,'Asientos de Cierre'!$H$6:$H$549)</f>
        <v>0</v>
      </c>
      <c r="AF1445" s="169">
        <v>41670</v>
      </c>
      <c r="AG1445" s="172"/>
      <c r="AH1445" s="161" t="s">
        <v>474</v>
      </c>
      <c r="AI1445" s="162">
        <f>SUMIF('Asientos de Cierre'!$D$6:$D$549,AH1438,'Asientos de Cierre'!$G$6:$G$549)</f>
        <v>0</v>
      </c>
      <c r="AJ1445" s="163">
        <f>SUMIF('Asientos de Cierre'!$D$6:$D$549,AH1438,'Asientos de Cierre'!$H$6:$H$549)</f>
        <v>0</v>
      </c>
      <c r="AL1445" s="169">
        <v>41670</v>
      </c>
      <c r="AM1445" s="172"/>
      <c r="AN1445" s="161" t="s">
        <v>474</v>
      </c>
      <c r="AO1445" s="162">
        <f>SUMIF('Asientos de Cierre'!$D$6:$D$549,AN1438,'Asientos de Cierre'!$G$6:$G$549)</f>
        <v>0</v>
      </c>
      <c r="AP1445" s="163">
        <f>SUMIF('Asientos de Cierre'!$D$6:$D$549,AN1438,'Asientos de Cierre'!$H$6:$H$549)</f>
        <v>0</v>
      </c>
    </row>
    <row r="1446" spans="2:63" x14ac:dyDescent="0.25">
      <c r="B1446" s="169"/>
      <c r="C1446" s="172"/>
      <c r="D1446" s="161"/>
      <c r="E1446" s="162"/>
      <c r="F1446" s="163"/>
      <c r="H1446" s="169"/>
      <c r="I1446" s="172"/>
      <c r="J1446" s="161"/>
      <c r="K1446" s="162"/>
      <c r="L1446" s="163"/>
      <c r="N1446" s="169"/>
      <c r="O1446" s="172"/>
      <c r="P1446" s="161"/>
      <c r="Q1446" s="162"/>
      <c r="R1446" s="163"/>
      <c r="T1446" s="169"/>
      <c r="U1446" s="172"/>
      <c r="V1446" s="161"/>
      <c r="W1446" s="162"/>
      <c r="X1446" s="163"/>
      <c r="Z1446" s="169"/>
      <c r="AA1446" s="172"/>
      <c r="AB1446" s="161"/>
      <c r="AC1446" s="162"/>
      <c r="AD1446" s="163"/>
      <c r="AF1446" s="169"/>
      <c r="AG1446" s="172"/>
      <c r="AH1446" s="161"/>
      <c r="AI1446" s="162"/>
      <c r="AJ1446" s="163"/>
      <c r="AL1446" s="169"/>
      <c r="AM1446" s="172"/>
      <c r="AN1446" s="161"/>
      <c r="AO1446" s="162"/>
      <c r="AP1446" s="163"/>
    </row>
    <row r="1447" spans="2:63" ht="14.4" thickBot="1" x14ac:dyDescent="0.3">
      <c r="B1447" s="169"/>
      <c r="C1447" s="172"/>
      <c r="D1447" s="161"/>
      <c r="E1447" s="162"/>
      <c r="F1447" s="163"/>
      <c r="H1447" s="169"/>
      <c r="I1447" s="172"/>
      <c r="J1447" s="161"/>
      <c r="K1447" s="162"/>
      <c r="L1447" s="163"/>
      <c r="N1447" s="169"/>
      <c r="O1447" s="172"/>
      <c r="P1447" s="161"/>
      <c r="Q1447" s="162"/>
      <c r="R1447" s="163"/>
      <c r="T1447" s="169"/>
      <c r="U1447" s="172"/>
      <c r="V1447" s="161"/>
      <c r="W1447" s="162"/>
      <c r="X1447" s="163"/>
      <c r="Z1447" s="169"/>
      <c r="AA1447" s="172"/>
      <c r="AB1447" s="161"/>
      <c r="AC1447" s="162"/>
      <c r="AD1447" s="163"/>
      <c r="AF1447" s="169"/>
      <c r="AG1447" s="172"/>
      <c r="AH1447" s="161"/>
      <c r="AI1447" s="162"/>
      <c r="AJ1447" s="163"/>
      <c r="AL1447" s="169"/>
      <c r="AM1447" s="172"/>
      <c r="AN1447" s="161"/>
      <c r="AO1447" s="162"/>
      <c r="AP1447" s="163"/>
    </row>
    <row r="1448" spans="2:63" ht="15" thickBot="1" x14ac:dyDescent="0.3">
      <c r="B1448" s="169"/>
      <c r="C1448" s="172"/>
      <c r="D1448" s="161" t="s">
        <v>471</v>
      </c>
      <c r="E1448" s="162">
        <f>SUM(E1444:E1447)</f>
        <v>0</v>
      </c>
      <c r="F1448" s="163">
        <f>SUM(F1444:F1447)</f>
        <v>0</v>
      </c>
      <c r="H1448" s="169"/>
      <c r="I1448" s="172"/>
      <c r="J1448" s="161" t="s">
        <v>471</v>
      </c>
      <c r="K1448" s="162">
        <f>SUM(K1444:K1447)</f>
        <v>0</v>
      </c>
      <c r="L1448" s="163">
        <f>SUM(L1444:L1447)</f>
        <v>0</v>
      </c>
      <c r="N1448" s="169"/>
      <c r="O1448" s="172"/>
      <c r="P1448" s="161" t="s">
        <v>471</v>
      </c>
      <c r="Q1448" s="162">
        <f>SUM(Q1444:Q1447)</f>
        <v>0</v>
      </c>
      <c r="R1448" s="163">
        <f>SUM(R1444:R1447)</f>
        <v>0</v>
      </c>
      <c r="T1448" s="169"/>
      <c r="U1448" s="172"/>
      <c r="V1448" s="161" t="s">
        <v>471</v>
      </c>
      <c r="W1448" s="162">
        <f>SUM(W1444:W1447)</f>
        <v>0</v>
      </c>
      <c r="X1448" s="163">
        <f>SUM(X1444:X1447)</f>
        <v>0</v>
      </c>
      <c r="Z1448" s="169"/>
      <c r="AA1448" s="172"/>
      <c r="AB1448" s="161" t="s">
        <v>471</v>
      </c>
      <c r="AC1448" s="162">
        <f>SUM(AC1444:AC1447)</f>
        <v>0</v>
      </c>
      <c r="AD1448" s="163">
        <f>SUM(AD1444:AD1447)</f>
        <v>0</v>
      </c>
      <c r="AF1448" s="169"/>
      <c r="AG1448" s="172"/>
      <c r="AH1448" s="161" t="s">
        <v>471</v>
      </c>
      <c r="AI1448" s="162">
        <f>SUM(AI1444:AI1447)</f>
        <v>0</v>
      </c>
      <c r="AJ1448" s="163">
        <f>SUM(AJ1444:AJ1447)</f>
        <v>0</v>
      </c>
      <c r="AL1448" s="169"/>
      <c r="AM1448" s="172"/>
      <c r="AN1448" s="161" t="s">
        <v>471</v>
      </c>
      <c r="AO1448" s="162">
        <f>SUM(AO1444:AO1447)</f>
        <v>0</v>
      </c>
      <c r="AP1448" s="163">
        <f>SUM(AP1444:AP1447)</f>
        <v>0</v>
      </c>
      <c r="BJ1448" s="157">
        <f>SUM(E1448,K1448,Q1448,W1448,AC1448,AI1448,AO1448,AU1448,BA1448,BG1448)</f>
        <v>0</v>
      </c>
      <c r="BK1448" s="158">
        <f>SUM(F1448,L1448,R1448,X1448,AD1448,AJ1448,AP1448,AV1448,BB1448,BH1448)</f>
        <v>0</v>
      </c>
    </row>
    <row r="1449" spans="2:63" ht="14.4" thickBot="1" x14ac:dyDescent="0.3">
      <c r="B1449" s="170"/>
      <c r="C1449" s="173"/>
      <c r="D1449" s="164" t="str">
        <f>IF(E1448=F1448,"",IF(E1448&gt;F1448,"Saldo Deudor","Saldo Acreedor"))</f>
        <v/>
      </c>
      <c r="E1449" s="165" t="str">
        <f>IF(E1448&gt;F1448,E1448-F1448,"")</f>
        <v/>
      </c>
      <c r="F1449" s="176" t="str">
        <f>IF(E1448&lt;F1448,F1448-E1448,"")</f>
        <v/>
      </c>
      <c r="H1449" s="170"/>
      <c r="I1449" s="173"/>
      <c r="J1449" s="164" t="str">
        <f>IF(K1448=L1448,"",IF(K1448&gt;L1448,"Saldo Deudor","Saldo Acreedor"))</f>
        <v/>
      </c>
      <c r="K1449" s="165" t="str">
        <f>IF(K1448&gt;L1448,K1448-L1448,"")</f>
        <v/>
      </c>
      <c r="L1449" s="176" t="str">
        <f>IF(K1448&lt;L1448,L1448-K1448,"")</f>
        <v/>
      </c>
      <c r="N1449" s="170"/>
      <c r="O1449" s="173"/>
      <c r="P1449" s="164" t="str">
        <f>IF(Q1448=R1448,"",IF(Q1448&gt;R1448,"Saldo Deudor","Saldo Acreedor"))</f>
        <v/>
      </c>
      <c r="Q1449" s="165" t="str">
        <f>IF(Q1448&gt;R1448,Q1448-R1448,"")</f>
        <v/>
      </c>
      <c r="R1449" s="176" t="str">
        <f>IF(Q1448&lt;R1448,R1448-Q1448,"")</f>
        <v/>
      </c>
      <c r="T1449" s="170"/>
      <c r="U1449" s="173"/>
      <c r="V1449" s="164" t="str">
        <f>IF(W1448=X1448,"",IF(W1448&gt;X1448,"Saldo Deudor","Saldo Acreedor"))</f>
        <v/>
      </c>
      <c r="W1449" s="165" t="str">
        <f>IF(W1448&gt;X1448,W1448-X1448,"")</f>
        <v/>
      </c>
      <c r="X1449" s="176" t="str">
        <f>IF(W1448&lt;X1448,X1448-W1448,"")</f>
        <v/>
      </c>
      <c r="Z1449" s="170"/>
      <c r="AA1449" s="173"/>
      <c r="AB1449" s="164" t="str">
        <f>IF(AC1448=AD1448,"",IF(AC1448&gt;AD1448,"Saldo Deudor","Saldo Acreedor"))</f>
        <v/>
      </c>
      <c r="AC1449" s="165" t="str">
        <f>IF(AC1448&gt;AD1448,AC1448-AD1448,"")</f>
        <v/>
      </c>
      <c r="AD1449" s="176" t="str">
        <f>IF(AC1448&lt;AD1448,AD1448-AC1448,"")</f>
        <v/>
      </c>
      <c r="AF1449" s="170"/>
      <c r="AG1449" s="173"/>
      <c r="AH1449" s="164" t="str">
        <f>IF(AI1448=AJ1448,"",IF(AI1448&gt;AJ1448,"Saldo Deudor","Saldo Acreedor"))</f>
        <v/>
      </c>
      <c r="AI1449" s="165" t="str">
        <f>IF(AI1448&gt;AJ1448,AI1448-AJ1448,"")</f>
        <v/>
      </c>
      <c r="AJ1449" s="176" t="str">
        <f>IF(AI1448&lt;AJ1448,AJ1448-AI1448,"")</f>
        <v/>
      </c>
      <c r="AL1449" s="170"/>
      <c r="AM1449" s="173"/>
      <c r="AN1449" s="164" t="str">
        <f>IF(AO1448=AP1448,"",IF(AO1448&gt;AP1448,"Saldo Deudor","Saldo Acreedor"))</f>
        <v/>
      </c>
      <c r="AO1449" s="165" t="str">
        <f>IF(AO1448&gt;AP1448,AO1448-AP1448,"")</f>
        <v/>
      </c>
      <c r="AP1449" s="176" t="str">
        <f>IF(AO1448&lt;AP1448,AP1448-AO1448,"")</f>
        <v/>
      </c>
    </row>
    <row r="1452" spans="2:63" ht="15.6" x14ac:dyDescent="0.25">
      <c r="B1452" s="324" t="s">
        <v>472</v>
      </c>
      <c r="C1452" s="324"/>
      <c r="D1452" s="175">
        <v>6741</v>
      </c>
      <c r="E1452" s="160"/>
    </row>
    <row r="1453" spans="2:63" x14ac:dyDescent="0.25">
      <c r="B1453" s="160"/>
      <c r="C1453" s="160"/>
      <c r="D1453" s="160"/>
      <c r="E1453" s="160"/>
    </row>
    <row r="1454" spans="2:63" ht="15.6" x14ac:dyDescent="0.25">
      <c r="B1454" s="324" t="s">
        <v>473</v>
      </c>
      <c r="C1454" s="324"/>
      <c r="D1454" s="234" t="str">
        <f>VLOOKUP(D1452,DivisionariasContables,3,FALSE)</f>
        <v>Gastos por Menor Valor</v>
      </c>
      <c r="E1454" s="160"/>
    </row>
    <row r="1455" spans="2:63" ht="14.4" thickBot="1" x14ac:dyDescent="0.3"/>
    <row r="1456" spans="2:63" x14ac:dyDescent="0.25">
      <c r="B1456" s="325" t="s">
        <v>466</v>
      </c>
      <c r="C1456" s="327" t="s">
        <v>467</v>
      </c>
      <c r="D1456" s="327" t="s">
        <v>468</v>
      </c>
      <c r="E1456" s="329" t="s">
        <v>469</v>
      </c>
      <c r="F1456" s="330"/>
    </row>
    <row r="1457" spans="2:63" ht="14.4" thickBot="1" x14ac:dyDescent="0.3">
      <c r="B1457" s="326"/>
      <c r="C1457" s="328"/>
      <c r="D1457" s="328"/>
      <c r="E1457" s="232" t="s">
        <v>403</v>
      </c>
      <c r="F1457" s="174" t="s">
        <v>402</v>
      </c>
    </row>
    <row r="1458" spans="2:63" ht="14.4" thickTop="1" x14ac:dyDescent="0.25">
      <c r="B1458" s="236">
        <v>41670</v>
      </c>
      <c r="C1458" s="171"/>
      <c r="D1458" s="166" t="s">
        <v>470</v>
      </c>
      <c r="E1458" s="167">
        <f>SUMIF('Libro Diario Convencional'!$D$15:$D$167,D1452,'Libro Diario Convencional'!$G$15:$G$167)</f>
        <v>0</v>
      </c>
      <c r="F1458" s="168">
        <f>SUMIF('Libro Diario Convencional'!$D$15:$D$167,D1452,'Libro Diario Convencional'!$H$15:$H$167)</f>
        <v>0</v>
      </c>
    </row>
    <row r="1459" spans="2:63" x14ac:dyDescent="0.25">
      <c r="B1459" s="169">
        <v>41670</v>
      </c>
      <c r="C1459" s="172"/>
      <c r="D1459" s="161" t="s">
        <v>474</v>
      </c>
      <c r="E1459" s="162">
        <f>SUMIF('Asientos de Cierre'!$D$6:$D$549,D1452,'Asientos de Cierre'!$G$6:$G$549)</f>
        <v>0</v>
      </c>
      <c r="F1459" s="163">
        <f>SUMIF('Asientos de Cierre'!$D$6:$D$549,D1452,'Asientos de Cierre'!$H$6:$H$549)</f>
        <v>0</v>
      </c>
    </row>
    <row r="1460" spans="2:63" x14ac:dyDescent="0.25">
      <c r="B1460" s="169"/>
      <c r="C1460" s="172"/>
      <c r="D1460" s="161"/>
      <c r="E1460" s="162"/>
      <c r="F1460" s="163"/>
    </row>
    <row r="1461" spans="2:63" ht="14.4" thickBot="1" x14ac:dyDescent="0.3">
      <c r="B1461" s="169"/>
      <c r="C1461" s="172"/>
      <c r="D1461" s="161"/>
      <c r="E1461" s="162"/>
      <c r="F1461" s="163"/>
    </row>
    <row r="1462" spans="2:63" ht="15" thickBot="1" x14ac:dyDescent="0.3">
      <c r="B1462" s="169"/>
      <c r="C1462" s="172"/>
      <c r="D1462" s="161" t="s">
        <v>471</v>
      </c>
      <c r="E1462" s="162">
        <f>SUM(E1458:E1461)</f>
        <v>0</v>
      </c>
      <c r="F1462" s="163">
        <f>SUM(F1458:F1461)</f>
        <v>0</v>
      </c>
      <c r="BJ1462" s="157">
        <f>SUM(E1462,K1462,Q1462,W1462,AC1462,AI1462,AO1462,AU1462,BA1462,BG1462)</f>
        <v>0</v>
      </c>
      <c r="BK1462" s="158">
        <f>SUM(F1462,L1462,R1462,X1462,AD1462,AJ1462,AP1462,AV1462,BB1462,BH1462)</f>
        <v>0</v>
      </c>
    </row>
    <row r="1463" spans="2:63" ht="14.4" thickBot="1" x14ac:dyDescent="0.3">
      <c r="B1463" s="170"/>
      <c r="C1463" s="173"/>
      <c r="D1463" s="164" t="str">
        <f>IF(E1462=F1462,"",IF(E1462&gt;F1462,"Saldo Deudor","Saldo Acreedor"))</f>
        <v/>
      </c>
      <c r="E1463" s="165" t="str">
        <f>IF(E1462&gt;F1462,E1462-F1462,"")</f>
        <v/>
      </c>
      <c r="F1463" s="176" t="str">
        <f>IF(E1462&lt;F1462,F1462-E1462,"")</f>
        <v/>
      </c>
    </row>
    <row r="1466" spans="2:63" ht="15.6" x14ac:dyDescent="0.25">
      <c r="B1466" s="324" t="s">
        <v>472</v>
      </c>
      <c r="C1466" s="324"/>
      <c r="D1466" s="175">
        <v>6751</v>
      </c>
      <c r="E1466" s="160"/>
    </row>
    <row r="1467" spans="2:63" x14ac:dyDescent="0.25">
      <c r="B1467" s="160"/>
      <c r="C1467" s="160"/>
      <c r="D1467" s="160"/>
      <c r="E1467" s="160"/>
    </row>
    <row r="1468" spans="2:63" ht="15.6" x14ac:dyDescent="0.25">
      <c r="B1468" s="324" t="s">
        <v>473</v>
      </c>
      <c r="C1468" s="324"/>
      <c r="D1468" s="234" t="str">
        <f>VLOOKUP(D1466,DivisionariasContables,3,FALSE)</f>
        <v>Descuentos Concedidos por Pronto Pago</v>
      </c>
      <c r="E1468" s="160"/>
    </row>
    <row r="1469" spans="2:63" ht="14.4" thickBot="1" x14ac:dyDescent="0.3"/>
    <row r="1470" spans="2:63" x14ac:dyDescent="0.25">
      <c r="B1470" s="325" t="s">
        <v>466</v>
      </c>
      <c r="C1470" s="327" t="s">
        <v>467</v>
      </c>
      <c r="D1470" s="327" t="s">
        <v>468</v>
      </c>
      <c r="E1470" s="329" t="s">
        <v>469</v>
      </c>
      <c r="F1470" s="330"/>
    </row>
    <row r="1471" spans="2:63" ht="14.4" thickBot="1" x14ac:dyDescent="0.3">
      <c r="B1471" s="326"/>
      <c r="C1471" s="328"/>
      <c r="D1471" s="328"/>
      <c r="E1471" s="232" t="s">
        <v>403</v>
      </c>
      <c r="F1471" s="174" t="s">
        <v>402</v>
      </c>
    </row>
    <row r="1472" spans="2:63" ht="14.4" thickTop="1" x14ac:dyDescent="0.25">
      <c r="B1472" s="236">
        <v>41670</v>
      </c>
      <c r="C1472" s="171"/>
      <c r="D1472" s="166" t="s">
        <v>470</v>
      </c>
      <c r="E1472" s="167">
        <f>SUMIF('Libro Diario Convencional'!$D$15:$D$167,D1466,'Libro Diario Convencional'!$G$15:$G$167)</f>
        <v>0</v>
      </c>
      <c r="F1472" s="168">
        <f>SUMIF('Libro Diario Convencional'!$D$15:$D$167,D1466,'Libro Diario Convencional'!$H$15:$H$167)</f>
        <v>0</v>
      </c>
    </row>
    <row r="1473" spans="2:63" x14ac:dyDescent="0.25">
      <c r="B1473" s="169">
        <v>41670</v>
      </c>
      <c r="C1473" s="172"/>
      <c r="D1473" s="161" t="s">
        <v>474</v>
      </c>
      <c r="E1473" s="162">
        <f>SUMIF('Asientos de Cierre'!$D$6:$D$549,D1466,'Asientos de Cierre'!$G$6:$G$549)</f>
        <v>0</v>
      </c>
      <c r="F1473" s="163">
        <f>SUMIF('Asientos de Cierre'!$D$6:$D$549,D1466,'Asientos de Cierre'!$H$6:$H$549)</f>
        <v>0</v>
      </c>
    </row>
    <row r="1474" spans="2:63" x14ac:dyDescent="0.25">
      <c r="B1474" s="169"/>
      <c r="C1474" s="172"/>
      <c r="D1474" s="161"/>
      <c r="E1474" s="162"/>
      <c r="F1474" s="163"/>
    </row>
    <row r="1475" spans="2:63" ht="14.4" thickBot="1" x14ac:dyDescent="0.3">
      <c r="B1475" s="169"/>
      <c r="C1475" s="172"/>
      <c r="D1475" s="161"/>
      <c r="E1475" s="162"/>
      <c r="F1475" s="163"/>
    </row>
    <row r="1476" spans="2:63" ht="15" thickBot="1" x14ac:dyDescent="0.3">
      <c r="B1476" s="169"/>
      <c r="C1476" s="172"/>
      <c r="D1476" s="161" t="s">
        <v>471</v>
      </c>
      <c r="E1476" s="162">
        <f>SUM(E1472:E1475)</f>
        <v>0</v>
      </c>
      <c r="F1476" s="163">
        <f>SUM(F1472:F1475)</f>
        <v>0</v>
      </c>
      <c r="BJ1476" s="157">
        <f>SUM(E1476,K1476,Q1476,W1476,AC1476,AI1476,AO1476,AU1476,BA1476,BG1476)</f>
        <v>0</v>
      </c>
      <c r="BK1476" s="158">
        <f>SUM(F1476,L1476,R1476,X1476,AD1476,AJ1476,AP1476,AV1476,BB1476,BH1476)</f>
        <v>0</v>
      </c>
    </row>
    <row r="1477" spans="2:63" ht="14.4" thickBot="1" x14ac:dyDescent="0.3">
      <c r="B1477" s="170"/>
      <c r="C1477" s="173"/>
      <c r="D1477" s="164" t="str">
        <f>IF(E1476=F1476,"",IF(E1476&gt;F1476,"Saldo Deudor","Saldo Acreedor"))</f>
        <v/>
      </c>
      <c r="E1477" s="165" t="str">
        <f>IF(E1476&gt;F1476,E1476-F1476,"")</f>
        <v/>
      </c>
      <c r="F1477" s="176" t="str">
        <f>IF(E1476&lt;F1476,F1476-E1476,"")</f>
        <v/>
      </c>
    </row>
    <row r="1480" spans="2:63" ht="15.6" x14ac:dyDescent="0.25">
      <c r="B1480" s="324" t="s">
        <v>472</v>
      </c>
      <c r="C1480" s="324"/>
      <c r="D1480" s="175">
        <v>6761</v>
      </c>
      <c r="E1480" s="160"/>
    </row>
    <row r="1481" spans="2:63" x14ac:dyDescent="0.25">
      <c r="B1481" s="160"/>
      <c r="C1481" s="160"/>
      <c r="D1481" s="160"/>
      <c r="E1481" s="160"/>
    </row>
    <row r="1482" spans="2:63" ht="15.6" x14ac:dyDescent="0.25">
      <c r="B1482" s="324" t="s">
        <v>473</v>
      </c>
      <c r="C1482" s="324"/>
      <c r="D1482" s="234" t="str">
        <f>VLOOKUP(D1480,DivisionariasContables,3,FALSE)</f>
        <v>Diferencia de Cambio</v>
      </c>
      <c r="E1482" s="160"/>
    </row>
    <row r="1483" spans="2:63" ht="14.4" thickBot="1" x14ac:dyDescent="0.3"/>
    <row r="1484" spans="2:63" x14ac:dyDescent="0.25">
      <c r="B1484" s="325" t="s">
        <v>466</v>
      </c>
      <c r="C1484" s="327" t="s">
        <v>467</v>
      </c>
      <c r="D1484" s="327" t="s">
        <v>468</v>
      </c>
      <c r="E1484" s="329" t="s">
        <v>469</v>
      </c>
      <c r="F1484" s="330"/>
    </row>
    <row r="1485" spans="2:63" ht="14.4" thickBot="1" x14ac:dyDescent="0.3">
      <c r="B1485" s="326"/>
      <c r="C1485" s="328"/>
      <c r="D1485" s="328"/>
      <c r="E1485" s="232" t="s">
        <v>403</v>
      </c>
      <c r="F1485" s="174" t="s">
        <v>402</v>
      </c>
    </row>
    <row r="1486" spans="2:63" ht="14.4" thickTop="1" x14ac:dyDescent="0.25">
      <c r="B1486" s="236">
        <v>41670</v>
      </c>
      <c r="C1486" s="171"/>
      <c r="D1486" s="166" t="s">
        <v>470</v>
      </c>
      <c r="E1486" s="167">
        <f>SUMIF('Libro Diario Convencional'!$D$15:$D$167,D1480,'Libro Diario Convencional'!$G$15:$G$167)</f>
        <v>0</v>
      </c>
      <c r="F1486" s="168">
        <f>SUMIF('Libro Diario Convencional'!$D$15:$D$167,D1480,'Libro Diario Convencional'!$H$15:$H$167)</f>
        <v>0</v>
      </c>
    </row>
    <row r="1487" spans="2:63" x14ac:dyDescent="0.25">
      <c r="B1487" s="169">
        <v>41670</v>
      </c>
      <c r="C1487" s="172"/>
      <c r="D1487" s="161" t="s">
        <v>474</v>
      </c>
      <c r="E1487" s="162">
        <f>SUMIF('Asientos de Cierre'!$D$6:$D$549,D1480,'Asientos de Cierre'!$G$6:$G$549)</f>
        <v>0</v>
      </c>
      <c r="F1487" s="163">
        <f>SUMIF('Asientos de Cierre'!$D$6:$D$549,D1480,'Asientos de Cierre'!$H$6:$H$549)</f>
        <v>0</v>
      </c>
    </row>
    <row r="1488" spans="2:63" x14ac:dyDescent="0.25">
      <c r="B1488" s="169"/>
      <c r="C1488" s="172"/>
      <c r="D1488" s="161"/>
      <c r="E1488" s="162"/>
      <c r="F1488" s="163"/>
    </row>
    <row r="1489" spans="2:63" ht="14.4" thickBot="1" x14ac:dyDescent="0.3">
      <c r="B1489" s="169"/>
      <c r="C1489" s="172"/>
      <c r="D1489" s="161"/>
      <c r="E1489" s="162"/>
      <c r="F1489" s="163"/>
    </row>
    <row r="1490" spans="2:63" ht="15" thickBot="1" x14ac:dyDescent="0.3">
      <c r="B1490" s="169"/>
      <c r="C1490" s="172"/>
      <c r="D1490" s="161" t="s">
        <v>471</v>
      </c>
      <c r="E1490" s="162">
        <f>SUM(E1486:E1489)</f>
        <v>0</v>
      </c>
      <c r="F1490" s="163">
        <f>SUM(F1486:F1489)</f>
        <v>0</v>
      </c>
      <c r="BJ1490" s="157">
        <f>SUM(E1490,K1490,Q1490,W1490,AC1490,AI1490,AO1490,AU1490,BA1490,BG1490)</f>
        <v>0</v>
      </c>
      <c r="BK1490" s="158">
        <f>SUM(F1490,L1490,R1490,X1490,AD1490,AJ1490,AP1490,AV1490,BB1490,BH1490)</f>
        <v>0</v>
      </c>
    </row>
    <row r="1491" spans="2:63" ht="14.4" thickBot="1" x14ac:dyDescent="0.3">
      <c r="B1491" s="170"/>
      <c r="C1491" s="173"/>
      <c r="D1491" s="164" t="str">
        <f>IF(E1490=F1490,"",IF(E1490&gt;F1490,"Saldo Deudor","Saldo Acreedor"))</f>
        <v/>
      </c>
      <c r="E1491" s="165" t="str">
        <f>IF(E1490&gt;F1490,E1490-F1490,"")</f>
        <v/>
      </c>
      <c r="F1491" s="176" t="str">
        <f>IF(E1490&lt;F1490,F1490-E1490,"")</f>
        <v/>
      </c>
    </row>
    <row r="1494" spans="2:63" ht="15.6" x14ac:dyDescent="0.25">
      <c r="B1494" s="324" t="s">
        <v>472</v>
      </c>
      <c r="C1494" s="324"/>
      <c r="D1494" s="175">
        <v>6771</v>
      </c>
      <c r="E1494" s="160"/>
    </row>
    <row r="1495" spans="2:63" x14ac:dyDescent="0.25">
      <c r="B1495" s="160"/>
      <c r="C1495" s="160"/>
      <c r="D1495" s="160"/>
      <c r="E1495" s="160"/>
    </row>
    <row r="1496" spans="2:63" ht="15.6" x14ac:dyDescent="0.25">
      <c r="B1496" s="324" t="s">
        <v>473</v>
      </c>
      <c r="C1496" s="324"/>
      <c r="D1496" s="234" t="str">
        <f>VLOOKUP(D1494,DivisionariasContables,3,FALSE)</f>
        <v>Inversiones para Negociación</v>
      </c>
      <c r="E1496" s="160"/>
    </row>
    <row r="1497" spans="2:63" ht="14.4" thickBot="1" x14ac:dyDescent="0.3"/>
    <row r="1498" spans="2:63" x14ac:dyDescent="0.25">
      <c r="B1498" s="325" t="s">
        <v>466</v>
      </c>
      <c r="C1498" s="327" t="s">
        <v>467</v>
      </c>
      <c r="D1498" s="327" t="s">
        <v>468</v>
      </c>
      <c r="E1498" s="329" t="s">
        <v>469</v>
      </c>
      <c r="F1498" s="330"/>
    </row>
    <row r="1499" spans="2:63" ht="14.4" thickBot="1" x14ac:dyDescent="0.3">
      <c r="B1499" s="326"/>
      <c r="C1499" s="328"/>
      <c r="D1499" s="328"/>
      <c r="E1499" s="232" t="s">
        <v>403</v>
      </c>
      <c r="F1499" s="174" t="s">
        <v>402</v>
      </c>
    </row>
    <row r="1500" spans="2:63" ht="14.4" thickTop="1" x14ac:dyDescent="0.25">
      <c r="B1500" s="236">
        <v>41670</v>
      </c>
      <c r="C1500" s="171"/>
      <c r="D1500" s="166" t="s">
        <v>470</v>
      </c>
      <c r="E1500" s="167">
        <f>SUMIF('Libro Diario Convencional'!$D$15:$D$167,D1494,'Libro Diario Convencional'!$G$15:$G$167)</f>
        <v>0</v>
      </c>
      <c r="F1500" s="168">
        <f>SUMIF('Libro Diario Convencional'!$D$15:$D$167,D1494,'Libro Diario Convencional'!$H$15:$H$167)</f>
        <v>0</v>
      </c>
    </row>
    <row r="1501" spans="2:63" x14ac:dyDescent="0.25">
      <c r="B1501" s="169">
        <v>41670</v>
      </c>
      <c r="C1501" s="172"/>
      <c r="D1501" s="161" t="s">
        <v>474</v>
      </c>
      <c r="E1501" s="162">
        <f>SUMIF('Asientos de Cierre'!$D$6:$D$549,D1494,'Asientos de Cierre'!$G$6:$G$549)</f>
        <v>0</v>
      </c>
      <c r="F1501" s="163">
        <f>SUMIF('Asientos de Cierre'!$D$6:$D$549,D1494,'Asientos de Cierre'!$H$6:$H$549)</f>
        <v>0</v>
      </c>
    </row>
    <row r="1502" spans="2:63" x14ac:dyDescent="0.25">
      <c r="B1502" s="169"/>
      <c r="C1502" s="172"/>
      <c r="D1502" s="161"/>
      <c r="E1502" s="162"/>
      <c r="F1502" s="163"/>
    </row>
    <row r="1503" spans="2:63" ht="14.4" thickBot="1" x14ac:dyDescent="0.3">
      <c r="B1503" s="169"/>
      <c r="C1503" s="172"/>
      <c r="D1503" s="161"/>
      <c r="E1503" s="162"/>
      <c r="F1503" s="163"/>
    </row>
    <row r="1504" spans="2:63" ht="15" thickBot="1" x14ac:dyDescent="0.3">
      <c r="B1504" s="169"/>
      <c r="C1504" s="172"/>
      <c r="D1504" s="161" t="s">
        <v>471</v>
      </c>
      <c r="E1504" s="162">
        <f>SUM(E1500:E1503)</f>
        <v>0</v>
      </c>
      <c r="F1504" s="163">
        <f>SUM(F1500:F1503)</f>
        <v>0</v>
      </c>
      <c r="BJ1504" s="157">
        <f>SUM(E1504,K1504,Q1504,W1504,AC1504,AI1504,AO1504,AU1504,BA1504,BG1504)</f>
        <v>0</v>
      </c>
      <c r="BK1504" s="158">
        <f>SUM(F1504,L1504,R1504,X1504,AD1504,AJ1504,AP1504,AV1504,BB1504,BH1504)</f>
        <v>0</v>
      </c>
    </row>
    <row r="1505" spans="2:63" ht="14.4" thickBot="1" x14ac:dyDescent="0.3">
      <c r="B1505" s="170"/>
      <c r="C1505" s="173"/>
      <c r="D1505" s="164" t="str">
        <f>IF(E1504=F1504,"",IF(E1504&gt;F1504,"Saldo Deudor","Saldo Acreedor"))</f>
        <v/>
      </c>
      <c r="E1505" s="165" t="str">
        <f>IF(E1504&gt;F1504,E1504-F1504,"")</f>
        <v/>
      </c>
      <c r="F1505" s="176" t="str">
        <f>IF(E1504&lt;F1504,F1504-E1504,"")</f>
        <v/>
      </c>
    </row>
    <row r="1508" spans="2:63" ht="15.6" x14ac:dyDescent="0.25">
      <c r="B1508" s="324" t="s">
        <v>472</v>
      </c>
      <c r="C1508" s="324"/>
      <c r="D1508" s="175">
        <v>6791</v>
      </c>
      <c r="E1508" s="160"/>
      <c r="H1508" s="324" t="s">
        <v>472</v>
      </c>
      <c r="I1508" s="324"/>
      <c r="J1508" s="175">
        <v>6792</v>
      </c>
      <c r="K1508" s="160"/>
      <c r="N1508" s="324" t="s">
        <v>472</v>
      </c>
      <c r="O1508" s="324"/>
      <c r="P1508" s="175">
        <v>6793</v>
      </c>
      <c r="Q1508" s="160"/>
      <c r="T1508" s="324" t="s">
        <v>472</v>
      </c>
      <c r="U1508" s="324"/>
      <c r="V1508" s="175">
        <v>6794</v>
      </c>
      <c r="W1508" s="160"/>
      <c r="Z1508" s="324" t="s">
        <v>472</v>
      </c>
      <c r="AA1508" s="324"/>
      <c r="AB1508" s="175">
        <v>6799</v>
      </c>
      <c r="AC1508" s="160"/>
    </row>
    <row r="1509" spans="2:63" x14ac:dyDescent="0.25">
      <c r="B1509" s="160"/>
      <c r="C1509" s="160"/>
      <c r="D1509" s="160"/>
      <c r="E1509" s="160"/>
      <c r="H1509" s="160"/>
      <c r="I1509" s="160"/>
      <c r="J1509" s="160"/>
      <c r="K1509" s="160"/>
      <c r="N1509" s="160"/>
      <c r="O1509" s="160"/>
      <c r="P1509" s="160"/>
      <c r="Q1509" s="160"/>
      <c r="T1509" s="160"/>
      <c r="U1509" s="160"/>
      <c r="V1509" s="160"/>
      <c r="W1509" s="160"/>
      <c r="Z1509" s="160"/>
      <c r="AA1509" s="160"/>
      <c r="AB1509" s="160"/>
      <c r="AC1509" s="160"/>
    </row>
    <row r="1510" spans="2:63" ht="15.6" x14ac:dyDescent="0.25">
      <c r="B1510" s="324" t="s">
        <v>473</v>
      </c>
      <c r="C1510" s="324"/>
      <c r="D1510" s="234" t="str">
        <f>VLOOKUP(D1508,DivisionariasContables,3,FALSE)</f>
        <v>Primas por Opciones</v>
      </c>
      <c r="E1510" s="160"/>
      <c r="H1510" s="324" t="s">
        <v>473</v>
      </c>
      <c r="I1510" s="324"/>
      <c r="J1510" s="234" t="str">
        <f>VLOOKUP(J1508,DivisionariasContables,3,FALSE)</f>
        <v>Gastos Financieros en Medición a Valor Descontado</v>
      </c>
      <c r="K1510" s="160"/>
      <c r="N1510" s="324" t="s">
        <v>473</v>
      </c>
      <c r="O1510" s="324"/>
      <c r="P1510" s="234" t="str">
        <f>VLOOKUP(P1508,DivisionariasContables,3,FALSE)</f>
        <v>Intereses por Demora con las AFP's</v>
      </c>
      <c r="Q1510" s="160"/>
      <c r="T1510" s="324" t="s">
        <v>473</v>
      </c>
      <c r="U1510" s="324"/>
      <c r="V1510" s="234" t="str">
        <f>VLOOKUP(V1508,DivisionariasContables,3,FALSE)</f>
        <v>Intereses por Demora en el Pago de Tributos</v>
      </c>
      <c r="W1510" s="160"/>
      <c r="Z1510" s="324" t="s">
        <v>473</v>
      </c>
      <c r="AA1510" s="324"/>
      <c r="AB1510" s="234" t="str">
        <f>VLOOKUP(AB1508,DivisionariasContables,3,FALSE)</f>
        <v>Reclasificación de IGV al Gasto</v>
      </c>
      <c r="AC1510" s="160"/>
    </row>
    <row r="1511" spans="2:63" ht="14.4" thickBot="1" x14ac:dyDescent="0.3"/>
    <row r="1512" spans="2:63" x14ac:dyDescent="0.25">
      <c r="B1512" s="325" t="s">
        <v>466</v>
      </c>
      <c r="C1512" s="327" t="s">
        <v>467</v>
      </c>
      <c r="D1512" s="327" t="s">
        <v>468</v>
      </c>
      <c r="E1512" s="329" t="s">
        <v>469</v>
      </c>
      <c r="F1512" s="330"/>
      <c r="H1512" s="325" t="s">
        <v>466</v>
      </c>
      <c r="I1512" s="327" t="s">
        <v>467</v>
      </c>
      <c r="J1512" s="327" t="s">
        <v>468</v>
      </c>
      <c r="K1512" s="329" t="s">
        <v>469</v>
      </c>
      <c r="L1512" s="330"/>
      <c r="N1512" s="325" t="s">
        <v>466</v>
      </c>
      <c r="O1512" s="327" t="s">
        <v>467</v>
      </c>
      <c r="P1512" s="327" t="s">
        <v>468</v>
      </c>
      <c r="Q1512" s="329" t="s">
        <v>469</v>
      </c>
      <c r="R1512" s="330"/>
      <c r="T1512" s="325" t="s">
        <v>466</v>
      </c>
      <c r="U1512" s="327" t="s">
        <v>467</v>
      </c>
      <c r="V1512" s="327" t="s">
        <v>468</v>
      </c>
      <c r="W1512" s="329" t="s">
        <v>469</v>
      </c>
      <c r="X1512" s="330"/>
      <c r="Z1512" s="325" t="s">
        <v>466</v>
      </c>
      <c r="AA1512" s="327" t="s">
        <v>467</v>
      </c>
      <c r="AB1512" s="327" t="s">
        <v>468</v>
      </c>
      <c r="AC1512" s="329" t="s">
        <v>469</v>
      </c>
      <c r="AD1512" s="330"/>
    </row>
    <row r="1513" spans="2:63" ht="14.4" thickBot="1" x14ac:dyDescent="0.3">
      <c r="B1513" s="326"/>
      <c r="C1513" s="328"/>
      <c r="D1513" s="328"/>
      <c r="E1513" s="232" t="s">
        <v>403</v>
      </c>
      <c r="F1513" s="174" t="s">
        <v>402</v>
      </c>
      <c r="H1513" s="326"/>
      <c r="I1513" s="328"/>
      <c r="J1513" s="328"/>
      <c r="K1513" s="232" t="s">
        <v>403</v>
      </c>
      <c r="L1513" s="174" t="s">
        <v>402</v>
      </c>
      <c r="N1513" s="326"/>
      <c r="O1513" s="328"/>
      <c r="P1513" s="328"/>
      <c r="Q1513" s="232" t="s">
        <v>403</v>
      </c>
      <c r="R1513" s="174" t="s">
        <v>402</v>
      </c>
      <c r="T1513" s="326"/>
      <c r="U1513" s="328"/>
      <c r="V1513" s="328"/>
      <c r="W1513" s="232" t="s">
        <v>403</v>
      </c>
      <c r="X1513" s="174" t="s">
        <v>402</v>
      </c>
      <c r="Z1513" s="326"/>
      <c r="AA1513" s="328"/>
      <c r="AB1513" s="328"/>
      <c r="AC1513" s="232" t="s">
        <v>403</v>
      </c>
      <c r="AD1513" s="174" t="s">
        <v>402</v>
      </c>
    </row>
    <row r="1514" spans="2:63" ht="14.4" thickTop="1" x14ac:dyDescent="0.25">
      <c r="B1514" s="236">
        <v>41670</v>
      </c>
      <c r="C1514" s="171"/>
      <c r="D1514" s="166" t="s">
        <v>470</v>
      </c>
      <c r="E1514" s="167">
        <f>SUMIF('Libro Diario Convencional'!$D$15:$D$167,D1508,'Libro Diario Convencional'!$G$15:$G$167)</f>
        <v>0</v>
      </c>
      <c r="F1514" s="168">
        <f>SUMIF('Libro Diario Convencional'!$D$15:$D$167,D1508,'Libro Diario Convencional'!$H$15:$H$167)</f>
        <v>0</v>
      </c>
      <c r="H1514" s="236">
        <v>41670</v>
      </c>
      <c r="I1514" s="171"/>
      <c r="J1514" s="166" t="s">
        <v>470</v>
      </c>
      <c r="K1514" s="167">
        <f>SUMIF('Libro Diario Convencional'!$D$15:$D$167,J1508,'Libro Diario Convencional'!$G$15:$G$167)</f>
        <v>0</v>
      </c>
      <c r="L1514" s="168">
        <f>SUMIF('Libro Diario Convencional'!$D$15:$D$167,J1508,'Libro Diario Convencional'!$H$15:$H$167)</f>
        <v>0</v>
      </c>
      <c r="N1514" s="236">
        <v>41670</v>
      </c>
      <c r="O1514" s="171"/>
      <c r="P1514" s="166" t="s">
        <v>470</v>
      </c>
      <c r="Q1514" s="167">
        <f>SUMIF('Libro Diario Convencional'!$D$15:$D$167,P1508,'Libro Diario Convencional'!$G$15:$G$167)</f>
        <v>0</v>
      </c>
      <c r="R1514" s="168">
        <f>SUMIF('Libro Diario Convencional'!$D$15:$D$167,P1508,'Libro Diario Convencional'!$H$15:$H$167)</f>
        <v>0</v>
      </c>
      <c r="T1514" s="236">
        <v>41670</v>
      </c>
      <c r="U1514" s="171"/>
      <c r="V1514" s="166" t="s">
        <v>470</v>
      </c>
      <c r="W1514" s="167">
        <f>SUMIF('Libro Diario Convencional'!$D$15:$D$167,V1508,'Libro Diario Convencional'!$G$15:$G$167)</f>
        <v>0</v>
      </c>
      <c r="X1514" s="168">
        <f>SUMIF('Libro Diario Convencional'!$D$15:$D$167,V1508,'Libro Diario Convencional'!$H$15:$H$167)</f>
        <v>0</v>
      </c>
      <c r="Z1514" s="236">
        <v>41670</v>
      </c>
      <c r="AA1514" s="171"/>
      <c r="AB1514" s="166" t="s">
        <v>470</v>
      </c>
      <c r="AC1514" s="167">
        <f>SUMIF('Libro Diario Convencional'!$D$15:$D$167,AB1508,'Libro Diario Convencional'!$G$15:$G$167)</f>
        <v>0</v>
      </c>
      <c r="AD1514" s="168">
        <f>SUMIF('Libro Diario Convencional'!$D$15:$D$167,AB1508,'Libro Diario Convencional'!$H$15:$H$167)</f>
        <v>0</v>
      </c>
    </row>
    <row r="1515" spans="2:63" x14ac:dyDescent="0.25">
      <c r="B1515" s="169">
        <v>41670</v>
      </c>
      <c r="C1515" s="172"/>
      <c r="D1515" s="161" t="s">
        <v>474</v>
      </c>
      <c r="E1515" s="162">
        <f>SUMIF('Asientos de Cierre'!$D$6:$D$549,D1508,'Asientos de Cierre'!$G$6:$G$549)</f>
        <v>0</v>
      </c>
      <c r="F1515" s="163">
        <f>SUMIF('Asientos de Cierre'!$D$6:$D$549,D1508,'Asientos de Cierre'!$H$6:$H$549)</f>
        <v>0</v>
      </c>
      <c r="H1515" s="169">
        <v>41670</v>
      </c>
      <c r="I1515" s="172"/>
      <c r="J1515" s="161" t="s">
        <v>474</v>
      </c>
      <c r="K1515" s="162">
        <f>SUMIF('Asientos de Cierre'!$D$6:$D$549,J1508,'Asientos de Cierre'!$G$6:$G$549)</f>
        <v>0</v>
      </c>
      <c r="L1515" s="163">
        <f>SUMIF('Asientos de Cierre'!$D$6:$D$549,J1508,'Asientos de Cierre'!$H$6:$H$549)</f>
        <v>0</v>
      </c>
      <c r="N1515" s="169">
        <v>41670</v>
      </c>
      <c r="O1515" s="172"/>
      <c r="P1515" s="161" t="s">
        <v>474</v>
      </c>
      <c r="Q1515" s="162">
        <f>SUMIF('Asientos de Cierre'!$D$6:$D$549,P1508,'Asientos de Cierre'!$G$6:$G$549)</f>
        <v>0</v>
      </c>
      <c r="R1515" s="163">
        <f>SUMIF('Asientos de Cierre'!$D$6:$D$549,P1508,'Asientos de Cierre'!$H$6:$H$549)</f>
        <v>0</v>
      </c>
      <c r="T1515" s="169">
        <v>41670</v>
      </c>
      <c r="U1515" s="172"/>
      <c r="V1515" s="161" t="s">
        <v>474</v>
      </c>
      <c r="W1515" s="162">
        <f>SUMIF('Asientos de Cierre'!$D$6:$D$549,V1508,'Asientos de Cierre'!$G$6:$G$549)</f>
        <v>0</v>
      </c>
      <c r="X1515" s="163">
        <f>SUMIF('Asientos de Cierre'!$D$6:$D$549,V1508,'Asientos de Cierre'!$H$6:$H$549)</f>
        <v>0</v>
      </c>
      <c r="Z1515" s="169">
        <v>41670</v>
      </c>
      <c r="AA1515" s="172"/>
      <c r="AB1515" s="161" t="s">
        <v>474</v>
      </c>
      <c r="AC1515" s="162">
        <f>SUMIF('Asientos de Cierre'!$D$6:$D$549,AB1508,'Asientos de Cierre'!$G$6:$G$549)</f>
        <v>0</v>
      </c>
      <c r="AD1515" s="163">
        <f>SUMIF('Asientos de Cierre'!$D$6:$D$549,AB1508,'Asientos de Cierre'!$H$6:$H$549)</f>
        <v>0</v>
      </c>
    </row>
    <row r="1516" spans="2:63" x14ac:dyDescent="0.25">
      <c r="B1516" s="169"/>
      <c r="C1516" s="172"/>
      <c r="D1516" s="161"/>
      <c r="E1516" s="162"/>
      <c r="F1516" s="163"/>
      <c r="H1516" s="169"/>
      <c r="I1516" s="172"/>
      <c r="J1516" s="161"/>
      <c r="K1516" s="162"/>
      <c r="L1516" s="163"/>
      <c r="N1516" s="169"/>
      <c r="O1516" s="172"/>
      <c r="P1516" s="161"/>
      <c r="Q1516" s="162"/>
      <c r="R1516" s="163"/>
      <c r="T1516" s="169"/>
      <c r="U1516" s="172"/>
      <c r="V1516" s="161"/>
      <c r="W1516" s="162"/>
      <c r="X1516" s="163"/>
      <c r="Z1516" s="169"/>
      <c r="AA1516" s="172"/>
      <c r="AB1516" s="161"/>
      <c r="AC1516" s="162"/>
      <c r="AD1516" s="163"/>
    </row>
    <row r="1517" spans="2:63" ht="14.4" thickBot="1" x14ac:dyDescent="0.3">
      <c r="B1517" s="169"/>
      <c r="C1517" s="172"/>
      <c r="D1517" s="161"/>
      <c r="E1517" s="162"/>
      <c r="F1517" s="163"/>
      <c r="H1517" s="169"/>
      <c r="I1517" s="172"/>
      <c r="J1517" s="161"/>
      <c r="K1517" s="162"/>
      <c r="L1517" s="163"/>
      <c r="N1517" s="169"/>
      <c r="O1517" s="172"/>
      <c r="P1517" s="161"/>
      <c r="Q1517" s="162"/>
      <c r="R1517" s="163"/>
      <c r="T1517" s="169"/>
      <c r="U1517" s="172"/>
      <c r="V1517" s="161"/>
      <c r="W1517" s="162"/>
      <c r="X1517" s="163"/>
      <c r="Z1517" s="169"/>
      <c r="AA1517" s="172"/>
      <c r="AB1517" s="161"/>
      <c r="AC1517" s="162"/>
      <c r="AD1517" s="163"/>
    </row>
    <row r="1518" spans="2:63" ht="15" thickBot="1" x14ac:dyDescent="0.3">
      <c r="B1518" s="169"/>
      <c r="C1518" s="172"/>
      <c r="D1518" s="161" t="s">
        <v>471</v>
      </c>
      <c r="E1518" s="162">
        <f>SUM(E1514:E1517)</f>
        <v>0</v>
      </c>
      <c r="F1518" s="163">
        <f>SUM(F1514:F1517)</f>
        <v>0</v>
      </c>
      <c r="H1518" s="169"/>
      <c r="I1518" s="172"/>
      <c r="J1518" s="161" t="s">
        <v>471</v>
      </c>
      <c r="K1518" s="162">
        <f>SUM(K1514:K1517)</f>
        <v>0</v>
      </c>
      <c r="L1518" s="163">
        <f>SUM(L1514:L1517)</f>
        <v>0</v>
      </c>
      <c r="N1518" s="169"/>
      <c r="O1518" s="172"/>
      <c r="P1518" s="161" t="s">
        <v>471</v>
      </c>
      <c r="Q1518" s="162">
        <f>SUM(Q1514:Q1517)</f>
        <v>0</v>
      </c>
      <c r="R1518" s="163">
        <f>SUM(R1514:R1517)</f>
        <v>0</v>
      </c>
      <c r="T1518" s="169"/>
      <c r="U1518" s="172"/>
      <c r="V1518" s="161" t="s">
        <v>471</v>
      </c>
      <c r="W1518" s="162">
        <f>SUM(W1514:W1517)</f>
        <v>0</v>
      </c>
      <c r="X1518" s="163">
        <f>SUM(X1514:X1517)</f>
        <v>0</v>
      </c>
      <c r="Z1518" s="169"/>
      <c r="AA1518" s="172"/>
      <c r="AB1518" s="161" t="s">
        <v>471</v>
      </c>
      <c r="AC1518" s="162">
        <f>SUM(AC1514:AC1517)</f>
        <v>0</v>
      </c>
      <c r="AD1518" s="163">
        <f>SUM(AD1514:AD1517)</f>
        <v>0</v>
      </c>
      <c r="BJ1518" s="157">
        <f>SUM(E1518,K1518,Q1518,W1518,AC1518,AI1518,AO1518,AU1518,BA1518,BG1518)</f>
        <v>0</v>
      </c>
      <c r="BK1518" s="158">
        <f>SUM(F1518,L1518,R1518,X1518,AD1518,AJ1518,AP1518,AV1518,BB1518,BH1518)</f>
        <v>0</v>
      </c>
    </row>
    <row r="1519" spans="2:63" ht="14.4" thickBot="1" x14ac:dyDescent="0.3">
      <c r="B1519" s="170"/>
      <c r="C1519" s="173"/>
      <c r="D1519" s="164" t="str">
        <f>IF(E1518=F1518,"",IF(E1518&gt;F1518,"Saldo Deudor","Saldo Acreedor"))</f>
        <v/>
      </c>
      <c r="E1519" s="165" t="str">
        <f>IF(E1518&gt;F1518,E1518-F1518,"")</f>
        <v/>
      </c>
      <c r="F1519" s="176" t="str">
        <f>IF(E1518&lt;F1518,F1518-E1518,"")</f>
        <v/>
      </c>
      <c r="H1519" s="170"/>
      <c r="I1519" s="173"/>
      <c r="J1519" s="164" t="str">
        <f>IF(K1518=L1518,"",IF(K1518&gt;L1518,"Saldo Deudor","Saldo Acreedor"))</f>
        <v/>
      </c>
      <c r="K1519" s="165" t="str">
        <f>IF(K1518&gt;L1518,K1518-L1518,"")</f>
        <v/>
      </c>
      <c r="L1519" s="176" t="str">
        <f>IF(K1518&lt;L1518,L1518-K1518,"")</f>
        <v/>
      </c>
      <c r="N1519" s="170"/>
      <c r="O1519" s="173"/>
      <c r="P1519" s="164" t="str">
        <f>IF(Q1518=R1518,"",IF(Q1518&gt;R1518,"Saldo Deudor","Saldo Acreedor"))</f>
        <v/>
      </c>
      <c r="Q1519" s="165" t="str">
        <f>IF(Q1518&gt;R1518,Q1518-R1518,"")</f>
        <v/>
      </c>
      <c r="R1519" s="176" t="str">
        <f>IF(Q1518&lt;R1518,R1518-Q1518,"")</f>
        <v/>
      </c>
      <c r="T1519" s="170"/>
      <c r="U1519" s="173"/>
      <c r="V1519" s="164" t="str">
        <f>IF(W1518=X1518,"",IF(W1518&gt;X1518,"Saldo Deudor","Saldo Acreedor"))</f>
        <v/>
      </c>
      <c r="W1519" s="165" t="str">
        <f>IF(W1518&gt;X1518,W1518-X1518,"")</f>
        <v/>
      </c>
      <c r="X1519" s="176" t="str">
        <f>IF(W1518&lt;X1518,X1518-W1518,"")</f>
        <v/>
      </c>
      <c r="Z1519" s="170"/>
      <c r="AA1519" s="173"/>
      <c r="AB1519" s="164" t="str">
        <f>IF(AC1518=AD1518,"",IF(AC1518&gt;AD1518,"Saldo Deudor","Saldo Acreedor"))</f>
        <v/>
      </c>
      <c r="AC1519" s="165" t="str">
        <f>IF(AC1518&gt;AD1518,AC1518-AD1518,"")</f>
        <v/>
      </c>
      <c r="AD1519" s="176" t="str">
        <f>IF(AC1518&lt;AD1518,AD1518-AC1518,"")</f>
        <v/>
      </c>
    </row>
    <row r="1522" spans="2:63" ht="15.6" x14ac:dyDescent="0.25">
      <c r="B1522" s="324" t="s">
        <v>472</v>
      </c>
      <c r="C1522" s="324"/>
      <c r="D1522" s="175">
        <v>6814</v>
      </c>
      <c r="E1522" s="160"/>
    </row>
    <row r="1523" spans="2:63" x14ac:dyDescent="0.25">
      <c r="B1523" s="160"/>
      <c r="C1523" s="160"/>
      <c r="D1523" s="160"/>
      <c r="E1523" s="160"/>
    </row>
    <row r="1524" spans="2:63" ht="15.6" x14ac:dyDescent="0.25">
      <c r="B1524" s="324" t="s">
        <v>473</v>
      </c>
      <c r="C1524" s="324"/>
      <c r="D1524" s="234" t="str">
        <f>VLOOKUP(D1522,DivisionariasContables,3,FALSE)</f>
        <v>Depreciación de Inmuebles, Maquinaria y Equipo - Costo</v>
      </c>
      <c r="E1524" s="160"/>
    </row>
    <row r="1525" spans="2:63" ht="14.4" thickBot="1" x14ac:dyDescent="0.3"/>
    <row r="1526" spans="2:63" x14ac:dyDescent="0.25">
      <c r="B1526" s="325" t="s">
        <v>466</v>
      </c>
      <c r="C1526" s="327" t="s">
        <v>467</v>
      </c>
      <c r="D1526" s="327" t="s">
        <v>468</v>
      </c>
      <c r="E1526" s="329" t="s">
        <v>469</v>
      </c>
      <c r="F1526" s="330"/>
    </row>
    <row r="1527" spans="2:63" ht="14.4" thickBot="1" x14ac:dyDescent="0.3">
      <c r="B1527" s="326"/>
      <c r="C1527" s="328"/>
      <c r="D1527" s="328"/>
      <c r="E1527" s="232" t="s">
        <v>403</v>
      </c>
      <c r="F1527" s="174" t="s">
        <v>402</v>
      </c>
    </row>
    <row r="1528" spans="2:63" ht="14.4" thickTop="1" x14ac:dyDescent="0.25">
      <c r="B1528" s="236">
        <v>41670</v>
      </c>
      <c r="C1528" s="171"/>
      <c r="D1528" s="166" t="s">
        <v>470</v>
      </c>
      <c r="E1528" s="167">
        <f>SUMIF('Libro Diario Convencional'!$D$15:$D$167,D1522,'Libro Diario Convencional'!$G$15:$G$167)</f>
        <v>0</v>
      </c>
      <c r="F1528" s="168">
        <f>SUMIF('Libro Diario Convencional'!$D$15:$D$167,D1522,'Libro Diario Convencional'!$H$15:$H$167)</f>
        <v>0</v>
      </c>
    </row>
    <row r="1529" spans="2:63" x14ac:dyDescent="0.25">
      <c r="B1529" s="169">
        <v>41670</v>
      </c>
      <c r="C1529" s="172"/>
      <c r="D1529" s="161" t="s">
        <v>474</v>
      </c>
      <c r="E1529" s="162">
        <f>SUMIF('Asientos de Cierre'!$D$6:$D$549,D1522,'Asientos de Cierre'!$G$6:$G$549)</f>
        <v>0</v>
      </c>
      <c r="F1529" s="163">
        <f>SUMIF('Asientos de Cierre'!$D$6:$D$549,D1522,'Asientos de Cierre'!$H$6:$H$549)</f>
        <v>0</v>
      </c>
    </row>
    <row r="1530" spans="2:63" x14ac:dyDescent="0.25">
      <c r="B1530" s="169"/>
      <c r="C1530" s="172"/>
      <c r="D1530" s="161"/>
      <c r="E1530" s="162"/>
      <c r="F1530" s="163"/>
    </row>
    <row r="1531" spans="2:63" ht="14.4" thickBot="1" x14ac:dyDescent="0.3">
      <c r="B1531" s="169"/>
      <c r="C1531" s="172"/>
      <c r="D1531" s="161"/>
      <c r="E1531" s="162"/>
      <c r="F1531" s="163"/>
    </row>
    <row r="1532" spans="2:63" ht="15" thickBot="1" x14ac:dyDescent="0.3">
      <c r="B1532" s="169"/>
      <c r="C1532" s="172"/>
      <c r="D1532" s="161" t="s">
        <v>471</v>
      </c>
      <c r="E1532" s="162">
        <f>SUM(E1528:E1531)</f>
        <v>0</v>
      </c>
      <c r="F1532" s="163">
        <f>SUM(F1528:F1531)</f>
        <v>0</v>
      </c>
      <c r="BJ1532" s="157">
        <f>SUM(E1532,K1532,Q1532,W1532,AC1532,AI1532,AO1532,AU1532,BA1532,BG1532)</f>
        <v>0</v>
      </c>
      <c r="BK1532" s="158">
        <f>SUM(F1532,L1532,R1532,X1532,AD1532,AJ1532,AP1532,AV1532,BB1532,BH1532)</f>
        <v>0</v>
      </c>
    </row>
    <row r="1533" spans="2:63" ht="14.4" thickBot="1" x14ac:dyDescent="0.3">
      <c r="B1533" s="170"/>
      <c r="C1533" s="173"/>
      <c r="D1533" s="164" t="str">
        <f>IF(E1532=F1532,"",IF(E1532&gt;F1532,"Saldo Deudor","Saldo Acreedor"))</f>
        <v/>
      </c>
      <c r="E1533" s="165" t="str">
        <f>IF(E1532&gt;F1532,E1532-F1532,"")</f>
        <v/>
      </c>
      <c r="F1533" s="176" t="str">
        <f>IF(E1532&lt;F1532,F1532-E1532,"")</f>
        <v/>
      </c>
    </row>
    <row r="1536" spans="2:63" ht="15.6" x14ac:dyDescent="0.25">
      <c r="B1536" s="324" t="s">
        <v>472</v>
      </c>
      <c r="C1536" s="324"/>
      <c r="D1536" s="175">
        <v>6911</v>
      </c>
      <c r="E1536" s="160"/>
    </row>
    <row r="1537" spans="2:63" x14ac:dyDescent="0.25">
      <c r="B1537" s="160"/>
      <c r="C1537" s="160"/>
      <c r="D1537" s="160"/>
      <c r="E1537" s="160"/>
    </row>
    <row r="1538" spans="2:63" ht="15.6" x14ac:dyDescent="0.25">
      <c r="B1538" s="324" t="s">
        <v>473</v>
      </c>
      <c r="C1538" s="324"/>
      <c r="D1538" s="234" t="str">
        <f>VLOOKUP(D1536,DivisionariasContables,3,FALSE)</f>
        <v>Mercaderías Manufacturadas</v>
      </c>
      <c r="E1538" s="160"/>
    </row>
    <row r="1539" spans="2:63" ht="14.4" thickBot="1" x14ac:dyDescent="0.3"/>
    <row r="1540" spans="2:63" x14ac:dyDescent="0.25">
      <c r="B1540" s="325" t="s">
        <v>466</v>
      </c>
      <c r="C1540" s="327" t="s">
        <v>467</v>
      </c>
      <c r="D1540" s="327" t="s">
        <v>468</v>
      </c>
      <c r="E1540" s="329" t="s">
        <v>469</v>
      </c>
      <c r="F1540" s="330"/>
    </row>
    <row r="1541" spans="2:63" ht="14.4" thickBot="1" x14ac:dyDescent="0.3">
      <c r="B1541" s="326"/>
      <c r="C1541" s="328"/>
      <c r="D1541" s="328"/>
      <c r="E1541" s="232" t="s">
        <v>403</v>
      </c>
      <c r="F1541" s="174" t="s">
        <v>402</v>
      </c>
    </row>
    <row r="1542" spans="2:63" ht="14.4" thickTop="1" x14ac:dyDescent="0.25">
      <c r="B1542" s="236">
        <v>41670</v>
      </c>
      <c r="C1542" s="171"/>
      <c r="D1542" s="166" t="s">
        <v>470</v>
      </c>
      <c r="E1542" s="167">
        <f>SUMIF('Libro Diario Convencional'!$D$15:$D$167,D1536,'Libro Diario Convencional'!$G$15:$G$167)</f>
        <v>0</v>
      </c>
      <c r="F1542" s="168">
        <f>SUMIF('Libro Diario Convencional'!$D$15:$D$167,D1536,'Libro Diario Convencional'!$H$15:$H$167)</f>
        <v>0</v>
      </c>
    </row>
    <row r="1543" spans="2:63" x14ac:dyDescent="0.25">
      <c r="B1543" s="169">
        <v>41670</v>
      </c>
      <c r="C1543" s="172"/>
      <c r="D1543" s="161" t="s">
        <v>474</v>
      </c>
      <c r="E1543" s="162">
        <f>SUMIF('Asientos de Cierre'!$D$6:$D$549,D1536,'Asientos de Cierre'!$G$6:$G$549)</f>
        <v>0</v>
      </c>
      <c r="F1543" s="163">
        <f>SUMIF('Asientos de Cierre'!$D$6:$D$549,D1536,'Asientos de Cierre'!$H$6:$H$549)</f>
        <v>0</v>
      </c>
    </row>
    <row r="1544" spans="2:63" x14ac:dyDescent="0.25">
      <c r="B1544" s="169"/>
      <c r="C1544" s="172"/>
      <c r="D1544" s="161"/>
      <c r="E1544" s="162"/>
      <c r="F1544" s="163"/>
    </row>
    <row r="1545" spans="2:63" ht="14.4" thickBot="1" x14ac:dyDescent="0.3">
      <c r="B1545" s="169"/>
      <c r="C1545" s="172"/>
      <c r="D1545" s="161"/>
      <c r="E1545" s="162"/>
      <c r="F1545" s="163"/>
    </row>
    <row r="1546" spans="2:63" ht="15" thickBot="1" x14ac:dyDescent="0.3">
      <c r="B1546" s="169"/>
      <c r="C1546" s="172"/>
      <c r="D1546" s="161" t="s">
        <v>471</v>
      </c>
      <c r="E1546" s="162">
        <f>SUM(E1542:E1545)</f>
        <v>0</v>
      </c>
      <c r="F1546" s="163">
        <f>SUM(F1542:F1545)</f>
        <v>0</v>
      </c>
      <c r="BJ1546" s="157">
        <f>SUM(E1546,K1546,Q1546,W1546,AC1546,AI1546,AO1546,AU1546,BA1546,BG1546)</f>
        <v>0</v>
      </c>
      <c r="BK1546" s="158">
        <f>SUM(F1546,L1546,R1546,X1546,AD1546,AJ1546,AP1546,AV1546,BB1546,BH1546)</f>
        <v>0</v>
      </c>
    </row>
    <row r="1547" spans="2:63" ht="14.4" thickBot="1" x14ac:dyDescent="0.3">
      <c r="B1547" s="170"/>
      <c r="C1547" s="173"/>
      <c r="D1547" s="164" t="str">
        <f>IF(E1546=F1546,"",IF(E1546&gt;F1546,"Saldo Deudor","Saldo Acreedor"))</f>
        <v/>
      </c>
      <c r="E1547" s="165" t="str">
        <f>IF(E1546&gt;F1546,E1546-F1546,"")</f>
        <v/>
      </c>
      <c r="F1547" s="176" t="str">
        <f>IF(E1546&lt;F1546,F1546-E1546,"")</f>
        <v/>
      </c>
    </row>
    <row r="1550" spans="2:63" ht="15.6" x14ac:dyDescent="0.25">
      <c r="B1550" s="324" t="s">
        <v>472</v>
      </c>
      <c r="C1550" s="324"/>
      <c r="D1550" s="175">
        <v>6921</v>
      </c>
      <c r="E1550" s="160"/>
    </row>
    <row r="1551" spans="2:63" x14ac:dyDescent="0.25">
      <c r="B1551" s="160"/>
      <c r="C1551" s="160"/>
      <c r="D1551" s="160"/>
      <c r="E1551" s="160"/>
    </row>
    <row r="1552" spans="2:63" ht="15.6" x14ac:dyDescent="0.25">
      <c r="B1552" s="324" t="s">
        <v>473</v>
      </c>
      <c r="C1552" s="324"/>
      <c r="D1552" s="234" t="str">
        <f>VLOOKUP(D1550,DivisionariasContables,3,FALSE)</f>
        <v>Productos Manufacturados</v>
      </c>
      <c r="E1552" s="160"/>
    </row>
    <row r="1553" spans="2:63" ht="14.4" thickBot="1" x14ac:dyDescent="0.3"/>
    <row r="1554" spans="2:63" x14ac:dyDescent="0.25">
      <c r="B1554" s="325" t="s">
        <v>466</v>
      </c>
      <c r="C1554" s="327" t="s">
        <v>467</v>
      </c>
      <c r="D1554" s="327" t="s">
        <v>468</v>
      </c>
      <c r="E1554" s="329" t="s">
        <v>469</v>
      </c>
      <c r="F1554" s="330"/>
    </row>
    <row r="1555" spans="2:63" ht="14.4" thickBot="1" x14ac:dyDescent="0.3">
      <c r="B1555" s="326"/>
      <c r="C1555" s="328"/>
      <c r="D1555" s="328"/>
      <c r="E1555" s="232" t="s">
        <v>403</v>
      </c>
      <c r="F1555" s="174" t="s">
        <v>402</v>
      </c>
    </row>
    <row r="1556" spans="2:63" ht="14.4" thickTop="1" x14ac:dyDescent="0.25">
      <c r="B1556" s="236">
        <v>41670</v>
      </c>
      <c r="C1556" s="171"/>
      <c r="D1556" s="166" t="s">
        <v>470</v>
      </c>
      <c r="E1556" s="167">
        <f>SUMIF('Libro Diario Convencional'!$D$15:$D$167,D1550,'Libro Diario Convencional'!$G$15:$G$167)</f>
        <v>0</v>
      </c>
      <c r="F1556" s="168">
        <f>SUMIF('Libro Diario Convencional'!$D$15:$D$167,D1550,'Libro Diario Convencional'!$H$15:$H$167)</f>
        <v>0</v>
      </c>
    </row>
    <row r="1557" spans="2:63" x14ac:dyDescent="0.25">
      <c r="B1557" s="169">
        <v>41670</v>
      </c>
      <c r="C1557" s="172"/>
      <c r="D1557" s="161" t="s">
        <v>474</v>
      </c>
      <c r="E1557" s="162">
        <f>SUMIF('Asientos de Cierre'!$D$6:$D$549,D1550,'Asientos de Cierre'!$G$6:$G$549)</f>
        <v>0</v>
      </c>
      <c r="F1557" s="163">
        <f>SUMIF('Asientos de Cierre'!$D$6:$D$549,D1550,'Asientos de Cierre'!$H$6:$H$549)</f>
        <v>0</v>
      </c>
    </row>
    <row r="1558" spans="2:63" x14ac:dyDescent="0.25">
      <c r="B1558" s="169"/>
      <c r="C1558" s="172"/>
      <c r="D1558" s="161"/>
      <c r="E1558" s="162"/>
      <c r="F1558" s="163"/>
    </row>
    <row r="1559" spans="2:63" ht="14.4" thickBot="1" x14ac:dyDescent="0.3">
      <c r="B1559" s="169"/>
      <c r="C1559" s="172"/>
      <c r="D1559" s="161"/>
      <c r="E1559" s="162"/>
      <c r="F1559" s="163"/>
    </row>
    <row r="1560" spans="2:63" ht="15" thickBot="1" x14ac:dyDescent="0.3">
      <c r="B1560" s="169"/>
      <c r="C1560" s="172"/>
      <c r="D1560" s="161" t="s">
        <v>471</v>
      </c>
      <c r="E1560" s="162">
        <f>SUM(E1556:E1559)</f>
        <v>0</v>
      </c>
      <c r="F1560" s="163">
        <f>SUM(F1556:F1559)</f>
        <v>0</v>
      </c>
      <c r="BJ1560" s="157">
        <f>SUM(E1560,K1560,Q1560,W1560,AC1560,AI1560,AO1560,AU1560,BA1560,BG1560)</f>
        <v>0</v>
      </c>
      <c r="BK1560" s="158">
        <f>SUM(F1560,L1560,R1560,X1560,AD1560,AJ1560,AP1560,AV1560,BB1560,BH1560)</f>
        <v>0</v>
      </c>
    </row>
    <row r="1561" spans="2:63" ht="14.4" thickBot="1" x14ac:dyDescent="0.3">
      <c r="B1561" s="170"/>
      <c r="C1561" s="173"/>
      <c r="D1561" s="164" t="str">
        <f>IF(E1560=F1560,"",IF(E1560&gt;F1560,"Saldo Deudor","Saldo Acreedor"))</f>
        <v/>
      </c>
      <c r="E1561" s="165" t="str">
        <f>IF(E1560&gt;F1560,E1560-F1560,"")</f>
        <v/>
      </c>
      <c r="F1561" s="176" t="str">
        <f>IF(E1560&lt;F1560,F1560-E1560,"")</f>
        <v/>
      </c>
    </row>
    <row r="1564" spans="2:63" ht="15.6" x14ac:dyDescent="0.25">
      <c r="B1564" s="324" t="s">
        <v>472</v>
      </c>
      <c r="C1564" s="324"/>
      <c r="D1564" s="175">
        <v>7011</v>
      </c>
      <c r="E1564" s="160"/>
      <c r="H1564" s="324" t="s">
        <v>472</v>
      </c>
      <c r="I1564" s="324"/>
      <c r="J1564" s="175">
        <v>7012</v>
      </c>
      <c r="K1564" s="160"/>
      <c r="N1564" s="324" t="s">
        <v>472</v>
      </c>
      <c r="O1564" s="324"/>
      <c r="P1564" s="175">
        <v>7013</v>
      </c>
      <c r="Q1564" s="160"/>
      <c r="T1564" s="324" t="s">
        <v>472</v>
      </c>
      <c r="U1564" s="324"/>
      <c r="V1564" s="175">
        <v>7014</v>
      </c>
      <c r="W1564" s="160"/>
      <c r="Z1564" s="324" t="s">
        <v>472</v>
      </c>
      <c r="AA1564" s="324"/>
      <c r="AB1564" s="175">
        <v>7015</v>
      </c>
      <c r="AC1564" s="160"/>
    </row>
    <row r="1565" spans="2:63" x14ac:dyDescent="0.25">
      <c r="B1565" s="160"/>
      <c r="C1565" s="160"/>
      <c r="D1565" s="160"/>
      <c r="E1565" s="160"/>
      <c r="H1565" s="160"/>
      <c r="I1565" s="160"/>
      <c r="J1565" s="160"/>
      <c r="K1565" s="160"/>
      <c r="N1565" s="160"/>
      <c r="O1565" s="160"/>
      <c r="P1565" s="160"/>
      <c r="Q1565" s="160"/>
      <c r="T1565" s="160"/>
      <c r="U1565" s="160"/>
      <c r="V1565" s="160"/>
      <c r="W1565" s="160"/>
      <c r="Z1565" s="160"/>
      <c r="AA1565" s="160"/>
      <c r="AB1565" s="160"/>
      <c r="AC1565" s="160"/>
    </row>
    <row r="1566" spans="2:63" ht="15.6" x14ac:dyDescent="0.25">
      <c r="B1566" s="324" t="s">
        <v>473</v>
      </c>
      <c r="C1566" s="324"/>
      <c r="D1566" s="234" t="str">
        <f>VLOOKUP(D1564,DivisionariasContables,3,FALSE)</f>
        <v>Mercaderías - Mercaderías Manufacturadas</v>
      </c>
      <c r="E1566" s="160"/>
      <c r="H1566" s="324" t="s">
        <v>473</v>
      </c>
      <c r="I1566" s="324"/>
      <c r="J1566" s="234" t="str">
        <f>VLOOKUP(J1564,DivisionariasContables,3,FALSE)</f>
        <v>Mercaderías - Mercaderías de Extracción</v>
      </c>
      <c r="K1566" s="160"/>
      <c r="N1566" s="324" t="s">
        <v>473</v>
      </c>
      <c r="O1566" s="324"/>
      <c r="P1566" s="234" t="str">
        <f>VLOOKUP(P1564,DivisionariasContables,3,FALSE)</f>
        <v>Mercaderías - Mercaderías Agropecuarias y Piscícolas</v>
      </c>
      <c r="Q1566" s="160"/>
      <c r="T1566" s="324" t="s">
        <v>473</v>
      </c>
      <c r="U1566" s="324"/>
      <c r="V1566" s="234" t="str">
        <f>VLOOKUP(V1564,DivisionariasContables,3,FALSE)</f>
        <v>Mercaderías - Mercaderías Inmuebles</v>
      </c>
      <c r="W1566" s="160"/>
      <c r="Z1566" s="324" t="s">
        <v>473</v>
      </c>
      <c r="AA1566" s="324"/>
      <c r="AB1566" s="234" t="str">
        <f>VLOOKUP(AB1564,DivisionariasContables,3,FALSE)</f>
        <v>Mercaderías - Otras</v>
      </c>
      <c r="AC1566" s="160"/>
    </row>
    <row r="1567" spans="2:63" ht="14.4" thickBot="1" x14ac:dyDescent="0.3"/>
    <row r="1568" spans="2:63" x14ac:dyDescent="0.25">
      <c r="B1568" s="325" t="s">
        <v>466</v>
      </c>
      <c r="C1568" s="327" t="s">
        <v>467</v>
      </c>
      <c r="D1568" s="327" t="s">
        <v>468</v>
      </c>
      <c r="E1568" s="329" t="s">
        <v>469</v>
      </c>
      <c r="F1568" s="330"/>
      <c r="H1568" s="325" t="s">
        <v>466</v>
      </c>
      <c r="I1568" s="327" t="s">
        <v>467</v>
      </c>
      <c r="J1568" s="327" t="s">
        <v>468</v>
      </c>
      <c r="K1568" s="329" t="s">
        <v>469</v>
      </c>
      <c r="L1568" s="330"/>
      <c r="N1568" s="325" t="s">
        <v>466</v>
      </c>
      <c r="O1568" s="327" t="s">
        <v>467</v>
      </c>
      <c r="P1568" s="327" t="s">
        <v>468</v>
      </c>
      <c r="Q1568" s="329" t="s">
        <v>469</v>
      </c>
      <c r="R1568" s="330"/>
      <c r="T1568" s="325" t="s">
        <v>466</v>
      </c>
      <c r="U1568" s="327" t="s">
        <v>467</v>
      </c>
      <c r="V1568" s="327" t="s">
        <v>468</v>
      </c>
      <c r="W1568" s="329" t="s">
        <v>469</v>
      </c>
      <c r="X1568" s="330"/>
      <c r="Z1568" s="325" t="s">
        <v>466</v>
      </c>
      <c r="AA1568" s="327" t="s">
        <v>467</v>
      </c>
      <c r="AB1568" s="327" t="s">
        <v>468</v>
      </c>
      <c r="AC1568" s="329" t="s">
        <v>469</v>
      </c>
      <c r="AD1568" s="330"/>
    </row>
    <row r="1569" spans="2:63" ht="14.4" thickBot="1" x14ac:dyDescent="0.3">
      <c r="B1569" s="326"/>
      <c r="C1569" s="328"/>
      <c r="D1569" s="328"/>
      <c r="E1569" s="232" t="s">
        <v>403</v>
      </c>
      <c r="F1569" s="174" t="s">
        <v>402</v>
      </c>
      <c r="H1569" s="326"/>
      <c r="I1569" s="328"/>
      <c r="J1569" s="328"/>
      <c r="K1569" s="232" t="s">
        <v>403</v>
      </c>
      <c r="L1569" s="174" t="s">
        <v>402</v>
      </c>
      <c r="N1569" s="326"/>
      <c r="O1569" s="328"/>
      <c r="P1569" s="328"/>
      <c r="Q1569" s="232" t="s">
        <v>403</v>
      </c>
      <c r="R1569" s="174" t="s">
        <v>402</v>
      </c>
      <c r="T1569" s="326"/>
      <c r="U1569" s="328"/>
      <c r="V1569" s="328"/>
      <c r="W1569" s="232" t="s">
        <v>403</v>
      </c>
      <c r="X1569" s="174" t="s">
        <v>402</v>
      </c>
      <c r="Z1569" s="326"/>
      <c r="AA1569" s="328"/>
      <c r="AB1569" s="328"/>
      <c r="AC1569" s="232" t="s">
        <v>403</v>
      </c>
      <c r="AD1569" s="174" t="s">
        <v>402</v>
      </c>
    </row>
    <row r="1570" spans="2:63" ht="14.4" thickTop="1" x14ac:dyDescent="0.25">
      <c r="B1570" s="236">
        <v>41670</v>
      </c>
      <c r="C1570" s="171"/>
      <c r="D1570" s="166" t="s">
        <v>470</v>
      </c>
      <c r="E1570" s="167">
        <f>SUMIF('Libro Diario Convencional'!$D$15:$D$167,D1564,'Libro Diario Convencional'!$G$15:$G$167)</f>
        <v>0</v>
      </c>
      <c r="F1570" s="168">
        <f>SUMIF('Libro Diario Convencional'!$D$15:$D$167,D1564,'Libro Diario Convencional'!$H$15:$H$167)</f>
        <v>0</v>
      </c>
      <c r="H1570" s="236">
        <v>41670</v>
      </c>
      <c r="I1570" s="171"/>
      <c r="J1570" s="166" t="s">
        <v>470</v>
      </c>
      <c r="K1570" s="167">
        <f>SUMIF('Libro Diario Convencional'!$D$15:$D$167,J1564,'Libro Diario Convencional'!$G$15:$G$167)</f>
        <v>0</v>
      </c>
      <c r="L1570" s="168">
        <f>SUMIF('Libro Diario Convencional'!$D$15:$D$167,J1564,'Libro Diario Convencional'!$H$15:$H$167)</f>
        <v>0</v>
      </c>
      <c r="N1570" s="236">
        <v>41670</v>
      </c>
      <c r="O1570" s="171"/>
      <c r="P1570" s="166" t="s">
        <v>470</v>
      </c>
      <c r="Q1570" s="167">
        <f>SUMIF('Libro Diario Convencional'!$D$15:$D$167,P1564,'Libro Diario Convencional'!$G$15:$G$167)</f>
        <v>0</v>
      </c>
      <c r="R1570" s="168">
        <f>SUMIF('Libro Diario Convencional'!$D$15:$D$167,P1564,'Libro Diario Convencional'!$H$15:$H$167)</f>
        <v>0</v>
      </c>
      <c r="T1570" s="236">
        <v>41670</v>
      </c>
      <c r="U1570" s="171"/>
      <c r="V1570" s="166" t="s">
        <v>470</v>
      </c>
      <c r="W1570" s="167">
        <f>SUMIF('Libro Diario Convencional'!$D$15:$D$167,V1564,'Libro Diario Convencional'!$G$15:$G$167)</f>
        <v>0</v>
      </c>
      <c r="X1570" s="168">
        <f>SUMIF('Libro Diario Convencional'!$D$15:$D$167,V1564,'Libro Diario Convencional'!$H$15:$H$167)</f>
        <v>0</v>
      </c>
      <c r="Z1570" s="236">
        <v>41670</v>
      </c>
      <c r="AA1570" s="171"/>
      <c r="AB1570" s="166" t="s">
        <v>470</v>
      </c>
      <c r="AC1570" s="167">
        <f>SUMIF('Libro Diario Convencional'!$D$15:$D$167,AB1564,'Libro Diario Convencional'!$G$15:$G$167)</f>
        <v>0</v>
      </c>
      <c r="AD1570" s="168">
        <f>SUMIF('Libro Diario Convencional'!$D$15:$D$167,AB1564,'Libro Diario Convencional'!$H$15:$H$167)</f>
        <v>0</v>
      </c>
    </row>
    <row r="1571" spans="2:63" x14ac:dyDescent="0.25">
      <c r="B1571" s="169">
        <v>41670</v>
      </c>
      <c r="C1571" s="172"/>
      <c r="D1571" s="161" t="s">
        <v>474</v>
      </c>
      <c r="E1571" s="162">
        <f>SUMIF('Asientos de Cierre'!$D$6:$D$549,D1564,'Asientos de Cierre'!$G$6:$G$549)</f>
        <v>0</v>
      </c>
      <c r="F1571" s="163">
        <f>SUMIF('Asientos de Cierre'!$D$6:$D$549,D1564,'Asientos de Cierre'!$H$6:$H$549)</f>
        <v>0</v>
      </c>
      <c r="H1571" s="169">
        <v>41670</v>
      </c>
      <c r="I1571" s="172"/>
      <c r="J1571" s="161" t="s">
        <v>474</v>
      </c>
      <c r="K1571" s="162">
        <f>SUMIF('Asientos de Cierre'!$D$6:$D$549,J1564,'Asientos de Cierre'!$G$6:$G$549)</f>
        <v>0</v>
      </c>
      <c r="L1571" s="163">
        <f>SUMIF('Asientos de Cierre'!$D$6:$D$549,J1564,'Asientos de Cierre'!$H$6:$H$549)</f>
        <v>0</v>
      </c>
      <c r="N1571" s="169">
        <v>41670</v>
      </c>
      <c r="O1571" s="172"/>
      <c r="P1571" s="161" t="s">
        <v>474</v>
      </c>
      <c r="Q1571" s="162">
        <f>SUMIF('Asientos de Cierre'!$D$6:$D$549,P1564,'Asientos de Cierre'!$G$6:$G$549)</f>
        <v>0</v>
      </c>
      <c r="R1571" s="163">
        <f>SUMIF('Asientos de Cierre'!$D$6:$D$549,P1564,'Asientos de Cierre'!$H$6:$H$549)</f>
        <v>0</v>
      </c>
      <c r="T1571" s="169">
        <v>41670</v>
      </c>
      <c r="U1571" s="172"/>
      <c r="V1571" s="161" t="s">
        <v>474</v>
      </c>
      <c r="W1571" s="162">
        <f>SUMIF('Asientos de Cierre'!$D$6:$D$549,V1564,'Asientos de Cierre'!$G$6:$G$549)</f>
        <v>0</v>
      </c>
      <c r="X1571" s="163">
        <f>SUMIF('Asientos de Cierre'!$D$6:$D$549,V1564,'Asientos de Cierre'!$H$6:$H$549)</f>
        <v>0</v>
      </c>
      <c r="Z1571" s="169">
        <v>41670</v>
      </c>
      <c r="AA1571" s="172"/>
      <c r="AB1571" s="161" t="s">
        <v>474</v>
      </c>
      <c r="AC1571" s="162">
        <f>SUMIF('Asientos de Cierre'!$D$6:$D$549,AB1564,'Asientos de Cierre'!$G$6:$G$549)</f>
        <v>0</v>
      </c>
      <c r="AD1571" s="163">
        <f>SUMIF('Asientos de Cierre'!$D$6:$D$549,AB1564,'Asientos de Cierre'!$H$6:$H$549)</f>
        <v>0</v>
      </c>
    </row>
    <row r="1572" spans="2:63" x14ac:dyDescent="0.25">
      <c r="B1572" s="169"/>
      <c r="C1572" s="172"/>
      <c r="D1572" s="161"/>
      <c r="E1572" s="162"/>
      <c r="F1572" s="163"/>
      <c r="H1572" s="169"/>
      <c r="I1572" s="172"/>
      <c r="J1572" s="161"/>
      <c r="K1572" s="162"/>
      <c r="L1572" s="163"/>
      <c r="N1572" s="169"/>
      <c r="O1572" s="172"/>
      <c r="P1572" s="161"/>
      <c r="Q1572" s="162"/>
      <c r="R1572" s="163"/>
      <c r="T1572" s="169"/>
      <c r="U1572" s="172"/>
      <c r="V1572" s="161"/>
      <c r="W1572" s="162"/>
      <c r="X1572" s="163"/>
      <c r="Z1572" s="169"/>
      <c r="AA1572" s="172"/>
      <c r="AB1572" s="161"/>
      <c r="AC1572" s="162"/>
      <c r="AD1572" s="163"/>
    </row>
    <row r="1573" spans="2:63" ht="14.4" thickBot="1" x14ac:dyDescent="0.3">
      <c r="B1573" s="169"/>
      <c r="C1573" s="172"/>
      <c r="D1573" s="161"/>
      <c r="E1573" s="162"/>
      <c r="F1573" s="163"/>
      <c r="H1573" s="169"/>
      <c r="I1573" s="172"/>
      <c r="J1573" s="161"/>
      <c r="K1573" s="162"/>
      <c r="L1573" s="163"/>
      <c r="N1573" s="169"/>
      <c r="O1573" s="172"/>
      <c r="P1573" s="161"/>
      <c r="Q1573" s="162"/>
      <c r="R1573" s="163"/>
      <c r="T1573" s="169"/>
      <c r="U1573" s="172"/>
      <c r="V1573" s="161"/>
      <c r="W1573" s="162"/>
      <c r="X1573" s="163"/>
      <c r="Z1573" s="169"/>
      <c r="AA1573" s="172"/>
      <c r="AB1573" s="161"/>
      <c r="AC1573" s="162"/>
      <c r="AD1573" s="163"/>
    </row>
    <row r="1574" spans="2:63" ht="15" thickBot="1" x14ac:dyDescent="0.3">
      <c r="B1574" s="169"/>
      <c r="C1574" s="172"/>
      <c r="D1574" s="161" t="s">
        <v>471</v>
      </c>
      <c r="E1574" s="162">
        <f>SUM(E1570:E1573)</f>
        <v>0</v>
      </c>
      <c r="F1574" s="163">
        <f>SUM(F1570:F1573)</f>
        <v>0</v>
      </c>
      <c r="H1574" s="169"/>
      <c r="I1574" s="172"/>
      <c r="J1574" s="161" t="s">
        <v>471</v>
      </c>
      <c r="K1574" s="162">
        <f>SUM(K1570:K1573)</f>
        <v>0</v>
      </c>
      <c r="L1574" s="163">
        <f>SUM(L1570:L1573)</f>
        <v>0</v>
      </c>
      <c r="N1574" s="169"/>
      <c r="O1574" s="172"/>
      <c r="P1574" s="161" t="s">
        <v>471</v>
      </c>
      <c r="Q1574" s="162">
        <f>SUM(Q1570:Q1573)</f>
        <v>0</v>
      </c>
      <c r="R1574" s="163">
        <f>SUM(R1570:R1573)</f>
        <v>0</v>
      </c>
      <c r="T1574" s="169"/>
      <c r="U1574" s="172"/>
      <c r="V1574" s="161" t="s">
        <v>471</v>
      </c>
      <c r="W1574" s="162">
        <f>SUM(W1570:W1573)</f>
        <v>0</v>
      </c>
      <c r="X1574" s="163">
        <f>SUM(X1570:X1573)</f>
        <v>0</v>
      </c>
      <c r="Z1574" s="169"/>
      <c r="AA1574" s="172"/>
      <c r="AB1574" s="161" t="s">
        <v>471</v>
      </c>
      <c r="AC1574" s="162">
        <f>SUM(AC1570:AC1573)</f>
        <v>0</v>
      </c>
      <c r="AD1574" s="163">
        <f>SUM(AD1570:AD1573)</f>
        <v>0</v>
      </c>
      <c r="BJ1574" s="157">
        <f>SUM(E1574,K1574,Q1574,W1574,AC1574,AI1574,AO1574,AU1574,BA1574,BG1574)</f>
        <v>0</v>
      </c>
      <c r="BK1574" s="158">
        <f>SUM(F1574,L1574,R1574,X1574,AD1574,AJ1574,AP1574,AV1574,BB1574,BH1574)</f>
        <v>0</v>
      </c>
    </row>
    <row r="1575" spans="2:63" ht="14.4" thickBot="1" x14ac:dyDescent="0.3">
      <c r="B1575" s="170"/>
      <c r="C1575" s="173"/>
      <c r="D1575" s="164" t="str">
        <f>IF(E1574=F1574,"",IF(E1574&gt;F1574,"Saldo Deudor","Saldo Acreedor"))</f>
        <v/>
      </c>
      <c r="E1575" s="165" t="str">
        <f>IF(E1574&gt;F1574,E1574-F1574,"")</f>
        <v/>
      </c>
      <c r="F1575" s="176" t="str">
        <f>IF(E1574&lt;F1574,F1574-E1574,"")</f>
        <v/>
      </c>
      <c r="H1575" s="170"/>
      <c r="I1575" s="173"/>
      <c r="J1575" s="164" t="str">
        <f>IF(K1574=L1574,"",IF(K1574&gt;L1574,"Saldo Deudor","Saldo Acreedor"))</f>
        <v/>
      </c>
      <c r="K1575" s="165" t="str">
        <f>IF(K1574&gt;L1574,K1574-L1574,"")</f>
        <v/>
      </c>
      <c r="L1575" s="176" t="str">
        <f>IF(K1574&lt;L1574,L1574-K1574,"")</f>
        <v/>
      </c>
      <c r="N1575" s="170"/>
      <c r="O1575" s="173"/>
      <c r="P1575" s="164" t="str">
        <f>IF(Q1574=R1574,"",IF(Q1574&gt;R1574,"Saldo Deudor","Saldo Acreedor"))</f>
        <v/>
      </c>
      <c r="Q1575" s="165" t="str">
        <f>IF(Q1574&gt;R1574,Q1574-R1574,"")</f>
        <v/>
      </c>
      <c r="R1575" s="176" t="str">
        <f>IF(Q1574&lt;R1574,R1574-Q1574,"")</f>
        <v/>
      </c>
      <c r="T1575" s="170"/>
      <c r="U1575" s="173"/>
      <c r="V1575" s="164" t="str">
        <f>IF(W1574=X1574,"",IF(W1574&gt;X1574,"Saldo Deudor","Saldo Acreedor"))</f>
        <v/>
      </c>
      <c r="W1575" s="165" t="str">
        <f>IF(W1574&gt;X1574,W1574-X1574,"")</f>
        <v/>
      </c>
      <c r="X1575" s="176" t="str">
        <f>IF(W1574&lt;X1574,X1574-W1574,"")</f>
        <v/>
      </c>
      <c r="Z1575" s="170"/>
      <c r="AA1575" s="173"/>
      <c r="AB1575" s="164" t="str">
        <f>IF(AC1574=AD1574,"",IF(AC1574&gt;AD1574,"Saldo Deudor","Saldo Acreedor"))</f>
        <v/>
      </c>
      <c r="AC1575" s="165" t="str">
        <f>IF(AC1574&gt;AD1574,AC1574-AD1574,"")</f>
        <v/>
      </c>
      <c r="AD1575" s="176" t="str">
        <f>IF(AC1574&lt;AD1574,AD1574-AC1574,"")</f>
        <v/>
      </c>
    </row>
    <row r="1578" spans="2:63" ht="15.6" x14ac:dyDescent="0.25">
      <c r="B1578" s="324" t="s">
        <v>472</v>
      </c>
      <c r="C1578" s="324"/>
      <c r="D1578" s="175">
        <v>7021</v>
      </c>
      <c r="E1578" s="160"/>
      <c r="H1578" s="324" t="s">
        <v>472</v>
      </c>
      <c r="I1578" s="324"/>
      <c r="J1578" s="175">
        <v>7022</v>
      </c>
      <c r="K1578" s="160"/>
      <c r="N1578" s="324" t="s">
        <v>472</v>
      </c>
      <c r="O1578" s="324"/>
      <c r="P1578" s="175">
        <v>7023</v>
      </c>
      <c r="Q1578" s="160"/>
      <c r="T1578" s="324" t="s">
        <v>472</v>
      </c>
      <c r="U1578" s="324"/>
      <c r="V1578" s="175">
        <v>7024</v>
      </c>
      <c r="W1578" s="160"/>
      <c r="Z1578" s="324" t="s">
        <v>472</v>
      </c>
      <c r="AA1578" s="324"/>
      <c r="AB1578" s="175">
        <v>7025</v>
      </c>
      <c r="AC1578" s="160"/>
    </row>
    <row r="1579" spans="2:63" x14ac:dyDescent="0.25">
      <c r="B1579" s="160"/>
      <c r="C1579" s="160"/>
      <c r="D1579" s="160"/>
      <c r="E1579" s="160"/>
      <c r="H1579" s="160"/>
      <c r="I1579" s="160"/>
      <c r="J1579" s="160"/>
      <c r="K1579" s="160"/>
      <c r="N1579" s="160"/>
      <c r="O1579" s="160"/>
      <c r="P1579" s="160"/>
      <c r="Q1579" s="160"/>
      <c r="T1579" s="160"/>
      <c r="U1579" s="160"/>
      <c r="V1579" s="160"/>
      <c r="W1579" s="160"/>
      <c r="Z1579" s="160"/>
      <c r="AA1579" s="160"/>
      <c r="AB1579" s="160"/>
      <c r="AC1579" s="160"/>
    </row>
    <row r="1580" spans="2:63" ht="15.6" x14ac:dyDescent="0.25">
      <c r="B1580" s="324" t="s">
        <v>473</v>
      </c>
      <c r="C1580" s="324"/>
      <c r="D1580" s="234" t="str">
        <f>VLOOKUP(D1578,DivisionariasContables,3,FALSE)</f>
        <v>Productos Terminados - Productos Manufacturados</v>
      </c>
      <c r="E1580" s="160"/>
      <c r="H1580" s="324" t="s">
        <v>473</v>
      </c>
      <c r="I1580" s="324"/>
      <c r="J1580" s="234" t="str">
        <f>VLOOKUP(J1578,DivisionariasContables,3,FALSE)</f>
        <v>Productos Terminados - Productos de Extracción Terminados</v>
      </c>
      <c r="K1580" s="160"/>
      <c r="N1580" s="324" t="s">
        <v>473</v>
      </c>
      <c r="O1580" s="324"/>
      <c r="P1580" s="234" t="str">
        <f>VLOOKUP(P1578,DivisionariasContables,3,FALSE)</f>
        <v>Productos Terminados - Productos Agropecuarios y Piscícolas Terminados</v>
      </c>
      <c r="Q1580" s="160"/>
      <c r="T1580" s="324" t="s">
        <v>473</v>
      </c>
      <c r="U1580" s="324"/>
      <c r="V1580" s="234" t="str">
        <f>VLOOKUP(V1578,DivisionariasContables,3,FALSE)</f>
        <v>Productos Terminados - Productos Inmuebles Terminados</v>
      </c>
      <c r="W1580" s="160"/>
      <c r="Z1580" s="324" t="s">
        <v>473</v>
      </c>
      <c r="AA1580" s="324"/>
      <c r="AB1580" s="234" t="str">
        <f>VLOOKUP(AB1578,DivisionariasContables,3,FALSE)</f>
        <v>Productos Terminados - Existencias de Servicios Terminados</v>
      </c>
      <c r="AC1580" s="160"/>
    </row>
    <row r="1581" spans="2:63" ht="14.4" thickBot="1" x14ac:dyDescent="0.3"/>
    <row r="1582" spans="2:63" x14ac:dyDescent="0.25">
      <c r="B1582" s="325" t="s">
        <v>466</v>
      </c>
      <c r="C1582" s="327" t="s">
        <v>467</v>
      </c>
      <c r="D1582" s="327" t="s">
        <v>468</v>
      </c>
      <c r="E1582" s="329" t="s">
        <v>469</v>
      </c>
      <c r="F1582" s="330"/>
      <c r="H1582" s="325" t="s">
        <v>466</v>
      </c>
      <c r="I1582" s="327" t="s">
        <v>467</v>
      </c>
      <c r="J1582" s="327" t="s">
        <v>468</v>
      </c>
      <c r="K1582" s="329" t="s">
        <v>469</v>
      </c>
      <c r="L1582" s="330"/>
      <c r="N1582" s="325" t="s">
        <v>466</v>
      </c>
      <c r="O1582" s="327" t="s">
        <v>467</v>
      </c>
      <c r="P1582" s="327" t="s">
        <v>468</v>
      </c>
      <c r="Q1582" s="329" t="s">
        <v>469</v>
      </c>
      <c r="R1582" s="330"/>
      <c r="T1582" s="325" t="s">
        <v>466</v>
      </c>
      <c r="U1582" s="327" t="s">
        <v>467</v>
      </c>
      <c r="V1582" s="327" t="s">
        <v>468</v>
      </c>
      <c r="W1582" s="329" t="s">
        <v>469</v>
      </c>
      <c r="X1582" s="330"/>
      <c r="Z1582" s="325" t="s">
        <v>466</v>
      </c>
      <c r="AA1582" s="327" t="s">
        <v>467</v>
      </c>
      <c r="AB1582" s="327" t="s">
        <v>468</v>
      </c>
      <c r="AC1582" s="329" t="s">
        <v>469</v>
      </c>
      <c r="AD1582" s="330"/>
    </row>
    <row r="1583" spans="2:63" ht="14.4" thickBot="1" x14ac:dyDescent="0.3">
      <c r="B1583" s="326"/>
      <c r="C1583" s="328"/>
      <c r="D1583" s="328"/>
      <c r="E1583" s="232" t="s">
        <v>403</v>
      </c>
      <c r="F1583" s="174" t="s">
        <v>402</v>
      </c>
      <c r="H1583" s="326"/>
      <c r="I1583" s="328"/>
      <c r="J1583" s="328"/>
      <c r="K1583" s="232" t="s">
        <v>403</v>
      </c>
      <c r="L1583" s="174" t="s">
        <v>402</v>
      </c>
      <c r="N1583" s="326"/>
      <c r="O1583" s="328"/>
      <c r="P1583" s="328"/>
      <c r="Q1583" s="232" t="s">
        <v>403</v>
      </c>
      <c r="R1583" s="174" t="s">
        <v>402</v>
      </c>
      <c r="T1583" s="326"/>
      <c r="U1583" s="328"/>
      <c r="V1583" s="328"/>
      <c r="W1583" s="232" t="s">
        <v>403</v>
      </c>
      <c r="X1583" s="174" t="s">
        <v>402</v>
      </c>
      <c r="Z1583" s="326"/>
      <c r="AA1583" s="328"/>
      <c r="AB1583" s="328"/>
      <c r="AC1583" s="232" t="s">
        <v>403</v>
      </c>
      <c r="AD1583" s="174" t="s">
        <v>402</v>
      </c>
    </row>
    <row r="1584" spans="2:63" ht="14.4" thickTop="1" x14ac:dyDescent="0.25">
      <c r="B1584" s="236">
        <v>41670</v>
      </c>
      <c r="C1584" s="171"/>
      <c r="D1584" s="166" t="s">
        <v>470</v>
      </c>
      <c r="E1584" s="167">
        <f>SUMIF('Libro Diario Convencional'!$D$15:$D$167,D1578,'Libro Diario Convencional'!$G$15:$G$167)</f>
        <v>0</v>
      </c>
      <c r="F1584" s="168">
        <f>SUMIF('Libro Diario Convencional'!$D$15:$D$167,D1578,'Libro Diario Convencional'!$H$15:$H$167)</f>
        <v>0</v>
      </c>
      <c r="H1584" s="236">
        <v>41670</v>
      </c>
      <c r="I1584" s="171"/>
      <c r="J1584" s="166" t="s">
        <v>470</v>
      </c>
      <c r="K1584" s="167">
        <f>SUMIF('Libro Diario Convencional'!$D$15:$D$167,J1578,'Libro Diario Convencional'!$G$15:$G$167)</f>
        <v>0</v>
      </c>
      <c r="L1584" s="168">
        <f>SUMIF('Libro Diario Convencional'!$D$15:$D$167,J1578,'Libro Diario Convencional'!$H$15:$H$167)</f>
        <v>0</v>
      </c>
      <c r="N1584" s="236">
        <v>41670</v>
      </c>
      <c r="O1584" s="171"/>
      <c r="P1584" s="166" t="s">
        <v>470</v>
      </c>
      <c r="Q1584" s="167">
        <f>SUMIF('Libro Diario Convencional'!$D$15:$D$167,P1578,'Libro Diario Convencional'!$G$15:$G$167)</f>
        <v>0</v>
      </c>
      <c r="R1584" s="168">
        <f>SUMIF('Libro Diario Convencional'!$D$15:$D$167,P1578,'Libro Diario Convencional'!$H$15:$H$167)</f>
        <v>0</v>
      </c>
      <c r="T1584" s="236">
        <v>41670</v>
      </c>
      <c r="U1584" s="171"/>
      <c r="V1584" s="166" t="s">
        <v>470</v>
      </c>
      <c r="W1584" s="167">
        <f>SUMIF('Libro Diario Convencional'!$D$15:$D$167,V1578,'Libro Diario Convencional'!$G$15:$G$167)</f>
        <v>0</v>
      </c>
      <c r="X1584" s="168">
        <f>SUMIF('Libro Diario Convencional'!$D$15:$D$167,V1578,'Libro Diario Convencional'!$H$15:$H$167)</f>
        <v>0</v>
      </c>
      <c r="Z1584" s="236">
        <v>41670</v>
      </c>
      <c r="AA1584" s="171"/>
      <c r="AB1584" s="166" t="s">
        <v>470</v>
      </c>
      <c r="AC1584" s="167">
        <f>SUMIF('Libro Diario Convencional'!$D$15:$D$167,AB1578,'Libro Diario Convencional'!$G$15:$G$167)</f>
        <v>0</v>
      </c>
      <c r="AD1584" s="168">
        <f>SUMIF('Libro Diario Convencional'!$D$15:$D$167,AB1578,'Libro Diario Convencional'!$H$15:$H$167)</f>
        <v>0</v>
      </c>
    </row>
    <row r="1585" spans="2:63" x14ac:dyDescent="0.25">
      <c r="B1585" s="169">
        <v>41670</v>
      </c>
      <c r="C1585" s="172"/>
      <c r="D1585" s="161" t="s">
        <v>474</v>
      </c>
      <c r="E1585" s="162">
        <f>SUMIF('Asientos de Cierre'!$D$6:$D$549,D1578,'Asientos de Cierre'!$G$6:$G$549)</f>
        <v>0</v>
      </c>
      <c r="F1585" s="163">
        <f>SUMIF('Asientos de Cierre'!$D$6:$D$549,D1578,'Asientos de Cierre'!$H$6:$H$549)</f>
        <v>0</v>
      </c>
      <c r="H1585" s="169">
        <v>41670</v>
      </c>
      <c r="I1585" s="172"/>
      <c r="J1585" s="161" t="s">
        <v>474</v>
      </c>
      <c r="K1585" s="162">
        <f>SUMIF('Asientos de Cierre'!$D$6:$D$549,J1578,'Asientos de Cierre'!$G$6:$G$549)</f>
        <v>0</v>
      </c>
      <c r="L1585" s="163">
        <f>SUMIF('Asientos de Cierre'!$D$6:$D$549,J1578,'Asientos de Cierre'!$H$6:$H$549)</f>
        <v>0</v>
      </c>
      <c r="N1585" s="169">
        <v>41670</v>
      </c>
      <c r="O1585" s="172"/>
      <c r="P1585" s="161" t="s">
        <v>474</v>
      </c>
      <c r="Q1585" s="162">
        <f>SUMIF('Asientos de Cierre'!$D$6:$D$549,P1578,'Asientos de Cierre'!$G$6:$G$549)</f>
        <v>0</v>
      </c>
      <c r="R1585" s="163">
        <f>SUMIF('Asientos de Cierre'!$D$6:$D$549,P1578,'Asientos de Cierre'!$H$6:$H$549)</f>
        <v>0</v>
      </c>
      <c r="T1585" s="169">
        <v>41670</v>
      </c>
      <c r="U1585" s="172"/>
      <c r="V1585" s="161" t="s">
        <v>474</v>
      </c>
      <c r="W1585" s="162">
        <f>SUMIF('Asientos de Cierre'!$D$6:$D$549,V1578,'Asientos de Cierre'!$G$6:$G$549)</f>
        <v>0</v>
      </c>
      <c r="X1585" s="163">
        <f>SUMIF('Asientos de Cierre'!$D$6:$D$549,V1578,'Asientos de Cierre'!$H$6:$H$549)</f>
        <v>0</v>
      </c>
      <c r="Z1585" s="169">
        <v>41670</v>
      </c>
      <c r="AA1585" s="172"/>
      <c r="AB1585" s="161" t="s">
        <v>474</v>
      </c>
      <c r="AC1585" s="162">
        <f>SUMIF('Asientos de Cierre'!$D$6:$D$549,AB1578,'Asientos de Cierre'!$G$6:$G$549)</f>
        <v>0</v>
      </c>
      <c r="AD1585" s="163">
        <f>SUMIF('Asientos de Cierre'!$D$6:$D$549,AB1578,'Asientos de Cierre'!$H$6:$H$549)</f>
        <v>0</v>
      </c>
    </row>
    <row r="1586" spans="2:63" x14ac:dyDescent="0.25">
      <c r="B1586" s="169"/>
      <c r="C1586" s="172"/>
      <c r="D1586" s="161"/>
      <c r="E1586" s="162"/>
      <c r="F1586" s="163"/>
      <c r="H1586" s="169"/>
      <c r="I1586" s="172"/>
      <c r="J1586" s="161"/>
      <c r="K1586" s="162"/>
      <c r="L1586" s="163"/>
      <c r="N1586" s="169"/>
      <c r="O1586" s="172"/>
      <c r="P1586" s="161"/>
      <c r="Q1586" s="162"/>
      <c r="R1586" s="163"/>
      <c r="T1586" s="169"/>
      <c r="U1586" s="172"/>
      <c r="V1586" s="161"/>
      <c r="W1586" s="162"/>
      <c r="X1586" s="163"/>
      <c r="Z1586" s="169"/>
      <c r="AA1586" s="172"/>
      <c r="AB1586" s="161"/>
      <c r="AC1586" s="162"/>
      <c r="AD1586" s="163"/>
    </row>
    <row r="1587" spans="2:63" ht="14.4" thickBot="1" x14ac:dyDescent="0.3">
      <c r="B1587" s="169"/>
      <c r="C1587" s="172"/>
      <c r="D1587" s="161"/>
      <c r="E1587" s="162"/>
      <c r="F1587" s="163"/>
      <c r="H1587" s="169"/>
      <c r="I1587" s="172"/>
      <c r="J1587" s="161"/>
      <c r="K1587" s="162"/>
      <c r="L1587" s="163"/>
      <c r="N1587" s="169"/>
      <c r="O1587" s="172"/>
      <c r="P1587" s="161"/>
      <c r="Q1587" s="162"/>
      <c r="R1587" s="163"/>
      <c r="T1587" s="169"/>
      <c r="U1587" s="172"/>
      <c r="V1587" s="161"/>
      <c r="W1587" s="162"/>
      <c r="X1587" s="163"/>
      <c r="Z1587" s="169"/>
      <c r="AA1587" s="172"/>
      <c r="AB1587" s="161"/>
      <c r="AC1587" s="162"/>
      <c r="AD1587" s="163"/>
    </row>
    <row r="1588" spans="2:63" ht="15" thickBot="1" x14ac:dyDescent="0.3">
      <c r="B1588" s="169"/>
      <c r="C1588" s="172"/>
      <c r="D1588" s="161" t="s">
        <v>471</v>
      </c>
      <c r="E1588" s="162">
        <f>SUM(E1584:E1587)</f>
        <v>0</v>
      </c>
      <c r="F1588" s="163">
        <f>SUM(F1584:F1587)</f>
        <v>0</v>
      </c>
      <c r="H1588" s="169"/>
      <c r="I1588" s="172"/>
      <c r="J1588" s="161" t="s">
        <v>471</v>
      </c>
      <c r="K1588" s="162">
        <f>SUM(K1584:K1587)</f>
        <v>0</v>
      </c>
      <c r="L1588" s="163">
        <f>SUM(L1584:L1587)</f>
        <v>0</v>
      </c>
      <c r="N1588" s="169"/>
      <c r="O1588" s="172"/>
      <c r="P1588" s="161" t="s">
        <v>471</v>
      </c>
      <c r="Q1588" s="162">
        <f>SUM(Q1584:Q1587)</f>
        <v>0</v>
      </c>
      <c r="R1588" s="163">
        <f>SUM(R1584:R1587)</f>
        <v>0</v>
      </c>
      <c r="T1588" s="169"/>
      <c r="U1588" s="172"/>
      <c r="V1588" s="161" t="s">
        <v>471</v>
      </c>
      <c r="W1588" s="162">
        <f>SUM(W1584:W1587)</f>
        <v>0</v>
      </c>
      <c r="X1588" s="163">
        <f>SUM(X1584:X1587)</f>
        <v>0</v>
      </c>
      <c r="Z1588" s="169"/>
      <c r="AA1588" s="172"/>
      <c r="AB1588" s="161" t="s">
        <v>471</v>
      </c>
      <c r="AC1588" s="162">
        <f>SUM(AC1584:AC1587)</f>
        <v>0</v>
      </c>
      <c r="AD1588" s="163">
        <f>SUM(AD1584:AD1587)</f>
        <v>0</v>
      </c>
      <c r="BJ1588" s="157">
        <f>SUM(E1588,K1588,Q1588,W1588,AC1588,AI1588,AO1588,AU1588,BA1588,BG1588)</f>
        <v>0</v>
      </c>
      <c r="BK1588" s="158">
        <f>SUM(F1588,L1588,R1588,X1588,AD1588,AJ1588,AP1588,AV1588,BB1588,BH1588)</f>
        <v>0</v>
      </c>
    </row>
    <row r="1589" spans="2:63" ht="14.4" thickBot="1" x14ac:dyDescent="0.3">
      <c r="B1589" s="170"/>
      <c r="C1589" s="173"/>
      <c r="D1589" s="164" t="str">
        <f>IF(E1588=F1588,"",IF(E1588&gt;F1588,"Saldo Deudor","Saldo Acreedor"))</f>
        <v/>
      </c>
      <c r="E1589" s="165" t="str">
        <f>IF(E1588&gt;F1588,E1588-F1588,"")</f>
        <v/>
      </c>
      <c r="F1589" s="176" t="str">
        <f>IF(E1588&lt;F1588,F1588-E1588,"")</f>
        <v/>
      </c>
      <c r="H1589" s="170"/>
      <c r="I1589" s="173"/>
      <c r="J1589" s="164" t="str">
        <f>IF(K1588=L1588,"",IF(K1588&gt;L1588,"Saldo Deudor","Saldo Acreedor"))</f>
        <v/>
      </c>
      <c r="K1589" s="165" t="str">
        <f>IF(K1588&gt;L1588,K1588-L1588,"")</f>
        <v/>
      </c>
      <c r="L1589" s="176" t="str">
        <f>IF(K1588&lt;L1588,L1588-K1588,"")</f>
        <v/>
      </c>
      <c r="N1589" s="170"/>
      <c r="O1589" s="173"/>
      <c r="P1589" s="164" t="str">
        <f>IF(Q1588=R1588,"",IF(Q1588&gt;R1588,"Saldo Deudor","Saldo Acreedor"))</f>
        <v/>
      </c>
      <c r="Q1589" s="165" t="str">
        <f>IF(Q1588&gt;R1588,Q1588-R1588,"")</f>
        <v/>
      </c>
      <c r="R1589" s="176" t="str">
        <f>IF(Q1588&lt;R1588,R1588-Q1588,"")</f>
        <v/>
      </c>
      <c r="T1589" s="170"/>
      <c r="U1589" s="173"/>
      <c r="V1589" s="164" t="str">
        <f>IF(W1588=X1588,"",IF(W1588&gt;X1588,"Saldo Deudor","Saldo Acreedor"))</f>
        <v/>
      </c>
      <c r="W1589" s="165" t="str">
        <f>IF(W1588&gt;X1588,W1588-X1588,"")</f>
        <v/>
      </c>
      <c r="X1589" s="176" t="str">
        <f>IF(W1588&lt;X1588,X1588-W1588,"")</f>
        <v/>
      </c>
      <c r="Z1589" s="170"/>
      <c r="AA1589" s="173"/>
      <c r="AB1589" s="164" t="str">
        <f>IF(AC1588=AD1588,"",IF(AC1588&gt;AD1588,"Saldo Deudor","Saldo Acreedor"))</f>
        <v/>
      </c>
      <c r="AC1589" s="165" t="str">
        <f>IF(AC1588&gt;AD1588,AC1588-AD1588,"")</f>
        <v/>
      </c>
      <c r="AD1589" s="176" t="str">
        <f>IF(AC1588&lt;AD1588,AD1588-AC1588,"")</f>
        <v/>
      </c>
    </row>
    <row r="1592" spans="2:63" ht="15.6" x14ac:dyDescent="0.25">
      <c r="B1592" s="324" t="s">
        <v>472</v>
      </c>
      <c r="C1592" s="324"/>
      <c r="D1592" s="175">
        <v>7031</v>
      </c>
      <c r="E1592" s="160"/>
      <c r="H1592" s="324" t="s">
        <v>472</v>
      </c>
      <c r="I1592" s="324"/>
      <c r="J1592" s="175">
        <v>7032</v>
      </c>
      <c r="K1592" s="160"/>
    </row>
    <row r="1593" spans="2:63" x14ac:dyDescent="0.25">
      <c r="B1593" s="160"/>
      <c r="C1593" s="160"/>
      <c r="D1593" s="160"/>
      <c r="E1593" s="160"/>
      <c r="H1593" s="160"/>
      <c r="I1593" s="160"/>
      <c r="J1593" s="160"/>
      <c r="K1593" s="160"/>
    </row>
    <row r="1594" spans="2:63" ht="15.6" x14ac:dyDescent="0.25">
      <c r="B1594" s="324" t="s">
        <v>473</v>
      </c>
      <c r="C1594" s="324"/>
      <c r="D1594" s="234" t="str">
        <f>VLOOKUP(D1592,DivisionariasContables,3,FALSE)</f>
        <v>Subproductos, Desechos y Desperdicios - Subproductos</v>
      </c>
      <c r="E1594" s="160"/>
      <c r="H1594" s="324" t="s">
        <v>473</v>
      </c>
      <c r="I1594" s="324"/>
      <c r="J1594" s="234" t="str">
        <f>VLOOKUP(J1592,DivisionariasContables,3,FALSE)</f>
        <v>Subproductos, Desechos y Desperdicios - Desechos y Desperdicios</v>
      </c>
      <c r="K1594" s="160"/>
    </row>
    <row r="1595" spans="2:63" ht="14.4" thickBot="1" x14ac:dyDescent="0.3"/>
    <row r="1596" spans="2:63" x14ac:dyDescent="0.25">
      <c r="B1596" s="325" t="s">
        <v>466</v>
      </c>
      <c r="C1596" s="327" t="s">
        <v>467</v>
      </c>
      <c r="D1596" s="327" t="s">
        <v>468</v>
      </c>
      <c r="E1596" s="329" t="s">
        <v>469</v>
      </c>
      <c r="F1596" s="330"/>
      <c r="H1596" s="325" t="s">
        <v>466</v>
      </c>
      <c r="I1596" s="327" t="s">
        <v>467</v>
      </c>
      <c r="J1596" s="327" t="s">
        <v>468</v>
      </c>
      <c r="K1596" s="329" t="s">
        <v>469</v>
      </c>
      <c r="L1596" s="330"/>
    </row>
    <row r="1597" spans="2:63" ht="14.4" thickBot="1" x14ac:dyDescent="0.3">
      <c r="B1597" s="326"/>
      <c r="C1597" s="328"/>
      <c r="D1597" s="328"/>
      <c r="E1597" s="232" t="s">
        <v>403</v>
      </c>
      <c r="F1597" s="174" t="s">
        <v>402</v>
      </c>
      <c r="H1597" s="326"/>
      <c r="I1597" s="328"/>
      <c r="J1597" s="328"/>
      <c r="K1597" s="232" t="s">
        <v>403</v>
      </c>
      <c r="L1597" s="174" t="s">
        <v>402</v>
      </c>
    </row>
    <row r="1598" spans="2:63" ht="14.4" thickTop="1" x14ac:dyDescent="0.25">
      <c r="B1598" s="236">
        <v>41670</v>
      </c>
      <c r="C1598" s="171"/>
      <c r="D1598" s="166" t="s">
        <v>470</v>
      </c>
      <c r="E1598" s="167">
        <f>SUMIF('Libro Diario Convencional'!$D$15:$D$167,D1592,'Libro Diario Convencional'!$G$15:$G$167)</f>
        <v>0</v>
      </c>
      <c r="F1598" s="168">
        <f>SUMIF('Libro Diario Convencional'!$D$15:$D$167,D1592,'Libro Diario Convencional'!$H$15:$H$167)</f>
        <v>0</v>
      </c>
      <c r="H1598" s="236">
        <v>41670</v>
      </c>
      <c r="I1598" s="171"/>
      <c r="J1598" s="166" t="s">
        <v>470</v>
      </c>
      <c r="K1598" s="167">
        <f>SUMIF('Libro Diario Convencional'!$D$15:$D$167,J1592,'Libro Diario Convencional'!$G$15:$G$167)</f>
        <v>0</v>
      </c>
      <c r="L1598" s="168">
        <f>SUMIF('Libro Diario Convencional'!$D$15:$D$167,J1592,'Libro Diario Convencional'!$H$15:$H$167)</f>
        <v>0</v>
      </c>
    </row>
    <row r="1599" spans="2:63" x14ac:dyDescent="0.25">
      <c r="B1599" s="169">
        <v>41670</v>
      </c>
      <c r="C1599" s="172"/>
      <c r="D1599" s="161" t="s">
        <v>474</v>
      </c>
      <c r="E1599" s="162">
        <f>SUMIF('Asientos de Cierre'!$D$6:$D$549,D1592,'Asientos de Cierre'!$G$6:$G$549)</f>
        <v>0</v>
      </c>
      <c r="F1599" s="163">
        <f>SUMIF('Asientos de Cierre'!$D$6:$D$549,D1592,'Asientos de Cierre'!$H$6:$H$549)</f>
        <v>0</v>
      </c>
      <c r="H1599" s="169">
        <v>41670</v>
      </c>
      <c r="I1599" s="172"/>
      <c r="J1599" s="161" t="s">
        <v>474</v>
      </c>
      <c r="K1599" s="162">
        <f>SUMIF('Asientos de Cierre'!$D$6:$D$549,J1592,'Asientos de Cierre'!$G$6:$G$549)</f>
        <v>0</v>
      </c>
      <c r="L1599" s="163">
        <f>SUMIF('Asientos de Cierre'!$D$6:$D$549,J1592,'Asientos de Cierre'!$H$6:$H$549)</f>
        <v>0</v>
      </c>
    </row>
    <row r="1600" spans="2:63" x14ac:dyDescent="0.25">
      <c r="B1600" s="169"/>
      <c r="C1600" s="172"/>
      <c r="D1600" s="161"/>
      <c r="E1600" s="162"/>
      <c r="F1600" s="163"/>
      <c r="H1600" s="169"/>
      <c r="I1600" s="172"/>
      <c r="J1600" s="161"/>
      <c r="K1600" s="162"/>
      <c r="L1600" s="163"/>
    </row>
    <row r="1601" spans="2:63" ht="14.4" thickBot="1" x14ac:dyDescent="0.3">
      <c r="B1601" s="169"/>
      <c r="C1601" s="172"/>
      <c r="D1601" s="161"/>
      <c r="E1601" s="162"/>
      <c r="F1601" s="163"/>
      <c r="H1601" s="169"/>
      <c r="I1601" s="172"/>
      <c r="J1601" s="161"/>
      <c r="K1601" s="162"/>
      <c r="L1601" s="163"/>
    </row>
    <row r="1602" spans="2:63" ht="15" thickBot="1" x14ac:dyDescent="0.3">
      <c r="B1602" s="169"/>
      <c r="C1602" s="172"/>
      <c r="D1602" s="161" t="s">
        <v>471</v>
      </c>
      <c r="E1602" s="162">
        <f>SUM(E1598:E1601)</f>
        <v>0</v>
      </c>
      <c r="F1602" s="163">
        <f>SUM(F1598:F1601)</f>
        <v>0</v>
      </c>
      <c r="H1602" s="169"/>
      <c r="I1602" s="172"/>
      <c r="J1602" s="161" t="s">
        <v>471</v>
      </c>
      <c r="K1602" s="162">
        <f>SUM(K1598:K1601)</f>
        <v>0</v>
      </c>
      <c r="L1602" s="163">
        <f>SUM(L1598:L1601)</f>
        <v>0</v>
      </c>
      <c r="BJ1602" s="157">
        <f>SUM(E1602,K1602,Q1602,W1602,AC1602,AI1602,AO1602,AU1602,BA1602,BG1602)</f>
        <v>0</v>
      </c>
      <c r="BK1602" s="158">
        <f>SUM(F1602,L1602,R1602,X1602,AD1602,AJ1602,AP1602,AV1602,BB1602,BH1602)</f>
        <v>0</v>
      </c>
    </row>
    <row r="1603" spans="2:63" ht="14.4" thickBot="1" x14ac:dyDescent="0.3">
      <c r="B1603" s="170"/>
      <c r="C1603" s="173"/>
      <c r="D1603" s="164" t="str">
        <f>IF(E1602=F1602,"",IF(E1602&gt;F1602,"Saldo Deudor","Saldo Acreedor"))</f>
        <v/>
      </c>
      <c r="E1603" s="165" t="str">
        <f>IF(E1602&gt;F1602,E1602-F1602,"")</f>
        <v/>
      </c>
      <c r="F1603" s="176" t="str">
        <f>IF(E1602&lt;F1602,F1602-E1602,"")</f>
        <v/>
      </c>
      <c r="H1603" s="170"/>
      <c r="I1603" s="173"/>
      <c r="J1603" s="164" t="str">
        <f>IF(K1602=L1602,"",IF(K1602&gt;L1602,"Saldo Deudor","Saldo Acreedor"))</f>
        <v/>
      </c>
      <c r="K1603" s="165" t="str">
        <f>IF(K1602&gt;L1602,K1602-L1602,"")</f>
        <v/>
      </c>
      <c r="L1603" s="176" t="str">
        <f>IF(K1602&lt;L1602,L1602-K1602,"")</f>
        <v/>
      </c>
    </row>
    <row r="1606" spans="2:63" ht="15.6" x14ac:dyDescent="0.25">
      <c r="B1606" s="324" t="s">
        <v>472</v>
      </c>
      <c r="C1606" s="324"/>
      <c r="D1606" s="175">
        <v>7041</v>
      </c>
      <c r="E1606" s="160"/>
      <c r="H1606" s="324" t="s">
        <v>472</v>
      </c>
      <c r="I1606" s="324"/>
      <c r="J1606" s="175">
        <v>7042</v>
      </c>
      <c r="K1606" s="160"/>
    </row>
    <row r="1607" spans="2:63" x14ac:dyDescent="0.25">
      <c r="B1607" s="160"/>
      <c r="C1607" s="160"/>
      <c r="D1607" s="160"/>
      <c r="E1607" s="160"/>
      <c r="H1607" s="160"/>
      <c r="I1607" s="160"/>
      <c r="J1607" s="160"/>
      <c r="K1607" s="160"/>
    </row>
    <row r="1608" spans="2:63" ht="15.6" x14ac:dyDescent="0.25">
      <c r="B1608" s="324" t="s">
        <v>473</v>
      </c>
      <c r="C1608" s="324"/>
      <c r="D1608" s="234" t="str">
        <f>VLOOKUP(D1606,DivisionariasContables,3,FALSE)</f>
        <v>Prestación de Servicios - Terceros</v>
      </c>
      <c r="E1608" s="160"/>
      <c r="H1608" s="324" t="s">
        <v>473</v>
      </c>
      <c r="I1608" s="324"/>
      <c r="J1608" s="234" t="str">
        <f>VLOOKUP(J1606,DivisionariasContables,3,FALSE)</f>
        <v>Prestación de Servicios - Relacionadas</v>
      </c>
      <c r="K1608" s="160"/>
    </row>
    <row r="1609" spans="2:63" ht="14.4" thickBot="1" x14ac:dyDescent="0.3"/>
    <row r="1610" spans="2:63" x14ac:dyDescent="0.25">
      <c r="B1610" s="325" t="s">
        <v>466</v>
      </c>
      <c r="C1610" s="327" t="s">
        <v>467</v>
      </c>
      <c r="D1610" s="327" t="s">
        <v>468</v>
      </c>
      <c r="E1610" s="329" t="s">
        <v>469</v>
      </c>
      <c r="F1610" s="330"/>
      <c r="H1610" s="325" t="s">
        <v>466</v>
      </c>
      <c r="I1610" s="327" t="s">
        <v>467</v>
      </c>
      <c r="J1610" s="327" t="s">
        <v>468</v>
      </c>
      <c r="K1610" s="329" t="s">
        <v>469</v>
      </c>
      <c r="L1610" s="330"/>
    </row>
    <row r="1611" spans="2:63" ht="14.4" thickBot="1" x14ac:dyDescent="0.3">
      <c r="B1611" s="326"/>
      <c r="C1611" s="328"/>
      <c r="D1611" s="328"/>
      <c r="E1611" s="232" t="s">
        <v>403</v>
      </c>
      <c r="F1611" s="174" t="s">
        <v>402</v>
      </c>
      <c r="H1611" s="326"/>
      <c r="I1611" s="328"/>
      <c r="J1611" s="328"/>
      <c r="K1611" s="232" t="s">
        <v>403</v>
      </c>
      <c r="L1611" s="174" t="s">
        <v>402</v>
      </c>
    </row>
    <row r="1612" spans="2:63" ht="14.4" thickTop="1" x14ac:dyDescent="0.25">
      <c r="B1612" s="236">
        <v>41670</v>
      </c>
      <c r="C1612" s="171"/>
      <c r="D1612" s="166" t="s">
        <v>470</v>
      </c>
      <c r="E1612" s="167">
        <f>SUMIF('Libro Diario Convencional'!$D$15:$D$167,D1606,'Libro Diario Convencional'!$G$15:$G$167)</f>
        <v>0</v>
      </c>
      <c r="F1612" s="168">
        <f>SUMIF('Libro Diario Convencional'!$D$15:$D$167,D1606,'Libro Diario Convencional'!$H$15:$H$167)</f>
        <v>0</v>
      </c>
      <c r="H1612" s="236">
        <v>41670</v>
      </c>
      <c r="I1612" s="171"/>
      <c r="J1612" s="166" t="s">
        <v>470</v>
      </c>
      <c r="K1612" s="167">
        <f>SUMIF('Libro Diario Convencional'!$D$15:$D$167,J1606,'Libro Diario Convencional'!$G$15:$G$167)</f>
        <v>0</v>
      </c>
      <c r="L1612" s="168">
        <f>SUMIF('Libro Diario Convencional'!$D$15:$D$167,J1606,'Libro Diario Convencional'!$H$15:$H$167)</f>
        <v>0</v>
      </c>
    </row>
    <row r="1613" spans="2:63" x14ac:dyDescent="0.25">
      <c r="B1613" s="169">
        <v>41670</v>
      </c>
      <c r="C1613" s="172"/>
      <c r="D1613" s="161" t="s">
        <v>474</v>
      </c>
      <c r="E1613" s="162">
        <f>SUMIF('Asientos de Cierre'!$D$6:$D$549,D1606,'Asientos de Cierre'!$G$6:$G$549)</f>
        <v>0</v>
      </c>
      <c r="F1613" s="163">
        <f>SUMIF('Asientos de Cierre'!$D$6:$D$549,D1606,'Asientos de Cierre'!$H$6:$H$549)</f>
        <v>0</v>
      </c>
      <c r="H1613" s="169">
        <v>41670</v>
      </c>
      <c r="I1613" s="172"/>
      <c r="J1613" s="161" t="s">
        <v>474</v>
      </c>
      <c r="K1613" s="162">
        <f>SUMIF('Asientos de Cierre'!$D$6:$D$549,J1606,'Asientos de Cierre'!$G$6:$G$549)</f>
        <v>0</v>
      </c>
      <c r="L1613" s="163">
        <f>SUMIF('Asientos de Cierre'!$D$6:$D$549,J1606,'Asientos de Cierre'!$H$6:$H$549)</f>
        <v>0</v>
      </c>
    </row>
    <row r="1614" spans="2:63" x14ac:dyDescent="0.25">
      <c r="B1614" s="169"/>
      <c r="C1614" s="172"/>
      <c r="D1614" s="161"/>
      <c r="E1614" s="162"/>
      <c r="F1614" s="163"/>
      <c r="H1614" s="169"/>
      <c r="I1614" s="172"/>
      <c r="J1614" s="161"/>
      <c r="K1614" s="162"/>
      <c r="L1614" s="163"/>
    </row>
    <row r="1615" spans="2:63" ht="14.4" thickBot="1" x14ac:dyDescent="0.3">
      <c r="B1615" s="169"/>
      <c r="C1615" s="172"/>
      <c r="D1615" s="161"/>
      <c r="E1615" s="162"/>
      <c r="F1615" s="163"/>
      <c r="H1615" s="169"/>
      <c r="I1615" s="172"/>
      <c r="J1615" s="161"/>
      <c r="K1615" s="162"/>
      <c r="L1615" s="163"/>
    </row>
    <row r="1616" spans="2:63" ht="15" thickBot="1" x14ac:dyDescent="0.3">
      <c r="B1616" s="169"/>
      <c r="C1616" s="172"/>
      <c r="D1616" s="161" t="s">
        <v>471</v>
      </c>
      <c r="E1616" s="162">
        <f>SUM(E1612:E1615)</f>
        <v>0</v>
      </c>
      <c r="F1616" s="163">
        <f>SUM(F1612:F1615)</f>
        <v>0</v>
      </c>
      <c r="H1616" s="169"/>
      <c r="I1616" s="172"/>
      <c r="J1616" s="161" t="s">
        <v>471</v>
      </c>
      <c r="K1616" s="162">
        <f>SUM(K1612:K1615)</f>
        <v>0</v>
      </c>
      <c r="L1616" s="163">
        <f>SUM(L1612:L1615)</f>
        <v>0</v>
      </c>
      <c r="BJ1616" s="157">
        <f>SUM(E1616,K1616,Q1616,W1616,AC1616,AI1616,AO1616,AU1616,BA1616,BG1616)</f>
        <v>0</v>
      </c>
      <c r="BK1616" s="158">
        <f>SUM(F1616,L1616,R1616,X1616,AD1616,AJ1616,AP1616,AV1616,BB1616,BH1616)</f>
        <v>0</v>
      </c>
    </row>
    <row r="1617" spans="2:63" ht="14.4" thickBot="1" x14ac:dyDescent="0.3">
      <c r="B1617" s="170"/>
      <c r="C1617" s="173"/>
      <c r="D1617" s="164" t="str">
        <f>IF(E1616=F1616,"",IF(E1616&gt;F1616,"Saldo Deudor","Saldo Acreedor"))</f>
        <v/>
      </c>
      <c r="E1617" s="165" t="str">
        <f>IF(E1616&gt;F1616,E1616-F1616,"")</f>
        <v/>
      </c>
      <c r="F1617" s="176" t="str">
        <f>IF(E1616&lt;F1616,F1616-E1616,"")</f>
        <v/>
      </c>
      <c r="H1617" s="170"/>
      <c r="I1617" s="173"/>
      <c r="J1617" s="164" t="str">
        <f>IF(K1616=L1616,"",IF(K1616&gt;L1616,"Saldo Deudor","Saldo Acreedor"))</f>
        <v/>
      </c>
      <c r="K1617" s="165" t="str">
        <f>IF(K1616&gt;L1616,K1616-L1616,"")</f>
        <v/>
      </c>
      <c r="L1617" s="176" t="str">
        <f>IF(K1616&lt;L1616,L1616-K1616,"")</f>
        <v/>
      </c>
    </row>
    <row r="1620" spans="2:63" ht="15.6" x14ac:dyDescent="0.25">
      <c r="B1620" s="324" t="s">
        <v>472</v>
      </c>
      <c r="C1620" s="324"/>
      <c r="D1620" s="175">
        <v>7091</v>
      </c>
      <c r="E1620" s="160"/>
      <c r="H1620" s="324" t="s">
        <v>472</v>
      </c>
      <c r="I1620" s="324"/>
      <c r="J1620" s="175">
        <v>7092</v>
      </c>
      <c r="K1620" s="160"/>
      <c r="N1620" s="324" t="s">
        <v>472</v>
      </c>
      <c r="O1620" s="324"/>
      <c r="P1620" s="175">
        <v>7093</v>
      </c>
      <c r="Q1620" s="160"/>
      <c r="T1620" s="324" t="s">
        <v>472</v>
      </c>
      <c r="U1620" s="324"/>
      <c r="V1620" s="175">
        <v>7094</v>
      </c>
      <c r="W1620" s="160"/>
      <c r="Z1620" s="324" t="s">
        <v>472</v>
      </c>
      <c r="AA1620" s="324"/>
      <c r="AB1620" s="175">
        <v>7095</v>
      </c>
      <c r="AC1620" s="160"/>
      <c r="AF1620" s="324" t="s">
        <v>472</v>
      </c>
      <c r="AG1620" s="324"/>
      <c r="AH1620" s="175">
        <v>7096</v>
      </c>
      <c r="AI1620" s="160"/>
      <c r="AL1620" s="324" t="s">
        <v>472</v>
      </c>
      <c r="AM1620" s="324"/>
      <c r="AN1620" s="175">
        <v>7097</v>
      </c>
      <c r="AO1620" s="160"/>
    </row>
    <row r="1621" spans="2:63" x14ac:dyDescent="0.25">
      <c r="B1621" s="160"/>
      <c r="C1621" s="160"/>
      <c r="D1621" s="160"/>
      <c r="E1621" s="160"/>
      <c r="H1621" s="160"/>
      <c r="I1621" s="160"/>
      <c r="J1621" s="160"/>
      <c r="K1621" s="160"/>
      <c r="N1621" s="160"/>
      <c r="O1621" s="160"/>
      <c r="P1621" s="160"/>
      <c r="Q1621" s="160"/>
      <c r="T1621" s="160"/>
      <c r="U1621" s="160"/>
      <c r="V1621" s="160"/>
      <c r="W1621" s="160"/>
      <c r="Z1621" s="160"/>
      <c r="AA1621" s="160"/>
      <c r="AB1621" s="160"/>
      <c r="AC1621" s="160"/>
      <c r="AF1621" s="160"/>
      <c r="AG1621" s="160"/>
      <c r="AH1621" s="160"/>
      <c r="AI1621" s="160"/>
      <c r="AL1621" s="160"/>
      <c r="AM1621" s="160"/>
      <c r="AN1621" s="160"/>
      <c r="AO1621" s="160"/>
    </row>
    <row r="1622" spans="2:63" ht="15.6" x14ac:dyDescent="0.25">
      <c r="B1622" s="324" t="s">
        <v>473</v>
      </c>
      <c r="C1622" s="324"/>
      <c r="D1622" s="234" t="str">
        <f>VLOOKUP(D1620,DivisionariasContables,3,FALSE)</f>
        <v>Devoluciones sobre Ventas - Mercaderías - Terceros</v>
      </c>
      <c r="E1622" s="160"/>
      <c r="H1622" s="324" t="s">
        <v>473</v>
      </c>
      <c r="I1622" s="324"/>
      <c r="J1622" s="234" t="str">
        <f>VLOOKUP(J1620,DivisionariasContables,3,FALSE)</f>
        <v>Devoluciones sobre Ventas - Mercaderías - Relacionadas</v>
      </c>
      <c r="K1622" s="160"/>
      <c r="N1622" s="324" t="s">
        <v>473</v>
      </c>
      <c r="O1622" s="324"/>
      <c r="P1622" s="234" t="str">
        <f>VLOOKUP(P1620,DivisionariasContables,3,FALSE)</f>
        <v>Devoluciones sobre Ventas - Productos Terminados - Terceros</v>
      </c>
      <c r="Q1622" s="160"/>
      <c r="T1622" s="324" t="s">
        <v>473</v>
      </c>
      <c r="U1622" s="324"/>
      <c r="V1622" s="234" t="str">
        <f>VLOOKUP(V1620,DivisionariasContables,3,FALSE)</f>
        <v>Devoluciones sobre Ventas - Productos Terminados - Relacionadas</v>
      </c>
      <c r="W1622" s="160"/>
      <c r="Z1622" s="324" t="s">
        <v>473</v>
      </c>
      <c r="AA1622" s="324"/>
      <c r="AB1622" s="234" t="str">
        <f>VLOOKUP(AB1620,DivisionariasContables,3,FALSE)</f>
        <v>Devoluciones sobre Ventas - Subproductos, Desechos y Desperdicios - Terceros</v>
      </c>
      <c r="AC1622" s="160"/>
      <c r="AF1622" s="324" t="s">
        <v>473</v>
      </c>
      <c r="AG1622" s="324"/>
      <c r="AH1622" s="234" t="str">
        <f>VLOOKUP(AH1620,DivisionariasContables,3,FALSE)</f>
        <v>Devoluciones sobre Ventas - Subproductos, Desechos y Desperdicios - Relacionadas</v>
      </c>
      <c r="AI1622" s="160"/>
      <c r="AL1622" s="324" t="s">
        <v>473</v>
      </c>
      <c r="AM1622" s="324"/>
      <c r="AN1622" s="234" t="e">
        <f>VLOOKUP(AN1620,DivisionariasContables,3,FALSE)</f>
        <v>#N/A</v>
      </c>
      <c r="AO1622" s="160"/>
    </row>
    <row r="1623" spans="2:63" ht="14.4" thickBot="1" x14ac:dyDescent="0.3"/>
    <row r="1624" spans="2:63" x14ac:dyDescent="0.25">
      <c r="B1624" s="325" t="s">
        <v>466</v>
      </c>
      <c r="C1624" s="327" t="s">
        <v>467</v>
      </c>
      <c r="D1624" s="327" t="s">
        <v>468</v>
      </c>
      <c r="E1624" s="329" t="s">
        <v>469</v>
      </c>
      <c r="F1624" s="330"/>
      <c r="H1624" s="325" t="s">
        <v>466</v>
      </c>
      <c r="I1624" s="327" t="s">
        <v>467</v>
      </c>
      <c r="J1624" s="327" t="s">
        <v>468</v>
      </c>
      <c r="K1624" s="329" t="s">
        <v>469</v>
      </c>
      <c r="L1624" s="330"/>
      <c r="N1624" s="325" t="s">
        <v>466</v>
      </c>
      <c r="O1624" s="327" t="s">
        <v>467</v>
      </c>
      <c r="P1624" s="327" t="s">
        <v>468</v>
      </c>
      <c r="Q1624" s="329" t="s">
        <v>469</v>
      </c>
      <c r="R1624" s="330"/>
      <c r="T1624" s="325" t="s">
        <v>466</v>
      </c>
      <c r="U1624" s="327" t="s">
        <v>467</v>
      </c>
      <c r="V1624" s="327" t="s">
        <v>468</v>
      </c>
      <c r="W1624" s="329" t="s">
        <v>469</v>
      </c>
      <c r="X1624" s="330"/>
      <c r="Z1624" s="325" t="s">
        <v>466</v>
      </c>
      <c r="AA1624" s="327" t="s">
        <v>467</v>
      </c>
      <c r="AB1624" s="327" t="s">
        <v>468</v>
      </c>
      <c r="AC1624" s="329" t="s">
        <v>469</v>
      </c>
      <c r="AD1624" s="330"/>
      <c r="AF1624" s="325" t="s">
        <v>466</v>
      </c>
      <c r="AG1624" s="327" t="s">
        <v>467</v>
      </c>
      <c r="AH1624" s="327" t="s">
        <v>468</v>
      </c>
      <c r="AI1624" s="329" t="s">
        <v>469</v>
      </c>
      <c r="AJ1624" s="330"/>
      <c r="AL1624" s="325" t="s">
        <v>466</v>
      </c>
      <c r="AM1624" s="327" t="s">
        <v>467</v>
      </c>
      <c r="AN1624" s="327" t="s">
        <v>468</v>
      </c>
      <c r="AO1624" s="329" t="s">
        <v>469</v>
      </c>
      <c r="AP1624" s="330"/>
    </row>
    <row r="1625" spans="2:63" ht="14.4" thickBot="1" x14ac:dyDescent="0.3">
      <c r="B1625" s="326"/>
      <c r="C1625" s="328"/>
      <c r="D1625" s="328"/>
      <c r="E1625" s="232" t="s">
        <v>403</v>
      </c>
      <c r="F1625" s="174" t="s">
        <v>402</v>
      </c>
      <c r="H1625" s="326"/>
      <c r="I1625" s="328"/>
      <c r="J1625" s="328"/>
      <c r="K1625" s="232" t="s">
        <v>403</v>
      </c>
      <c r="L1625" s="174" t="s">
        <v>402</v>
      </c>
      <c r="N1625" s="326"/>
      <c r="O1625" s="328"/>
      <c r="P1625" s="328"/>
      <c r="Q1625" s="232" t="s">
        <v>403</v>
      </c>
      <c r="R1625" s="174" t="s">
        <v>402</v>
      </c>
      <c r="T1625" s="326"/>
      <c r="U1625" s="328"/>
      <c r="V1625" s="328"/>
      <c r="W1625" s="232" t="s">
        <v>403</v>
      </c>
      <c r="X1625" s="174" t="s">
        <v>402</v>
      </c>
      <c r="Z1625" s="326"/>
      <c r="AA1625" s="328"/>
      <c r="AB1625" s="328"/>
      <c r="AC1625" s="232" t="s">
        <v>403</v>
      </c>
      <c r="AD1625" s="174" t="s">
        <v>402</v>
      </c>
      <c r="AF1625" s="326"/>
      <c r="AG1625" s="328"/>
      <c r="AH1625" s="328"/>
      <c r="AI1625" s="232" t="s">
        <v>403</v>
      </c>
      <c r="AJ1625" s="174" t="s">
        <v>402</v>
      </c>
      <c r="AL1625" s="326"/>
      <c r="AM1625" s="328"/>
      <c r="AN1625" s="328"/>
      <c r="AO1625" s="232" t="s">
        <v>403</v>
      </c>
      <c r="AP1625" s="174" t="s">
        <v>402</v>
      </c>
    </row>
    <row r="1626" spans="2:63" ht="14.4" thickTop="1" x14ac:dyDescent="0.25">
      <c r="B1626" s="236">
        <v>41670</v>
      </c>
      <c r="C1626" s="171"/>
      <c r="D1626" s="166" t="s">
        <v>470</v>
      </c>
      <c r="E1626" s="167">
        <f>SUMIF('Libro Diario Convencional'!$D$15:$D$167,D1620,'Libro Diario Convencional'!$G$15:$G$167)</f>
        <v>0</v>
      </c>
      <c r="F1626" s="168">
        <f>SUMIF('Libro Diario Convencional'!$D$15:$D$167,D1620,'Libro Diario Convencional'!$H$15:$H$167)</f>
        <v>0</v>
      </c>
      <c r="H1626" s="236">
        <v>41670</v>
      </c>
      <c r="I1626" s="171"/>
      <c r="J1626" s="166" t="s">
        <v>470</v>
      </c>
      <c r="K1626" s="167">
        <f>SUMIF('Libro Diario Convencional'!$D$15:$D$167,J1620,'Libro Diario Convencional'!$G$15:$G$167)</f>
        <v>0</v>
      </c>
      <c r="L1626" s="168">
        <f>SUMIF('Libro Diario Convencional'!$D$15:$D$167,J1620,'Libro Diario Convencional'!$H$15:$H$167)</f>
        <v>0</v>
      </c>
      <c r="N1626" s="236">
        <v>41670</v>
      </c>
      <c r="O1626" s="171"/>
      <c r="P1626" s="166" t="s">
        <v>470</v>
      </c>
      <c r="Q1626" s="167">
        <f>SUMIF('Libro Diario Convencional'!$D$15:$D$167,P1620,'Libro Diario Convencional'!$G$15:$G$167)</f>
        <v>0</v>
      </c>
      <c r="R1626" s="168">
        <f>SUMIF('Libro Diario Convencional'!$D$15:$D$167,P1620,'Libro Diario Convencional'!$H$15:$H$167)</f>
        <v>0</v>
      </c>
      <c r="T1626" s="236">
        <v>41670</v>
      </c>
      <c r="U1626" s="171"/>
      <c r="V1626" s="166" t="s">
        <v>470</v>
      </c>
      <c r="W1626" s="167">
        <f>SUMIF('Libro Diario Convencional'!$D$15:$D$167,V1620,'Libro Diario Convencional'!$G$15:$G$167)</f>
        <v>0</v>
      </c>
      <c r="X1626" s="168">
        <f>SUMIF('Libro Diario Convencional'!$D$15:$D$167,V1620,'Libro Diario Convencional'!$H$15:$H$167)</f>
        <v>0</v>
      </c>
      <c r="Z1626" s="236">
        <v>41670</v>
      </c>
      <c r="AA1626" s="171"/>
      <c r="AB1626" s="166" t="s">
        <v>470</v>
      </c>
      <c r="AC1626" s="167">
        <f>SUMIF('Libro Diario Convencional'!$D$15:$D$167,AB1620,'Libro Diario Convencional'!$G$15:$G$167)</f>
        <v>0</v>
      </c>
      <c r="AD1626" s="168">
        <f>SUMIF('Libro Diario Convencional'!$D$15:$D$167,AB1620,'Libro Diario Convencional'!$H$15:$H$167)</f>
        <v>0</v>
      </c>
      <c r="AF1626" s="236">
        <v>41670</v>
      </c>
      <c r="AG1626" s="171"/>
      <c r="AH1626" s="166" t="s">
        <v>470</v>
      </c>
      <c r="AI1626" s="167">
        <f>SUMIF('Libro Diario Convencional'!$D$15:$D$167,AH1620,'Libro Diario Convencional'!$G$15:$G$167)</f>
        <v>0</v>
      </c>
      <c r="AJ1626" s="168">
        <f>SUMIF('Libro Diario Convencional'!$D$15:$D$167,AH1620,'Libro Diario Convencional'!$H$15:$H$167)</f>
        <v>0</v>
      </c>
      <c r="AL1626" s="236">
        <v>41670</v>
      </c>
      <c r="AM1626" s="171"/>
      <c r="AN1626" s="166" t="s">
        <v>470</v>
      </c>
      <c r="AO1626" s="167">
        <f>SUMIF('Libro Diario Convencional'!$D$15:$D$167,AN1620,'Libro Diario Convencional'!$G$15:$G$167)</f>
        <v>0</v>
      </c>
      <c r="AP1626" s="168">
        <f>SUMIF('Libro Diario Convencional'!$D$15:$D$167,AN1620,'Libro Diario Convencional'!$H$15:$H$167)</f>
        <v>0</v>
      </c>
    </row>
    <row r="1627" spans="2:63" x14ac:dyDescent="0.25">
      <c r="B1627" s="169">
        <v>41670</v>
      </c>
      <c r="C1627" s="172"/>
      <c r="D1627" s="161" t="s">
        <v>474</v>
      </c>
      <c r="E1627" s="162">
        <f>SUMIF('Asientos de Cierre'!$D$6:$D$549,D1620,'Asientos de Cierre'!$G$6:$G$549)</f>
        <v>0</v>
      </c>
      <c r="F1627" s="163">
        <f>SUMIF('Asientos de Cierre'!$D$6:$D$549,D1620,'Asientos de Cierre'!$H$6:$H$549)</f>
        <v>0</v>
      </c>
      <c r="H1627" s="169">
        <v>41670</v>
      </c>
      <c r="I1627" s="172"/>
      <c r="J1627" s="161" t="s">
        <v>474</v>
      </c>
      <c r="K1627" s="162">
        <f>SUMIF('Asientos de Cierre'!$D$6:$D$549,J1620,'Asientos de Cierre'!$G$6:$G$549)</f>
        <v>0</v>
      </c>
      <c r="L1627" s="163">
        <f>SUMIF('Asientos de Cierre'!$D$6:$D$549,J1620,'Asientos de Cierre'!$H$6:$H$549)</f>
        <v>0</v>
      </c>
      <c r="N1627" s="169">
        <v>41670</v>
      </c>
      <c r="O1627" s="172"/>
      <c r="P1627" s="161" t="s">
        <v>474</v>
      </c>
      <c r="Q1627" s="162">
        <f>SUMIF('Asientos de Cierre'!$D$6:$D$549,P1620,'Asientos de Cierre'!$G$6:$G$549)</f>
        <v>0</v>
      </c>
      <c r="R1627" s="163">
        <f>SUMIF('Asientos de Cierre'!$D$6:$D$549,P1620,'Asientos de Cierre'!$H$6:$H$549)</f>
        <v>0</v>
      </c>
      <c r="T1627" s="169">
        <v>41670</v>
      </c>
      <c r="U1627" s="172"/>
      <c r="V1627" s="161" t="s">
        <v>474</v>
      </c>
      <c r="W1627" s="162">
        <f>SUMIF('Asientos de Cierre'!$D$6:$D$549,V1620,'Asientos de Cierre'!$G$6:$G$549)</f>
        <v>0</v>
      </c>
      <c r="X1627" s="163">
        <f>SUMIF('Asientos de Cierre'!$D$6:$D$549,V1620,'Asientos de Cierre'!$H$6:$H$549)</f>
        <v>0</v>
      </c>
      <c r="Z1627" s="169">
        <v>41670</v>
      </c>
      <c r="AA1627" s="172"/>
      <c r="AB1627" s="161" t="s">
        <v>474</v>
      </c>
      <c r="AC1627" s="162">
        <f>SUMIF('Asientos de Cierre'!$D$6:$D$549,AB1620,'Asientos de Cierre'!$G$6:$G$549)</f>
        <v>0</v>
      </c>
      <c r="AD1627" s="163">
        <f>SUMIF('Asientos de Cierre'!$D$6:$D$549,AB1620,'Asientos de Cierre'!$H$6:$H$549)</f>
        <v>0</v>
      </c>
      <c r="AF1627" s="169">
        <v>41670</v>
      </c>
      <c r="AG1627" s="172"/>
      <c r="AH1627" s="161" t="s">
        <v>474</v>
      </c>
      <c r="AI1627" s="162">
        <f>SUMIF('Asientos de Cierre'!$D$6:$D$549,AH1620,'Asientos de Cierre'!$G$6:$G$549)</f>
        <v>0</v>
      </c>
      <c r="AJ1627" s="163">
        <f>SUMIF('Asientos de Cierre'!$D$6:$D$549,AH1620,'Asientos de Cierre'!$H$6:$H$549)</f>
        <v>0</v>
      </c>
      <c r="AL1627" s="169">
        <v>41670</v>
      </c>
      <c r="AM1627" s="172"/>
      <c r="AN1627" s="161" t="s">
        <v>474</v>
      </c>
      <c r="AO1627" s="162">
        <f>SUMIF('Asientos de Cierre'!$D$6:$D$549,AN1620,'Asientos de Cierre'!$G$6:$G$549)</f>
        <v>0</v>
      </c>
      <c r="AP1627" s="163">
        <f>SUMIF('Asientos de Cierre'!$D$6:$D$549,AN1620,'Asientos de Cierre'!$H$6:$H$549)</f>
        <v>0</v>
      </c>
    </row>
    <row r="1628" spans="2:63" x14ac:dyDescent="0.25">
      <c r="B1628" s="169"/>
      <c r="C1628" s="172"/>
      <c r="D1628" s="161"/>
      <c r="E1628" s="162"/>
      <c r="F1628" s="163"/>
      <c r="H1628" s="169"/>
      <c r="I1628" s="172"/>
      <c r="J1628" s="161"/>
      <c r="K1628" s="162"/>
      <c r="L1628" s="163"/>
      <c r="N1628" s="169"/>
      <c r="O1628" s="172"/>
      <c r="P1628" s="161"/>
      <c r="Q1628" s="162"/>
      <c r="R1628" s="163"/>
      <c r="T1628" s="169"/>
      <c r="U1628" s="172"/>
      <c r="V1628" s="161"/>
      <c r="W1628" s="162"/>
      <c r="X1628" s="163"/>
      <c r="Z1628" s="169"/>
      <c r="AA1628" s="172"/>
      <c r="AB1628" s="161"/>
      <c r="AC1628" s="162"/>
      <c r="AD1628" s="163"/>
      <c r="AF1628" s="169"/>
      <c r="AG1628" s="172"/>
      <c r="AH1628" s="161"/>
      <c r="AI1628" s="162"/>
      <c r="AJ1628" s="163"/>
      <c r="AL1628" s="169"/>
      <c r="AM1628" s="172"/>
      <c r="AN1628" s="161"/>
      <c r="AO1628" s="162"/>
      <c r="AP1628" s="163"/>
    </row>
    <row r="1629" spans="2:63" ht="14.4" thickBot="1" x14ac:dyDescent="0.3">
      <c r="B1629" s="169"/>
      <c r="C1629" s="172"/>
      <c r="D1629" s="161"/>
      <c r="E1629" s="162"/>
      <c r="F1629" s="163"/>
      <c r="H1629" s="169"/>
      <c r="I1629" s="172"/>
      <c r="J1629" s="161"/>
      <c r="K1629" s="162"/>
      <c r="L1629" s="163"/>
      <c r="N1629" s="169"/>
      <c r="O1629" s="172"/>
      <c r="P1629" s="161"/>
      <c r="Q1629" s="162"/>
      <c r="R1629" s="163"/>
      <c r="T1629" s="169"/>
      <c r="U1629" s="172"/>
      <c r="V1629" s="161"/>
      <c r="W1629" s="162"/>
      <c r="X1629" s="163"/>
      <c r="Z1629" s="169"/>
      <c r="AA1629" s="172"/>
      <c r="AB1629" s="161"/>
      <c r="AC1629" s="162"/>
      <c r="AD1629" s="163"/>
      <c r="AF1629" s="169"/>
      <c r="AG1629" s="172"/>
      <c r="AH1629" s="161"/>
      <c r="AI1629" s="162"/>
      <c r="AJ1629" s="163"/>
      <c r="AL1629" s="169"/>
      <c r="AM1629" s="172"/>
      <c r="AN1629" s="161"/>
      <c r="AO1629" s="162"/>
      <c r="AP1629" s="163"/>
    </row>
    <row r="1630" spans="2:63" ht="15" thickBot="1" x14ac:dyDescent="0.3">
      <c r="B1630" s="169"/>
      <c r="C1630" s="172"/>
      <c r="D1630" s="161" t="s">
        <v>471</v>
      </c>
      <c r="E1630" s="162">
        <f>SUM(E1626:E1629)</f>
        <v>0</v>
      </c>
      <c r="F1630" s="163">
        <f>SUM(F1626:F1629)</f>
        <v>0</v>
      </c>
      <c r="H1630" s="169"/>
      <c r="I1630" s="172"/>
      <c r="J1630" s="161" t="s">
        <v>471</v>
      </c>
      <c r="K1630" s="162">
        <f>SUM(K1626:K1629)</f>
        <v>0</v>
      </c>
      <c r="L1630" s="163">
        <f>SUM(L1626:L1629)</f>
        <v>0</v>
      </c>
      <c r="N1630" s="169"/>
      <c r="O1630" s="172"/>
      <c r="P1630" s="161" t="s">
        <v>471</v>
      </c>
      <c r="Q1630" s="162">
        <f>SUM(Q1626:Q1629)</f>
        <v>0</v>
      </c>
      <c r="R1630" s="163">
        <f>SUM(R1626:R1629)</f>
        <v>0</v>
      </c>
      <c r="T1630" s="169"/>
      <c r="U1630" s="172"/>
      <c r="V1630" s="161" t="s">
        <v>471</v>
      </c>
      <c r="W1630" s="162">
        <f>SUM(W1626:W1629)</f>
        <v>0</v>
      </c>
      <c r="X1630" s="163">
        <f>SUM(X1626:X1629)</f>
        <v>0</v>
      </c>
      <c r="Z1630" s="169"/>
      <c r="AA1630" s="172"/>
      <c r="AB1630" s="161" t="s">
        <v>471</v>
      </c>
      <c r="AC1630" s="162">
        <f>SUM(AC1626:AC1629)</f>
        <v>0</v>
      </c>
      <c r="AD1630" s="163">
        <f>SUM(AD1626:AD1629)</f>
        <v>0</v>
      </c>
      <c r="AF1630" s="169"/>
      <c r="AG1630" s="172"/>
      <c r="AH1630" s="161" t="s">
        <v>471</v>
      </c>
      <c r="AI1630" s="162">
        <f>SUM(AI1626:AI1629)</f>
        <v>0</v>
      </c>
      <c r="AJ1630" s="163">
        <f>SUM(AJ1626:AJ1629)</f>
        <v>0</v>
      </c>
      <c r="AL1630" s="169"/>
      <c r="AM1630" s="172"/>
      <c r="AN1630" s="161" t="s">
        <v>471</v>
      </c>
      <c r="AO1630" s="162">
        <f>SUM(AO1626:AO1629)</f>
        <v>0</v>
      </c>
      <c r="AP1630" s="163">
        <f>SUM(AP1626:AP1629)</f>
        <v>0</v>
      </c>
      <c r="BJ1630" s="157">
        <f>SUM(E1630,K1630,Q1630,W1630,AC1630,AI1630,AO1630,AU1630,BA1630,BG1630)</f>
        <v>0</v>
      </c>
      <c r="BK1630" s="158">
        <f>SUM(F1630,L1630,R1630,X1630,AD1630,AJ1630,AP1630,AV1630,BB1630,BH1630)</f>
        <v>0</v>
      </c>
    </row>
    <row r="1631" spans="2:63" ht="14.4" thickBot="1" x14ac:dyDescent="0.3">
      <c r="B1631" s="170"/>
      <c r="C1631" s="173"/>
      <c r="D1631" s="164" t="str">
        <f>IF(E1630=F1630,"",IF(E1630&gt;F1630,"Saldo Deudor","Saldo Acreedor"))</f>
        <v/>
      </c>
      <c r="E1631" s="165" t="str">
        <f>IF(E1630&gt;F1630,E1630-F1630,"")</f>
        <v/>
      </c>
      <c r="F1631" s="176" t="str">
        <f>IF(E1630&lt;F1630,F1630-E1630,"")</f>
        <v/>
      </c>
      <c r="H1631" s="170"/>
      <c r="I1631" s="173"/>
      <c r="J1631" s="164" t="str">
        <f>IF(K1630=L1630,"",IF(K1630&gt;L1630,"Saldo Deudor","Saldo Acreedor"))</f>
        <v/>
      </c>
      <c r="K1631" s="165" t="str">
        <f>IF(K1630&gt;L1630,K1630-L1630,"")</f>
        <v/>
      </c>
      <c r="L1631" s="176" t="str">
        <f>IF(K1630&lt;L1630,L1630-K1630,"")</f>
        <v/>
      </c>
      <c r="N1631" s="170"/>
      <c r="O1631" s="173"/>
      <c r="P1631" s="164" t="str">
        <f>IF(Q1630=R1630,"",IF(Q1630&gt;R1630,"Saldo Deudor","Saldo Acreedor"))</f>
        <v/>
      </c>
      <c r="Q1631" s="165" t="str">
        <f>IF(Q1630&gt;R1630,Q1630-R1630,"")</f>
        <v/>
      </c>
      <c r="R1631" s="176" t="str">
        <f>IF(Q1630&lt;R1630,R1630-Q1630,"")</f>
        <v/>
      </c>
      <c r="T1631" s="170"/>
      <c r="U1631" s="173"/>
      <c r="V1631" s="164" t="str">
        <f>IF(W1630=X1630,"",IF(W1630&gt;X1630,"Saldo Deudor","Saldo Acreedor"))</f>
        <v/>
      </c>
      <c r="W1631" s="165" t="str">
        <f>IF(W1630&gt;X1630,W1630-X1630,"")</f>
        <v/>
      </c>
      <c r="X1631" s="176" t="str">
        <f>IF(W1630&lt;X1630,X1630-W1630,"")</f>
        <v/>
      </c>
      <c r="Z1631" s="170"/>
      <c r="AA1631" s="173"/>
      <c r="AB1631" s="164" t="str">
        <f>IF(AC1630=AD1630,"",IF(AC1630&gt;AD1630,"Saldo Deudor","Saldo Acreedor"))</f>
        <v/>
      </c>
      <c r="AC1631" s="165" t="str">
        <f>IF(AC1630&gt;AD1630,AC1630-AD1630,"")</f>
        <v/>
      </c>
      <c r="AD1631" s="176" t="str">
        <f>IF(AC1630&lt;AD1630,AD1630-AC1630,"")</f>
        <v/>
      </c>
      <c r="AF1631" s="170"/>
      <c r="AG1631" s="173"/>
      <c r="AH1631" s="164" t="str">
        <f>IF(AI1630=AJ1630,"",IF(AI1630&gt;AJ1630,"Saldo Deudor","Saldo Acreedor"))</f>
        <v/>
      </c>
      <c r="AI1631" s="165" t="str">
        <f>IF(AI1630&gt;AJ1630,AI1630-AJ1630,"")</f>
        <v/>
      </c>
      <c r="AJ1631" s="176" t="str">
        <f>IF(AI1630&lt;AJ1630,AJ1630-AI1630,"")</f>
        <v/>
      </c>
      <c r="AL1631" s="170"/>
      <c r="AM1631" s="173"/>
      <c r="AN1631" s="164" t="str">
        <f>IF(AO1630=AP1630,"",IF(AO1630&gt;AP1630,"Saldo Deudor","Saldo Acreedor"))</f>
        <v/>
      </c>
      <c r="AO1631" s="165" t="str">
        <f>IF(AO1630&gt;AP1630,AO1630-AP1630,"")</f>
        <v/>
      </c>
      <c r="AP1631" s="176" t="str">
        <f>IF(AO1630&lt;AP1630,AP1630-AO1630,"")</f>
        <v/>
      </c>
    </row>
    <row r="1634" spans="2:63" ht="15.6" x14ac:dyDescent="0.25">
      <c r="B1634" s="324" t="s">
        <v>472</v>
      </c>
      <c r="C1634" s="324"/>
      <c r="D1634" s="175">
        <v>7111</v>
      </c>
      <c r="E1634" s="160"/>
    </row>
    <row r="1635" spans="2:63" x14ac:dyDescent="0.25">
      <c r="B1635" s="160"/>
      <c r="C1635" s="160"/>
      <c r="D1635" s="160"/>
      <c r="E1635" s="160"/>
    </row>
    <row r="1636" spans="2:63" ht="15.6" x14ac:dyDescent="0.25">
      <c r="B1636" s="324" t="s">
        <v>473</v>
      </c>
      <c r="C1636" s="324"/>
      <c r="D1636" s="234" t="str">
        <f>VLOOKUP(D1634,DivisionariasContables,3,FALSE)</f>
        <v>Productos Manufacturados</v>
      </c>
      <c r="E1636" s="160"/>
    </row>
    <row r="1637" spans="2:63" ht="14.4" thickBot="1" x14ac:dyDescent="0.3"/>
    <row r="1638" spans="2:63" x14ac:dyDescent="0.25">
      <c r="B1638" s="325" t="s">
        <v>466</v>
      </c>
      <c r="C1638" s="327" t="s">
        <v>467</v>
      </c>
      <c r="D1638" s="327" t="s">
        <v>468</v>
      </c>
      <c r="E1638" s="329" t="s">
        <v>469</v>
      </c>
      <c r="F1638" s="330"/>
    </row>
    <row r="1639" spans="2:63" ht="14.4" thickBot="1" x14ac:dyDescent="0.3">
      <c r="B1639" s="326"/>
      <c r="C1639" s="328"/>
      <c r="D1639" s="328"/>
      <c r="E1639" s="232" t="s">
        <v>403</v>
      </c>
      <c r="F1639" s="174" t="s">
        <v>402</v>
      </c>
    </row>
    <row r="1640" spans="2:63" ht="14.4" thickTop="1" x14ac:dyDescent="0.25">
      <c r="B1640" s="236">
        <v>41670</v>
      </c>
      <c r="C1640" s="171"/>
      <c r="D1640" s="166" t="s">
        <v>470</v>
      </c>
      <c r="E1640" s="167">
        <f>SUMIF('Libro Diario Convencional'!$D$15:$D$167,D1634,'Libro Diario Convencional'!$G$15:$G$167)</f>
        <v>0</v>
      </c>
      <c r="F1640" s="168">
        <f>SUMIF('Libro Diario Convencional'!$D$15:$D$167,D1634,'Libro Diario Convencional'!$H$15:$H$167)</f>
        <v>0</v>
      </c>
    </row>
    <row r="1641" spans="2:63" x14ac:dyDescent="0.25">
      <c r="B1641" s="169">
        <v>41670</v>
      </c>
      <c r="C1641" s="172"/>
      <c r="D1641" s="161" t="s">
        <v>474</v>
      </c>
      <c r="E1641" s="162">
        <f>SUMIF('Asientos de Cierre'!$D$6:$D$549,D1634,'Asientos de Cierre'!$G$6:$G$549)</f>
        <v>0</v>
      </c>
      <c r="F1641" s="163">
        <f>SUMIF('Asientos de Cierre'!$D$6:$D$549,D1634,'Asientos de Cierre'!$H$6:$H$549)</f>
        <v>0</v>
      </c>
    </row>
    <row r="1642" spans="2:63" x14ac:dyDescent="0.25">
      <c r="B1642" s="169"/>
      <c r="C1642" s="172"/>
      <c r="D1642" s="161"/>
      <c r="E1642" s="162"/>
      <c r="F1642" s="163"/>
    </row>
    <row r="1643" spans="2:63" ht="14.4" thickBot="1" x14ac:dyDescent="0.3">
      <c r="B1643" s="169"/>
      <c r="C1643" s="172"/>
      <c r="D1643" s="161"/>
      <c r="E1643" s="162"/>
      <c r="F1643" s="163"/>
    </row>
    <row r="1644" spans="2:63" ht="15" thickBot="1" x14ac:dyDescent="0.3">
      <c r="B1644" s="169"/>
      <c r="C1644" s="172"/>
      <c r="D1644" s="161" t="s">
        <v>471</v>
      </c>
      <c r="E1644" s="162">
        <f>SUM(E1640:E1643)</f>
        <v>0</v>
      </c>
      <c r="F1644" s="163">
        <f>SUM(F1640:F1643)</f>
        <v>0</v>
      </c>
      <c r="BJ1644" s="157">
        <f>SUM(E1644,K1644,Q1644,W1644,AC1644,AI1644,AO1644,AU1644,BA1644,BG1644)</f>
        <v>0</v>
      </c>
      <c r="BK1644" s="158">
        <f>SUM(F1644,L1644,R1644,X1644,AD1644,AJ1644,AP1644,AV1644,BB1644,BH1644)</f>
        <v>0</v>
      </c>
    </row>
    <row r="1645" spans="2:63" ht="14.4" thickBot="1" x14ac:dyDescent="0.3">
      <c r="B1645" s="170"/>
      <c r="C1645" s="173"/>
      <c r="D1645" s="164" t="str">
        <f>IF(E1644=F1644,"",IF(E1644&gt;F1644,"Saldo Deudor","Saldo Acreedor"))</f>
        <v/>
      </c>
      <c r="E1645" s="165" t="str">
        <f>IF(E1644&gt;F1644,E1644-F1644,"")</f>
        <v/>
      </c>
      <c r="F1645" s="176" t="str">
        <f>IF(E1644&lt;F1644,F1644-E1644,"")</f>
        <v/>
      </c>
    </row>
    <row r="1648" spans="2:63" ht="15.6" x14ac:dyDescent="0.25">
      <c r="B1648" s="324" t="s">
        <v>472</v>
      </c>
      <c r="C1648" s="324"/>
      <c r="D1648" s="175">
        <v>7311</v>
      </c>
      <c r="E1648" s="160"/>
    </row>
    <row r="1649" spans="2:63" x14ac:dyDescent="0.25">
      <c r="B1649" s="160"/>
      <c r="C1649" s="160"/>
      <c r="D1649" s="160"/>
      <c r="E1649" s="160"/>
    </row>
    <row r="1650" spans="2:63" ht="15.6" x14ac:dyDescent="0.25">
      <c r="B1650" s="324" t="s">
        <v>473</v>
      </c>
      <c r="C1650" s="324"/>
      <c r="D1650" s="234" t="str">
        <f>VLOOKUP(D1648,DivisionariasContables,3,FALSE)</f>
        <v>Descuentos, Rebajas y Bonificaciones Obtenidos - Terceros</v>
      </c>
      <c r="E1650" s="160"/>
    </row>
    <row r="1651" spans="2:63" ht="14.4" thickBot="1" x14ac:dyDescent="0.3"/>
    <row r="1652" spans="2:63" x14ac:dyDescent="0.25">
      <c r="B1652" s="325" t="s">
        <v>466</v>
      </c>
      <c r="C1652" s="327" t="s">
        <v>467</v>
      </c>
      <c r="D1652" s="327" t="s">
        <v>468</v>
      </c>
      <c r="E1652" s="329" t="s">
        <v>469</v>
      </c>
      <c r="F1652" s="330"/>
    </row>
    <row r="1653" spans="2:63" ht="14.4" thickBot="1" x14ac:dyDescent="0.3">
      <c r="B1653" s="326"/>
      <c r="C1653" s="328"/>
      <c r="D1653" s="328"/>
      <c r="E1653" s="232" t="s">
        <v>403</v>
      </c>
      <c r="F1653" s="174" t="s">
        <v>402</v>
      </c>
    </row>
    <row r="1654" spans="2:63" ht="14.4" thickTop="1" x14ac:dyDescent="0.25">
      <c r="B1654" s="236">
        <v>41670</v>
      </c>
      <c r="C1654" s="171"/>
      <c r="D1654" s="166" t="s">
        <v>470</v>
      </c>
      <c r="E1654" s="167">
        <f>SUMIF('Libro Diario Convencional'!$D$15:$D$167,D1648,'Libro Diario Convencional'!$G$15:$G$167)</f>
        <v>0</v>
      </c>
      <c r="F1654" s="168">
        <f>SUMIF('Libro Diario Convencional'!$D$15:$D$167,D1648,'Libro Diario Convencional'!$H$15:$H$167)</f>
        <v>0</v>
      </c>
    </row>
    <row r="1655" spans="2:63" x14ac:dyDescent="0.25">
      <c r="B1655" s="169">
        <v>41670</v>
      </c>
      <c r="C1655" s="172"/>
      <c r="D1655" s="161" t="s">
        <v>474</v>
      </c>
      <c r="E1655" s="162">
        <f>SUMIF('Asientos de Cierre'!$D$6:$D$549,D1648,'Asientos de Cierre'!$G$6:$G$549)</f>
        <v>0</v>
      </c>
      <c r="F1655" s="163">
        <f>SUMIF('Asientos de Cierre'!$D$6:$D$549,D1648,'Asientos de Cierre'!$H$6:$H$549)</f>
        <v>0</v>
      </c>
    </row>
    <row r="1656" spans="2:63" x14ac:dyDescent="0.25">
      <c r="B1656" s="169"/>
      <c r="C1656" s="172"/>
      <c r="D1656" s="161"/>
      <c r="E1656" s="162"/>
      <c r="F1656" s="163"/>
    </row>
    <row r="1657" spans="2:63" ht="14.4" thickBot="1" x14ac:dyDescent="0.3">
      <c r="B1657" s="169"/>
      <c r="C1657" s="172"/>
      <c r="D1657" s="161"/>
      <c r="E1657" s="162"/>
      <c r="F1657" s="163"/>
    </row>
    <row r="1658" spans="2:63" ht="15" thickBot="1" x14ac:dyDescent="0.3">
      <c r="B1658" s="169"/>
      <c r="C1658" s="172"/>
      <c r="D1658" s="161" t="s">
        <v>471</v>
      </c>
      <c r="E1658" s="162">
        <f>SUM(E1654:E1657)</f>
        <v>0</v>
      </c>
      <c r="F1658" s="163">
        <f>SUM(F1654:F1657)</f>
        <v>0</v>
      </c>
      <c r="BJ1658" s="157">
        <f>SUM(E1658,K1658,Q1658,W1658,AC1658,AI1658,AO1658,AU1658,BA1658,BG1658)</f>
        <v>0</v>
      </c>
      <c r="BK1658" s="158">
        <f>SUM(F1658,L1658,R1658,X1658,AD1658,AJ1658,AP1658,AV1658,BB1658,BH1658)</f>
        <v>0</v>
      </c>
    </row>
    <row r="1659" spans="2:63" ht="14.4" thickBot="1" x14ac:dyDescent="0.3">
      <c r="B1659" s="170"/>
      <c r="C1659" s="173"/>
      <c r="D1659" s="164" t="str">
        <f>IF(E1658=F1658,"",IF(E1658&gt;F1658,"Saldo Deudor","Saldo Acreedor"))</f>
        <v/>
      </c>
      <c r="E1659" s="165" t="str">
        <f>IF(E1658&gt;F1658,E1658-F1658,"")</f>
        <v/>
      </c>
      <c r="F1659" s="176" t="str">
        <f>IF(E1658&lt;F1658,F1658-E1658,"")</f>
        <v/>
      </c>
    </row>
    <row r="1662" spans="2:63" ht="15.6" x14ac:dyDescent="0.25">
      <c r="B1662" s="324" t="s">
        <v>472</v>
      </c>
      <c r="C1662" s="324"/>
      <c r="D1662" s="175">
        <v>7411</v>
      </c>
      <c r="E1662" s="160"/>
      <c r="H1662" s="324" t="s">
        <v>472</v>
      </c>
      <c r="I1662" s="324"/>
      <c r="J1662" s="175">
        <v>7412</v>
      </c>
      <c r="K1662" s="160"/>
    </row>
    <row r="1663" spans="2:63" x14ac:dyDescent="0.25">
      <c r="B1663" s="160"/>
      <c r="C1663" s="160"/>
      <c r="D1663" s="160"/>
      <c r="E1663" s="160"/>
      <c r="H1663" s="160"/>
      <c r="I1663" s="160"/>
      <c r="J1663" s="160"/>
      <c r="K1663" s="160"/>
    </row>
    <row r="1664" spans="2:63" ht="15.6" x14ac:dyDescent="0.25">
      <c r="B1664" s="324" t="s">
        <v>473</v>
      </c>
      <c r="C1664" s="324"/>
      <c r="D1664" s="234" t="str">
        <f>VLOOKUP(D1662,DivisionariasContables,3,FALSE)</f>
        <v>Descuentos, Rebajas y Bonificaciones Concedidos - Terceros</v>
      </c>
      <c r="E1664" s="160"/>
      <c r="H1664" s="324" t="s">
        <v>473</v>
      </c>
      <c r="I1664" s="324"/>
      <c r="J1664" s="234" t="str">
        <f>VLOOKUP(J1662,DivisionariasContables,3,FALSE)</f>
        <v>Descuentos, Rebajas y Bonificaciones Concedidos - Relacionadas</v>
      </c>
      <c r="K1664" s="160"/>
    </row>
    <row r="1665" spans="2:63" ht="14.4" thickBot="1" x14ac:dyDescent="0.3"/>
    <row r="1666" spans="2:63" ht="12.75" customHeight="1" x14ac:dyDescent="0.25">
      <c r="B1666" s="325" t="s">
        <v>466</v>
      </c>
      <c r="C1666" s="327" t="s">
        <v>467</v>
      </c>
      <c r="D1666" s="327" t="s">
        <v>468</v>
      </c>
      <c r="E1666" s="329" t="s">
        <v>469</v>
      </c>
      <c r="F1666" s="330"/>
      <c r="H1666" s="325" t="s">
        <v>466</v>
      </c>
      <c r="I1666" s="327" t="s">
        <v>467</v>
      </c>
      <c r="J1666" s="327" t="s">
        <v>468</v>
      </c>
      <c r="K1666" s="329" t="s">
        <v>469</v>
      </c>
      <c r="L1666" s="330"/>
    </row>
    <row r="1667" spans="2:63" ht="14.4" thickBot="1" x14ac:dyDescent="0.3">
      <c r="B1667" s="326"/>
      <c r="C1667" s="328"/>
      <c r="D1667" s="328"/>
      <c r="E1667" s="232" t="s">
        <v>403</v>
      </c>
      <c r="F1667" s="174" t="s">
        <v>402</v>
      </c>
      <c r="H1667" s="326"/>
      <c r="I1667" s="328"/>
      <c r="J1667" s="328"/>
      <c r="K1667" s="232" t="s">
        <v>403</v>
      </c>
      <c r="L1667" s="174" t="s">
        <v>402</v>
      </c>
    </row>
    <row r="1668" spans="2:63" ht="14.4" thickTop="1" x14ac:dyDescent="0.25">
      <c r="B1668" s="236">
        <v>41670</v>
      </c>
      <c r="C1668" s="171"/>
      <c r="D1668" s="166" t="s">
        <v>470</v>
      </c>
      <c r="E1668" s="167">
        <f>SUMIF('Libro Diario Convencional'!$D$15:$D$167,D1662,'Libro Diario Convencional'!$G$15:$G$167)</f>
        <v>0</v>
      </c>
      <c r="F1668" s="168">
        <f>SUMIF('Libro Diario Convencional'!$D$15:$D$167,D1662,'Libro Diario Convencional'!$H$15:$H$167)</f>
        <v>0</v>
      </c>
      <c r="H1668" s="236">
        <v>41670</v>
      </c>
      <c r="I1668" s="171"/>
      <c r="J1668" s="166" t="s">
        <v>470</v>
      </c>
      <c r="K1668" s="167">
        <f>SUMIF('Libro Diario Convencional'!$D$15:$D$167,J1662,'Libro Diario Convencional'!$G$15:$G$167)</f>
        <v>0</v>
      </c>
      <c r="L1668" s="168">
        <f>SUMIF('Libro Diario Convencional'!$D$15:$D$167,J1662,'Libro Diario Convencional'!$H$15:$H$167)</f>
        <v>0</v>
      </c>
    </row>
    <row r="1669" spans="2:63" x14ac:dyDescent="0.25">
      <c r="B1669" s="169">
        <v>41670</v>
      </c>
      <c r="C1669" s="172"/>
      <c r="D1669" s="161" t="s">
        <v>474</v>
      </c>
      <c r="E1669" s="162">
        <f>SUMIF('Asientos de Cierre'!$D$6:$D$549,D1662,'Asientos de Cierre'!$G$6:$G$549)</f>
        <v>0</v>
      </c>
      <c r="F1669" s="163">
        <f>SUMIF('Asientos de Cierre'!$D$6:$D$549,D1662,'Asientos de Cierre'!$H$6:$H$549)</f>
        <v>0</v>
      </c>
      <c r="H1669" s="169">
        <v>41670</v>
      </c>
      <c r="I1669" s="172"/>
      <c r="J1669" s="161" t="s">
        <v>474</v>
      </c>
      <c r="K1669" s="162">
        <f>SUMIF('Asientos de Cierre'!$D$6:$D$549,J1662,'Asientos de Cierre'!$G$6:$G$549)</f>
        <v>0</v>
      </c>
      <c r="L1669" s="163">
        <f>SUMIF('Asientos de Cierre'!$D$6:$D$549,J1662,'Asientos de Cierre'!$H$6:$H$549)</f>
        <v>0</v>
      </c>
    </row>
    <row r="1670" spans="2:63" x14ac:dyDescent="0.25">
      <c r="B1670" s="169"/>
      <c r="C1670" s="172"/>
      <c r="D1670" s="161"/>
      <c r="E1670" s="162"/>
      <c r="F1670" s="163"/>
      <c r="H1670" s="169"/>
      <c r="I1670" s="172"/>
      <c r="J1670" s="161"/>
      <c r="K1670" s="162"/>
      <c r="L1670" s="163"/>
    </row>
    <row r="1671" spans="2:63" ht="14.4" thickBot="1" x14ac:dyDescent="0.3">
      <c r="B1671" s="169"/>
      <c r="C1671" s="172"/>
      <c r="D1671" s="161"/>
      <c r="E1671" s="162"/>
      <c r="F1671" s="163"/>
      <c r="H1671" s="169"/>
      <c r="I1671" s="172"/>
      <c r="J1671" s="161"/>
      <c r="K1671" s="162"/>
      <c r="L1671" s="163"/>
    </row>
    <row r="1672" spans="2:63" ht="15" thickBot="1" x14ac:dyDescent="0.3">
      <c r="B1672" s="169"/>
      <c r="C1672" s="172"/>
      <c r="D1672" s="161" t="s">
        <v>471</v>
      </c>
      <c r="E1672" s="162">
        <f>SUM(E1668:E1671)</f>
        <v>0</v>
      </c>
      <c r="F1672" s="163">
        <f>SUM(F1668:F1671)</f>
        <v>0</v>
      </c>
      <c r="H1672" s="169"/>
      <c r="I1672" s="172"/>
      <c r="J1672" s="161" t="s">
        <v>471</v>
      </c>
      <c r="K1672" s="162">
        <f>SUM(K1668:K1671)</f>
        <v>0</v>
      </c>
      <c r="L1672" s="163">
        <f>SUM(L1668:L1671)</f>
        <v>0</v>
      </c>
      <c r="BJ1672" s="157">
        <f>SUM(E1672,K1672,Q1672,W1672,AC1672,AI1672,AO1672,AU1672,BA1672,BG1672)</f>
        <v>0</v>
      </c>
      <c r="BK1672" s="158">
        <f>SUM(F1672,L1672,R1672,X1672,AD1672,AJ1672,AP1672,AV1672,BB1672,BH1672)</f>
        <v>0</v>
      </c>
    </row>
    <row r="1673" spans="2:63" ht="14.4" thickBot="1" x14ac:dyDescent="0.3">
      <c r="B1673" s="170"/>
      <c r="C1673" s="173"/>
      <c r="D1673" s="164" t="str">
        <f>IF(E1672=F1672,"",IF(E1672&gt;F1672,"Saldo Deudor","Saldo Acreedor"))</f>
        <v/>
      </c>
      <c r="E1673" s="165" t="str">
        <f>IF(E1672&gt;F1672,E1672-F1672,"")</f>
        <v/>
      </c>
      <c r="F1673" s="176" t="str">
        <f>IF(E1672&lt;F1672,F1672-E1672,"")</f>
        <v/>
      </c>
      <c r="H1673" s="170"/>
      <c r="I1673" s="173"/>
      <c r="J1673" s="164" t="str">
        <f>IF(K1672=L1672,"",IF(K1672&gt;L1672,"Saldo Deudor","Saldo Acreedor"))</f>
        <v/>
      </c>
      <c r="K1673" s="165" t="str">
        <f>IF(K1672&gt;L1672,K1672-L1672,"")</f>
        <v/>
      </c>
      <c r="L1673" s="176" t="str">
        <f>IF(K1672&lt;L1672,L1672-K1672,"")</f>
        <v/>
      </c>
    </row>
    <row r="1676" spans="2:63" ht="15.6" x14ac:dyDescent="0.25">
      <c r="B1676" s="324" t="s">
        <v>472</v>
      </c>
      <c r="C1676" s="324"/>
      <c r="D1676" s="175">
        <v>7511</v>
      </c>
      <c r="E1676" s="160"/>
    </row>
    <row r="1677" spans="2:63" x14ac:dyDescent="0.25">
      <c r="B1677" s="160"/>
      <c r="C1677" s="160"/>
      <c r="D1677" s="160"/>
      <c r="E1677" s="160"/>
    </row>
    <row r="1678" spans="2:63" ht="15.6" x14ac:dyDescent="0.25">
      <c r="B1678" s="324" t="s">
        <v>473</v>
      </c>
      <c r="C1678" s="324"/>
      <c r="D1678" s="234" t="str">
        <f>VLOOKUP(D1676,DivisionariasContables,3,FALSE)</f>
        <v>Servicios en Beneficio del Personal</v>
      </c>
      <c r="E1678" s="160"/>
    </row>
    <row r="1679" spans="2:63" ht="14.4" thickBot="1" x14ac:dyDescent="0.3"/>
    <row r="1680" spans="2:63" x14ac:dyDescent="0.25">
      <c r="B1680" s="325" t="s">
        <v>466</v>
      </c>
      <c r="C1680" s="327" t="s">
        <v>467</v>
      </c>
      <c r="D1680" s="327" t="s">
        <v>468</v>
      </c>
      <c r="E1680" s="329" t="s">
        <v>469</v>
      </c>
      <c r="F1680" s="330"/>
    </row>
    <row r="1681" spans="2:63" ht="14.4" thickBot="1" x14ac:dyDescent="0.3">
      <c r="B1681" s="326"/>
      <c r="C1681" s="328"/>
      <c r="D1681" s="328"/>
      <c r="E1681" s="232" t="s">
        <v>403</v>
      </c>
      <c r="F1681" s="174" t="s">
        <v>402</v>
      </c>
    </row>
    <row r="1682" spans="2:63" ht="14.4" thickTop="1" x14ac:dyDescent="0.25">
      <c r="B1682" s="236">
        <v>41670</v>
      </c>
      <c r="C1682" s="171"/>
      <c r="D1682" s="166" t="s">
        <v>470</v>
      </c>
      <c r="E1682" s="167">
        <f>SUMIF('Libro Diario Convencional'!$D$15:$D$167,D1676,'Libro Diario Convencional'!$G$15:$G$167)</f>
        <v>0</v>
      </c>
      <c r="F1682" s="168">
        <f>SUMIF('Libro Diario Convencional'!$D$15:$D$167,D1676,'Libro Diario Convencional'!$H$15:$H$167)</f>
        <v>0</v>
      </c>
    </row>
    <row r="1683" spans="2:63" x14ac:dyDescent="0.25">
      <c r="B1683" s="169">
        <v>41670</v>
      </c>
      <c r="C1683" s="172"/>
      <c r="D1683" s="161" t="s">
        <v>474</v>
      </c>
      <c r="E1683" s="162">
        <f>SUMIF('Asientos de Cierre'!$D$6:$D$549,D1676,'Asientos de Cierre'!$G$6:$G$549)</f>
        <v>0</v>
      </c>
      <c r="F1683" s="163">
        <f>SUMIF('Asientos de Cierre'!$D$6:$D$549,D1676,'Asientos de Cierre'!$H$6:$H$549)</f>
        <v>0</v>
      </c>
    </row>
    <row r="1684" spans="2:63" x14ac:dyDescent="0.25">
      <c r="B1684" s="169"/>
      <c r="C1684" s="172"/>
      <c r="D1684" s="161"/>
      <c r="E1684" s="162"/>
      <c r="F1684" s="163"/>
    </row>
    <row r="1685" spans="2:63" ht="14.4" thickBot="1" x14ac:dyDescent="0.3">
      <c r="B1685" s="169"/>
      <c r="C1685" s="172"/>
      <c r="D1685" s="161"/>
      <c r="E1685" s="162"/>
      <c r="F1685" s="163"/>
    </row>
    <row r="1686" spans="2:63" ht="15" thickBot="1" x14ac:dyDescent="0.3">
      <c r="B1686" s="169"/>
      <c r="C1686" s="172"/>
      <c r="D1686" s="161" t="s">
        <v>471</v>
      </c>
      <c r="E1686" s="162">
        <f>SUM(E1682:E1685)</f>
        <v>0</v>
      </c>
      <c r="F1686" s="163">
        <f>SUM(F1682:F1685)</f>
        <v>0</v>
      </c>
      <c r="BJ1686" s="157">
        <f>SUM(E1686,K1686,Q1686,W1686,AC1686,AI1686,AO1686,AU1686,BA1686,BG1686)</f>
        <v>0</v>
      </c>
      <c r="BK1686" s="158">
        <f>SUM(F1686,L1686,R1686,X1686,AD1686,AJ1686,AP1686,AV1686,BB1686,BH1686)</f>
        <v>0</v>
      </c>
    </row>
    <row r="1687" spans="2:63" ht="14.4" thickBot="1" x14ac:dyDescent="0.3">
      <c r="B1687" s="170"/>
      <c r="C1687" s="173"/>
      <c r="D1687" s="164" t="str">
        <f>IF(E1686=F1686,"",IF(E1686&gt;F1686,"Saldo Deudor","Saldo Acreedor"))</f>
        <v/>
      </c>
      <c r="E1687" s="165" t="str">
        <f>IF(E1686&gt;F1686,E1686-F1686,"")</f>
        <v/>
      </c>
      <c r="F1687" s="176" t="str">
        <f>IF(E1686&lt;F1686,F1686-E1686,"")</f>
        <v/>
      </c>
    </row>
    <row r="1690" spans="2:63" ht="15.6" x14ac:dyDescent="0.25">
      <c r="B1690" s="324" t="s">
        <v>472</v>
      </c>
      <c r="C1690" s="324"/>
      <c r="D1690" s="175">
        <v>7521</v>
      </c>
      <c r="E1690" s="160"/>
      <c r="H1690" s="324" t="s">
        <v>472</v>
      </c>
      <c r="I1690" s="324"/>
      <c r="J1690" s="175">
        <v>7522</v>
      </c>
      <c r="K1690" s="160"/>
    </row>
    <row r="1691" spans="2:63" x14ac:dyDescent="0.25">
      <c r="B1691" s="160"/>
      <c r="C1691" s="160"/>
      <c r="D1691" s="160"/>
      <c r="E1691" s="160"/>
      <c r="H1691" s="160"/>
      <c r="I1691" s="160"/>
      <c r="J1691" s="160"/>
      <c r="K1691" s="160"/>
    </row>
    <row r="1692" spans="2:63" ht="15.6" x14ac:dyDescent="0.25">
      <c r="B1692" s="324" t="s">
        <v>473</v>
      </c>
      <c r="C1692" s="324"/>
      <c r="D1692" s="234" t="str">
        <f>VLOOKUP(D1690,DivisionariasContables,3,FALSE)</f>
        <v>Comisiones</v>
      </c>
      <c r="E1692" s="160"/>
      <c r="H1692" s="324" t="s">
        <v>473</v>
      </c>
      <c r="I1692" s="324"/>
      <c r="J1692" s="234" t="str">
        <f>VLOOKUP(J1690,DivisionariasContables,3,FALSE)</f>
        <v>Corretajes</v>
      </c>
      <c r="K1692" s="160"/>
    </row>
    <row r="1693" spans="2:63" ht="14.4" thickBot="1" x14ac:dyDescent="0.3"/>
    <row r="1694" spans="2:63" x14ac:dyDescent="0.25">
      <c r="B1694" s="325" t="s">
        <v>466</v>
      </c>
      <c r="C1694" s="327" t="s">
        <v>467</v>
      </c>
      <c r="D1694" s="327" t="s">
        <v>468</v>
      </c>
      <c r="E1694" s="329" t="s">
        <v>469</v>
      </c>
      <c r="F1694" s="330"/>
      <c r="H1694" s="325" t="s">
        <v>466</v>
      </c>
      <c r="I1694" s="327" t="s">
        <v>467</v>
      </c>
      <c r="J1694" s="327" t="s">
        <v>468</v>
      </c>
      <c r="K1694" s="329" t="s">
        <v>469</v>
      </c>
      <c r="L1694" s="330"/>
    </row>
    <row r="1695" spans="2:63" ht="14.4" thickBot="1" x14ac:dyDescent="0.3">
      <c r="B1695" s="326"/>
      <c r="C1695" s="328"/>
      <c r="D1695" s="328"/>
      <c r="E1695" s="232" t="s">
        <v>403</v>
      </c>
      <c r="F1695" s="174" t="s">
        <v>402</v>
      </c>
      <c r="H1695" s="326"/>
      <c r="I1695" s="328"/>
      <c r="J1695" s="328"/>
      <c r="K1695" s="232" t="s">
        <v>403</v>
      </c>
      <c r="L1695" s="174" t="s">
        <v>402</v>
      </c>
    </row>
    <row r="1696" spans="2:63" ht="14.4" thickTop="1" x14ac:dyDescent="0.25">
      <c r="B1696" s="236">
        <v>41670</v>
      </c>
      <c r="C1696" s="171"/>
      <c r="D1696" s="166" t="s">
        <v>470</v>
      </c>
      <c r="E1696" s="167">
        <f>SUMIF('Libro Diario Convencional'!$D$15:$D$167,D1690,'Libro Diario Convencional'!$G$15:$G$167)</f>
        <v>0</v>
      </c>
      <c r="F1696" s="168">
        <f>SUMIF('Libro Diario Convencional'!$D$15:$D$167,D1690,'Libro Diario Convencional'!$H$15:$H$167)</f>
        <v>0</v>
      </c>
      <c r="H1696" s="236">
        <v>41670</v>
      </c>
      <c r="I1696" s="171"/>
      <c r="J1696" s="166" t="s">
        <v>470</v>
      </c>
      <c r="K1696" s="167">
        <f>SUMIF('Libro Diario Convencional'!$D$15:$D$167,J1690,'Libro Diario Convencional'!$G$15:$G$167)</f>
        <v>0</v>
      </c>
      <c r="L1696" s="168">
        <f>SUMIF('Libro Diario Convencional'!$D$15:$D$167,J1690,'Libro Diario Convencional'!$H$15:$H$167)</f>
        <v>0</v>
      </c>
    </row>
    <row r="1697" spans="2:63" x14ac:dyDescent="0.25">
      <c r="B1697" s="169">
        <v>41670</v>
      </c>
      <c r="C1697" s="172"/>
      <c r="D1697" s="161" t="s">
        <v>474</v>
      </c>
      <c r="E1697" s="162">
        <f>SUMIF('Asientos de Cierre'!$D$6:$D$549,D1690,'Asientos de Cierre'!$G$6:$G$549)</f>
        <v>0</v>
      </c>
      <c r="F1697" s="163">
        <f>SUMIF('Asientos de Cierre'!$D$6:$D$549,D1690,'Asientos de Cierre'!$H$6:$H$549)</f>
        <v>0</v>
      </c>
      <c r="H1697" s="169">
        <v>41670</v>
      </c>
      <c r="I1697" s="172"/>
      <c r="J1697" s="161" t="s">
        <v>474</v>
      </c>
      <c r="K1697" s="162">
        <f>SUMIF('Asientos de Cierre'!$D$6:$D$549,J1690,'Asientos de Cierre'!$G$6:$G$549)</f>
        <v>0</v>
      </c>
      <c r="L1697" s="163">
        <f>SUMIF('Asientos de Cierre'!$D$6:$D$549,J1690,'Asientos de Cierre'!$H$6:$H$549)</f>
        <v>0</v>
      </c>
    </row>
    <row r="1698" spans="2:63" x14ac:dyDescent="0.25">
      <c r="B1698" s="169"/>
      <c r="C1698" s="172"/>
      <c r="D1698" s="161"/>
      <c r="E1698" s="162"/>
      <c r="F1698" s="163"/>
      <c r="H1698" s="169"/>
      <c r="I1698" s="172"/>
      <c r="J1698" s="161"/>
      <c r="K1698" s="162"/>
      <c r="L1698" s="163"/>
    </row>
    <row r="1699" spans="2:63" ht="14.4" thickBot="1" x14ac:dyDescent="0.3">
      <c r="B1699" s="169"/>
      <c r="C1699" s="172"/>
      <c r="D1699" s="161"/>
      <c r="E1699" s="162"/>
      <c r="F1699" s="163"/>
      <c r="H1699" s="169"/>
      <c r="I1699" s="172"/>
      <c r="J1699" s="161"/>
      <c r="K1699" s="162"/>
      <c r="L1699" s="163"/>
    </row>
    <row r="1700" spans="2:63" ht="15" thickBot="1" x14ac:dyDescent="0.3">
      <c r="B1700" s="169"/>
      <c r="C1700" s="172"/>
      <c r="D1700" s="161" t="s">
        <v>471</v>
      </c>
      <c r="E1700" s="162">
        <f>SUM(E1696:E1699)</f>
        <v>0</v>
      </c>
      <c r="F1700" s="163">
        <f>SUM(F1696:F1699)</f>
        <v>0</v>
      </c>
      <c r="H1700" s="169"/>
      <c r="I1700" s="172"/>
      <c r="J1700" s="161" t="s">
        <v>471</v>
      </c>
      <c r="K1700" s="162">
        <f>SUM(K1696:K1699)</f>
        <v>0</v>
      </c>
      <c r="L1700" s="163">
        <f>SUM(L1696:L1699)</f>
        <v>0</v>
      </c>
      <c r="BJ1700" s="157">
        <f>SUM(E1700,K1700,Q1700,W1700,AC1700,AI1700,AO1700,AU1700,BA1700,BG1700)</f>
        <v>0</v>
      </c>
      <c r="BK1700" s="158">
        <f>SUM(F1700,L1700,R1700,X1700,AD1700,AJ1700,AP1700,AV1700,BB1700,BH1700)</f>
        <v>0</v>
      </c>
    </row>
    <row r="1701" spans="2:63" ht="14.4" thickBot="1" x14ac:dyDescent="0.3">
      <c r="B1701" s="170"/>
      <c r="C1701" s="173"/>
      <c r="D1701" s="164" t="str">
        <f>IF(E1700=F1700,"",IF(E1700&gt;F1700,"Saldo Deudor","Saldo Acreedor"))</f>
        <v/>
      </c>
      <c r="E1701" s="165" t="str">
        <f>IF(E1700&gt;F1700,E1700-F1700,"")</f>
        <v/>
      </c>
      <c r="F1701" s="176" t="str">
        <f>IF(E1700&lt;F1700,F1700-E1700,"")</f>
        <v/>
      </c>
      <c r="H1701" s="170"/>
      <c r="I1701" s="173"/>
      <c r="J1701" s="164" t="str">
        <f>IF(K1700=L1700,"",IF(K1700&gt;L1700,"Saldo Deudor","Saldo Acreedor"))</f>
        <v/>
      </c>
      <c r="K1701" s="165" t="str">
        <f>IF(K1700&gt;L1700,K1700-L1700,"")</f>
        <v/>
      </c>
      <c r="L1701" s="176" t="str">
        <f>IF(K1700&lt;L1700,L1700-K1700,"")</f>
        <v/>
      </c>
    </row>
    <row r="1704" spans="2:63" ht="15.6" x14ac:dyDescent="0.25">
      <c r="B1704" s="324" t="s">
        <v>472</v>
      </c>
      <c r="C1704" s="324"/>
      <c r="D1704" s="175">
        <v>7531</v>
      </c>
      <c r="E1704" s="160"/>
    </row>
    <row r="1705" spans="2:63" x14ac:dyDescent="0.25">
      <c r="B1705" s="160"/>
      <c r="C1705" s="160"/>
      <c r="D1705" s="160"/>
      <c r="E1705" s="160"/>
    </row>
    <row r="1706" spans="2:63" ht="15.6" x14ac:dyDescent="0.25">
      <c r="B1706" s="324" t="s">
        <v>473</v>
      </c>
      <c r="C1706" s="324"/>
      <c r="D1706" s="234" t="str">
        <f>VLOOKUP(D1704,DivisionariasContables,3,FALSE)</f>
        <v>Regalías</v>
      </c>
      <c r="E1706" s="160"/>
    </row>
    <row r="1707" spans="2:63" ht="14.4" thickBot="1" x14ac:dyDescent="0.3"/>
    <row r="1708" spans="2:63" x14ac:dyDescent="0.25">
      <c r="B1708" s="325" t="s">
        <v>466</v>
      </c>
      <c r="C1708" s="327" t="s">
        <v>467</v>
      </c>
      <c r="D1708" s="327" t="s">
        <v>468</v>
      </c>
      <c r="E1708" s="329" t="s">
        <v>469</v>
      </c>
      <c r="F1708" s="330"/>
    </row>
    <row r="1709" spans="2:63" ht="14.4" thickBot="1" x14ac:dyDescent="0.3">
      <c r="B1709" s="326"/>
      <c r="C1709" s="328"/>
      <c r="D1709" s="328"/>
      <c r="E1709" s="232" t="s">
        <v>403</v>
      </c>
      <c r="F1709" s="174" t="s">
        <v>402</v>
      </c>
    </row>
    <row r="1710" spans="2:63" ht="14.4" thickTop="1" x14ac:dyDescent="0.25">
      <c r="B1710" s="236">
        <v>41670</v>
      </c>
      <c r="C1710" s="171"/>
      <c r="D1710" s="166" t="s">
        <v>470</v>
      </c>
      <c r="E1710" s="167">
        <f>SUMIF('Libro Diario Convencional'!$D$15:$D$167,D1704,'Libro Diario Convencional'!$G$15:$G$167)</f>
        <v>0</v>
      </c>
      <c r="F1710" s="168">
        <f>SUMIF('Libro Diario Convencional'!$D$15:$D$167,D1704,'Libro Diario Convencional'!$H$15:$H$167)</f>
        <v>0</v>
      </c>
    </row>
    <row r="1711" spans="2:63" x14ac:dyDescent="0.25">
      <c r="B1711" s="169">
        <v>41670</v>
      </c>
      <c r="C1711" s="172"/>
      <c r="D1711" s="161" t="s">
        <v>474</v>
      </c>
      <c r="E1711" s="162">
        <f>SUMIF('Asientos de Cierre'!$D$6:$D$549,D1704,'Asientos de Cierre'!$G$6:$G$549)</f>
        <v>0</v>
      </c>
      <c r="F1711" s="163">
        <f>SUMIF('Asientos de Cierre'!$D$6:$D$549,D1704,'Asientos de Cierre'!$H$6:$H$549)</f>
        <v>0</v>
      </c>
    </row>
    <row r="1712" spans="2:63" x14ac:dyDescent="0.25">
      <c r="B1712" s="169"/>
      <c r="C1712" s="172"/>
      <c r="D1712" s="161"/>
      <c r="E1712" s="162"/>
      <c r="F1712" s="163"/>
    </row>
    <row r="1713" spans="2:63" ht="14.4" thickBot="1" x14ac:dyDescent="0.3">
      <c r="B1713" s="169"/>
      <c r="C1713" s="172"/>
      <c r="D1713" s="161"/>
      <c r="E1713" s="162"/>
      <c r="F1713" s="163"/>
    </row>
    <row r="1714" spans="2:63" ht="15" thickBot="1" x14ac:dyDescent="0.3">
      <c r="B1714" s="169"/>
      <c r="C1714" s="172"/>
      <c r="D1714" s="161" t="s">
        <v>471</v>
      </c>
      <c r="E1714" s="162">
        <f>SUM(E1710:E1713)</f>
        <v>0</v>
      </c>
      <c r="F1714" s="163">
        <f>SUM(F1710:F1713)</f>
        <v>0</v>
      </c>
      <c r="BJ1714" s="157">
        <f>SUM(E1714,K1714,Q1714,W1714,AC1714,AI1714,AO1714,AU1714,BA1714,BG1714)</f>
        <v>0</v>
      </c>
      <c r="BK1714" s="158">
        <f>SUM(F1714,L1714,R1714,X1714,AD1714,AJ1714,AP1714,AV1714,BB1714,BH1714)</f>
        <v>0</v>
      </c>
    </row>
    <row r="1715" spans="2:63" ht="14.4" thickBot="1" x14ac:dyDescent="0.3">
      <c r="B1715" s="170"/>
      <c r="C1715" s="173"/>
      <c r="D1715" s="164" t="str">
        <f>IF(E1714=F1714,"",IF(E1714&gt;F1714,"Saldo Deudor","Saldo Acreedor"))</f>
        <v/>
      </c>
      <c r="E1715" s="165" t="str">
        <f>IF(E1714&gt;F1714,E1714-F1714,"")</f>
        <v/>
      </c>
      <c r="F1715" s="176" t="str">
        <f>IF(E1714&lt;F1714,F1714-E1714,"")</f>
        <v/>
      </c>
    </row>
    <row r="1718" spans="2:63" ht="15.6" x14ac:dyDescent="0.25">
      <c r="B1718" s="324" t="s">
        <v>472</v>
      </c>
      <c r="C1718" s="324"/>
      <c r="D1718" s="175">
        <v>7541</v>
      </c>
      <c r="E1718" s="160"/>
      <c r="H1718" s="324" t="s">
        <v>472</v>
      </c>
      <c r="I1718" s="324"/>
      <c r="J1718" s="175">
        <v>7542</v>
      </c>
      <c r="K1718" s="160"/>
      <c r="N1718" s="324" t="s">
        <v>472</v>
      </c>
      <c r="O1718" s="324"/>
      <c r="P1718" s="175">
        <v>7543</v>
      </c>
      <c r="Q1718" s="160"/>
      <c r="T1718" s="324" t="s">
        <v>472</v>
      </c>
      <c r="U1718" s="324"/>
      <c r="V1718" s="175">
        <v>7544</v>
      </c>
      <c r="W1718" s="160"/>
      <c r="Z1718" s="324" t="s">
        <v>472</v>
      </c>
      <c r="AA1718" s="324"/>
      <c r="AB1718" s="175">
        <v>7545</v>
      </c>
      <c r="AC1718" s="160"/>
    </row>
    <row r="1719" spans="2:63" x14ac:dyDescent="0.25">
      <c r="B1719" s="160"/>
      <c r="C1719" s="160"/>
      <c r="D1719" s="160"/>
      <c r="E1719" s="160"/>
      <c r="H1719" s="160"/>
      <c r="I1719" s="160"/>
      <c r="J1719" s="160"/>
      <c r="K1719" s="160"/>
      <c r="N1719" s="160"/>
      <c r="O1719" s="160"/>
      <c r="P1719" s="160"/>
      <c r="Q1719" s="160"/>
      <c r="T1719" s="160"/>
      <c r="U1719" s="160"/>
      <c r="V1719" s="160"/>
      <c r="W1719" s="160"/>
      <c r="Z1719" s="160"/>
      <c r="AA1719" s="160"/>
      <c r="AB1719" s="160"/>
      <c r="AC1719" s="160"/>
    </row>
    <row r="1720" spans="2:63" ht="15.6" x14ac:dyDescent="0.25">
      <c r="B1720" s="324" t="s">
        <v>473</v>
      </c>
      <c r="C1720" s="324"/>
      <c r="D1720" s="234" t="str">
        <f>VLOOKUP(D1718,DivisionariasContables,3,FALSE)</f>
        <v>Terrenos</v>
      </c>
      <c r="E1720" s="160"/>
      <c r="H1720" s="324" t="s">
        <v>473</v>
      </c>
      <c r="I1720" s="324"/>
      <c r="J1720" s="234" t="str">
        <f>VLOOKUP(J1718,DivisionariasContables,3,FALSE)</f>
        <v>Edificaciones</v>
      </c>
      <c r="K1720" s="160"/>
      <c r="N1720" s="324" t="s">
        <v>473</v>
      </c>
      <c r="O1720" s="324"/>
      <c r="P1720" s="234" t="str">
        <f>VLOOKUP(P1718,DivisionariasContables,3,FALSE)</f>
        <v>Maquinarias y Equipos de Explotación</v>
      </c>
      <c r="Q1720" s="160"/>
      <c r="T1720" s="324" t="s">
        <v>473</v>
      </c>
      <c r="U1720" s="324"/>
      <c r="V1720" s="234" t="str">
        <f>VLOOKUP(V1718,DivisionariasContables,3,FALSE)</f>
        <v>Equipos de Transporte</v>
      </c>
      <c r="W1720" s="160"/>
      <c r="Z1720" s="324" t="s">
        <v>473</v>
      </c>
      <c r="AA1720" s="324"/>
      <c r="AB1720" s="234" t="str">
        <f>VLOOKUP(AB1718,DivisionariasContables,3,FALSE)</f>
        <v>Equipos Diversos</v>
      </c>
      <c r="AC1720" s="160"/>
    </row>
    <row r="1721" spans="2:63" ht="14.4" thickBot="1" x14ac:dyDescent="0.3"/>
    <row r="1722" spans="2:63" x14ac:dyDescent="0.25">
      <c r="B1722" s="325" t="s">
        <v>466</v>
      </c>
      <c r="C1722" s="327" t="s">
        <v>467</v>
      </c>
      <c r="D1722" s="327" t="s">
        <v>468</v>
      </c>
      <c r="E1722" s="329" t="s">
        <v>469</v>
      </c>
      <c r="F1722" s="330"/>
      <c r="H1722" s="325" t="s">
        <v>466</v>
      </c>
      <c r="I1722" s="327" t="s">
        <v>467</v>
      </c>
      <c r="J1722" s="327" t="s">
        <v>468</v>
      </c>
      <c r="K1722" s="329" t="s">
        <v>469</v>
      </c>
      <c r="L1722" s="330"/>
      <c r="N1722" s="325" t="s">
        <v>466</v>
      </c>
      <c r="O1722" s="327" t="s">
        <v>467</v>
      </c>
      <c r="P1722" s="327" t="s">
        <v>468</v>
      </c>
      <c r="Q1722" s="329" t="s">
        <v>469</v>
      </c>
      <c r="R1722" s="330"/>
      <c r="T1722" s="325" t="s">
        <v>466</v>
      </c>
      <c r="U1722" s="327" t="s">
        <v>467</v>
      </c>
      <c r="V1722" s="327" t="s">
        <v>468</v>
      </c>
      <c r="W1722" s="329" t="s">
        <v>469</v>
      </c>
      <c r="X1722" s="330"/>
      <c r="Z1722" s="325" t="s">
        <v>466</v>
      </c>
      <c r="AA1722" s="327" t="s">
        <v>467</v>
      </c>
      <c r="AB1722" s="327" t="s">
        <v>468</v>
      </c>
      <c r="AC1722" s="329" t="s">
        <v>469</v>
      </c>
      <c r="AD1722" s="330"/>
    </row>
    <row r="1723" spans="2:63" ht="14.4" thickBot="1" x14ac:dyDescent="0.3">
      <c r="B1723" s="326"/>
      <c r="C1723" s="328"/>
      <c r="D1723" s="328"/>
      <c r="E1723" s="232" t="s">
        <v>403</v>
      </c>
      <c r="F1723" s="174" t="s">
        <v>402</v>
      </c>
      <c r="H1723" s="326"/>
      <c r="I1723" s="328"/>
      <c r="J1723" s="328"/>
      <c r="K1723" s="232" t="s">
        <v>403</v>
      </c>
      <c r="L1723" s="174" t="s">
        <v>402</v>
      </c>
      <c r="N1723" s="326"/>
      <c r="O1723" s="328"/>
      <c r="P1723" s="328"/>
      <c r="Q1723" s="232" t="s">
        <v>403</v>
      </c>
      <c r="R1723" s="174" t="s">
        <v>402</v>
      </c>
      <c r="T1723" s="326"/>
      <c r="U1723" s="328"/>
      <c r="V1723" s="328"/>
      <c r="W1723" s="232" t="s">
        <v>403</v>
      </c>
      <c r="X1723" s="174" t="s">
        <v>402</v>
      </c>
      <c r="Z1723" s="326"/>
      <c r="AA1723" s="328"/>
      <c r="AB1723" s="328"/>
      <c r="AC1723" s="232" t="s">
        <v>403</v>
      </c>
      <c r="AD1723" s="174" t="s">
        <v>402</v>
      </c>
    </row>
    <row r="1724" spans="2:63" ht="14.4" thickTop="1" x14ac:dyDescent="0.25">
      <c r="B1724" s="236">
        <v>41670</v>
      </c>
      <c r="C1724" s="171"/>
      <c r="D1724" s="166" t="s">
        <v>470</v>
      </c>
      <c r="E1724" s="167">
        <f>SUMIF('Libro Diario Convencional'!$D$15:$D$167,D1718,'Libro Diario Convencional'!$G$15:$G$167)</f>
        <v>0</v>
      </c>
      <c r="F1724" s="168">
        <f>SUMIF('Libro Diario Convencional'!$D$15:$D$167,D1718,'Libro Diario Convencional'!$H$15:$H$167)</f>
        <v>0</v>
      </c>
      <c r="H1724" s="236">
        <v>41670</v>
      </c>
      <c r="I1724" s="171"/>
      <c r="J1724" s="166" t="s">
        <v>470</v>
      </c>
      <c r="K1724" s="167">
        <f>SUMIF('Libro Diario Convencional'!$D$15:$D$167,J1718,'Libro Diario Convencional'!$G$15:$G$167)</f>
        <v>0</v>
      </c>
      <c r="L1724" s="168">
        <f>SUMIF('Libro Diario Convencional'!$D$15:$D$167,J1718,'Libro Diario Convencional'!$H$15:$H$167)</f>
        <v>0</v>
      </c>
      <c r="N1724" s="236">
        <v>41670</v>
      </c>
      <c r="O1724" s="171"/>
      <c r="P1724" s="166" t="s">
        <v>470</v>
      </c>
      <c r="Q1724" s="167">
        <f>SUMIF('Libro Diario Convencional'!$D$15:$D$167,P1718,'Libro Diario Convencional'!$G$15:$G$167)</f>
        <v>0</v>
      </c>
      <c r="R1724" s="168">
        <f>SUMIF('Libro Diario Convencional'!$D$15:$D$167,P1718,'Libro Diario Convencional'!$H$15:$H$167)</f>
        <v>0</v>
      </c>
      <c r="T1724" s="236">
        <v>41670</v>
      </c>
      <c r="U1724" s="171"/>
      <c r="V1724" s="166" t="s">
        <v>470</v>
      </c>
      <c r="W1724" s="167">
        <f>SUMIF('Libro Diario Convencional'!$D$15:$D$167,V1718,'Libro Diario Convencional'!$G$15:$G$167)</f>
        <v>0</v>
      </c>
      <c r="X1724" s="168">
        <f>SUMIF('Libro Diario Convencional'!$D$15:$D$167,V1718,'Libro Diario Convencional'!$H$15:$H$167)</f>
        <v>0</v>
      </c>
      <c r="Z1724" s="236">
        <v>41670</v>
      </c>
      <c r="AA1724" s="171"/>
      <c r="AB1724" s="166" t="s">
        <v>470</v>
      </c>
      <c r="AC1724" s="167">
        <f>SUMIF('Libro Diario Convencional'!$D$15:$D$167,AB1718,'Libro Diario Convencional'!$G$15:$G$167)</f>
        <v>0</v>
      </c>
      <c r="AD1724" s="168">
        <f>SUMIF('Libro Diario Convencional'!$D$15:$D$167,AB1718,'Libro Diario Convencional'!$H$15:$H$167)</f>
        <v>0</v>
      </c>
    </row>
    <row r="1725" spans="2:63" x14ac:dyDescent="0.25">
      <c r="B1725" s="169">
        <v>41670</v>
      </c>
      <c r="C1725" s="172"/>
      <c r="D1725" s="161" t="s">
        <v>474</v>
      </c>
      <c r="E1725" s="162">
        <f>SUMIF('Asientos de Cierre'!$D$6:$D$549,D1718,'Asientos de Cierre'!$G$6:$G$549)</f>
        <v>0</v>
      </c>
      <c r="F1725" s="163">
        <f>SUMIF('Asientos de Cierre'!$D$6:$D$549,D1718,'Asientos de Cierre'!$H$6:$H$549)</f>
        <v>0</v>
      </c>
      <c r="H1725" s="169">
        <v>41670</v>
      </c>
      <c r="I1725" s="172"/>
      <c r="J1725" s="161" t="s">
        <v>474</v>
      </c>
      <c r="K1725" s="162">
        <f>SUMIF('Asientos de Cierre'!$D$6:$D$549,J1718,'Asientos de Cierre'!$G$6:$G$549)</f>
        <v>0</v>
      </c>
      <c r="L1725" s="163">
        <f>SUMIF('Asientos de Cierre'!$D$6:$D$549,J1718,'Asientos de Cierre'!$H$6:$H$549)</f>
        <v>0</v>
      </c>
      <c r="N1725" s="169">
        <v>41670</v>
      </c>
      <c r="O1725" s="172"/>
      <c r="P1725" s="161" t="s">
        <v>474</v>
      </c>
      <c r="Q1725" s="162">
        <f>SUMIF('Asientos de Cierre'!$D$6:$D$549,P1718,'Asientos de Cierre'!$G$6:$G$549)</f>
        <v>0</v>
      </c>
      <c r="R1725" s="163">
        <f>SUMIF('Asientos de Cierre'!$D$6:$D$549,P1718,'Asientos de Cierre'!$H$6:$H$549)</f>
        <v>0</v>
      </c>
      <c r="T1725" s="169">
        <v>41670</v>
      </c>
      <c r="U1725" s="172"/>
      <c r="V1725" s="161" t="s">
        <v>474</v>
      </c>
      <c r="W1725" s="162">
        <f>SUMIF('Asientos de Cierre'!$D$6:$D$549,V1718,'Asientos de Cierre'!$G$6:$G$549)</f>
        <v>0</v>
      </c>
      <c r="X1725" s="163">
        <f>SUMIF('Asientos de Cierre'!$D$6:$D$549,V1718,'Asientos de Cierre'!$H$6:$H$549)</f>
        <v>0</v>
      </c>
      <c r="Z1725" s="169">
        <v>41670</v>
      </c>
      <c r="AA1725" s="172"/>
      <c r="AB1725" s="161" t="s">
        <v>474</v>
      </c>
      <c r="AC1725" s="162">
        <f>SUMIF('Asientos de Cierre'!$D$6:$D$549,AB1718,'Asientos de Cierre'!$G$6:$G$549)</f>
        <v>0</v>
      </c>
      <c r="AD1725" s="163">
        <f>SUMIF('Asientos de Cierre'!$D$6:$D$549,AB1718,'Asientos de Cierre'!$H$6:$H$549)</f>
        <v>0</v>
      </c>
    </row>
    <row r="1726" spans="2:63" x14ac:dyDescent="0.25">
      <c r="B1726" s="169"/>
      <c r="C1726" s="172"/>
      <c r="D1726" s="161"/>
      <c r="E1726" s="162"/>
      <c r="F1726" s="163"/>
      <c r="H1726" s="169"/>
      <c r="I1726" s="172"/>
      <c r="J1726" s="161"/>
      <c r="K1726" s="162"/>
      <c r="L1726" s="163"/>
      <c r="N1726" s="169"/>
      <c r="O1726" s="172"/>
      <c r="P1726" s="161"/>
      <c r="Q1726" s="162"/>
      <c r="R1726" s="163"/>
      <c r="T1726" s="169"/>
      <c r="U1726" s="172"/>
      <c r="V1726" s="161"/>
      <c r="W1726" s="162"/>
      <c r="X1726" s="163"/>
      <c r="Z1726" s="169"/>
      <c r="AA1726" s="172"/>
      <c r="AB1726" s="161"/>
      <c r="AC1726" s="162"/>
      <c r="AD1726" s="163"/>
    </row>
    <row r="1727" spans="2:63" ht="14.4" thickBot="1" x14ac:dyDescent="0.3">
      <c r="B1727" s="169"/>
      <c r="C1727" s="172"/>
      <c r="D1727" s="161"/>
      <c r="E1727" s="162"/>
      <c r="F1727" s="163"/>
      <c r="H1727" s="169"/>
      <c r="I1727" s="172"/>
      <c r="J1727" s="161"/>
      <c r="K1727" s="162"/>
      <c r="L1727" s="163"/>
      <c r="N1727" s="169"/>
      <c r="O1727" s="172"/>
      <c r="P1727" s="161"/>
      <c r="Q1727" s="162"/>
      <c r="R1727" s="163"/>
      <c r="T1727" s="169"/>
      <c r="U1727" s="172"/>
      <c r="V1727" s="161"/>
      <c r="W1727" s="162"/>
      <c r="X1727" s="163"/>
      <c r="Z1727" s="169"/>
      <c r="AA1727" s="172"/>
      <c r="AB1727" s="161"/>
      <c r="AC1727" s="162"/>
      <c r="AD1727" s="163"/>
    </row>
    <row r="1728" spans="2:63" ht="15" thickBot="1" x14ac:dyDescent="0.3">
      <c r="B1728" s="169"/>
      <c r="C1728" s="172"/>
      <c r="D1728" s="161" t="s">
        <v>471</v>
      </c>
      <c r="E1728" s="162">
        <f>SUM(E1724:E1727)</f>
        <v>0</v>
      </c>
      <c r="F1728" s="163">
        <f>SUM(F1724:F1727)</f>
        <v>0</v>
      </c>
      <c r="H1728" s="169"/>
      <c r="I1728" s="172"/>
      <c r="J1728" s="161" t="s">
        <v>471</v>
      </c>
      <c r="K1728" s="162">
        <f>SUM(K1724:K1727)</f>
        <v>0</v>
      </c>
      <c r="L1728" s="163">
        <f>SUM(L1724:L1727)</f>
        <v>0</v>
      </c>
      <c r="N1728" s="169"/>
      <c r="O1728" s="172"/>
      <c r="P1728" s="161" t="s">
        <v>471</v>
      </c>
      <c r="Q1728" s="162">
        <f>SUM(Q1724:Q1727)</f>
        <v>0</v>
      </c>
      <c r="R1728" s="163">
        <f>SUM(R1724:R1727)</f>
        <v>0</v>
      </c>
      <c r="T1728" s="169"/>
      <c r="U1728" s="172"/>
      <c r="V1728" s="161" t="s">
        <v>471</v>
      </c>
      <c r="W1728" s="162">
        <f>SUM(W1724:W1727)</f>
        <v>0</v>
      </c>
      <c r="X1728" s="163">
        <f>SUM(X1724:X1727)</f>
        <v>0</v>
      </c>
      <c r="Z1728" s="169"/>
      <c r="AA1728" s="172"/>
      <c r="AB1728" s="161" t="s">
        <v>471</v>
      </c>
      <c r="AC1728" s="162">
        <f>SUM(AC1724:AC1727)</f>
        <v>0</v>
      </c>
      <c r="AD1728" s="163">
        <f>SUM(AD1724:AD1727)</f>
        <v>0</v>
      </c>
      <c r="BJ1728" s="157">
        <f>SUM(E1728,K1728,Q1728,W1728,AC1728,AI1728,AO1728,AU1728,BA1728,BG1728)</f>
        <v>0</v>
      </c>
      <c r="BK1728" s="158">
        <f>SUM(F1728,L1728,R1728,X1728,AD1728,AJ1728,AP1728,AV1728,BB1728,BH1728)</f>
        <v>0</v>
      </c>
    </row>
    <row r="1729" spans="2:63" ht="14.4" thickBot="1" x14ac:dyDescent="0.3">
      <c r="B1729" s="170"/>
      <c r="C1729" s="173"/>
      <c r="D1729" s="164" t="str">
        <f>IF(E1728=F1728,"",IF(E1728&gt;F1728,"Saldo Deudor","Saldo Acreedor"))</f>
        <v/>
      </c>
      <c r="E1729" s="165" t="str">
        <f>IF(E1728&gt;F1728,E1728-F1728,"")</f>
        <v/>
      </c>
      <c r="F1729" s="176" t="str">
        <f>IF(E1728&lt;F1728,F1728-E1728,"")</f>
        <v/>
      </c>
      <c r="H1729" s="170"/>
      <c r="I1729" s="173"/>
      <c r="J1729" s="164" t="str">
        <f>IF(K1728=L1728,"",IF(K1728&gt;L1728,"Saldo Deudor","Saldo Acreedor"))</f>
        <v/>
      </c>
      <c r="K1729" s="165" t="str">
        <f>IF(K1728&gt;L1728,K1728-L1728,"")</f>
        <v/>
      </c>
      <c r="L1729" s="176" t="str">
        <f>IF(K1728&lt;L1728,L1728-K1728,"")</f>
        <v/>
      </c>
      <c r="N1729" s="170"/>
      <c r="O1729" s="173"/>
      <c r="P1729" s="164" t="str">
        <f>IF(Q1728=R1728,"",IF(Q1728&gt;R1728,"Saldo Deudor","Saldo Acreedor"))</f>
        <v/>
      </c>
      <c r="Q1729" s="165" t="str">
        <f>IF(Q1728&gt;R1728,Q1728-R1728,"")</f>
        <v/>
      </c>
      <c r="R1729" s="176" t="str">
        <f>IF(Q1728&lt;R1728,R1728-Q1728,"")</f>
        <v/>
      </c>
      <c r="T1729" s="170"/>
      <c r="U1729" s="173"/>
      <c r="V1729" s="164" t="str">
        <f>IF(W1728=X1728,"",IF(W1728&gt;X1728,"Saldo Deudor","Saldo Acreedor"))</f>
        <v/>
      </c>
      <c r="W1729" s="165" t="str">
        <f>IF(W1728&gt;X1728,W1728-X1728,"")</f>
        <v/>
      </c>
      <c r="X1729" s="176" t="str">
        <f>IF(W1728&lt;X1728,X1728-W1728,"")</f>
        <v/>
      </c>
      <c r="Z1729" s="170"/>
      <c r="AA1729" s="173"/>
      <c r="AB1729" s="164" t="str">
        <f>IF(AC1728=AD1728,"",IF(AC1728&gt;AD1728,"Saldo Deudor","Saldo Acreedor"))</f>
        <v/>
      </c>
      <c r="AC1729" s="165" t="str">
        <f>IF(AC1728&gt;AD1728,AC1728-AD1728,"")</f>
        <v/>
      </c>
      <c r="AD1729" s="176" t="str">
        <f>IF(AC1728&lt;AD1728,AD1728-AC1728,"")</f>
        <v/>
      </c>
    </row>
    <row r="1732" spans="2:63" ht="15.6" x14ac:dyDescent="0.25">
      <c r="B1732" s="324" t="s">
        <v>472</v>
      </c>
      <c r="C1732" s="324"/>
      <c r="D1732" s="175">
        <v>7551</v>
      </c>
      <c r="E1732" s="160"/>
      <c r="H1732" s="324" t="s">
        <v>472</v>
      </c>
      <c r="I1732" s="324"/>
      <c r="J1732" s="175">
        <v>7552</v>
      </c>
      <c r="K1732" s="160"/>
      <c r="N1732" s="324" t="s">
        <v>472</v>
      </c>
      <c r="O1732" s="324"/>
      <c r="P1732" s="175">
        <v>7553</v>
      </c>
      <c r="Q1732" s="160"/>
    </row>
    <row r="1733" spans="2:63" x14ac:dyDescent="0.25">
      <c r="B1733" s="160"/>
      <c r="C1733" s="160"/>
      <c r="D1733" s="160"/>
      <c r="E1733" s="160"/>
      <c r="H1733" s="160"/>
      <c r="I1733" s="160"/>
      <c r="J1733" s="160"/>
      <c r="K1733" s="160"/>
      <c r="N1733" s="160"/>
      <c r="O1733" s="160"/>
      <c r="P1733" s="160"/>
      <c r="Q1733" s="160"/>
    </row>
    <row r="1734" spans="2:63" ht="15.6" x14ac:dyDescent="0.25">
      <c r="B1734" s="324" t="s">
        <v>473</v>
      </c>
      <c r="C1734" s="324"/>
      <c r="D1734" s="234" t="str">
        <f>VLOOKUP(D1732,DivisionariasContables,3,FALSE)</f>
        <v>Recuperación - Cuentas de Cobranza Dudosa</v>
      </c>
      <c r="E1734" s="160"/>
      <c r="H1734" s="324" t="s">
        <v>473</v>
      </c>
      <c r="I1734" s="324"/>
      <c r="J1734" s="234" t="str">
        <f>VLOOKUP(J1732,DivisionariasContables,3,FALSE)</f>
        <v>Recuperación - Desvalorización de Existencias</v>
      </c>
      <c r="K1734" s="160"/>
      <c r="N1734" s="324" t="s">
        <v>473</v>
      </c>
      <c r="O1734" s="324"/>
      <c r="P1734" s="234" t="str">
        <f>VLOOKUP(P1732,DivisionariasContables,3,FALSE)</f>
        <v>Recuperación - Desvalorización de Inversiones Inmobiliarias</v>
      </c>
      <c r="Q1734" s="160"/>
    </row>
    <row r="1735" spans="2:63" ht="14.4" thickBot="1" x14ac:dyDescent="0.3"/>
    <row r="1736" spans="2:63" x14ac:dyDescent="0.25">
      <c r="B1736" s="325" t="s">
        <v>466</v>
      </c>
      <c r="C1736" s="327" t="s">
        <v>467</v>
      </c>
      <c r="D1736" s="327" t="s">
        <v>468</v>
      </c>
      <c r="E1736" s="329" t="s">
        <v>469</v>
      </c>
      <c r="F1736" s="330"/>
      <c r="H1736" s="325" t="s">
        <v>466</v>
      </c>
      <c r="I1736" s="327" t="s">
        <v>467</v>
      </c>
      <c r="J1736" s="327" t="s">
        <v>468</v>
      </c>
      <c r="K1736" s="329" t="s">
        <v>469</v>
      </c>
      <c r="L1736" s="330"/>
      <c r="N1736" s="325" t="s">
        <v>466</v>
      </c>
      <c r="O1736" s="327" t="s">
        <v>467</v>
      </c>
      <c r="P1736" s="327" t="s">
        <v>468</v>
      </c>
      <c r="Q1736" s="329" t="s">
        <v>469</v>
      </c>
      <c r="R1736" s="330"/>
    </row>
    <row r="1737" spans="2:63" ht="14.4" thickBot="1" x14ac:dyDescent="0.3">
      <c r="B1737" s="326"/>
      <c r="C1737" s="328"/>
      <c r="D1737" s="328"/>
      <c r="E1737" s="232" t="s">
        <v>403</v>
      </c>
      <c r="F1737" s="174" t="s">
        <v>402</v>
      </c>
      <c r="H1737" s="326"/>
      <c r="I1737" s="328"/>
      <c r="J1737" s="328"/>
      <c r="K1737" s="232" t="s">
        <v>403</v>
      </c>
      <c r="L1737" s="174" t="s">
        <v>402</v>
      </c>
      <c r="N1737" s="326"/>
      <c r="O1737" s="328"/>
      <c r="P1737" s="328"/>
      <c r="Q1737" s="232" t="s">
        <v>403</v>
      </c>
      <c r="R1737" s="174" t="s">
        <v>402</v>
      </c>
    </row>
    <row r="1738" spans="2:63" ht="14.4" thickTop="1" x14ac:dyDescent="0.25">
      <c r="B1738" s="236">
        <v>41670</v>
      </c>
      <c r="C1738" s="171"/>
      <c r="D1738" s="166" t="s">
        <v>470</v>
      </c>
      <c r="E1738" s="167">
        <f>SUMIF('Libro Diario Convencional'!$D$15:$D$167,D1732,'Libro Diario Convencional'!$G$15:$G$167)</f>
        <v>0</v>
      </c>
      <c r="F1738" s="168">
        <f>SUMIF('Libro Diario Convencional'!$D$15:$D$167,D1732,'Libro Diario Convencional'!$H$15:$H$167)</f>
        <v>0</v>
      </c>
      <c r="H1738" s="236">
        <v>41670</v>
      </c>
      <c r="I1738" s="171"/>
      <c r="J1738" s="166" t="s">
        <v>470</v>
      </c>
      <c r="K1738" s="167">
        <f>SUMIF('Libro Diario Convencional'!$D$15:$D$167,J1732,'Libro Diario Convencional'!$G$15:$G$167)</f>
        <v>0</v>
      </c>
      <c r="L1738" s="168">
        <f>SUMIF('Libro Diario Convencional'!$D$15:$D$167,J1732,'Libro Diario Convencional'!$H$15:$H$167)</f>
        <v>0</v>
      </c>
      <c r="N1738" s="236">
        <v>41670</v>
      </c>
      <c r="O1738" s="171"/>
      <c r="P1738" s="166" t="s">
        <v>470</v>
      </c>
      <c r="Q1738" s="167">
        <f>SUMIF('Libro Diario Convencional'!$D$15:$D$167,P1732,'Libro Diario Convencional'!$G$15:$G$167)</f>
        <v>0</v>
      </c>
      <c r="R1738" s="168">
        <f>SUMIF('Libro Diario Convencional'!$D$15:$D$167,P1732,'Libro Diario Convencional'!$H$15:$H$167)</f>
        <v>0</v>
      </c>
    </row>
    <row r="1739" spans="2:63" x14ac:dyDescent="0.25">
      <c r="B1739" s="169">
        <v>41670</v>
      </c>
      <c r="C1739" s="172"/>
      <c r="D1739" s="161" t="s">
        <v>474</v>
      </c>
      <c r="E1739" s="162">
        <f>SUMIF('Asientos de Cierre'!$D$6:$D$549,D1732,'Asientos de Cierre'!$G$6:$G$549)</f>
        <v>0</v>
      </c>
      <c r="F1739" s="163">
        <f>SUMIF('Asientos de Cierre'!$D$6:$D$549,D1732,'Asientos de Cierre'!$H$6:$H$549)</f>
        <v>0</v>
      </c>
      <c r="H1739" s="169">
        <v>41670</v>
      </c>
      <c r="I1739" s="172"/>
      <c r="J1739" s="161" t="s">
        <v>474</v>
      </c>
      <c r="K1739" s="162">
        <f>SUMIF('Asientos de Cierre'!$D$6:$D$549,J1732,'Asientos de Cierre'!$G$6:$G$549)</f>
        <v>0</v>
      </c>
      <c r="L1739" s="163">
        <f>SUMIF('Asientos de Cierre'!$D$6:$D$549,J1732,'Asientos de Cierre'!$H$6:$H$549)</f>
        <v>0</v>
      </c>
      <c r="N1739" s="169">
        <v>41670</v>
      </c>
      <c r="O1739" s="172"/>
      <c r="P1739" s="161" t="s">
        <v>474</v>
      </c>
      <c r="Q1739" s="162">
        <f>SUMIF('Asientos de Cierre'!$D$6:$D$549,P1732,'Asientos de Cierre'!$G$6:$G$549)</f>
        <v>0</v>
      </c>
      <c r="R1739" s="163">
        <f>SUMIF('Asientos de Cierre'!$D$6:$D$549,P1732,'Asientos de Cierre'!$H$6:$H$549)</f>
        <v>0</v>
      </c>
    </row>
    <row r="1740" spans="2:63" x14ac:dyDescent="0.25">
      <c r="B1740" s="169"/>
      <c r="C1740" s="172"/>
      <c r="D1740" s="161"/>
      <c r="E1740" s="162"/>
      <c r="F1740" s="163"/>
      <c r="H1740" s="169"/>
      <c r="I1740" s="172"/>
      <c r="J1740" s="161"/>
      <c r="K1740" s="162"/>
      <c r="L1740" s="163"/>
      <c r="N1740" s="169"/>
      <c r="O1740" s="172"/>
      <c r="P1740" s="161"/>
      <c r="Q1740" s="162"/>
      <c r="R1740" s="163"/>
    </row>
    <row r="1741" spans="2:63" ht="14.4" thickBot="1" x14ac:dyDescent="0.3">
      <c r="B1741" s="169"/>
      <c r="C1741" s="172"/>
      <c r="D1741" s="161"/>
      <c r="E1741" s="162"/>
      <c r="F1741" s="163"/>
      <c r="H1741" s="169"/>
      <c r="I1741" s="172"/>
      <c r="J1741" s="161"/>
      <c r="K1741" s="162"/>
      <c r="L1741" s="163"/>
      <c r="N1741" s="169"/>
      <c r="O1741" s="172"/>
      <c r="P1741" s="161"/>
      <c r="Q1741" s="162"/>
      <c r="R1741" s="163"/>
    </row>
    <row r="1742" spans="2:63" ht="15" thickBot="1" x14ac:dyDescent="0.3">
      <c r="B1742" s="169"/>
      <c r="C1742" s="172"/>
      <c r="D1742" s="161" t="s">
        <v>471</v>
      </c>
      <c r="E1742" s="162">
        <f>SUM(E1738:E1741)</f>
        <v>0</v>
      </c>
      <c r="F1742" s="163">
        <f>SUM(F1738:F1741)</f>
        <v>0</v>
      </c>
      <c r="H1742" s="169"/>
      <c r="I1742" s="172"/>
      <c r="J1742" s="161" t="s">
        <v>471</v>
      </c>
      <c r="K1742" s="162">
        <f>SUM(K1738:K1741)</f>
        <v>0</v>
      </c>
      <c r="L1742" s="163">
        <f>SUM(L1738:L1741)</f>
        <v>0</v>
      </c>
      <c r="N1742" s="169"/>
      <c r="O1742" s="172"/>
      <c r="P1742" s="161" t="s">
        <v>471</v>
      </c>
      <c r="Q1742" s="162">
        <f>SUM(Q1738:Q1741)</f>
        <v>0</v>
      </c>
      <c r="R1742" s="163">
        <f>SUM(R1738:R1741)</f>
        <v>0</v>
      </c>
      <c r="BJ1742" s="157">
        <f>SUM(E1742,K1742,Q1742,W1742,AC1742,AI1742,AO1742,AU1742,BA1742,BG1742)</f>
        <v>0</v>
      </c>
      <c r="BK1742" s="158">
        <f>SUM(F1742,L1742,R1742,X1742,AD1742,AJ1742,AP1742,AV1742,BB1742,BH1742)</f>
        <v>0</v>
      </c>
    </row>
    <row r="1743" spans="2:63" ht="14.4" thickBot="1" x14ac:dyDescent="0.3">
      <c r="B1743" s="170"/>
      <c r="C1743" s="173"/>
      <c r="D1743" s="164" t="str">
        <f>IF(E1742=F1742,"",IF(E1742&gt;F1742,"Saldo Deudor","Saldo Acreedor"))</f>
        <v/>
      </c>
      <c r="E1743" s="165" t="str">
        <f>IF(E1742&gt;F1742,E1742-F1742,"")</f>
        <v/>
      </c>
      <c r="F1743" s="176" t="str">
        <f>IF(E1742&lt;F1742,F1742-E1742,"")</f>
        <v/>
      </c>
      <c r="H1743" s="170"/>
      <c r="I1743" s="173"/>
      <c r="J1743" s="164" t="str">
        <f>IF(K1742=L1742,"",IF(K1742&gt;L1742,"Saldo Deudor","Saldo Acreedor"))</f>
        <v/>
      </c>
      <c r="K1743" s="165" t="str">
        <f>IF(K1742&gt;L1742,K1742-L1742,"")</f>
        <v/>
      </c>
      <c r="L1743" s="176" t="str">
        <f>IF(K1742&lt;L1742,L1742-K1742,"")</f>
        <v/>
      </c>
      <c r="N1743" s="170"/>
      <c r="O1743" s="173"/>
      <c r="P1743" s="164" t="str">
        <f>IF(Q1742=R1742,"",IF(Q1742&gt;R1742,"Saldo Deudor","Saldo Acreedor"))</f>
        <v/>
      </c>
      <c r="Q1743" s="165" t="str">
        <f>IF(Q1742&gt;R1742,Q1742-R1742,"")</f>
        <v/>
      </c>
      <c r="R1743" s="176" t="str">
        <f>IF(Q1742&lt;R1742,R1742-Q1742,"")</f>
        <v/>
      </c>
    </row>
    <row r="1746" spans="2:63" ht="15.6" x14ac:dyDescent="0.25">
      <c r="B1746" s="324" t="s">
        <v>472</v>
      </c>
      <c r="C1746" s="324"/>
      <c r="D1746" s="175">
        <v>7561</v>
      </c>
      <c r="E1746" s="160"/>
      <c r="H1746" s="324" t="s">
        <v>472</v>
      </c>
      <c r="I1746" s="324"/>
      <c r="J1746" s="175">
        <v>7562</v>
      </c>
      <c r="K1746" s="160"/>
      <c r="N1746" s="324" t="s">
        <v>472</v>
      </c>
      <c r="O1746" s="324"/>
      <c r="P1746" s="175">
        <v>7563</v>
      </c>
      <c r="Q1746" s="160"/>
      <c r="T1746" s="324" t="s">
        <v>472</v>
      </c>
      <c r="U1746" s="324"/>
      <c r="V1746" s="175">
        <v>7564</v>
      </c>
      <c r="W1746" s="160"/>
      <c r="Z1746" s="324" t="s">
        <v>472</v>
      </c>
      <c r="AA1746" s="324"/>
      <c r="AB1746" s="175">
        <v>7565</v>
      </c>
      <c r="AC1746" s="160"/>
    </row>
    <row r="1747" spans="2:63" x14ac:dyDescent="0.25">
      <c r="B1747" s="160"/>
      <c r="C1747" s="160"/>
      <c r="D1747" s="160"/>
      <c r="E1747" s="160"/>
      <c r="H1747" s="160"/>
      <c r="I1747" s="160"/>
      <c r="J1747" s="160"/>
      <c r="K1747" s="160"/>
      <c r="N1747" s="160"/>
      <c r="O1747" s="160"/>
      <c r="P1747" s="160"/>
      <c r="Q1747" s="160"/>
      <c r="T1747" s="160"/>
      <c r="U1747" s="160"/>
      <c r="V1747" s="160"/>
      <c r="W1747" s="160"/>
      <c r="Z1747" s="160"/>
      <c r="AA1747" s="160"/>
      <c r="AB1747" s="160"/>
      <c r="AC1747" s="160"/>
    </row>
    <row r="1748" spans="2:63" ht="15.6" x14ac:dyDescent="0.25">
      <c r="B1748" s="324" t="s">
        <v>473</v>
      </c>
      <c r="C1748" s="324"/>
      <c r="D1748" s="234" t="str">
        <f>VLOOKUP(D1746,DivisionariasContables,3,FALSE)</f>
        <v>Inversiones Mobiliarias</v>
      </c>
      <c r="E1748" s="160"/>
      <c r="H1748" s="324" t="s">
        <v>473</v>
      </c>
      <c r="I1748" s="324"/>
      <c r="J1748" s="234" t="str">
        <f>VLOOKUP(J1746,DivisionariasContables,3,FALSE)</f>
        <v>Inversiones Inmobiliarias</v>
      </c>
      <c r="K1748" s="160"/>
      <c r="N1748" s="324" t="s">
        <v>473</v>
      </c>
      <c r="O1748" s="324"/>
      <c r="P1748" s="234" t="str">
        <f>VLOOKUP(P1746,DivisionariasContables,3,FALSE)</f>
        <v>Activos Adquiridos en Arrendamiento Financiero</v>
      </c>
      <c r="Q1748" s="160"/>
      <c r="T1748" s="324" t="s">
        <v>473</v>
      </c>
      <c r="U1748" s="324"/>
      <c r="V1748" s="234" t="str">
        <f>VLOOKUP(V1746,DivisionariasContables,3,FALSE)</f>
        <v>Inmuebles, Maquinaria y Equipo</v>
      </c>
      <c r="W1748" s="160"/>
      <c r="Z1748" s="324" t="s">
        <v>473</v>
      </c>
      <c r="AA1748" s="324"/>
      <c r="AB1748" s="234" t="str">
        <f>VLOOKUP(AB1746,DivisionariasContables,3,FALSE)</f>
        <v>Intangibles</v>
      </c>
      <c r="AC1748" s="160"/>
    </row>
    <row r="1749" spans="2:63" ht="14.4" thickBot="1" x14ac:dyDescent="0.3"/>
    <row r="1750" spans="2:63" ht="12.75" customHeight="1" x14ac:dyDescent="0.25">
      <c r="B1750" s="325" t="s">
        <v>466</v>
      </c>
      <c r="C1750" s="327" t="s">
        <v>467</v>
      </c>
      <c r="D1750" s="327" t="s">
        <v>468</v>
      </c>
      <c r="E1750" s="329" t="s">
        <v>469</v>
      </c>
      <c r="F1750" s="330"/>
      <c r="H1750" s="325" t="s">
        <v>466</v>
      </c>
      <c r="I1750" s="327" t="s">
        <v>467</v>
      </c>
      <c r="J1750" s="327" t="s">
        <v>468</v>
      </c>
      <c r="K1750" s="329" t="s">
        <v>469</v>
      </c>
      <c r="L1750" s="330"/>
      <c r="N1750" s="325" t="s">
        <v>466</v>
      </c>
      <c r="O1750" s="327" t="s">
        <v>467</v>
      </c>
      <c r="P1750" s="327" t="s">
        <v>468</v>
      </c>
      <c r="Q1750" s="329" t="s">
        <v>469</v>
      </c>
      <c r="R1750" s="330"/>
      <c r="T1750" s="325" t="s">
        <v>466</v>
      </c>
      <c r="U1750" s="327" t="s">
        <v>467</v>
      </c>
      <c r="V1750" s="327" t="s">
        <v>468</v>
      </c>
      <c r="W1750" s="329" t="s">
        <v>469</v>
      </c>
      <c r="X1750" s="330"/>
      <c r="Z1750" s="325" t="s">
        <v>466</v>
      </c>
      <c r="AA1750" s="327" t="s">
        <v>467</v>
      </c>
      <c r="AB1750" s="327" t="s">
        <v>468</v>
      </c>
      <c r="AC1750" s="329" t="s">
        <v>469</v>
      </c>
      <c r="AD1750" s="330"/>
    </row>
    <row r="1751" spans="2:63" ht="14.4" thickBot="1" x14ac:dyDescent="0.3">
      <c r="B1751" s="326"/>
      <c r="C1751" s="328"/>
      <c r="D1751" s="328"/>
      <c r="E1751" s="232" t="s">
        <v>403</v>
      </c>
      <c r="F1751" s="174" t="s">
        <v>402</v>
      </c>
      <c r="H1751" s="326"/>
      <c r="I1751" s="328"/>
      <c r="J1751" s="328"/>
      <c r="K1751" s="232" t="s">
        <v>403</v>
      </c>
      <c r="L1751" s="174" t="s">
        <v>402</v>
      </c>
      <c r="N1751" s="326"/>
      <c r="O1751" s="328"/>
      <c r="P1751" s="328"/>
      <c r="Q1751" s="232" t="s">
        <v>403</v>
      </c>
      <c r="R1751" s="174" t="s">
        <v>402</v>
      </c>
      <c r="T1751" s="326"/>
      <c r="U1751" s="328"/>
      <c r="V1751" s="328"/>
      <c r="W1751" s="232" t="s">
        <v>403</v>
      </c>
      <c r="X1751" s="174" t="s">
        <v>402</v>
      </c>
      <c r="Z1751" s="326"/>
      <c r="AA1751" s="328"/>
      <c r="AB1751" s="328"/>
      <c r="AC1751" s="232" t="s">
        <v>403</v>
      </c>
      <c r="AD1751" s="174" t="s">
        <v>402</v>
      </c>
    </row>
    <row r="1752" spans="2:63" ht="14.4" thickTop="1" x14ac:dyDescent="0.25">
      <c r="B1752" s="236">
        <v>41670</v>
      </c>
      <c r="C1752" s="171"/>
      <c r="D1752" s="166" t="s">
        <v>470</v>
      </c>
      <c r="E1752" s="167">
        <f>SUMIF('Libro Diario Convencional'!$D$15:$D$167,D1746,'Libro Diario Convencional'!$G$15:$G$167)</f>
        <v>0</v>
      </c>
      <c r="F1752" s="168">
        <f>SUMIF('Libro Diario Convencional'!$D$15:$D$167,D1746,'Libro Diario Convencional'!$H$15:$H$167)</f>
        <v>0</v>
      </c>
      <c r="H1752" s="236">
        <v>41670</v>
      </c>
      <c r="I1752" s="171"/>
      <c r="J1752" s="166" t="s">
        <v>470</v>
      </c>
      <c r="K1752" s="167">
        <f>SUMIF('Libro Diario Convencional'!$D$15:$D$167,J1746,'Libro Diario Convencional'!$G$15:$G$167)</f>
        <v>0</v>
      </c>
      <c r="L1752" s="168">
        <f>SUMIF('Libro Diario Convencional'!$D$15:$D$167,J1746,'Libro Diario Convencional'!$H$15:$H$167)</f>
        <v>0</v>
      </c>
      <c r="N1752" s="236">
        <v>41670</v>
      </c>
      <c r="O1752" s="171"/>
      <c r="P1752" s="166" t="s">
        <v>470</v>
      </c>
      <c r="Q1752" s="167">
        <f>SUMIF('Libro Diario Convencional'!$D$15:$D$167,P1746,'Libro Diario Convencional'!$G$15:$G$167)</f>
        <v>0</v>
      </c>
      <c r="R1752" s="168">
        <f>SUMIF('Libro Diario Convencional'!$D$15:$D$167,P1746,'Libro Diario Convencional'!$H$15:$H$167)</f>
        <v>0</v>
      </c>
      <c r="T1752" s="236">
        <v>41670</v>
      </c>
      <c r="U1752" s="171"/>
      <c r="V1752" s="166" t="s">
        <v>470</v>
      </c>
      <c r="W1752" s="167">
        <f>SUMIF('Libro Diario Convencional'!$D$15:$D$167,V1746,'Libro Diario Convencional'!$G$15:$G$167)</f>
        <v>0</v>
      </c>
      <c r="X1752" s="168">
        <f>SUMIF('Libro Diario Convencional'!$D$15:$D$167,V1746,'Libro Diario Convencional'!$H$15:$H$167)</f>
        <v>0</v>
      </c>
      <c r="Z1752" s="236">
        <v>41670</v>
      </c>
      <c r="AA1752" s="171"/>
      <c r="AB1752" s="166" t="s">
        <v>470</v>
      </c>
      <c r="AC1752" s="167">
        <f>SUMIF('Libro Diario Convencional'!$D$15:$D$167,AB1746,'Libro Diario Convencional'!$G$15:$G$167)</f>
        <v>0</v>
      </c>
      <c r="AD1752" s="168">
        <f>SUMIF('Libro Diario Convencional'!$D$15:$D$167,AB1746,'Libro Diario Convencional'!$H$15:$H$167)</f>
        <v>0</v>
      </c>
    </row>
    <row r="1753" spans="2:63" x14ac:dyDescent="0.25">
      <c r="B1753" s="169">
        <v>41670</v>
      </c>
      <c r="C1753" s="172"/>
      <c r="D1753" s="161" t="s">
        <v>474</v>
      </c>
      <c r="E1753" s="162">
        <f>SUMIF('Asientos de Cierre'!$D$6:$D$549,D1746,'Asientos de Cierre'!$G$6:$G$549)</f>
        <v>0</v>
      </c>
      <c r="F1753" s="163">
        <f>SUMIF('Asientos de Cierre'!$D$6:$D$549,D1746,'Asientos de Cierre'!$H$6:$H$549)</f>
        <v>0</v>
      </c>
      <c r="H1753" s="169">
        <v>41670</v>
      </c>
      <c r="I1753" s="172"/>
      <c r="J1753" s="161" t="s">
        <v>474</v>
      </c>
      <c r="K1753" s="162">
        <f>SUMIF('Asientos de Cierre'!$D$6:$D$549,J1746,'Asientos de Cierre'!$G$6:$G$549)</f>
        <v>0</v>
      </c>
      <c r="L1753" s="163">
        <f>SUMIF('Asientos de Cierre'!$D$6:$D$549,J1746,'Asientos de Cierre'!$H$6:$H$549)</f>
        <v>0</v>
      </c>
      <c r="N1753" s="169">
        <v>41670</v>
      </c>
      <c r="O1753" s="172"/>
      <c r="P1753" s="161" t="s">
        <v>474</v>
      </c>
      <c r="Q1753" s="162">
        <f>SUMIF('Asientos de Cierre'!$D$6:$D$549,P1746,'Asientos de Cierre'!$G$6:$G$549)</f>
        <v>0</v>
      </c>
      <c r="R1753" s="163">
        <f>SUMIF('Asientos de Cierre'!$D$6:$D$549,P1746,'Asientos de Cierre'!$H$6:$H$549)</f>
        <v>0</v>
      </c>
      <c r="T1753" s="169">
        <v>41670</v>
      </c>
      <c r="U1753" s="172"/>
      <c r="V1753" s="161" t="s">
        <v>474</v>
      </c>
      <c r="W1753" s="162">
        <f>SUMIF('Asientos de Cierre'!$D$6:$D$549,V1746,'Asientos de Cierre'!$G$6:$G$549)</f>
        <v>0</v>
      </c>
      <c r="X1753" s="163">
        <f>SUMIF('Asientos de Cierre'!$D$6:$D$549,V1746,'Asientos de Cierre'!$H$6:$H$549)</f>
        <v>0</v>
      </c>
      <c r="Z1753" s="169">
        <v>41670</v>
      </c>
      <c r="AA1753" s="172"/>
      <c r="AB1753" s="161" t="s">
        <v>474</v>
      </c>
      <c r="AC1753" s="162">
        <f>SUMIF('Asientos de Cierre'!$D$6:$D$549,AB1746,'Asientos de Cierre'!$G$6:$G$549)</f>
        <v>0</v>
      </c>
      <c r="AD1753" s="163">
        <f>SUMIF('Asientos de Cierre'!$D$6:$D$549,AB1746,'Asientos de Cierre'!$H$6:$H$549)</f>
        <v>0</v>
      </c>
    </row>
    <row r="1754" spans="2:63" x14ac:dyDescent="0.25">
      <c r="B1754" s="169"/>
      <c r="C1754" s="172"/>
      <c r="D1754" s="161"/>
      <c r="E1754" s="162"/>
      <c r="F1754" s="163"/>
      <c r="H1754" s="169"/>
      <c r="I1754" s="172"/>
      <c r="J1754" s="161"/>
      <c r="K1754" s="162"/>
      <c r="L1754" s="163"/>
      <c r="N1754" s="169"/>
      <c r="O1754" s="172"/>
      <c r="P1754" s="161"/>
      <c r="Q1754" s="162"/>
      <c r="R1754" s="163"/>
      <c r="T1754" s="169"/>
      <c r="U1754" s="172"/>
      <c r="V1754" s="161"/>
      <c r="W1754" s="162"/>
      <c r="X1754" s="163"/>
      <c r="Z1754" s="169"/>
      <c r="AA1754" s="172"/>
      <c r="AB1754" s="161"/>
      <c r="AC1754" s="162"/>
      <c r="AD1754" s="163"/>
    </row>
    <row r="1755" spans="2:63" ht="14.4" thickBot="1" x14ac:dyDescent="0.3">
      <c r="B1755" s="169"/>
      <c r="C1755" s="172"/>
      <c r="D1755" s="161"/>
      <c r="E1755" s="162"/>
      <c r="F1755" s="163"/>
      <c r="H1755" s="169"/>
      <c r="I1755" s="172"/>
      <c r="J1755" s="161"/>
      <c r="K1755" s="162"/>
      <c r="L1755" s="163"/>
      <c r="N1755" s="169"/>
      <c r="O1755" s="172"/>
      <c r="P1755" s="161"/>
      <c r="Q1755" s="162"/>
      <c r="R1755" s="163"/>
      <c r="T1755" s="169"/>
      <c r="U1755" s="172"/>
      <c r="V1755" s="161"/>
      <c r="W1755" s="162"/>
      <c r="X1755" s="163"/>
      <c r="Z1755" s="169"/>
      <c r="AA1755" s="172"/>
      <c r="AB1755" s="161"/>
      <c r="AC1755" s="162"/>
      <c r="AD1755" s="163"/>
    </row>
    <row r="1756" spans="2:63" ht="15" thickBot="1" x14ac:dyDescent="0.3">
      <c r="B1756" s="169"/>
      <c r="C1756" s="172"/>
      <c r="D1756" s="161" t="s">
        <v>471</v>
      </c>
      <c r="E1756" s="162">
        <f>SUM(E1752:E1755)</f>
        <v>0</v>
      </c>
      <c r="F1756" s="163">
        <f>SUM(F1752:F1755)</f>
        <v>0</v>
      </c>
      <c r="H1756" s="169"/>
      <c r="I1756" s="172"/>
      <c r="J1756" s="161" t="s">
        <v>471</v>
      </c>
      <c r="K1756" s="162">
        <f>SUM(K1752:K1755)</f>
        <v>0</v>
      </c>
      <c r="L1756" s="163">
        <f>SUM(L1752:L1755)</f>
        <v>0</v>
      </c>
      <c r="N1756" s="169"/>
      <c r="O1756" s="172"/>
      <c r="P1756" s="161" t="s">
        <v>471</v>
      </c>
      <c r="Q1756" s="162">
        <f>SUM(Q1752:Q1755)</f>
        <v>0</v>
      </c>
      <c r="R1756" s="163">
        <f>SUM(R1752:R1755)</f>
        <v>0</v>
      </c>
      <c r="T1756" s="169"/>
      <c r="U1756" s="172"/>
      <c r="V1756" s="161" t="s">
        <v>471</v>
      </c>
      <c r="W1756" s="162">
        <f>SUM(W1752:W1755)</f>
        <v>0</v>
      </c>
      <c r="X1756" s="163">
        <f>SUM(X1752:X1755)</f>
        <v>0</v>
      </c>
      <c r="Z1756" s="169"/>
      <c r="AA1756" s="172"/>
      <c r="AB1756" s="161" t="s">
        <v>471</v>
      </c>
      <c r="AC1756" s="162">
        <f>SUM(AC1752:AC1755)</f>
        <v>0</v>
      </c>
      <c r="AD1756" s="163">
        <f>SUM(AD1752:AD1755)</f>
        <v>0</v>
      </c>
      <c r="BJ1756" s="157">
        <f>SUM(E1756,K1756,Q1756,W1756,AC1756,AI1756,AO1756,AU1756,BA1756,BG1756)</f>
        <v>0</v>
      </c>
      <c r="BK1756" s="158">
        <f>SUM(F1756,L1756,R1756,X1756,AD1756,AJ1756,AP1756,AV1756,BB1756,BH1756)</f>
        <v>0</v>
      </c>
    </row>
    <row r="1757" spans="2:63" ht="14.4" thickBot="1" x14ac:dyDescent="0.3">
      <c r="B1757" s="170"/>
      <c r="C1757" s="173"/>
      <c r="D1757" s="164" t="str">
        <f>IF(E1756=F1756,"",IF(E1756&gt;F1756,"Saldo Deudor","Saldo Acreedor"))</f>
        <v/>
      </c>
      <c r="E1757" s="165" t="str">
        <f>IF(E1756&gt;F1756,E1756-F1756,"")</f>
        <v/>
      </c>
      <c r="F1757" s="176" t="str">
        <f>IF(E1756&lt;F1756,F1756-E1756,"")</f>
        <v/>
      </c>
      <c r="H1757" s="170"/>
      <c r="I1757" s="173"/>
      <c r="J1757" s="164" t="str">
        <f>IF(K1756=L1756,"",IF(K1756&gt;L1756,"Saldo Deudor","Saldo Acreedor"))</f>
        <v/>
      </c>
      <c r="K1757" s="165" t="str">
        <f>IF(K1756&gt;L1756,K1756-L1756,"")</f>
        <v/>
      </c>
      <c r="L1757" s="176" t="str">
        <f>IF(K1756&lt;L1756,L1756-K1756,"")</f>
        <v/>
      </c>
      <c r="N1757" s="170"/>
      <c r="O1757" s="173"/>
      <c r="P1757" s="164" t="str">
        <f>IF(Q1756=R1756,"",IF(Q1756&gt;R1756,"Saldo Deudor","Saldo Acreedor"))</f>
        <v/>
      </c>
      <c r="Q1757" s="165" t="str">
        <f>IF(Q1756&gt;R1756,Q1756-R1756,"")</f>
        <v/>
      </c>
      <c r="R1757" s="176" t="str">
        <f>IF(Q1756&lt;R1756,R1756-Q1756,"")</f>
        <v/>
      </c>
      <c r="T1757" s="170"/>
      <c r="U1757" s="173"/>
      <c r="V1757" s="164" t="str">
        <f>IF(W1756=X1756,"",IF(W1756&gt;X1756,"Saldo Deudor","Saldo Acreedor"))</f>
        <v/>
      </c>
      <c r="W1757" s="165" t="str">
        <f>IF(W1756&gt;X1756,W1756-X1756,"")</f>
        <v/>
      </c>
      <c r="X1757" s="176" t="str">
        <f>IF(W1756&lt;X1756,X1756-W1756,"")</f>
        <v/>
      </c>
      <c r="Z1757" s="170"/>
      <c r="AA1757" s="173"/>
      <c r="AB1757" s="164" t="str">
        <f>IF(AC1756=AD1756,"",IF(AC1756&gt;AD1756,"Saldo Deudor","Saldo Acreedor"))</f>
        <v/>
      </c>
      <c r="AC1757" s="165" t="str">
        <f>IF(AC1756&gt;AD1756,AC1756-AD1756,"")</f>
        <v/>
      </c>
      <c r="AD1757" s="176" t="str">
        <f>IF(AC1756&lt;AD1756,AD1756-AC1756,"")</f>
        <v/>
      </c>
    </row>
    <row r="1760" spans="2:63" ht="15.6" x14ac:dyDescent="0.25">
      <c r="B1760" s="324" t="s">
        <v>472</v>
      </c>
      <c r="C1760" s="324"/>
      <c r="D1760" s="175">
        <v>7571</v>
      </c>
      <c r="E1760" s="160"/>
    </row>
    <row r="1761" spans="2:63" x14ac:dyDescent="0.25">
      <c r="B1761" s="160"/>
      <c r="C1761" s="160"/>
      <c r="D1761" s="160"/>
      <c r="E1761" s="160"/>
    </row>
    <row r="1762" spans="2:63" ht="15.6" x14ac:dyDescent="0.25">
      <c r="B1762" s="324" t="s">
        <v>473</v>
      </c>
      <c r="C1762" s="324"/>
      <c r="D1762" s="234" t="str">
        <f>VLOOKUP(D1760,DivisionariasContables,3,FALSE)</f>
        <v>Recuperación de Deterioro de Inversiones Inmobiliarias</v>
      </c>
      <c r="E1762" s="160"/>
    </row>
    <row r="1763" spans="2:63" ht="14.4" thickBot="1" x14ac:dyDescent="0.3"/>
    <row r="1764" spans="2:63" x14ac:dyDescent="0.25">
      <c r="B1764" s="325" t="s">
        <v>466</v>
      </c>
      <c r="C1764" s="327" t="s">
        <v>467</v>
      </c>
      <c r="D1764" s="327" t="s">
        <v>468</v>
      </c>
      <c r="E1764" s="329" t="s">
        <v>469</v>
      </c>
      <c r="F1764" s="330"/>
    </row>
    <row r="1765" spans="2:63" ht="14.4" thickBot="1" x14ac:dyDescent="0.3">
      <c r="B1765" s="326"/>
      <c r="C1765" s="328"/>
      <c r="D1765" s="328"/>
      <c r="E1765" s="232" t="s">
        <v>403</v>
      </c>
      <c r="F1765" s="174" t="s">
        <v>402</v>
      </c>
    </row>
    <row r="1766" spans="2:63" ht="14.4" thickTop="1" x14ac:dyDescent="0.25">
      <c r="B1766" s="236">
        <v>41670</v>
      </c>
      <c r="C1766" s="171"/>
      <c r="D1766" s="166" t="s">
        <v>470</v>
      </c>
      <c r="E1766" s="167">
        <f>SUMIF('Libro Diario Convencional'!$D$15:$D$167,D1760,'Libro Diario Convencional'!$G$15:$G$167)</f>
        <v>0</v>
      </c>
      <c r="F1766" s="168">
        <f>SUMIF('Libro Diario Convencional'!$D$15:$D$167,D1760,'Libro Diario Convencional'!$H$15:$H$167)</f>
        <v>0</v>
      </c>
    </row>
    <row r="1767" spans="2:63" x14ac:dyDescent="0.25">
      <c r="B1767" s="169">
        <v>41670</v>
      </c>
      <c r="C1767" s="172"/>
      <c r="D1767" s="161" t="s">
        <v>474</v>
      </c>
      <c r="E1767" s="162">
        <f>SUMIF('Asientos de Cierre'!$D$6:$D$549,D1760,'Asientos de Cierre'!$G$6:$G$549)</f>
        <v>0</v>
      </c>
      <c r="F1767" s="163">
        <f>SUMIF('Asientos de Cierre'!$D$6:$D$549,D1760,'Asientos de Cierre'!$H$6:$H$549)</f>
        <v>0</v>
      </c>
    </row>
    <row r="1768" spans="2:63" x14ac:dyDescent="0.25">
      <c r="B1768" s="169"/>
      <c r="C1768" s="172"/>
      <c r="D1768" s="161"/>
      <c r="E1768" s="162"/>
      <c r="F1768" s="163"/>
    </row>
    <row r="1769" spans="2:63" ht="14.4" thickBot="1" x14ac:dyDescent="0.3">
      <c r="B1769" s="169"/>
      <c r="C1769" s="172"/>
      <c r="D1769" s="161"/>
      <c r="E1769" s="162"/>
      <c r="F1769" s="163"/>
    </row>
    <row r="1770" spans="2:63" ht="15" thickBot="1" x14ac:dyDescent="0.3">
      <c r="B1770" s="169"/>
      <c r="C1770" s="172"/>
      <c r="D1770" s="161" t="s">
        <v>471</v>
      </c>
      <c r="E1770" s="162">
        <f>SUM(E1766:E1769)</f>
        <v>0</v>
      </c>
      <c r="F1770" s="163">
        <f>SUM(F1766:F1769)</f>
        <v>0</v>
      </c>
      <c r="BJ1770" s="157">
        <f>SUM(E1770,K1770,Q1770,W1770,AC1770,AI1770,AO1770,AU1770,BA1770,BG1770)</f>
        <v>0</v>
      </c>
      <c r="BK1770" s="158">
        <f>SUM(F1770,L1770,R1770,X1770,AD1770,AJ1770,AP1770,AV1770,BB1770,BH1770)</f>
        <v>0</v>
      </c>
    </row>
    <row r="1771" spans="2:63" ht="14.4" thickBot="1" x14ac:dyDescent="0.3">
      <c r="B1771" s="170"/>
      <c r="C1771" s="173"/>
      <c r="D1771" s="164" t="str">
        <f>IF(E1770=F1770,"",IF(E1770&gt;F1770,"Saldo Deudor","Saldo Acreedor"))</f>
        <v/>
      </c>
      <c r="E1771" s="165" t="str">
        <f>IF(E1770&gt;F1770,E1770-F1770,"")</f>
        <v/>
      </c>
      <c r="F1771" s="176" t="str">
        <f>IF(E1770&lt;F1770,F1770-E1770,"")</f>
        <v/>
      </c>
    </row>
    <row r="1774" spans="2:63" ht="15.6" x14ac:dyDescent="0.25">
      <c r="B1774" s="324" t="s">
        <v>472</v>
      </c>
      <c r="C1774" s="324"/>
      <c r="D1774" s="175">
        <v>7591</v>
      </c>
      <c r="E1774" s="160"/>
      <c r="H1774" s="324" t="s">
        <v>472</v>
      </c>
      <c r="I1774" s="324"/>
      <c r="J1774" s="175">
        <v>7599</v>
      </c>
      <c r="K1774" s="160"/>
    </row>
    <row r="1775" spans="2:63" x14ac:dyDescent="0.25">
      <c r="B1775" s="160"/>
      <c r="C1775" s="160"/>
      <c r="D1775" s="160"/>
      <c r="E1775" s="160"/>
      <c r="H1775" s="160"/>
      <c r="I1775" s="160"/>
      <c r="J1775" s="160"/>
      <c r="K1775" s="160"/>
    </row>
    <row r="1776" spans="2:63" ht="15.6" x14ac:dyDescent="0.25">
      <c r="B1776" s="324" t="s">
        <v>473</v>
      </c>
      <c r="C1776" s="324"/>
      <c r="D1776" s="234" t="str">
        <f>VLOOKUP(D1774,DivisionariasContables,3,FALSE)</f>
        <v>Subsidios Gubernamentales</v>
      </c>
      <c r="E1776" s="160"/>
      <c r="H1776" s="324" t="s">
        <v>473</v>
      </c>
      <c r="I1776" s="324"/>
      <c r="J1776" s="234" t="str">
        <f>VLOOKUP(J1774,DivisionariasContables,3,FALSE)</f>
        <v>Otros Ingresos de Gestión</v>
      </c>
      <c r="K1776" s="160"/>
    </row>
    <row r="1777" spans="2:63" ht="14.4" thickBot="1" x14ac:dyDescent="0.3"/>
    <row r="1778" spans="2:63" x14ac:dyDescent="0.25">
      <c r="B1778" s="325" t="s">
        <v>466</v>
      </c>
      <c r="C1778" s="327" t="s">
        <v>467</v>
      </c>
      <c r="D1778" s="327" t="s">
        <v>468</v>
      </c>
      <c r="E1778" s="329" t="s">
        <v>469</v>
      </c>
      <c r="F1778" s="330"/>
      <c r="H1778" s="325" t="s">
        <v>466</v>
      </c>
      <c r="I1778" s="327" t="s">
        <v>467</v>
      </c>
      <c r="J1778" s="327" t="s">
        <v>468</v>
      </c>
      <c r="K1778" s="329" t="s">
        <v>469</v>
      </c>
      <c r="L1778" s="330"/>
    </row>
    <row r="1779" spans="2:63" ht="14.4" thickBot="1" x14ac:dyDescent="0.3">
      <c r="B1779" s="326"/>
      <c r="C1779" s="328"/>
      <c r="D1779" s="328"/>
      <c r="E1779" s="232" t="s">
        <v>403</v>
      </c>
      <c r="F1779" s="174" t="s">
        <v>402</v>
      </c>
      <c r="H1779" s="326"/>
      <c r="I1779" s="328"/>
      <c r="J1779" s="328"/>
      <c r="K1779" s="232" t="s">
        <v>403</v>
      </c>
      <c r="L1779" s="174" t="s">
        <v>402</v>
      </c>
    </row>
    <row r="1780" spans="2:63" ht="14.4" thickTop="1" x14ac:dyDescent="0.25">
      <c r="B1780" s="236">
        <v>41670</v>
      </c>
      <c r="C1780" s="171"/>
      <c r="D1780" s="166" t="s">
        <v>470</v>
      </c>
      <c r="E1780" s="167">
        <f>SUMIF('Libro Diario Convencional'!$D$15:$D$167,D1774,'Libro Diario Convencional'!$G$15:$G$167)</f>
        <v>0</v>
      </c>
      <c r="F1780" s="168">
        <f>SUMIF('Libro Diario Convencional'!$D$15:$D$167,D1774,'Libro Diario Convencional'!$H$15:$H$167)</f>
        <v>0</v>
      </c>
      <c r="H1780" s="236">
        <v>41670</v>
      </c>
      <c r="I1780" s="171"/>
      <c r="J1780" s="166" t="s">
        <v>470</v>
      </c>
      <c r="K1780" s="167">
        <f>SUMIF('Libro Diario Convencional'!$D$15:$D$167,J1774,'Libro Diario Convencional'!$G$15:$G$167)</f>
        <v>0</v>
      </c>
      <c r="L1780" s="168">
        <f>SUMIF('Libro Diario Convencional'!$D$15:$D$167,J1774,'Libro Diario Convencional'!$H$15:$H$167)</f>
        <v>0</v>
      </c>
    </row>
    <row r="1781" spans="2:63" x14ac:dyDescent="0.25">
      <c r="B1781" s="169">
        <v>41670</v>
      </c>
      <c r="C1781" s="172"/>
      <c r="D1781" s="161" t="s">
        <v>474</v>
      </c>
      <c r="E1781" s="162">
        <f>SUMIF('Asientos de Cierre'!$D$6:$D$549,D1774,'Asientos de Cierre'!$G$6:$G$549)</f>
        <v>0</v>
      </c>
      <c r="F1781" s="163">
        <f>SUMIF('Asientos de Cierre'!$D$6:$D$549,D1774,'Asientos de Cierre'!$H$6:$H$549)</f>
        <v>0</v>
      </c>
      <c r="H1781" s="169">
        <v>41670</v>
      </c>
      <c r="I1781" s="172"/>
      <c r="J1781" s="161" t="s">
        <v>474</v>
      </c>
      <c r="K1781" s="162">
        <f>SUMIF('Asientos de Cierre'!$D$6:$D$549,J1774,'Asientos de Cierre'!$G$6:$G$549)</f>
        <v>0</v>
      </c>
      <c r="L1781" s="163">
        <f>SUMIF('Asientos de Cierre'!$D$6:$D$549,J1774,'Asientos de Cierre'!$H$6:$H$549)</f>
        <v>0</v>
      </c>
    </row>
    <row r="1782" spans="2:63" x14ac:dyDescent="0.25">
      <c r="B1782" s="169"/>
      <c r="C1782" s="172"/>
      <c r="D1782" s="161"/>
      <c r="E1782" s="162"/>
      <c r="F1782" s="163"/>
      <c r="H1782" s="169"/>
      <c r="I1782" s="172"/>
      <c r="J1782" s="161"/>
      <c r="K1782" s="162"/>
      <c r="L1782" s="163"/>
    </row>
    <row r="1783" spans="2:63" ht="14.4" thickBot="1" x14ac:dyDescent="0.3">
      <c r="B1783" s="169"/>
      <c r="C1783" s="172"/>
      <c r="D1783" s="161"/>
      <c r="E1783" s="162"/>
      <c r="F1783" s="163"/>
      <c r="H1783" s="169"/>
      <c r="I1783" s="172"/>
      <c r="J1783" s="161"/>
      <c r="K1783" s="162"/>
      <c r="L1783" s="163"/>
    </row>
    <row r="1784" spans="2:63" ht="15" thickBot="1" x14ac:dyDescent="0.3">
      <c r="B1784" s="169"/>
      <c r="C1784" s="172"/>
      <c r="D1784" s="161" t="s">
        <v>471</v>
      </c>
      <c r="E1784" s="162">
        <f>SUM(E1780:E1783)</f>
        <v>0</v>
      </c>
      <c r="F1784" s="163">
        <f>SUM(F1780:F1783)</f>
        <v>0</v>
      </c>
      <c r="H1784" s="169"/>
      <c r="I1784" s="172"/>
      <c r="J1784" s="161" t="s">
        <v>471</v>
      </c>
      <c r="K1784" s="162">
        <f>SUM(K1780:K1783)</f>
        <v>0</v>
      </c>
      <c r="L1784" s="163">
        <f>SUM(L1780:L1783)</f>
        <v>0</v>
      </c>
      <c r="BJ1784" s="157">
        <f>SUM(E1784,K1784,Q1784,W1784,AC1784,AI1784,AO1784,AU1784,BA1784,BG1784)</f>
        <v>0</v>
      </c>
      <c r="BK1784" s="158">
        <f>SUM(F1784,L1784,R1784,X1784,AD1784,AJ1784,AP1784,AV1784,BB1784,BH1784)</f>
        <v>0</v>
      </c>
    </row>
    <row r="1785" spans="2:63" ht="14.4" thickBot="1" x14ac:dyDescent="0.3">
      <c r="B1785" s="170"/>
      <c r="C1785" s="173"/>
      <c r="D1785" s="164" t="str">
        <f>IF(E1784=F1784,"",IF(E1784&gt;F1784,"Saldo Deudor","Saldo Acreedor"))</f>
        <v/>
      </c>
      <c r="E1785" s="165" t="str">
        <f>IF(E1784&gt;F1784,E1784-F1784,"")</f>
        <v/>
      </c>
      <c r="F1785" s="176" t="str">
        <f>IF(E1784&lt;F1784,F1784-E1784,"")</f>
        <v/>
      </c>
      <c r="H1785" s="170"/>
      <c r="I1785" s="173"/>
      <c r="J1785" s="164" t="str">
        <f>IF(K1784=L1784,"",IF(K1784&gt;L1784,"Saldo Deudor","Saldo Acreedor"))</f>
        <v/>
      </c>
      <c r="K1785" s="165" t="str">
        <f>IF(K1784&gt;L1784,K1784-L1784,"")</f>
        <v/>
      </c>
      <c r="L1785" s="176" t="str">
        <f>IF(K1784&lt;L1784,L1784-K1784,"")</f>
        <v/>
      </c>
    </row>
    <row r="1788" spans="2:63" ht="15.6" x14ac:dyDescent="0.25">
      <c r="B1788" s="324" t="s">
        <v>472</v>
      </c>
      <c r="C1788" s="324"/>
      <c r="D1788" s="175">
        <v>7711</v>
      </c>
      <c r="E1788" s="160"/>
    </row>
    <row r="1789" spans="2:63" x14ac:dyDescent="0.25">
      <c r="B1789" s="160"/>
      <c r="C1789" s="160"/>
      <c r="D1789" s="160"/>
      <c r="E1789" s="160"/>
    </row>
    <row r="1790" spans="2:63" ht="15.6" x14ac:dyDescent="0.25">
      <c r="B1790" s="324" t="s">
        <v>473</v>
      </c>
      <c r="C1790" s="324"/>
      <c r="D1790" s="234" t="str">
        <f>VLOOKUP(D1788,DivisionariasContables,3,FALSE)</f>
        <v>Ganancia por Instrumento Financiero Derivado</v>
      </c>
      <c r="E1790" s="160"/>
    </row>
    <row r="1791" spans="2:63" ht="14.4" thickBot="1" x14ac:dyDescent="0.3"/>
    <row r="1792" spans="2:63" x14ac:dyDescent="0.25">
      <c r="B1792" s="325" t="s">
        <v>466</v>
      </c>
      <c r="C1792" s="327" t="s">
        <v>467</v>
      </c>
      <c r="D1792" s="327" t="s">
        <v>468</v>
      </c>
      <c r="E1792" s="329" t="s">
        <v>469</v>
      </c>
      <c r="F1792" s="330"/>
    </row>
    <row r="1793" spans="2:63" ht="14.4" thickBot="1" x14ac:dyDescent="0.3">
      <c r="B1793" s="326"/>
      <c r="C1793" s="328"/>
      <c r="D1793" s="328"/>
      <c r="E1793" s="232" t="s">
        <v>403</v>
      </c>
      <c r="F1793" s="174" t="s">
        <v>402</v>
      </c>
    </row>
    <row r="1794" spans="2:63" ht="14.4" thickTop="1" x14ac:dyDescent="0.25">
      <c r="B1794" s="236">
        <v>41670</v>
      </c>
      <c r="C1794" s="171"/>
      <c r="D1794" s="166" t="s">
        <v>470</v>
      </c>
      <c r="E1794" s="167">
        <f>SUMIF('Libro Diario Convencional'!$D$15:$D$167,D1788,'Libro Diario Convencional'!$G$15:$G$167)</f>
        <v>0</v>
      </c>
      <c r="F1794" s="168">
        <f>SUMIF('Libro Diario Convencional'!$D$15:$D$167,D1788,'Libro Diario Convencional'!$H$15:$H$167)</f>
        <v>0</v>
      </c>
    </row>
    <row r="1795" spans="2:63" x14ac:dyDescent="0.25">
      <c r="B1795" s="169">
        <v>41670</v>
      </c>
      <c r="C1795" s="172"/>
      <c r="D1795" s="161" t="s">
        <v>474</v>
      </c>
      <c r="E1795" s="162">
        <f>SUMIF('Asientos de Cierre'!$D$6:$D$549,D1788,'Asientos de Cierre'!$G$6:$G$549)</f>
        <v>0</v>
      </c>
      <c r="F1795" s="163">
        <f>SUMIF('Asientos de Cierre'!$D$6:$D$549,D1788,'Asientos de Cierre'!$H$6:$H$549)</f>
        <v>0</v>
      </c>
    </row>
    <row r="1796" spans="2:63" x14ac:dyDescent="0.25">
      <c r="B1796" s="169"/>
      <c r="C1796" s="172"/>
      <c r="D1796" s="161"/>
      <c r="E1796" s="162"/>
      <c r="F1796" s="163"/>
    </row>
    <row r="1797" spans="2:63" ht="14.4" thickBot="1" x14ac:dyDescent="0.3">
      <c r="B1797" s="169"/>
      <c r="C1797" s="172"/>
      <c r="D1797" s="161"/>
      <c r="E1797" s="162"/>
      <c r="F1797" s="163"/>
    </row>
    <row r="1798" spans="2:63" ht="15" thickBot="1" x14ac:dyDescent="0.3">
      <c r="B1798" s="169"/>
      <c r="C1798" s="172"/>
      <c r="D1798" s="161" t="s">
        <v>471</v>
      </c>
      <c r="E1798" s="162">
        <f>SUM(E1794:E1797)</f>
        <v>0</v>
      </c>
      <c r="F1798" s="163">
        <f>SUM(F1794:F1797)</f>
        <v>0</v>
      </c>
      <c r="BJ1798" s="157">
        <f>SUM(E1798,K1798,Q1798,W1798,AC1798,AI1798,AO1798,AU1798,BA1798,BG1798)</f>
        <v>0</v>
      </c>
      <c r="BK1798" s="158">
        <f>SUM(F1798,L1798,R1798,X1798,AD1798,AJ1798,AP1798,AV1798,BB1798,BH1798)</f>
        <v>0</v>
      </c>
    </row>
    <row r="1799" spans="2:63" ht="14.4" thickBot="1" x14ac:dyDescent="0.3">
      <c r="B1799" s="170"/>
      <c r="C1799" s="173"/>
      <c r="D1799" s="164" t="str">
        <f>IF(E1798=F1798,"",IF(E1798&gt;F1798,"Saldo Deudor","Saldo Acreedor"))</f>
        <v/>
      </c>
      <c r="E1799" s="165" t="str">
        <f>IF(E1798&gt;F1798,E1798-F1798,"")</f>
        <v/>
      </c>
      <c r="F1799" s="176" t="str">
        <f>IF(E1798&lt;F1798,F1798-E1798,"")</f>
        <v/>
      </c>
    </row>
    <row r="1802" spans="2:63" ht="15.6" x14ac:dyDescent="0.25">
      <c r="B1802" s="324" t="s">
        <v>472</v>
      </c>
      <c r="C1802" s="324"/>
      <c r="D1802" s="175">
        <v>7721</v>
      </c>
      <c r="E1802" s="160"/>
      <c r="H1802" s="324" t="s">
        <v>472</v>
      </c>
      <c r="I1802" s="324"/>
      <c r="J1802" s="175">
        <v>7722</v>
      </c>
      <c r="K1802" s="160"/>
      <c r="N1802" s="324" t="s">
        <v>472</v>
      </c>
      <c r="O1802" s="324"/>
      <c r="P1802" s="175">
        <v>7723</v>
      </c>
      <c r="Q1802" s="160"/>
      <c r="T1802" s="324" t="s">
        <v>472</v>
      </c>
      <c r="U1802" s="324"/>
      <c r="V1802" s="175">
        <v>7724</v>
      </c>
      <c r="W1802" s="160"/>
      <c r="Z1802" s="324" t="s">
        <v>472</v>
      </c>
      <c r="AA1802" s="324"/>
      <c r="AB1802" s="175">
        <v>7725</v>
      </c>
      <c r="AC1802" s="160"/>
    </row>
    <row r="1803" spans="2:63" x14ac:dyDescent="0.25">
      <c r="B1803" s="160"/>
      <c r="C1803" s="160"/>
      <c r="D1803" s="160"/>
      <c r="E1803" s="160"/>
      <c r="H1803" s="160"/>
      <c r="I1803" s="160"/>
      <c r="J1803" s="160"/>
      <c r="K1803" s="160"/>
      <c r="N1803" s="160"/>
      <c r="O1803" s="160"/>
      <c r="P1803" s="160"/>
      <c r="Q1803" s="160"/>
      <c r="T1803" s="160"/>
      <c r="U1803" s="160"/>
      <c r="V1803" s="160"/>
      <c r="W1803" s="160"/>
      <c r="Z1803" s="160"/>
      <c r="AA1803" s="160"/>
      <c r="AB1803" s="160"/>
      <c r="AC1803" s="160"/>
    </row>
    <row r="1804" spans="2:63" ht="15.6" x14ac:dyDescent="0.25">
      <c r="B1804" s="324" t="s">
        <v>473</v>
      </c>
      <c r="C1804" s="324"/>
      <c r="D1804" s="234" t="str">
        <f>VLOOKUP(D1802,DivisionariasContables,3,FALSE)</f>
        <v>Depósitos en Instituciones Financieras</v>
      </c>
      <c r="E1804" s="160"/>
      <c r="H1804" s="324" t="s">
        <v>473</v>
      </c>
      <c r="I1804" s="324"/>
      <c r="J1804" s="234" t="str">
        <f>VLOOKUP(J1802,DivisionariasContables,3,FALSE)</f>
        <v>Cuentas por Cobrar Comerciales</v>
      </c>
      <c r="K1804" s="160"/>
      <c r="N1804" s="324" t="s">
        <v>473</v>
      </c>
      <c r="O1804" s="324"/>
      <c r="P1804" s="234" t="str">
        <f>VLOOKUP(P1802,DivisionariasContables,3,FALSE)</f>
        <v>Préstamos Otorgados</v>
      </c>
      <c r="Q1804" s="160"/>
      <c r="T1804" s="324" t="s">
        <v>473</v>
      </c>
      <c r="U1804" s="324"/>
      <c r="V1804" s="234" t="str">
        <f>VLOOKUP(V1802,DivisionariasContables,3,FALSE)</f>
        <v>Inversiones a ser Mantenidas hasta el Vencimiento</v>
      </c>
      <c r="W1804" s="160"/>
      <c r="Z1804" s="324" t="s">
        <v>473</v>
      </c>
      <c r="AA1804" s="324"/>
      <c r="AB1804" s="234" t="str">
        <f>VLOOKUP(AB1802,DivisionariasContables,3,FALSE)</f>
        <v>Instrumentos Financieros Representativos de Derecho Patrimonial</v>
      </c>
      <c r="AC1804" s="160"/>
    </row>
    <row r="1805" spans="2:63" ht="14.4" thickBot="1" x14ac:dyDescent="0.3"/>
    <row r="1806" spans="2:63" x14ac:dyDescent="0.25">
      <c r="B1806" s="325" t="s">
        <v>466</v>
      </c>
      <c r="C1806" s="327" t="s">
        <v>467</v>
      </c>
      <c r="D1806" s="327" t="s">
        <v>468</v>
      </c>
      <c r="E1806" s="329" t="s">
        <v>469</v>
      </c>
      <c r="F1806" s="330"/>
      <c r="H1806" s="325" t="s">
        <v>466</v>
      </c>
      <c r="I1806" s="327" t="s">
        <v>467</v>
      </c>
      <c r="J1806" s="327" t="s">
        <v>468</v>
      </c>
      <c r="K1806" s="329" t="s">
        <v>469</v>
      </c>
      <c r="L1806" s="330"/>
      <c r="N1806" s="325" t="s">
        <v>466</v>
      </c>
      <c r="O1806" s="327" t="s">
        <v>467</v>
      </c>
      <c r="P1806" s="327" t="s">
        <v>468</v>
      </c>
      <c r="Q1806" s="329" t="s">
        <v>469</v>
      </c>
      <c r="R1806" s="330"/>
      <c r="T1806" s="325" t="s">
        <v>466</v>
      </c>
      <c r="U1806" s="327" t="s">
        <v>467</v>
      </c>
      <c r="V1806" s="327" t="s">
        <v>468</v>
      </c>
      <c r="W1806" s="329" t="s">
        <v>469</v>
      </c>
      <c r="X1806" s="330"/>
      <c r="Z1806" s="325" t="s">
        <v>466</v>
      </c>
      <c r="AA1806" s="327" t="s">
        <v>467</v>
      </c>
      <c r="AB1806" s="327" t="s">
        <v>468</v>
      </c>
      <c r="AC1806" s="329" t="s">
        <v>469</v>
      </c>
      <c r="AD1806" s="330"/>
    </row>
    <row r="1807" spans="2:63" ht="14.4" thickBot="1" x14ac:dyDescent="0.3">
      <c r="B1807" s="326"/>
      <c r="C1807" s="328"/>
      <c r="D1807" s="328"/>
      <c r="E1807" s="232" t="s">
        <v>403</v>
      </c>
      <c r="F1807" s="174" t="s">
        <v>402</v>
      </c>
      <c r="H1807" s="326"/>
      <c r="I1807" s="328"/>
      <c r="J1807" s="328"/>
      <c r="K1807" s="232" t="s">
        <v>403</v>
      </c>
      <c r="L1807" s="174" t="s">
        <v>402</v>
      </c>
      <c r="N1807" s="326"/>
      <c r="O1807" s="328"/>
      <c r="P1807" s="328"/>
      <c r="Q1807" s="232" t="s">
        <v>403</v>
      </c>
      <c r="R1807" s="174" t="s">
        <v>402</v>
      </c>
      <c r="T1807" s="326"/>
      <c r="U1807" s="328"/>
      <c r="V1807" s="328"/>
      <c r="W1807" s="232" t="s">
        <v>403</v>
      </c>
      <c r="X1807" s="174" t="s">
        <v>402</v>
      </c>
      <c r="Z1807" s="326"/>
      <c r="AA1807" s="328"/>
      <c r="AB1807" s="328"/>
      <c r="AC1807" s="232" t="s">
        <v>403</v>
      </c>
      <c r="AD1807" s="174" t="s">
        <v>402</v>
      </c>
    </row>
    <row r="1808" spans="2:63" ht="14.4" thickTop="1" x14ac:dyDescent="0.25">
      <c r="B1808" s="236">
        <v>41670</v>
      </c>
      <c r="C1808" s="171"/>
      <c r="D1808" s="166" t="s">
        <v>470</v>
      </c>
      <c r="E1808" s="167">
        <f>SUMIF('Libro Diario Convencional'!$D$15:$D$167,D1802,'Libro Diario Convencional'!$G$15:$G$167)</f>
        <v>0</v>
      </c>
      <c r="F1808" s="168">
        <f>SUMIF('Libro Diario Convencional'!$D$15:$D$167,D1802,'Libro Diario Convencional'!$H$15:$H$167)</f>
        <v>0</v>
      </c>
      <c r="H1808" s="236">
        <v>41670</v>
      </c>
      <c r="I1808" s="171"/>
      <c r="J1808" s="166" t="s">
        <v>470</v>
      </c>
      <c r="K1808" s="167">
        <f>SUMIF('Libro Diario Convencional'!$D$15:$D$167,J1802,'Libro Diario Convencional'!$G$15:$G$167)</f>
        <v>0</v>
      </c>
      <c r="L1808" s="168">
        <f>SUMIF('Libro Diario Convencional'!$D$15:$D$167,J1802,'Libro Diario Convencional'!$H$15:$H$167)</f>
        <v>0</v>
      </c>
      <c r="N1808" s="236">
        <v>41670</v>
      </c>
      <c r="O1808" s="171"/>
      <c r="P1808" s="166" t="s">
        <v>470</v>
      </c>
      <c r="Q1808" s="167">
        <f>SUMIF('Libro Diario Convencional'!$D$15:$D$167,P1802,'Libro Diario Convencional'!$G$15:$G$167)</f>
        <v>0</v>
      </c>
      <c r="R1808" s="168">
        <f>SUMIF('Libro Diario Convencional'!$D$15:$D$167,P1802,'Libro Diario Convencional'!$H$15:$H$167)</f>
        <v>0</v>
      </c>
      <c r="T1808" s="236">
        <v>41670</v>
      </c>
      <c r="U1808" s="171"/>
      <c r="V1808" s="166" t="s">
        <v>470</v>
      </c>
      <c r="W1808" s="167">
        <f>SUMIF('Libro Diario Convencional'!$D$15:$D$167,V1802,'Libro Diario Convencional'!$G$15:$G$167)</f>
        <v>0</v>
      </c>
      <c r="X1808" s="168">
        <f>SUMIF('Libro Diario Convencional'!$D$15:$D$167,V1802,'Libro Diario Convencional'!$H$15:$H$167)</f>
        <v>0</v>
      </c>
      <c r="Z1808" s="236">
        <v>41670</v>
      </c>
      <c r="AA1808" s="171"/>
      <c r="AB1808" s="166" t="s">
        <v>470</v>
      </c>
      <c r="AC1808" s="167">
        <f>SUMIF('Libro Diario Convencional'!$D$15:$D$167,AB1802,'Libro Diario Convencional'!$G$15:$G$167)</f>
        <v>0</v>
      </c>
      <c r="AD1808" s="168">
        <f>SUMIF('Libro Diario Convencional'!$D$15:$D$167,AB1802,'Libro Diario Convencional'!$H$15:$H$167)</f>
        <v>0</v>
      </c>
    </row>
    <row r="1809" spans="2:63" x14ac:dyDescent="0.25">
      <c r="B1809" s="169">
        <v>41670</v>
      </c>
      <c r="C1809" s="172"/>
      <c r="D1809" s="161" t="s">
        <v>474</v>
      </c>
      <c r="E1809" s="162">
        <f>SUMIF('Asientos de Cierre'!$D$6:$D$549,D1802,'Asientos de Cierre'!$G$6:$G$549)</f>
        <v>0</v>
      </c>
      <c r="F1809" s="163">
        <f>SUMIF('Asientos de Cierre'!$D$6:$D$549,D1802,'Asientos de Cierre'!$H$6:$H$549)</f>
        <v>0</v>
      </c>
      <c r="H1809" s="169">
        <v>41670</v>
      </c>
      <c r="I1809" s="172"/>
      <c r="J1809" s="161" t="s">
        <v>474</v>
      </c>
      <c r="K1809" s="162">
        <f>SUMIF('Asientos de Cierre'!$D$6:$D$549,J1802,'Asientos de Cierre'!$G$6:$G$549)</f>
        <v>0</v>
      </c>
      <c r="L1809" s="163">
        <f>SUMIF('Asientos de Cierre'!$D$6:$D$549,J1802,'Asientos de Cierre'!$H$6:$H$549)</f>
        <v>0</v>
      </c>
      <c r="N1809" s="169">
        <v>41670</v>
      </c>
      <c r="O1809" s="172"/>
      <c r="P1809" s="161" t="s">
        <v>474</v>
      </c>
      <c r="Q1809" s="162">
        <f>SUMIF('Asientos de Cierre'!$D$6:$D$549,P1802,'Asientos de Cierre'!$G$6:$G$549)</f>
        <v>0</v>
      </c>
      <c r="R1809" s="163">
        <f>SUMIF('Asientos de Cierre'!$D$6:$D$549,P1802,'Asientos de Cierre'!$H$6:$H$549)</f>
        <v>0</v>
      </c>
      <c r="T1809" s="169">
        <v>41670</v>
      </c>
      <c r="U1809" s="172"/>
      <c r="V1809" s="161" t="s">
        <v>474</v>
      </c>
      <c r="W1809" s="162">
        <f>SUMIF('Asientos de Cierre'!$D$6:$D$549,V1802,'Asientos de Cierre'!$G$6:$G$549)</f>
        <v>0</v>
      </c>
      <c r="X1809" s="163">
        <f>SUMIF('Asientos de Cierre'!$D$6:$D$549,V1802,'Asientos de Cierre'!$H$6:$H$549)</f>
        <v>0</v>
      </c>
      <c r="Z1809" s="169">
        <v>41670</v>
      </c>
      <c r="AA1809" s="172"/>
      <c r="AB1809" s="161" t="s">
        <v>474</v>
      </c>
      <c r="AC1809" s="162">
        <f>SUMIF('Asientos de Cierre'!$D$6:$D$549,AB1802,'Asientos de Cierre'!$G$6:$G$549)</f>
        <v>0</v>
      </c>
      <c r="AD1809" s="163">
        <f>SUMIF('Asientos de Cierre'!$D$6:$D$549,AB1802,'Asientos de Cierre'!$H$6:$H$549)</f>
        <v>0</v>
      </c>
    </row>
    <row r="1810" spans="2:63" x14ac:dyDescent="0.25">
      <c r="B1810" s="169"/>
      <c r="C1810" s="172"/>
      <c r="D1810" s="161"/>
      <c r="E1810" s="162"/>
      <c r="F1810" s="163"/>
      <c r="H1810" s="169"/>
      <c r="I1810" s="172"/>
      <c r="J1810" s="161"/>
      <c r="K1810" s="162"/>
      <c r="L1810" s="163"/>
      <c r="N1810" s="169"/>
      <c r="O1810" s="172"/>
      <c r="P1810" s="161"/>
      <c r="Q1810" s="162"/>
      <c r="R1810" s="163"/>
      <c r="T1810" s="169"/>
      <c r="U1810" s="172"/>
      <c r="V1810" s="161"/>
      <c r="W1810" s="162"/>
      <c r="X1810" s="163"/>
      <c r="Z1810" s="169"/>
      <c r="AA1810" s="172"/>
      <c r="AB1810" s="161"/>
      <c r="AC1810" s="162"/>
      <c r="AD1810" s="163"/>
    </row>
    <row r="1811" spans="2:63" ht="14.4" thickBot="1" x14ac:dyDescent="0.3">
      <c r="B1811" s="169"/>
      <c r="C1811" s="172"/>
      <c r="D1811" s="161"/>
      <c r="E1811" s="162"/>
      <c r="F1811" s="163"/>
      <c r="H1811" s="169"/>
      <c r="I1811" s="172"/>
      <c r="J1811" s="161"/>
      <c r="K1811" s="162"/>
      <c r="L1811" s="163"/>
      <c r="N1811" s="169"/>
      <c r="O1811" s="172"/>
      <c r="P1811" s="161"/>
      <c r="Q1811" s="162"/>
      <c r="R1811" s="163"/>
      <c r="T1811" s="169"/>
      <c r="U1811" s="172"/>
      <c r="V1811" s="161"/>
      <c r="W1811" s="162"/>
      <c r="X1811" s="163"/>
      <c r="Z1811" s="169"/>
      <c r="AA1811" s="172"/>
      <c r="AB1811" s="161"/>
      <c r="AC1811" s="162"/>
      <c r="AD1811" s="163"/>
    </row>
    <row r="1812" spans="2:63" ht="15" thickBot="1" x14ac:dyDescent="0.3">
      <c r="B1812" s="169"/>
      <c r="C1812" s="172"/>
      <c r="D1812" s="161" t="s">
        <v>471</v>
      </c>
      <c r="E1812" s="162">
        <f>SUM(E1808:E1811)</f>
        <v>0</v>
      </c>
      <c r="F1812" s="163">
        <f>SUM(F1808:F1811)</f>
        <v>0</v>
      </c>
      <c r="H1812" s="169"/>
      <c r="I1812" s="172"/>
      <c r="J1812" s="161" t="s">
        <v>471</v>
      </c>
      <c r="K1812" s="162">
        <f>SUM(K1808:K1811)</f>
        <v>0</v>
      </c>
      <c r="L1812" s="163">
        <f>SUM(L1808:L1811)</f>
        <v>0</v>
      </c>
      <c r="N1812" s="169"/>
      <c r="O1812" s="172"/>
      <c r="P1812" s="161" t="s">
        <v>471</v>
      </c>
      <c r="Q1812" s="162">
        <f>SUM(Q1808:Q1811)</f>
        <v>0</v>
      </c>
      <c r="R1812" s="163">
        <f>SUM(R1808:R1811)</f>
        <v>0</v>
      </c>
      <c r="T1812" s="169"/>
      <c r="U1812" s="172"/>
      <c r="V1812" s="161" t="s">
        <v>471</v>
      </c>
      <c r="W1812" s="162">
        <f>SUM(W1808:W1811)</f>
        <v>0</v>
      </c>
      <c r="X1812" s="163">
        <f>SUM(X1808:X1811)</f>
        <v>0</v>
      </c>
      <c r="Z1812" s="169"/>
      <c r="AA1812" s="172"/>
      <c r="AB1812" s="161" t="s">
        <v>471</v>
      </c>
      <c r="AC1812" s="162">
        <f>SUM(AC1808:AC1811)</f>
        <v>0</v>
      </c>
      <c r="AD1812" s="163">
        <f>SUM(AD1808:AD1811)</f>
        <v>0</v>
      </c>
      <c r="BJ1812" s="157">
        <f>SUM(E1812,K1812,Q1812,W1812,AC1812,AI1812,AO1812,AU1812,BA1812,BG1812)</f>
        <v>0</v>
      </c>
      <c r="BK1812" s="158">
        <f>SUM(F1812,L1812,R1812,X1812,AD1812,AJ1812,AP1812,AV1812,BB1812,BH1812)</f>
        <v>0</v>
      </c>
    </row>
    <row r="1813" spans="2:63" ht="14.4" thickBot="1" x14ac:dyDescent="0.3">
      <c r="B1813" s="170"/>
      <c r="C1813" s="173"/>
      <c r="D1813" s="164" t="str">
        <f>IF(E1812=F1812,"",IF(E1812&gt;F1812,"Saldo Deudor","Saldo Acreedor"))</f>
        <v/>
      </c>
      <c r="E1813" s="165" t="str">
        <f>IF(E1812&gt;F1812,E1812-F1812,"")</f>
        <v/>
      </c>
      <c r="F1813" s="176" t="str">
        <f>IF(E1812&lt;F1812,F1812-E1812,"")</f>
        <v/>
      </c>
      <c r="H1813" s="170"/>
      <c r="I1813" s="173"/>
      <c r="J1813" s="164" t="str">
        <f>IF(K1812=L1812,"",IF(K1812&gt;L1812,"Saldo Deudor","Saldo Acreedor"))</f>
        <v/>
      </c>
      <c r="K1813" s="165" t="str">
        <f>IF(K1812&gt;L1812,K1812-L1812,"")</f>
        <v/>
      </c>
      <c r="L1813" s="176" t="str">
        <f>IF(K1812&lt;L1812,L1812-K1812,"")</f>
        <v/>
      </c>
      <c r="N1813" s="170"/>
      <c r="O1813" s="173"/>
      <c r="P1813" s="164" t="str">
        <f>IF(Q1812=R1812,"",IF(Q1812&gt;R1812,"Saldo Deudor","Saldo Acreedor"))</f>
        <v/>
      </c>
      <c r="Q1813" s="165" t="str">
        <f>IF(Q1812&gt;R1812,Q1812-R1812,"")</f>
        <v/>
      </c>
      <c r="R1813" s="176" t="str">
        <f>IF(Q1812&lt;R1812,R1812-Q1812,"")</f>
        <v/>
      </c>
      <c r="T1813" s="170"/>
      <c r="U1813" s="173"/>
      <c r="V1813" s="164" t="str">
        <f>IF(W1812=X1812,"",IF(W1812&gt;X1812,"Saldo Deudor","Saldo Acreedor"))</f>
        <v/>
      </c>
      <c r="W1813" s="165" t="str">
        <f>IF(W1812&gt;X1812,W1812-X1812,"")</f>
        <v/>
      </c>
      <c r="X1813" s="176" t="str">
        <f>IF(W1812&lt;X1812,X1812-W1812,"")</f>
        <v/>
      </c>
      <c r="Z1813" s="170"/>
      <c r="AA1813" s="173"/>
      <c r="AB1813" s="164" t="str">
        <f>IF(AC1812=AD1812,"",IF(AC1812&gt;AD1812,"Saldo Deudor","Saldo Acreedor"))</f>
        <v/>
      </c>
      <c r="AC1813" s="165" t="str">
        <f>IF(AC1812&gt;AD1812,AC1812-AD1812,"")</f>
        <v/>
      </c>
      <c r="AD1813" s="176" t="str">
        <f>IF(AC1812&lt;AD1812,AD1812-AC1812,"")</f>
        <v/>
      </c>
    </row>
    <row r="1816" spans="2:63" ht="15.6" x14ac:dyDescent="0.25">
      <c r="B1816" s="324" t="s">
        <v>472</v>
      </c>
      <c r="C1816" s="324"/>
      <c r="D1816" s="175">
        <v>7731</v>
      </c>
      <c r="E1816" s="160"/>
    </row>
    <row r="1817" spans="2:63" x14ac:dyDescent="0.25">
      <c r="B1817" s="160"/>
      <c r="C1817" s="160"/>
      <c r="D1817" s="160"/>
      <c r="E1817" s="160"/>
    </row>
    <row r="1818" spans="2:63" ht="15.6" x14ac:dyDescent="0.25">
      <c r="B1818" s="324" t="s">
        <v>473</v>
      </c>
      <c r="C1818" s="324"/>
      <c r="D1818" s="234" t="str">
        <f>VLOOKUP(D1816,DivisionariasContables,3,FALSE)</f>
        <v>Dividendos</v>
      </c>
      <c r="E1818" s="160"/>
    </row>
    <row r="1819" spans="2:63" ht="14.4" thickBot="1" x14ac:dyDescent="0.3"/>
    <row r="1820" spans="2:63" x14ac:dyDescent="0.25">
      <c r="B1820" s="325" t="s">
        <v>466</v>
      </c>
      <c r="C1820" s="327" t="s">
        <v>467</v>
      </c>
      <c r="D1820" s="327" t="s">
        <v>468</v>
      </c>
      <c r="E1820" s="329" t="s">
        <v>469</v>
      </c>
      <c r="F1820" s="330"/>
    </row>
    <row r="1821" spans="2:63" ht="14.4" thickBot="1" x14ac:dyDescent="0.3">
      <c r="B1821" s="326"/>
      <c r="C1821" s="328"/>
      <c r="D1821" s="328"/>
      <c r="E1821" s="232" t="s">
        <v>403</v>
      </c>
      <c r="F1821" s="174" t="s">
        <v>402</v>
      </c>
    </row>
    <row r="1822" spans="2:63" ht="14.4" thickTop="1" x14ac:dyDescent="0.25">
      <c r="B1822" s="236">
        <v>41670</v>
      </c>
      <c r="C1822" s="171"/>
      <c r="D1822" s="166" t="s">
        <v>470</v>
      </c>
      <c r="E1822" s="167">
        <f>SUMIF('Libro Diario Convencional'!$D$15:$D$167,D1816,'Libro Diario Convencional'!$G$15:$G$167)</f>
        <v>0</v>
      </c>
      <c r="F1822" s="168">
        <f>SUMIF('Libro Diario Convencional'!$D$15:$D$167,D1816,'Libro Diario Convencional'!$H$15:$H$167)</f>
        <v>0</v>
      </c>
    </row>
    <row r="1823" spans="2:63" x14ac:dyDescent="0.25">
      <c r="B1823" s="169">
        <v>41670</v>
      </c>
      <c r="C1823" s="172"/>
      <c r="D1823" s="161" t="s">
        <v>474</v>
      </c>
      <c r="E1823" s="162">
        <f>SUMIF('Asientos de Cierre'!$D$6:$D$549,D1816,'Asientos de Cierre'!$G$6:$G$549)</f>
        <v>0</v>
      </c>
      <c r="F1823" s="163">
        <f>SUMIF('Asientos de Cierre'!$D$6:$D$549,D1816,'Asientos de Cierre'!$H$6:$H$549)</f>
        <v>0</v>
      </c>
    </row>
    <row r="1824" spans="2:63" x14ac:dyDescent="0.25">
      <c r="B1824" s="169"/>
      <c r="C1824" s="172"/>
      <c r="D1824" s="161"/>
      <c r="E1824" s="162"/>
      <c r="F1824" s="163"/>
    </row>
    <row r="1825" spans="2:63" ht="14.4" thickBot="1" x14ac:dyDescent="0.3">
      <c r="B1825" s="169"/>
      <c r="C1825" s="172"/>
      <c r="D1825" s="161"/>
      <c r="E1825" s="162"/>
      <c r="F1825" s="163"/>
    </row>
    <row r="1826" spans="2:63" ht="15" thickBot="1" x14ac:dyDescent="0.3">
      <c r="B1826" s="169"/>
      <c r="C1826" s="172"/>
      <c r="D1826" s="161" t="s">
        <v>471</v>
      </c>
      <c r="E1826" s="162">
        <f>SUM(E1822:E1825)</f>
        <v>0</v>
      </c>
      <c r="F1826" s="163">
        <f>SUM(F1822:F1825)</f>
        <v>0</v>
      </c>
      <c r="BJ1826" s="157">
        <f>SUM(E1826,K1826,Q1826,W1826,AC1826,AI1826,AO1826,AU1826,BA1826,BG1826)</f>
        <v>0</v>
      </c>
      <c r="BK1826" s="158">
        <f>SUM(F1826,L1826,R1826,X1826,AD1826,AJ1826,AP1826,AV1826,BB1826,BH1826)</f>
        <v>0</v>
      </c>
    </row>
    <row r="1827" spans="2:63" ht="14.4" thickBot="1" x14ac:dyDescent="0.3">
      <c r="B1827" s="170"/>
      <c r="C1827" s="173"/>
      <c r="D1827" s="164" t="str">
        <f>IF(E1826=F1826,"",IF(E1826&gt;F1826,"Saldo Deudor","Saldo Acreedor"))</f>
        <v/>
      </c>
      <c r="E1827" s="165" t="str">
        <f>IF(E1826&gt;F1826,E1826-F1826,"")</f>
        <v/>
      </c>
      <c r="F1827" s="176" t="str">
        <f>IF(E1826&lt;F1826,F1826-E1826,"")</f>
        <v/>
      </c>
    </row>
    <row r="1830" spans="2:63" ht="15.6" x14ac:dyDescent="0.25">
      <c r="B1830" s="324" t="s">
        <v>472</v>
      </c>
      <c r="C1830" s="324"/>
      <c r="D1830" s="175">
        <v>7751</v>
      </c>
      <c r="E1830" s="160"/>
    </row>
    <row r="1831" spans="2:63" x14ac:dyDescent="0.25">
      <c r="B1831" s="160"/>
      <c r="C1831" s="160"/>
      <c r="D1831" s="160"/>
      <c r="E1831" s="160"/>
    </row>
    <row r="1832" spans="2:63" ht="15.6" x14ac:dyDescent="0.25">
      <c r="B1832" s="324" t="s">
        <v>473</v>
      </c>
      <c r="C1832" s="324"/>
      <c r="D1832" s="234" t="str">
        <f>VLOOKUP(D1830,DivisionariasContables,3,FALSE)</f>
        <v>Descuentos Obtenidos por Pronto Pago</v>
      </c>
      <c r="E1832" s="160"/>
    </row>
    <row r="1833" spans="2:63" ht="14.4" thickBot="1" x14ac:dyDescent="0.3"/>
    <row r="1834" spans="2:63" x14ac:dyDescent="0.25">
      <c r="B1834" s="325" t="s">
        <v>466</v>
      </c>
      <c r="C1834" s="327" t="s">
        <v>467</v>
      </c>
      <c r="D1834" s="327" t="s">
        <v>468</v>
      </c>
      <c r="E1834" s="329" t="s">
        <v>469</v>
      </c>
      <c r="F1834" s="330"/>
    </row>
    <row r="1835" spans="2:63" ht="14.4" thickBot="1" x14ac:dyDescent="0.3">
      <c r="B1835" s="326"/>
      <c r="C1835" s="328"/>
      <c r="D1835" s="328"/>
      <c r="E1835" s="232" t="s">
        <v>403</v>
      </c>
      <c r="F1835" s="174" t="s">
        <v>402</v>
      </c>
    </row>
    <row r="1836" spans="2:63" ht="14.4" thickTop="1" x14ac:dyDescent="0.25">
      <c r="B1836" s="236">
        <v>41670</v>
      </c>
      <c r="C1836" s="171"/>
      <c r="D1836" s="166" t="s">
        <v>470</v>
      </c>
      <c r="E1836" s="167">
        <f>SUMIF('Libro Diario Convencional'!$D$15:$D$167,D1830,'Libro Diario Convencional'!$G$15:$G$167)</f>
        <v>0</v>
      </c>
      <c r="F1836" s="168">
        <f>SUMIF('Libro Diario Convencional'!$D$15:$D$167,D1830,'Libro Diario Convencional'!$H$15:$H$167)</f>
        <v>0</v>
      </c>
    </row>
    <row r="1837" spans="2:63" x14ac:dyDescent="0.25">
      <c r="B1837" s="169">
        <v>41670</v>
      </c>
      <c r="C1837" s="172"/>
      <c r="D1837" s="161" t="s">
        <v>474</v>
      </c>
      <c r="E1837" s="162">
        <f>SUMIF('Asientos de Cierre'!$D$6:$D$549,D1830,'Asientos de Cierre'!$G$6:$G$549)</f>
        <v>0</v>
      </c>
      <c r="F1837" s="163">
        <f>SUMIF('Asientos de Cierre'!$D$6:$D$549,D1830,'Asientos de Cierre'!$H$6:$H$549)</f>
        <v>0</v>
      </c>
    </row>
    <row r="1838" spans="2:63" x14ac:dyDescent="0.25">
      <c r="B1838" s="169"/>
      <c r="C1838" s="172"/>
      <c r="D1838" s="161"/>
      <c r="E1838" s="162"/>
      <c r="F1838" s="163"/>
    </row>
    <row r="1839" spans="2:63" ht="14.4" thickBot="1" x14ac:dyDescent="0.3">
      <c r="B1839" s="169"/>
      <c r="C1839" s="172"/>
      <c r="D1839" s="161"/>
      <c r="E1839" s="162"/>
      <c r="F1839" s="163"/>
    </row>
    <row r="1840" spans="2:63" ht="15" thickBot="1" x14ac:dyDescent="0.3">
      <c r="B1840" s="169"/>
      <c r="C1840" s="172"/>
      <c r="D1840" s="161" t="s">
        <v>471</v>
      </c>
      <c r="E1840" s="162">
        <f>SUM(E1836:E1839)</f>
        <v>0</v>
      </c>
      <c r="F1840" s="163">
        <f>SUM(F1836:F1839)</f>
        <v>0</v>
      </c>
      <c r="BJ1840" s="157">
        <f>SUM(E1840,K1840,Q1840,W1840,AC1840,AI1840,AO1840,AU1840,BA1840,BG1840)</f>
        <v>0</v>
      </c>
      <c r="BK1840" s="158">
        <f>SUM(F1840,L1840,R1840,X1840,AD1840,AJ1840,AP1840,AV1840,BB1840,BH1840)</f>
        <v>0</v>
      </c>
    </row>
    <row r="1841" spans="2:63" ht="14.4" thickBot="1" x14ac:dyDescent="0.3">
      <c r="B1841" s="170"/>
      <c r="C1841" s="173"/>
      <c r="D1841" s="164" t="str">
        <f>IF(E1840=F1840,"",IF(E1840&gt;F1840,"Saldo Deudor","Saldo Acreedor"))</f>
        <v/>
      </c>
      <c r="E1841" s="165" t="str">
        <f>IF(E1840&gt;F1840,E1840-F1840,"")</f>
        <v/>
      </c>
      <c r="F1841" s="176" t="str">
        <f>IF(E1840&lt;F1840,F1840-E1840,"")</f>
        <v/>
      </c>
    </row>
    <row r="1844" spans="2:63" ht="15.6" x14ac:dyDescent="0.25">
      <c r="B1844" s="324" t="s">
        <v>472</v>
      </c>
      <c r="C1844" s="324"/>
      <c r="D1844" s="175">
        <v>7761</v>
      </c>
      <c r="E1844" s="160"/>
    </row>
    <row r="1845" spans="2:63" x14ac:dyDescent="0.25">
      <c r="B1845" s="160"/>
      <c r="C1845" s="160"/>
      <c r="D1845" s="160"/>
      <c r="E1845" s="160"/>
    </row>
    <row r="1846" spans="2:63" ht="15.6" x14ac:dyDescent="0.25">
      <c r="B1846" s="324" t="s">
        <v>473</v>
      </c>
      <c r="C1846" s="324"/>
      <c r="D1846" s="234" t="str">
        <f>VLOOKUP(D1844,DivisionariasContables,3,FALSE)</f>
        <v>Diferencia en Cambio</v>
      </c>
      <c r="E1846" s="160"/>
    </row>
    <row r="1847" spans="2:63" ht="14.4" thickBot="1" x14ac:dyDescent="0.3"/>
    <row r="1848" spans="2:63" x14ac:dyDescent="0.25">
      <c r="B1848" s="325" t="s">
        <v>466</v>
      </c>
      <c r="C1848" s="327" t="s">
        <v>467</v>
      </c>
      <c r="D1848" s="327" t="s">
        <v>468</v>
      </c>
      <c r="E1848" s="329" t="s">
        <v>469</v>
      </c>
      <c r="F1848" s="330"/>
    </row>
    <row r="1849" spans="2:63" ht="14.4" thickBot="1" x14ac:dyDescent="0.3">
      <c r="B1849" s="326"/>
      <c r="C1849" s="328"/>
      <c r="D1849" s="328"/>
      <c r="E1849" s="232" t="s">
        <v>403</v>
      </c>
      <c r="F1849" s="174" t="s">
        <v>402</v>
      </c>
    </row>
    <row r="1850" spans="2:63" ht="14.4" thickTop="1" x14ac:dyDescent="0.25">
      <c r="B1850" s="236">
        <v>41670</v>
      </c>
      <c r="C1850" s="171"/>
      <c r="D1850" s="166" t="s">
        <v>470</v>
      </c>
      <c r="E1850" s="167">
        <f>SUMIF('Libro Diario Convencional'!$D$15:$D$167,D1844,'Libro Diario Convencional'!$G$15:$G$167)</f>
        <v>0</v>
      </c>
      <c r="F1850" s="168">
        <f>SUMIF('Libro Diario Convencional'!$D$15:$D$167,D1844,'Libro Diario Convencional'!$H$15:$H$167)</f>
        <v>0</v>
      </c>
    </row>
    <row r="1851" spans="2:63" x14ac:dyDescent="0.25">
      <c r="B1851" s="169">
        <v>41670</v>
      </c>
      <c r="C1851" s="172"/>
      <c r="D1851" s="161" t="s">
        <v>474</v>
      </c>
      <c r="E1851" s="162">
        <f>SUMIF('Asientos de Cierre'!$D$6:$D$549,D1844,'Asientos de Cierre'!$G$6:$G$549)</f>
        <v>0</v>
      </c>
      <c r="F1851" s="163">
        <f>SUMIF('Asientos de Cierre'!$D$6:$D$549,D1844,'Asientos de Cierre'!$H$6:$H$549)</f>
        <v>0</v>
      </c>
    </row>
    <row r="1852" spans="2:63" x14ac:dyDescent="0.25">
      <c r="B1852" s="169"/>
      <c r="C1852" s="172"/>
      <c r="D1852" s="161"/>
      <c r="E1852" s="162"/>
      <c r="F1852" s="163"/>
    </row>
    <row r="1853" spans="2:63" ht="14.4" thickBot="1" x14ac:dyDescent="0.3">
      <c r="B1853" s="169"/>
      <c r="C1853" s="172"/>
      <c r="D1853" s="161"/>
      <c r="E1853" s="162"/>
      <c r="F1853" s="163"/>
    </row>
    <row r="1854" spans="2:63" ht="15" thickBot="1" x14ac:dyDescent="0.3">
      <c r="B1854" s="169"/>
      <c r="C1854" s="172"/>
      <c r="D1854" s="161" t="s">
        <v>471</v>
      </c>
      <c r="E1854" s="162">
        <f>SUM(E1850:E1853)</f>
        <v>0</v>
      </c>
      <c r="F1854" s="163">
        <f>SUM(F1850:F1853)</f>
        <v>0</v>
      </c>
      <c r="BJ1854" s="157">
        <f>SUM(E1854,K1854,Q1854,W1854,AC1854,AI1854,AO1854,AU1854,BA1854,BG1854)</f>
        <v>0</v>
      </c>
      <c r="BK1854" s="158">
        <f>SUM(F1854,L1854,R1854,X1854,AD1854,AJ1854,AP1854,AV1854,BB1854,BH1854)</f>
        <v>0</v>
      </c>
    </row>
    <row r="1855" spans="2:63" ht="14.4" thickBot="1" x14ac:dyDescent="0.3">
      <c r="B1855" s="170"/>
      <c r="C1855" s="173"/>
      <c r="D1855" s="164" t="str">
        <f>IF(E1854=F1854,"",IF(E1854&gt;F1854,"Saldo Deudor","Saldo Acreedor"))</f>
        <v/>
      </c>
      <c r="E1855" s="165" t="str">
        <f>IF(E1854&gt;F1854,E1854-F1854,"")</f>
        <v/>
      </c>
      <c r="F1855" s="176" t="str">
        <f>IF(E1854&lt;F1854,F1854-E1854,"")</f>
        <v/>
      </c>
    </row>
    <row r="1858" spans="2:63" ht="15.6" x14ac:dyDescent="0.25">
      <c r="B1858" s="324" t="s">
        <v>472</v>
      </c>
      <c r="C1858" s="324"/>
      <c r="D1858" s="175">
        <v>7771</v>
      </c>
      <c r="E1858" s="160"/>
    </row>
    <row r="1859" spans="2:63" x14ac:dyDescent="0.25">
      <c r="B1859" s="160"/>
      <c r="C1859" s="160"/>
      <c r="D1859" s="160"/>
      <c r="E1859" s="160"/>
    </row>
    <row r="1860" spans="2:63" ht="15.6" x14ac:dyDescent="0.25">
      <c r="B1860" s="324" t="s">
        <v>473</v>
      </c>
      <c r="C1860" s="324"/>
      <c r="D1860" s="234" t="str">
        <f>VLOOKUP(D1858,DivisionariasContables,3,FALSE)</f>
        <v>Inversiones Mantenidas para Negociación</v>
      </c>
      <c r="E1860" s="160"/>
    </row>
    <row r="1861" spans="2:63" ht="14.4" thickBot="1" x14ac:dyDescent="0.3"/>
    <row r="1862" spans="2:63" x14ac:dyDescent="0.25">
      <c r="B1862" s="325" t="s">
        <v>466</v>
      </c>
      <c r="C1862" s="327" t="s">
        <v>467</v>
      </c>
      <c r="D1862" s="327" t="s">
        <v>468</v>
      </c>
      <c r="E1862" s="329" t="s">
        <v>469</v>
      </c>
      <c r="F1862" s="330"/>
    </row>
    <row r="1863" spans="2:63" ht="14.4" thickBot="1" x14ac:dyDescent="0.3">
      <c r="B1863" s="326"/>
      <c r="C1863" s="328"/>
      <c r="D1863" s="328"/>
      <c r="E1863" s="232" t="s">
        <v>403</v>
      </c>
      <c r="F1863" s="174" t="s">
        <v>402</v>
      </c>
    </row>
    <row r="1864" spans="2:63" ht="14.4" thickTop="1" x14ac:dyDescent="0.25">
      <c r="B1864" s="236">
        <v>41670</v>
      </c>
      <c r="C1864" s="171"/>
      <c r="D1864" s="166" t="s">
        <v>470</v>
      </c>
      <c r="E1864" s="167">
        <f>SUMIF('Libro Diario Convencional'!$D$15:$D$167,D1858,'Libro Diario Convencional'!$G$15:$G$167)</f>
        <v>0</v>
      </c>
      <c r="F1864" s="168">
        <f>SUMIF('Libro Diario Convencional'!$D$15:$D$167,D1858,'Libro Diario Convencional'!$H$15:$H$167)</f>
        <v>0</v>
      </c>
    </row>
    <row r="1865" spans="2:63" x14ac:dyDescent="0.25">
      <c r="B1865" s="169">
        <v>41670</v>
      </c>
      <c r="C1865" s="172"/>
      <c r="D1865" s="161" t="s">
        <v>474</v>
      </c>
      <c r="E1865" s="162">
        <f>SUMIF('Asientos de Cierre'!$D$6:$D$549,D1858,'Asientos de Cierre'!$G$6:$G$549)</f>
        <v>0</v>
      </c>
      <c r="F1865" s="163">
        <f>SUMIF('Asientos de Cierre'!$D$6:$D$549,D1858,'Asientos de Cierre'!$H$6:$H$549)</f>
        <v>0</v>
      </c>
    </row>
    <row r="1866" spans="2:63" x14ac:dyDescent="0.25">
      <c r="B1866" s="169"/>
      <c r="C1866" s="172"/>
      <c r="D1866" s="161"/>
      <c r="E1866" s="162"/>
      <c r="F1866" s="163"/>
    </row>
    <row r="1867" spans="2:63" ht="14.4" thickBot="1" x14ac:dyDescent="0.3">
      <c r="B1867" s="169"/>
      <c r="C1867" s="172"/>
      <c r="D1867" s="161"/>
      <c r="E1867" s="162"/>
      <c r="F1867" s="163"/>
    </row>
    <row r="1868" spans="2:63" ht="15" thickBot="1" x14ac:dyDescent="0.3">
      <c r="B1868" s="169"/>
      <c r="C1868" s="172"/>
      <c r="D1868" s="161" t="s">
        <v>471</v>
      </c>
      <c r="E1868" s="162">
        <f>SUM(E1864:E1867)</f>
        <v>0</v>
      </c>
      <c r="F1868" s="163">
        <f>SUM(F1864:F1867)</f>
        <v>0</v>
      </c>
      <c r="BJ1868" s="157">
        <f>SUM(E1868,K1868,Q1868,W1868,AC1868,AI1868,AO1868,AU1868,BA1868,BG1868)</f>
        <v>0</v>
      </c>
      <c r="BK1868" s="158">
        <f>SUM(F1868,L1868,R1868,X1868,AD1868,AJ1868,AP1868,AV1868,BB1868,BH1868)</f>
        <v>0</v>
      </c>
    </row>
    <row r="1869" spans="2:63" ht="14.4" thickBot="1" x14ac:dyDescent="0.3">
      <c r="B1869" s="170"/>
      <c r="C1869" s="173"/>
      <c r="D1869" s="164" t="str">
        <f>IF(E1868=F1868,"",IF(E1868&gt;F1868,"Saldo Deudor","Saldo Acreedor"))</f>
        <v/>
      </c>
      <c r="E1869" s="165" t="str">
        <f>IF(E1868&gt;F1868,E1868-F1868,"")</f>
        <v/>
      </c>
      <c r="F1869" s="176" t="str">
        <f>IF(E1868&lt;F1868,F1868-E1868,"")</f>
        <v/>
      </c>
    </row>
    <row r="1872" spans="2:63" ht="15.6" x14ac:dyDescent="0.25">
      <c r="B1872" s="324" t="s">
        <v>472</v>
      </c>
      <c r="C1872" s="324"/>
      <c r="D1872" s="175">
        <v>7791</v>
      </c>
      <c r="E1872" s="160"/>
    </row>
    <row r="1873" spans="2:63" x14ac:dyDescent="0.25">
      <c r="B1873" s="160"/>
      <c r="C1873" s="160"/>
      <c r="D1873" s="160"/>
      <c r="E1873" s="160"/>
    </row>
    <row r="1874" spans="2:63" ht="15.6" x14ac:dyDescent="0.25">
      <c r="B1874" s="324" t="s">
        <v>473</v>
      </c>
      <c r="C1874" s="324"/>
      <c r="D1874" s="234" t="str">
        <f>VLOOKUP(D1872,DivisionariasContables,3,FALSE)</f>
        <v>Ingresos Financieros en Medición al Valor Descontado</v>
      </c>
      <c r="E1874" s="160"/>
    </row>
    <row r="1875" spans="2:63" ht="14.4" thickBot="1" x14ac:dyDescent="0.3"/>
    <row r="1876" spans="2:63" x14ac:dyDescent="0.25">
      <c r="B1876" s="325" t="s">
        <v>466</v>
      </c>
      <c r="C1876" s="327" t="s">
        <v>467</v>
      </c>
      <c r="D1876" s="327" t="s">
        <v>468</v>
      </c>
      <c r="E1876" s="329" t="s">
        <v>469</v>
      </c>
      <c r="F1876" s="330"/>
    </row>
    <row r="1877" spans="2:63" ht="14.4" thickBot="1" x14ac:dyDescent="0.3">
      <c r="B1877" s="326"/>
      <c r="C1877" s="328"/>
      <c r="D1877" s="328"/>
      <c r="E1877" s="232" t="s">
        <v>403</v>
      </c>
      <c r="F1877" s="174" t="s">
        <v>402</v>
      </c>
    </row>
    <row r="1878" spans="2:63" ht="14.4" thickTop="1" x14ac:dyDescent="0.25">
      <c r="B1878" s="236">
        <v>41670</v>
      </c>
      <c r="C1878" s="171"/>
      <c r="D1878" s="166" t="s">
        <v>470</v>
      </c>
      <c r="E1878" s="167">
        <f>SUMIF('Libro Diario Convencional'!$D$15:$D$167,D1872,'Libro Diario Convencional'!$G$15:$G$167)</f>
        <v>0</v>
      </c>
      <c r="F1878" s="168">
        <f>SUMIF('Libro Diario Convencional'!$D$15:$D$167,D1872,'Libro Diario Convencional'!$H$15:$H$167)</f>
        <v>0</v>
      </c>
    </row>
    <row r="1879" spans="2:63" x14ac:dyDescent="0.25">
      <c r="B1879" s="169">
        <v>41670</v>
      </c>
      <c r="C1879" s="172"/>
      <c r="D1879" s="161" t="s">
        <v>474</v>
      </c>
      <c r="E1879" s="162">
        <f>SUMIF('Asientos de Cierre'!$D$6:$D$549,D1872,'Asientos de Cierre'!$G$6:$G$549)</f>
        <v>0</v>
      </c>
      <c r="F1879" s="163">
        <f>SUMIF('Asientos de Cierre'!$D$6:$D$549,D1872,'Asientos de Cierre'!$H$6:$H$549)</f>
        <v>0</v>
      </c>
    </row>
    <row r="1880" spans="2:63" x14ac:dyDescent="0.25">
      <c r="B1880" s="169"/>
      <c r="C1880" s="172"/>
      <c r="D1880" s="161"/>
      <c r="E1880" s="162"/>
      <c r="F1880" s="163"/>
    </row>
    <row r="1881" spans="2:63" ht="14.4" thickBot="1" x14ac:dyDescent="0.3">
      <c r="B1881" s="169"/>
      <c r="C1881" s="172"/>
      <c r="D1881" s="161"/>
      <c r="E1881" s="162"/>
      <c r="F1881" s="163"/>
    </row>
    <row r="1882" spans="2:63" ht="15" thickBot="1" x14ac:dyDescent="0.3">
      <c r="B1882" s="169"/>
      <c r="C1882" s="172"/>
      <c r="D1882" s="161" t="s">
        <v>471</v>
      </c>
      <c r="E1882" s="162">
        <f>SUM(E1878:E1881)</f>
        <v>0</v>
      </c>
      <c r="F1882" s="163">
        <f>SUM(F1878:F1881)</f>
        <v>0</v>
      </c>
      <c r="BJ1882" s="157">
        <f>SUM(E1882,K1882,Q1882,W1882,AC1882,AI1882,AO1882,AU1882,BA1882,BG1882)</f>
        <v>0</v>
      </c>
      <c r="BK1882" s="158">
        <f>SUM(F1882,L1882,R1882,X1882,AD1882,AJ1882,AP1882,AV1882,BB1882,BH1882)</f>
        <v>0</v>
      </c>
    </row>
    <row r="1883" spans="2:63" ht="14.4" thickBot="1" x14ac:dyDescent="0.3">
      <c r="B1883" s="170"/>
      <c r="C1883" s="173"/>
      <c r="D1883" s="164" t="str">
        <f>IF(E1882=F1882,"",IF(E1882&gt;F1882,"Saldo Deudor","Saldo Acreedor"))</f>
        <v/>
      </c>
      <c r="E1883" s="165" t="str">
        <f>IF(E1882&gt;F1882,E1882-F1882,"")</f>
        <v/>
      </c>
      <c r="F1883" s="176" t="str">
        <f>IF(E1882&lt;F1882,F1882-E1882,"")</f>
        <v/>
      </c>
    </row>
    <row r="1886" spans="2:63" ht="15.6" x14ac:dyDescent="0.25">
      <c r="B1886" s="324" t="s">
        <v>472</v>
      </c>
      <c r="C1886" s="324"/>
      <c r="D1886" s="175">
        <v>7911</v>
      </c>
      <c r="E1886" s="160"/>
    </row>
    <row r="1887" spans="2:63" x14ac:dyDescent="0.25">
      <c r="B1887" s="160"/>
      <c r="C1887" s="160"/>
      <c r="D1887" s="160"/>
      <c r="E1887" s="160"/>
    </row>
    <row r="1888" spans="2:63" ht="15.6" x14ac:dyDescent="0.25">
      <c r="B1888" s="324" t="s">
        <v>473</v>
      </c>
      <c r="C1888" s="324"/>
      <c r="D1888" s="234" t="str">
        <f>VLOOKUP(D1886,DivisionariasContables,3,FALSE)</f>
        <v>Cargas Imputables a Cuentas de Costos y Gastos</v>
      </c>
      <c r="E1888" s="160"/>
    </row>
    <row r="1889" spans="2:63" ht="14.4" thickBot="1" x14ac:dyDescent="0.3"/>
    <row r="1890" spans="2:63" x14ac:dyDescent="0.25">
      <c r="B1890" s="325" t="s">
        <v>466</v>
      </c>
      <c r="C1890" s="327" t="s">
        <v>467</v>
      </c>
      <c r="D1890" s="327" t="s">
        <v>468</v>
      </c>
      <c r="E1890" s="329" t="s">
        <v>469</v>
      </c>
      <c r="F1890" s="330"/>
    </row>
    <row r="1891" spans="2:63" ht="14.4" thickBot="1" x14ac:dyDescent="0.3">
      <c r="B1891" s="326"/>
      <c r="C1891" s="328"/>
      <c r="D1891" s="328"/>
      <c r="E1891" s="232" t="s">
        <v>403</v>
      </c>
      <c r="F1891" s="174" t="s">
        <v>402</v>
      </c>
    </row>
    <row r="1892" spans="2:63" ht="14.4" thickTop="1" x14ac:dyDescent="0.25">
      <c r="B1892" s="236">
        <v>41670</v>
      </c>
      <c r="C1892" s="171"/>
      <c r="D1892" s="166" t="s">
        <v>470</v>
      </c>
      <c r="E1892" s="167">
        <f>SUMIF('Libro Diario Convencional'!$D$15:$D$167,D1886,'Libro Diario Convencional'!$G$15:$G$167)</f>
        <v>0</v>
      </c>
      <c r="F1892" s="168">
        <f>SUMIF('Libro Diario Convencional'!$D$15:$D$167,D1886,'Libro Diario Convencional'!$H$15:$H$167)</f>
        <v>366992.5</v>
      </c>
    </row>
    <row r="1893" spans="2:63" x14ac:dyDescent="0.25">
      <c r="B1893" s="169">
        <v>41670</v>
      </c>
      <c r="C1893" s="172"/>
      <c r="D1893" s="161" t="s">
        <v>474</v>
      </c>
      <c r="E1893" s="162">
        <f>SUMIF('Asientos de Cierre'!$D$6:$D$549,D1886,'Asientos de Cierre'!$G$6:$G$549)</f>
        <v>366992.5</v>
      </c>
      <c r="F1893" s="163">
        <f>SUMIF('Asientos de Cierre'!$D$6:$D$549,D1886,'Asientos de Cierre'!$H$6:$H$549)</f>
        <v>0</v>
      </c>
    </row>
    <row r="1894" spans="2:63" x14ac:dyDescent="0.25">
      <c r="B1894" s="169"/>
      <c r="C1894" s="172"/>
      <c r="D1894" s="161"/>
      <c r="E1894" s="162"/>
      <c r="F1894" s="163"/>
    </row>
    <row r="1895" spans="2:63" ht="14.4" thickBot="1" x14ac:dyDescent="0.3">
      <c r="B1895" s="169"/>
      <c r="C1895" s="172"/>
      <c r="D1895" s="161"/>
      <c r="E1895" s="162"/>
      <c r="F1895" s="163"/>
    </row>
    <row r="1896" spans="2:63" ht="15" thickBot="1" x14ac:dyDescent="0.3">
      <c r="B1896" s="169"/>
      <c r="C1896" s="172"/>
      <c r="D1896" s="161" t="s">
        <v>471</v>
      </c>
      <c r="E1896" s="162">
        <f>SUM(E1892:E1895)</f>
        <v>366992.5</v>
      </c>
      <c r="F1896" s="163">
        <f>SUM(F1892:F1895)</f>
        <v>366992.5</v>
      </c>
      <c r="BJ1896" s="157">
        <f>SUM(E1896,K1896,Q1896,W1896,AC1896,AI1896,AO1896,AU1896,BA1896,BG1896)</f>
        <v>366992.5</v>
      </c>
      <c r="BK1896" s="158">
        <f>SUM(F1896,L1896,R1896,X1896,AD1896,AJ1896,AP1896,AV1896,BB1896,BH1896)</f>
        <v>366992.5</v>
      </c>
    </row>
    <row r="1897" spans="2:63" ht="14.4" thickBot="1" x14ac:dyDescent="0.3">
      <c r="B1897" s="170"/>
      <c r="C1897" s="173"/>
      <c r="D1897" s="164" t="str">
        <f>IF(E1896=F1896,"",IF(E1896&gt;F1896,"Saldo Deudor","Saldo Acreedor"))</f>
        <v/>
      </c>
      <c r="E1897" s="165" t="str">
        <f>IF(E1896&gt;F1896,E1896-F1896,"")</f>
        <v/>
      </c>
      <c r="F1897" s="176" t="str">
        <f>IF(E1896&lt;F1896,F1896-E1896,"")</f>
        <v/>
      </c>
    </row>
    <row r="1900" spans="2:63" ht="15.6" x14ac:dyDescent="0.25">
      <c r="B1900" s="324" t="s">
        <v>472</v>
      </c>
      <c r="C1900" s="324"/>
      <c r="D1900" s="175">
        <v>801</v>
      </c>
      <c r="E1900" s="160"/>
      <c r="H1900" s="324" t="s">
        <v>472</v>
      </c>
      <c r="I1900" s="324"/>
      <c r="J1900" s="175">
        <v>811</v>
      </c>
      <c r="K1900" s="160"/>
      <c r="N1900" s="324" t="s">
        <v>472</v>
      </c>
      <c r="O1900" s="324"/>
      <c r="P1900" s="175">
        <v>821</v>
      </c>
      <c r="Q1900" s="160"/>
      <c r="T1900" s="324" t="s">
        <v>472</v>
      </c>
      <c r="U1900" s="324"/>
      <c r="V1900" s="175">
        <v>831</v>
      </c>
      <c r="W1900" s="160"/>
      <c r="Z1900" s="324" t="s">
        <v>472</v>
      </c>
      <c r="AA1900" s="324"/>
      <c r="AB1900" s="175">
        <v>841</v>
      </c>
      <c r="AC1900" s="160"/>
      <c r="AF1900" s="324" t="s">
        <v>472</v>
      </c>
      <c r="AG1900" s="324"/>
      <c r="AH1900" s="175">
        <v>851</v>
      </c>
      <c r="AI1900" s="160"/>
      <c r="AL1900" s="324" t="s">
        <v>472</v>
      </c>
      <c r="AM1900" s="324"/>
      <c r="AN1900" s="175">
        <v>871</v>
      </c>
      <c r="AO1900" s="160"/>
      <c r="AR1900" s="324" t="s">
        <v>472</v>
      </c>
      <c r="AS1900" s="324"/>
      <c r="AT1900" s="175">
        <v>881</v>
      </c>
      <c r="AU1900" s="160"/>
      <c r="AX1900" s="324" t="s">
        <v>472</v>
      </c>
      <c r="AY1900" s="324"/>
      <c r="AZ1900" s="175">
        <v>891</v>
      </c>
      <c r="BA1900" s="160"/>
      <c r="BD1900" s="324" t="s">
        <v>472</v>
      </c>
      <c r="BE1900" s="324"/>
      <c r="BF1900" s="175">
        <v>892</v>
      </c>
      <c r="BG1900" s="160"/>
    </row>
    <row r="1901" spans="2:63" x14ac:dyDescent="0.25">
      <c r="B1901" s="160"/>
      <c r="C1901" s="160"/>
      <c r="D1901" s="160"/>
      <c r="E1901" s="160"/>
      <c r="H1901" s="160"/>
      <c r="I1901" s="160"/>
      <c r="J1901" s="160"/>
      <c r="K1901" s="160"/>
      <c r="N1901" s="160"/>
      <c r="O1901" s="160"/>
      <c r="P1901" s="160"/>
      <c r="Q1901" s="160"/>
      <c r="T1901" s="160"/>
      <c r="U1901" s="160"/>
      <c r="V1901" s="160"/>
      <c r="W1901" s="160"/>
      <c r="Z1901" s="160"/>
      <c r="AA1901" s="160"/>
      <c r="AB1901" s="160"/>
      <c r="AC1901" s="160"/>
      <c r="AF1901" s="160"/>
      <c r="AG1901" s="160"/>
      <c r="AH1901" s="160"/>
      <c r="AI1901" s="160"/>
      <c r="AL1901" s="160"/>
      <c r="AM1901" s="160"/>
      <c r="AN1901" s="160"/>
      <c r="AO1901" s="160"/>
      <c r="AR1901" s="160"/>
      <c r="AS1901" s="160"/>
      <c r="AT1901" s="160"/>
      <c r="AU1901" s="160"/>
      <c r="AX1901" s="160"/>
      <c r="AY1901" s="160"/>
      <c r="AZ1901" s="160"/>
      <c r="BA1901" s="160"/>
      <c r="BD1901" s="160"/>
      <c r="BE1901" s="160"/>
      <c r="BF1901" s="160"/>
      <c r="BG1901" s="160"/>
    </row>
    <row r="1902" spans="2:63" ht="15.6" x14ac:dyDescent="0.25">
      <c r="B1902" s="324" t="s">
        <v>473</v>
      </c>
      <c r="C1902" s="324"/>
      <c r="D1902" s="234" t="str">
        <f>VLOOKUP(D1900,SubCuentasContables,4,FALSE)</f>
        <v>Margen Comercial</v>
      </c>
      <c r="E1902" s="160"/>
      <c r="H1902" s="324" t="s">
        <v>473</v>
      </c>
      <c r="I1902" s="324"/>
      <c r="J1902" s="234" t="str">
        <f>VLOOKUP(J1900,SubCuentasContables,4,FALSE)</f>
        <v>Producción de Bienes</v>
      </c>
      <c r="K1902" s="160"/>
      <c r="N1902" s="324" t="s">
        <v>473</v>
      </c>
      <c r="O1902" s="324"/>
      <c r="P1902" s="234" t="str">
        <f>VLOOKUP(P1900,SubCuentasContables,4,FALSE)</f>
        <v>Valor Agregado</v>
      </c>
      <c r="Q1902" s="160"/>
      <c r="T1902" s="324" t="s">
        <v>473</v>
      </c>
      <c r="U1902" s="324"/>
      <c r="V1902" s="234" t="str">
        <f>VLOOKUP(V1900,SubCuentasContables,4,FALSE)</f>
        <v>Excedente Bruto (Insuficiencia Bruta) de Explotación</v>
      </c>
      <c r="W1902" s="160"/>
      <c r="Z1902" s="324" t="s">
        <v>473</v>
      </c>
      <c r="AA1902" s="324"/>
      <c r="AB1902" s="234" t="str">
        <f>VLOOKUP(AB1900,SubCuentasContables,4,FALSE)</f>
        <v>Resultado de Explotación</v>
      </c>
      <c r="AC1902" s="160"/>
      <c r="AF1902" s="324" t="s">
        <v>473</v>
      </c>
      <c r="AG1902" s="324"/>
      <c r="AH1902" s="234" t="str">
        <f>VLOOKUP(AH1900,SubCuentasContables,4,FALSE)</f>
        <v>Resultado antes de Participaciones e Impuestos</v>
      </c>
      <c r="AI1902" s="160"/>
      <c r="AL1902" s="324" t="s">
        <v>473</v>
      </c>
      <c r="AM1902" s="324"/>
      <c r="AN1902" s="234" t="str">
        <f>VLOOKUP(AN1900,SubCuentasContables,4,FALSE)</f>
        <v>Participación de los Trabajadores - Corriente</v>
      </c>
      <c r="AO1902" s="160"/>
      <c r="AR1902" s="324" t="s">
        <v>473</v>
      </c>
      <c r="AS1902" s="324"/>
      <c r="AT1902" s="234" t="str">
        <f>VLOOKUP(AT1900,SubCuentasContables,4,FALSE)</f>
        <v>Impuesto a la Renta - Corriente</v>
      </c>
      <c r="AU1902" s="160"/>
      <c r="AX1902" s="324" t="s">
        <v>473</v>
      </c>
      <c r="AY1902" s="324"/>
      <c r="AZ1902" s="234" t="str">
        <f>VLOOKUP(AZ1900,SubCuentasContables,4,FALSE)</f>
        <v>Utilidad</v>
      </c>
      <c r="BA1902" s="160"/>
      <c r="BD1902" s="324" t="s">
        <v>473</v>
      </c>
      <c r="BE1902" s="324"/>
      <c r="BF1902" s="234" t="str">
        <f>VLOOKUP(BF1900,SubCuentasContables,4,FALSE)</f>
        <v>Pérdida</v>
      </c>
      <c r="BG1902" s="160"/>
    </row>
    <row r="1903" spans="2:63" ht="14.4" thickBot="1" x14ac:dyDescent="0.3"/>
    <row r="1904" spans="2:63" ht="12.75" customHeight="1" x14ac:dyDescent="0.25">
      <c r="B1904" s="325" t="s">
        <v>466</v>
      </c>
      <c r="C1904" s="327" t="s">
        <v>467</v>
      </c>
      <c r="D1904" s="327" t="s">
        <v>468</v>
      </c>
      <c r="E1904" s="329" t="s">
        <v>469</v>
      </c>
      <c r="F1904" s="330"/>
      <c r="H1904" s="325" t="s">
        <v>466</v>
      </c>
      <c r="I1904" s="327" t="s">
        <v>467</v>
      </c>
      <c r="J1904" s="327" t="s">
        <v>468</v>
      </c>
      <c r="K1904" s="329" t="s">
        <v>469</v>
      </c>
      <c r="L1904" s="330"/>
      <c r="N1904" s="325" t="s">
        <v>466</v>
      </c>
      <c r="O1904" s="327" t="s">
        <v>467</v>
      </c>
      <c r="P1904" s="327" t="s">
        <v>468</v>
      </c>
      <c r="Q1904" s="329" t="s">
        <v>469</v>
      </c>
      <c r="R1904" s="330"/>
      <c r="T1904" s="325" t="s">
        <v>466</v>
      </c>
      <c r="U1904" s="327" t="s">
        <v>467</v>
      </c>
      <c r="V1904" s="327" t="s">
        <v>468</v>
      </c>
      <c r="W1904" s="329" t="s">
        <v>469</v>
      </c>
      <c r="X1904" s="330"/>
      <c r="Z1904" s="325" t="s">
        <v>466</v>
      </c>
      <c r="AA1904" s="327" t="s">
        <v>467</v>
      </c>
      <c r="AB1904" s="327" t="s">
        <v>468</v>
      </c>
      <c r="AC1904" s="329" t="s">
        <v>469</v>
      </c>
      <c r="AD1904" s="330"/>
      <c r="AF1904" s="325" t="s">
        <v>466</v>
      </c>
      <c r="AG1904" s="327" t="s">
        <v>467</v>
      </c>
      <c r="AH1904" s="327" t="s">
        <v>468</v>
      </c>
      <c r="AI1904" s="329" t="s">
        <v>469</v>
      </c>
      <c r="AJ1904" s="330"/>
      <c r="AL1904" s="325" t="s">
        <v>466</v>
      </c>
      <c r="AM1904" s="327" t="s">
        <v>467</v>
      </c>
      <c r="AN1904" s="327" t="s">
        <v>468</v>
      </c>
      <c r="AO1904" s="329" t="s">
        <v>469</v>
      </c>
      <c r="AP1904" s="330"/>
      <c r="AR1904" s="325" t="s">
        <v>466</v>
      </c>
      <c r="AS1904" s="327" t="s">
        <v>467</v>
      </c>
      <c r="AT1904" s="327" t="s">
        <v>468</v>
      </c>
      <c r="AU1904" s="329" t="s">
        <v>469</v>
      </c>
      <c r="AV1904" s="330"/>
      <c r="AX1904" s="325" t="s">
        <v>466</v>
      </c>
      <c r="AY1904" s="327" t="s">
        <v>467</v>
      </c>
      <c r="AZ1904" s="327" t="s">
        <v>468</v>
      </c>
      <c r="BA1904" s="329" t="s">
        <v>469</v>
      </c>
      <c r="BB1904" s="330"/>
      <c r="BD1904" s="325" t="s">
        <v>466</v>
      </c>
      <c r="BE1904" s="327" t="s">
        <v>467</v>
      </c>
      <c r="BF1904" s="327" t="s">
        <v>468</v>
      </c>
      <c r="BG1904" s="329" t="s">
        <v>469</v>
      </c>
      <c r="BH1904" s="330"/>
    </row>
    <row r="1905" spans="2:63" ht="14.4" thickBot="1" x14ac:dyDescent="0.3">
      <c r="B1905" s="326"/>
      <c r="C1905" s="328"/>
      <c r="D1905" s="328"/>
      <c r="E1905" s="232" t="s">
        <v>403</v>
      </c>
      <c r="F1905" s="174" t="s">
        <v>402</v>
      </c>
      <c r="H1905" s="326"/>
      <c r="I1905" s="328"/>
      <c r="J1905" s="328"/>
      <c r="K1905" s="232" t="s">
        <v>403</v>
      </c>
      <c r="L1905" s="174" t="s">
        <v>402</v>
      </c>
      <c r="N1905" s="326"/>
      <c r="O1905" s="328"/>
      <c r="P1905" s="328"/>
      <c r="Q1905" s="232" t="s">
        <v>403</v>
      </c>
      <c r="R1905" s="174" t="s">
        <v>402</v>
      </c>
      <c r="T1905" s="326"/>
      <c r="U1905" s="328"/>
      <c r="V1905" s="328"/>
      <c r="W1905" s="232" t="s">
        <v>403</v>
      </c>
      <c r="X1905" s="174" t="s">
        <v>402</v>
      </c>
      <c r="Z1905" s="326"/>
      <c r="AA1905" s="328"/>
      <c r="AB1905" s="328"/>
      <c r="AC1905" s="232" t="s">
        <v>403</v>
      </c>
      <c r="AD1905" s="174" t="s">
        <v>402</v>
      </c>
      <c r="AF1905" s="326"/>
      <c r="AG1905" s="328"/>
      <c r="AH1905" s="328"/>
      <c r="AI1905" s="232" t="s">
        <v>403</v>
      </c>
      <c r="AJ1905" s="174" t="s">
        <v>402</v>
      </c>
      <c r="AL1905" s="326"/>
      <c r="AM1905" s="328"/>
      <c r="AN1905" s="328"/>
      <c r="AO1905" s="232" t="s">
        <v>403</v>
      </c>
      <c r="AP1905" s="174" t="s">
        <v>402</v>
      </c>
      <c r="AR1905" s="326"/>
      <c r="AS1905" s="328"/>
      <c r="AT1905" s="328"/>
      <c r="AU1905" s="232" t="s">
        <v>403</v>
      </c>
      <c r="AV1905" s="174" t="s">
        <v>402</v>
      </c>
      <c r="AX1905" s="326"/>
      <c r="AY1905" s="328"/>
      <c r="AZ1905" s="328"/>
      <c r="BA1905" s="232" t="s">
        <v>403</v>
      </c>
      <c r="BB1905" s="174" t="s">
        <v>402</v>
      </c>
      <c r="BD1905" s="326"/>
      <c r="BE1905" s="328"/>
      <c r="BF1905" s="328"/>
      <c r="BG1905" s="232" t="s">
        <v>403</v>
      </c>
      <c r="BH1905" s="174" t="s">
        <v>402</v>
      </c>
    </row>
    <row r="1906" spans="2:63" ht="14.4" thickTop="1" x14ac:dyDescent="0.25">
      <c r="B1906" s="236">
        <v>41670</v>
      </c>
      <c r="C1906" s="171"/>
      <c r="D1906" s="166" t="s">
        <v>470</v>
      </c>
      <c r="E1906" s="167">
        <f>SUMIF('Libro Diario Convencional'!$D$15:$D$167,D1900,'Libro Diario Convencional'!$G$15:$G$167)</f>
        <v>0</v>
      </c>
      <c r="F1906" s="168">
        <f>SUMIF('Libro Diario Convencional'!$D$15:$D$167,D1900,'Libro Diario Convencional'!$H$15:$H$167)</f>
        <v>0</v>
      </c>
      <c r="H1906" s="236">
        <v>41670</v>
      </c>
      <c r="I1906" s="171"/>
      <c r="J1906" s="166" t="s">
        <v>470</v>
      </c>
      <c r="K1906" s="167">
        <f>SUMIF('Libro Diario Convencional'!$D$15:$D$167,J1900,'Libro Diario Convencional'!$G$15:$G$167)</f>
        <v>0</v>
      </c>
      <c r="L1906" s="168">
        <f>SUMIF('Libro Diario Convencional'!$D$15:$D$167,J1900,'Libro Diario Convencional'!$H$15:$H$167)</f>
        <v>0</v>
      </c>
      <c r="N1906" s="236">
        <v>41670</v>
      </c>
      <c r="O1906" s="171"/>
      <c r="P1906" s="166" t="s">
        <v>470</v>
      </c>
      <c r="Q1906" s="167">
        <f>SUMIF('Libro Diario Convencional'!$D$15:$D$167,P1900,'Libro Diario Convencional'!$G$15:$G$167)</f>
        <v>0</v>
      </c>
      <c r="R1906" s="168">
        <f>SUMIF('Libro Diario Convencional'!$D$15:$D$167,P1900,'Libro Diario Convencional'!$H$15:$H$167)</f>
        <v>0</v>
      </c>
      <c r="T1906" s="236">
        <v>41670</v>
      </c>
      <c r="U1906" s="171"/>
      <c r="V1906" s="166" t="s">
        <v>470</v>
      </c>
      <c r="W1906" s="167">
        <f>SUMIF('Libro Diario Convencional'!$D$15:$D$167,V1900,'Libro Diario Convencional'!$G$15:$G$167)</f>
        <v>0</v>
      </c>
      <c r="X1906" s="168">
        <f>SUMIF('Libro Diario Convencional'!$D$15:$D$167,V1900,'Libro Diario Convencional'!$H$15:$H$167)</f>
        <v>0</v>
      </c>
      <c r="Z1906" s="236">
        <v>41670</v>
      </c>
      <c r="AA1906" s="171"/>
      <c r="AB1906" s="166" t="s">
        <v>470</v>
      </c>
      <c r="AC1906" s="167">
        <f>SUMIF('Libro Diario Convencional'!$D$15:$D$167,AB1900,'Libro Diario Convencional'!$G$15:$G$167)</f>
        <v>0</v>
      </c>
      <c r="AD1906" s="168">
        <f>SUMIF('Libro Diario Convencional'!$D$15:$D$167,AB1900,'Libro Diario Convencional'!$H$15:$H$167)</f>
        <v>0</v>
      </c>
      <c r="AF1906" s="236">
        <v>41670</v>
      </c>
      <c r="AG1906" s="171"/>
      <c r="AH1906" s="166" t="s">
        <v>470</v>
      </c>
      <c r="AI1906" s="167">
        <f>SUMIF('Libro Diario Convencional'!$D$15:$D$167,AH1900,'Libro Diario Convencional'!$G$15:$G$167)</f>
        <v>0</v>
      </c>
      <c r="AJ1906" s="168">
        <f>SUMIF('Libro Diario Convencional'!$D$15:$D$167,AH1900,'Libro Diario Convencional'!$H$15:$H$167)</f>
        <v>0</v>
      </c>
      <c r="AL1906" s="236">
        <v>41670</v>
      </c>
      <c r="AM1906" s="171"/>
      <c r="AN1906" s="166" t="s">
        <v>470</v>
      </c>
      <c r="AO1906" s="167">
        <f>SUMIF('Libro Diario Convencional'!$D$15:$D$167,AN1900,'Libro Diario Convencional'!$G$15:$G$167)</f>
        <v>0</v>
      </c>
      <c r="AP1906" s="168">
        <f>SUMIF('Libro Diario Convencional'!$D$15:$D$167,AN1900,'Libro Diario Convencional'!$H$15:$H$167)</f>
        <v>0</v>
      </c>
      <c r="AR1906" s="236">
        <v>41670</v>
      </c>
      <c r="AS1906" s="171"/>
      <c r="AT1906" s="166" t="s">
        <v>470</v>
      </c>
      <c r="AU1906" s="167">
        <f>SUMIF('Libro Diario Convencional'!$D$15:$D$167,AT1900,'Libro Diario Convencional'!$G$15:$G$167)</f>
        <v>0</v>
      </c>
      <c r="AV1906" s="168">
        <f>SUMIF('Libro Diario Convencional'!$D$15:$D$167,AT1900,'Libro Diario Convencional'!$H$15:$H$167)</f>
        <v>0</v>
      </c>
      <c r="AX1906" s="236">
        <v>41670</v>
      </c>
      <c r="AY1906" s="171"/>
      <c r="AZ1906" s="166" t="s">
        <v>470</v>
      </c>
      <c r="BA1906" s="167">
        <f>SUMIF('Libro Diario Convencional'!$D$15:$D$167,AZ1900,'Libro Diario Convencional'!$G$15:$G$167)</f>
        <v>0</v>
      </c>
      <c r="BB1906" s="168">
        <f>SUMIF('Libro Diario Convencional'!$D$15:$D$167,AZ1900,'Libro Diario Convencional'!$H$15:$H$167)</f>
        <v>0</v>
      </c>
      <c r="BD1906" s="236">
        <v>41670</v>
      </c>
      <c r="BE1906" s="171"/>
      <c r="BF1906" s="166" t="s">
        <v>470</v>
      </c>
      <c r="BG1906" s="167">
        <f>SUMIF('Libro Diario Convencional'!$D$15:$D$167,BF1900,'Libro Diario Convencional'!$G$15:$G$167)</f>
        <v>0</v>
      </c>
      <c r="BH1906" s="168">
        <f>SUMIF('Libro Diario Convencional'!$D$15:$D$167,BF1900,'Libro Diario Convencional'!$H$15:$H$167)</f>
        <v>0</v>
      </c>
    </row>
    <row r="1907" spans="2:63" x14ac:dyDescent="0.25">
      <c r="B1907" s="169">
        <v>41670</v>
      </c>
      <c r="C1907" s="172"/>
      <c r="D1907" s="161" t="s">
        <v>474</v>
      </c>
      <c r="E1907" s="162">
        <f>SUMIF('Asientos de Cierre'!$C$6:$C$549,D1900,'Asientos de Cierre'!$G$6:$G$549)</f>
        <v>154100</v>
      </c>
      <c r="F1907" s="163">
        <f>SUMIF('Asientos de Cierre'!$C$6:$C$549,D1900,'Asientos de Cierre'!$H$6:$H$549)</f>
        <v>154100</v>
      </c>
      <c r="H1907" s="169">
        <v>41670</v>
      </c>
      <c r="I1907" s="172"/>
      <c r="J1907" s="161" t="s">
        <v>474</v>
      </c>
      <c r="K1907" s="162">
        <f>SUMIF('Asientos de Cierre'!$C$6:$C$549,J1900,'Asientos de Cierre'!$G$6:$G$549)</f>
        <v>0</v>
      </c>
      <c r="L1907" s="163">
        <f>SUMIF('Asientos de Cierre'!$C$6:$C$549,J1900,'Asientos de Cierre'!$H$6:$H$549)</f>
        <v>0</v>
      </c>
      <c r="N1907" s="169">
        <v>41670</v>
      </c>
      <c r="O1907" s="172"/>
      <c r="P1907" s="161" t="s">
        <v>474</v>
      </c>
      <c r="Q1907" s="162">
        <f>SUMIF('Asientos de Cierre'!$C$6:$C$549,P1900,'Asientos de Cierre'!$G$6:$G$549)</f>
        <v>154100</v>
      </c>
      <c r="R1907" s="163">
        <f>SUMIF('Asientos de Cierre'!$C$6:$C$549,P1900,'Asientos de Cierre'!$H$6:$H$549)</f>
        <v>154100</v>
      </c>
      <c r="T1907" s="169">
        <v>41670</v>
      </c>
      <c r="U1907" s="172"/>
      <c r="V1907" s="161" t="s">
        <v>474</v>
      </c>
      <c r="W1907" s="162">
        <f>SUMIF('Asientos de Cierre'!$C$6:$C$549,V1900,'Asientos de Cierre'!$G$6:$G$549)</f>
        <v>327000</v>
      </c>
      <c r="X1907" s="163">
        <f>SUMIF('Asientos de Cierre'!$C$6:$C$549,V1900,'Asientos de Cierre'!$H$6:$H$549)</f>
        <v>327000</v>
      </c>
      <c r="Z1907" s="169">
        <v>41670</v>
      </c>
      <c r="AA1907" s="172"/>
      <c r="AB1907" s="161" t="s">
        <v>474</v>
      </c>
      <c r="AC1907" s="162">
        <f>SUMIF('Asientos de Cierre'!$C$6:$C$549,AB1900,'Asientos de Cierre'!$G$6:$G$549)</f>
        <v>201892.37288135593</v>
      </c>
      <c r="AD1907" s="163">
        <f>SUMIF('Asientos de Cierre'!$C$6:$C$549,AB1900,'Asientos de Cierre'!$H$6:$H$549)</f>
        <v>201892.37288135593</v>
      </c>
      <c r="AF1907" s="169">
        <v>41670</v>
      </c>
      <c r="AG1907" s="172"/>
      <c r="AH1907" s="161" t="s">
        <v>474</v>
      </c>
      <c r="AI1907" s="162">
        <f>SUMIF('Asientos de Cierre'!$C$6:$C$549,AH1900,'Asientos de Cierre'!$G$6:$G$549)</f>
        <v>201892.37288135593</v>
      </c>
      <c r="AJ1907" s="163">
        <f>SUMIF('Asientos de Cierre'!$C$6:$C$549,AH1900,'Asientos de Cierre'!$H$6:$H$549)</f>
        <v>201892.37288135593</v>
      </c>
      <c r="AL1907" s="169">
        <v>41670</v>
      </c>
      <c r="AM1907" s="172"/>
      <c r="AN1907" s="161" t="s">
        <v>474</v>
      </c>
      <c r="AO1907" s="162">
        <f>SUMIF('Asientos de Cierre'!$C$6:$C$549,AN1900,'Asientos de Cierre'!$G$6:$G$549)</f>
        <v>0</v>
      </c>
      <c r="AP1907" s="163">
        <f>SUMIF('Asientos de Cierre'!$C$6:$C$549,AN1900,'Asientos de Cierre'!$H$6:$H$549)</f>
        <v>0</v>
      </c>
      <c r="AR1907" s="169">
        <v>41670</v>
      </c>
      <c r="AS1907" s="172"/>
      <c r="AT1907" s="161" t="s">
        <v>474</v>
      </c>
      <c r="AU1907" s="162">
        <f>SUMIF('Asientos de Cierre'!$C$6:$C$549,AT1900,'Asientos de Cierre'!$G$6:$G$549)</f>
        <v>0</v>
      </c>
      <c r="AV1907" s="163">
        <f>SUMIF('Asientos de Cierre'!$C$6:$C$549,AT1900,'Asientos de Cierre'!$H$6:$H$549)</f>
        <v>0</v>
      </c>
      <c r="AX1907" s="169">
        <v>41670</v>
      </c>
      <c r="AY1907" s="172"/>
      <c r="AZ1907" s="161" t="s">
        <v>474</v>
      </c>
      <c r="BA1907" s="162">
        <f>SUMIF('Asientos de Cierre'!$C$6:$C$549,AZ1900,'Asientos de Cierre'!$G$6:$G$549)</f>
        <v>0</v>
      </c>
      <c r="BB1907" s="163">
        <f>SUMIF('Asientos de Cierre'!$C$6:$C$549,AZ1900,'Asientos de Cierre'!$H$6:$H$549)</f>
        <v>0</v>
      </c>
      <c r="BD1907" s="169">
        <v>41670</v>
      </c>
      <c r="BE1907" s="172"/>
      <c r="BF1907" s="161" t="s">
        <v>474</v>
      </c>
      <c r="BG1907" s="162">
        <f>SUMIF('Asientos de Cierre'!$C$6:$C$549,BF1900,'Asientos de Cierre'!$G$6:$G$549)</f>
        <v>201892.37288135593</v>
      </c>
      <c r="BH1907" s="163">
        <f>SUMIF('Asientos de Cierre'!$C$6:$C$549,BF1900,'Asientos de Cierre'!$H$6:$H$549)</f>
        <v>201892.37288135593</v>
      </c>
    </row>
    <row r="1908" spans="2:63" x14ac:dyDescent="0.25">
      <c r="B1908" s="169"/>
      <c r="C1908" s="172"/>
      <c r="D1908" s="161"/>
      <c r="E1908" s="162"/>
      <c r="F1908" s="163"/>
      <c r="H1908" s="169"/>
      <c r="I1908" s="172"/>
      <c r="J1908" s="161"/>
      <c r="K1908" s="162"/>
      <c r="L1908" s="163"/>
      <c r="N1908" s="169"/>
      <c r="O1908" s="172"/>
      <c r="P1908" s="161"/>
      <c r="Q1908" s="162"/>
      <c r="R1908" s="163"/>
      <c r="T1908" s="169"/>
      <c r="U1908" s="172"/>
      <c r="V1908" s="161"/>
      <c r="W1908" s="162"/>
      <c r="X1908" s="163"/>
      <c r="Z1908" s="169"/>
      <c r="AA1908" s="172"/>
      <c r="AB1908" s="161"/>
      <c r="AC1908" s="162"/>
      <c r="AD1908" s="163"/>
      <c r="AF1908" s="169"/>
      <c r="AG1908" s="172"/>
      <c r="AH1908" s="161"/>
      <c r="AI1908" s="162"/>
      <c r="AJ1908" s="163"/>
      <c r="AL1908" s="169"/>
      <c r="AM1908" s="172"/>
      <c r="AN1908" s="161"/>
      <c r="AO1908" s="162"/>
      <c r="AP1908" s="163"/>
      <c r="AR1908" s="169"/>
      <c r="AS1908" s="172"/>
      <c r="AT1908" s="161"/>
      <c r="AU1908" s="162"/>
      <c r="AV1908" s="163"/>
      <c r="AX1908" s="169"/>
      <c r="AY1908" s="172"/>
      <c r="AZ1908" s="161"/>
      <c r="BA1908" s="162"/>
      <c r="BB1908" s="163"/>
      <c r="BD1908" s="169"/>
      <c r="BE1908" s="172"/>
      <c r="BF1908" s="161"/>
      <c r="BG1908" s="162"/>
      <c r="BH1908" s="163"/>
    </row>
    <row r="1909" spans="2:63" ht="14.4" thickBot="1" x14ac:dyDescent="0.3">
      <c r="B1909" s="169"/>
      <c r="C1909" s="172"/>
      <c r="D1909" s="161"/>
      <c r="E1909" s="162"/>
      <c r="F1909" s="163"/>
      <c r="H1909" s="169"/>
      <c r="I1909" s="172"/>
      <c r="J1909" s="161"/>
      <c r="K1909" s="162"/>
      <c r="L1909" s="163"/>
      <c r="N1909" s="169"/>
      <c r="O1909" s="172"/>
      <c r="P1909" s="161"/>
      <c r="Q1909" s="162"/>
      <c r="R1909" s="163"/>
      <c r="T1909" s="169"/>
      <c r="U1909" s="172"/>
      <c r="V1909" s="161"/>
      <c r="W1909" s="162"/>
      <c r="X1909" s="163"/>
      <c r="Z1909" s="169"/>
      <c r="AA1909" s="172"/>
      <c r="AB1909" s="161"/>
      <c r="AC1909" s="162"/>
      <c r="AD1909" s="163"/>
      <c r="AF1909" s="169"/>
      <c r="AG1909" s="172"/>
      <c r="AH1909" s="161"/>
      <c r="AI1909" s="162"/>
      <c r="AJ1909" s="163"/>
      <c r="AL1909" s="169"/>
      <c r="AM1909" s="172"/>
      <c r="AN1909" s="161"/>
      <c r="AO1909" s="162"/>
      <c r="AP1909" s="163"/>
      <c r="AR1909" s="169"/>
      <c r="AS1909" s="172"/>
      <c r="AT1909" s="161"/>
      <c r="AU1909" s="162"/>
      <c r="AV1909" s="163"/>
      <c r="AX1909" s="169"/>
      <c r="AY1909" s="172"/>
      <c r="AZ1909" s="161"/>
      <c r="BA1909" s="162"/>
      <c r="BB1909" s="163"/>
      <c r="BD1909" s="169"/>
      <c r="BE1909" s="172"/>
      <c r="BF1909" s="161"/>
      <c r="BG1909" s="162"/>
      <c r="BH1909" s="163"/>
    </row>
    <row r="1910" spans="2:63" ht="15" thickBot="1" x14ac:dyDescent="0.3">
      <c r="B1910" s="169"/>
      <c r="C1910" s="172"/>
      <c r="D1910" s="161" t="s">
        <v>471</v>
      </c>
      <c r="E1910" s="162">
        <f>SUM(E1906:E1909)</f>
        <v>154100</v>
      </c>
      <c r="F1910" s="163">
        <f>SUM(F1906:F1909)</f>
        <v>154100</v>
      </c>
      <c r="H1910" s="169"/>
      <c r="I1910" s="172"/>
      <c r="J1910" s="161" t="s">
        <v>471</v>
      </c>
      <c r="K1910" s="162">
        <f>SUM(K1906:K1909)</f>
        <v>0</v>
      </c>
      <c r="L1910" s="163">
        <f>SUM(L1906:L1909)</f>
        <v>0</v>
      </c>
      <c r="N1910" s="169"/>
      <c r="O1910" s="172"/>
      <c r="P1910" s="161" t="s">
        <v>471</v>
      </c>
      <c r="Q1910" s="162">
        <f>SUM(Q1906:Q1909)</f>
        <v>154100</v>
      </c>
      <c r="R1910" s="163">
        <f>SUM(R1906:R1909)</f>
        <v>154100</v>
      </c>
      <c r="T1910" s="169"/>
      <c r="U1910" s="172"/>
      <c r="V1910" s="161" t="s">
        <v>471</v>
      </c>
      <c r="W1910" s="162">
        <f>SUM(W1906:W1909)</f>
        <v>327000</v>
      </c>
      <c r="X1910" s="163">
        <f>SUM(X1906:X1909)</f>
        <v>327000</v>
      </c>
      <c r="Z1910" s="169"/>
      <c r="AA1910" s="172"/>
      <c r="AB1910" s="161" t="s">
        <v>471</v>
      </c>
      <c r="AC1910" s="162">
        <f>SUM(AC1906:AC1909)</f>
        <v>201892.37288135593</v>
      </c>
      <c r="AD1910" s="163">
        <f>SUM(AD1906:AD1909)</f>
        <v>201892.37288135593</v>
      </c>
      <c r="AF1910" s="169"/>
      <c r="AG1910" s="172"/>
      <c r="AH1910" s="161" t="s">
        <v>471</v>
      </c>
      <c r="AI1910" s="162">
        <f>SUM(AI1906:AI1909)</f>
        <v>201892.37288135593</v>
      </c>
      <c r="AJ1910" s="163">
        <f>SUM(AJ1906:AJ1909)</f>
        <v>201892.37288135593</v>
      </c>
      <c r="AL1910" s="169"/>
      <c r="AM1910" s="172"/>
      <c r="AN1910" s="161" t="s">
        <v>471</v>
      </c>
      <c r="AO1910" s="162">
        <f>SUM(AO1906:AO1909)</f>
        <v>0</v>
      </c>
      <c r="AP1910" s="163">
        <f>SUM(AP1906:AP1909)</f>
        <v>0</v>
      </c>
      <c r="AR1910" s="169"/>
      <c r="AS1910" s="172"/>
      <c r="AT1910" s="161" t="s">
        <v>471</v>
      </c>
      <c r="AU1910" s="162">
        <f>SUM(AU1906:AU1909)</f>
        <v>0</v>
      </c>
      <c r="AV1910" s="163">
        <f>SUM(AV1906:AV1909)</f>
        <v>0</v>
      </c>
      <c r="AX1910" s="169"/>
      <c r="AY1910" s="172"/>
      <c r="AZ1910" s="161" t="s">
        <v>471</v>
      </c>
      <c r="BA1910" s="162">
        <f>SUM(BA1906:BA1909)</f>
        <v>0</v>
      </c>
      <c r="BB1910" s="163">
        <f>SUM(BB1906:BB1909)</f>
        <v>0</v>
      </c>
      <c r="BD1910" s="169"/>
      <c r="BE1910" s="172"/>
      <c r="BF1910" s="161" t="s">
        <v>471</v>
      </c>
      <c r="BG1910" s="162">
        <f>SUM(BG1906:BG1909)</f>
        <v>201892.37288135593</v>
      </c>
      <c r="BH1910" s="163">
        <f>SUM(BH1906:BH1909)</f>
        <v>201892.37288135593</v>
      </c>
      <c r="BJ1910" s="157">
        <f>SUM(E1910,K1910,Q1910,W1910,AC1910,AI1910,AO1910,AU1910,BA1910,BG1910)</f>
        <v>1240877.1186440678</v>
      </c>
      <c r="BK1910" s="158">
        <f>SUM(F1910,L1910,R1910,X1910,AD1910,AJ1910,AP1910,AV1910,BB1910,BH1910)</f>
        <v>1240877.1186440678</v>
      </c>
    </row>
    <row r="1911" spans="2:63" ht="14.4" thickBot="1" x14ac:dyDescent="0.3">
      <c r="B1911" s="170"/>
      <c r="C1911" s="173"/>
      <c r="D1911" s="164" t="str">
        <f>IF(E1910=F1910,"",IF(E1910&gt;F1910,"Saldo Deudor","Saldo Acreedor"))</f>
        <v/>
      </c>
      <c r="E1911" s="165" t="str">
        <f>IF(E1910&gt;F1910,E1910-F1910,"")</f>
        <v/>
      </c>
      <c r="F1911" s="176" t="str">
        <f>IF(E1910&lt;F1910,F1910-E1910,"")</f>
        <v/>
      </c>
      <c r="H1911" s="170"/>
      <c r="I1911" s="173"/>
      <c r="J1911" s="164" t="str">
        <f>IF(K1910=L1910,"",IF(K1910&gt;L1910,"Saldo Deudor","Saldo Acreedor"))</f>
        <v/>
      </c>
      <c r="K1911" s="165" t="str">
        <f>IF(K1910&gt;L1910,K1910-L1910,"")</f>
        <v/>
      </c>
      <c r="L1911" s="176" t="str">
        <f>IF(K1910&lt;L1910,L1910-K1910,"")</f>
        <v/>
      </c>
      <c r="N1911" s="170"/>
      <c r="O1911" s="173"/>
      <c r="P1911" s="164" t="str">
        <f>IF(Q1910=R1910,"",IF(Q1910&gt;R1910,"Saldo Deudor","Saldo Acreedor"))</f>
        <v/>
      </c>
      <c r="Q1911" s="165" t="str">
        <f>IF(Q1910&gt;R1910,Q1910-R1910,"")</f>
        <v/>
      </c>
      <c r="R1911" s="176" t="str">
        <f>IF(Q1910&lt;R1910,R1910-Q1910,"")</f>
        <v/>
      </c>
      <c r="T1911" s="170"/>
      <c r="U1911" s="173"/>
      <c r="V1911" s="164" t="str">
        <f>IF(W1910=X1910,"",IF(W1910&gt;X1910,"Saldo Deudor","Saldo Acreedor"))</f>
        <v/>
      </c>
      <c r="W1911" s="165" t="str">
        <f>IF(W1910&gt;X1910,W1910-X1910,"")</f>
        <v/>
      </c>
      <c r="X1911" s="176" t="str">
        <f>IF(W1910&lt;X1910,X1910-W1910,"")</f>
        <v/>
      </c>
      <c r="Z1911" s="170"/>
      <c r="AA1911" s="173"/>
      <c r="AB1911" s="164" t="str">
        <f>IF(AC1910=AD1910,"",IF(AC1910&gt;AD1910,"Saldo Deudor","Saldo Acreedor"))</f>
        <v/>
      </c>
      <c r="AC1911" s="165" t="str">
        <f>IF(AC1910&gt;AD1910,AC1910-AD1910,"")</f>
        <v/>
      </c>
      <c r="AD1911" s="176" t="str">
        <f>IF(AC1910&lt;AD1910,AD1910-AC1910,"")</f>
        <v/>
      </c>
      <c r="AF1911" s="170"/>
      <c r="AG1911" s="173"/>
      <c r="AH1911" s="164" t="str">
        <f>IF(AI1910=AJ1910,"",IF(AI1910&gt;AJ1910,"Saldo Deudor","Saldo Acreedor"))</f>
        <v/>
      </c>
      <c r="AI1911" s="165" t="str">
        <f>IF(AI1910&gt;AJ1910,AI1910-AJ1910,"")</f>
        <v/>
      </c>
      <c r="AJ1911" s="176" t="str">
        <f>IF(AI1910&lt;AJ1910,AJ1910-AI1910,"")</f>
        <v/>
      </c>
      <c r="AL1911" s="170"/>
      <c r="AM1911" s="173"/>
      <c r="AN1911" s="164" t="str">
        <f>IF(AO1910=AP1910,"",IF(AO1910&gt;AP1910,"Saldo Deudor","Saldo Acreedor"))</f>
        <v/>
      </c>
      <c r="AO1911" s="165" t="str">
        <f>IF(AO1910&gt;AP1910,AO1910-AP1910,"")</f>
        <v/>
      </c>
      <c r="AP1911" s="176" t="str">
        <f>IF(AO1910&lt;AP1910,AP1910-AO1910,"")</f>
        <v/>
      </c>
      <c r="AR1911" s="170"/>
      <c r="AS1911" s="173"/>
      <c r="AT1911" s="164" t="str">
        <f>IF(AU1910=AV1910,"",IF(AU1910&gt;AV1910,"Saldo Deudor","Saldo Acreedor"))</f>
        <v/>
      </c>
      <c r="AU1911" s="165" t="str">
        <f>IF(AU1910&gt;AV1910,AU1910-AV1910,"")</f>
        <v/>
      </c>
      <c r="AV1911" s="176" t="str">
        <f>IF(AU1910&lt;AV1910,AV1910-AU1910,"")</f>
        <v/>
      </c>
      <c r="AX1911" s="170"/>
      <c r="AY1911" s="173"/>
      <c r="AZ1911" s="164" t="str">
        <f>IF(BA1910=BB1910,"",IF(BA1910&gt;BB1910,"Saldo Deudor","Saldo Acreedor"))</f>
        <v/>
      </c>
      <c r="BA1911" s="165" t="str">
        <f>IF(BA1910&gt;BB1910,BA1910-BB1910,"")</f>
        <v/>
      </c>
      <c r="BB1911" s="176" t="str">
        <f>IF(BA1910&lt;BB1910,BB1910-BA1910,"")</f>
        <v/>
      </c>
      <c r="BD1911" s="170"/>
      <c r="BE1911" s="173"/>
      <c r="BF1911" s="164" t="str">
        <f>IF(BG1910=BH1910,"",IF(BG1910&gt;BH1910,"Saldo Deudor","Saldo Acreedor"))</f>
        <v/>
      </c>
      <c r="BG1911" s="165" t="str">
        <f>IF(BG1910&gt;BH1910,BG1910-BH1910,"")</f>
        <v/>
      </c>
      <c r="BH1911" s="176" t="str">
        <f>IF(BG1910&lt;BH1910,BH1910-BG1910,"")</f>
        <v/>
      </c>
    </row>
    <row r="1914" spans="2:63" ht="15.6" x14ac:dyDescent="0.25">
      <c r="B1914" s="324" t="s">
        <v>472</v>
      </c>
      <c r="C1914" s="324"/>
      <c r="D1914" s="175">
        <v>9311</v>
      </c>
      <c r="E1914" s="160"/>
      <c r="H1914" s="324" t="s">
        <v>472</v>
      </c>
      <c r="I1914" s="324"/>
      <c r="J1914" s="175">
        <v>9312</v>
      </c>
      <c r="K1914" s="160"/>
      <c r="N1914" s="324" t="s">
        <v>472</v>
      </c>
      <c r="O1914" s="324"/>
      <c r="P1914" s="175">
        <v>9313</v>
      </c>
      <c r="Q1914" s="160"/>
      <c r="T1914" s="324" t="s">
        <v>472</v>
      </c>
      <c r="U1914" s="324"/>
      <c r="V1914" s="175">
        <v>9314</v>
      </c>
      <c r="W1914" s="160"/>
      <c r="Z1914" s="324" t="s">
        <v>472</v>
      </c>
      <c r="AA1914" s="324"/>
      <c r="AB1914" s="175">
        <v>9315</v>
      </c>
      <c r="AC1914" s="160"/>
      <c r="AF1914" s="324" t="s">
        <v>472</v>
      </c>
      <c r="AG1914" s="324"/>
      <c r="AH1914" s="175">
        <v>9316</v>
      </c>
      <c r="AI1914" s="160"/>
    </row>
    <row r="1915" spans="2:63" x14ac:dyDescent="0.25">
      <c r="B1915" s="160"/>
      <c r="C1915" s="160"/>
      <c r="D1915" s="160"/>
      <c r="E1915" s="160"/>
      <c r="H1915" s="160"/>
      <c r="I1915" s="160"/>
      <c r="J1915" s="160"/>
      <c r="K1915" s="160"/>
      <c r="N1915" s="160"/>
      <c r="O1915" s="160"/>
      <c r="P1915" s="160"/>
      <c r="Q1915" s="160"/>
      <c r="T1915" s="160"/>
      <c r="U1915" s="160"/>
      <c r="V1915" s="160"/>
      <c r="W1915" s="160"/>
      <c r="Z1915" s="160"/>
      <c r="AA1915" s="160"/>
      <c r="AB1915" s="160"/>
      <c r="AC1915" s="160"/>
      <c r="AF1915" s="160"/>
      <c r="AG1915" s="160"/>
      <c r="AH1915" s="160"/>
      <c r="AI1915" s="160"/>
    </row>
    <row r="1916" spans="2:63" ht="15.6" x14ac:dyDescent="0.25">
      <c r="B1916" s="324" t="s">
        <v>473</v>
      </c>
      <c r="C1916" s="324"/>
      <c r="D1916" s="234" t="str">
        <f>VLOOKUP(D1914,DivisionariasContables,3,FALSE)</f>
        <v>Materias Primas</v>
      </c>
      <c r="E1916" s="160"/>
      <c r="H1916" s="324" t="s">
        <v>473</v>
      </c>
      <c r="I1916" s="324"/>
      <c r="J1916" s="234" t="str">
        <f>VLOOKUP(J1914,DivisionariasContables,3,FALSE)</f>
        <v>Materiales Auxiliares</v>
      </c>
      <c r="K1916" s="160"/>
      <c r="N1916" s="324" t="s">
        <v>473</v>
      </c>
      <c r="O1916" s="324"/>
      <c r="P1916" s="234" t="str">
        <f>VLOOKUP(P1914,DivisionariasContables,3,FALSE)</f>
        <v>Suministros</v>
      </c>
      <c r="Q1916" s="160"/>
      <c r="T1916" s="324" t="s">
        <v>473</v>
      </c>
      <c r="U1916" s="324"/>
      <c r="V1916" s="234" t="str">
        <f>VLOOKUP(V1914,DivisionariasContables,3,FALSE)</f>
        <v>Envases</v>
      </c>
      <c r="W1916" s="160"/>
      <c r="Z1916" s="324" t="s">
        <v>473</v>
      </c>
      <c r="AA1916" s="324"/>
      <c r="AB1916" s="234" t="str">
        <f>VLOOKUP(AB1914,DivisionariasContables,3,FALSE)</f>
        <v>Embalajes</v>
      </c>
      <c r="AC1916" s="160"/>
      <c r="AF1916" s="324" t="s">
        <v>473</v>
      </c>
      <c r="AG1916" s="324"/>
      <c r="AH1916" s="234" t="str">
        <f>VLOOKUP(AH1914,DivisionariasContables,3,FALSE)</f>
        <v>Costos Indirectos de Fabricación</v>
      </c>
      <c r="AI1916" s="160"/>
    </row>
    <row r="1917" spans="2:63" ht="14.4" thickBot="1" x14ac:dyDescent="0.3"/>
    <row r="1918" spans="2:63" x14ac:dyDescent="0.25">
      <c r="B1918" s="325" t="s">
        <v>466</v>
      </c>
      <c r="C1918" s="327" t="s">
        <v>467</v>
      </c>
      <c r="D1918" s="327" t="s">
        <v>468</v>
      </c>
      <c r="E1918" s="329" t="s">
        <v>469</v>
      </c>
      <c r="F1918" s="330"/>
      <c r="H1918" s="325" t="s">
        <v>466</v>
      </c>
      <c r="I1918" s="327" t="s">
        <v>467</v>
      </c>
      <c r="J1918" s="327" t="s">
        <v>468</v>
      </c>
      <c r="K1918" s="329" t="s">
        <v>469</v>
      </c>
      <c r="L1918" s="330"/>
      <c r="N1918" s="325" t="s">
        <v>466</v>
      </c>
      <c r="O1918" s="327" t="s">
        <v>467</v>
      </c>
      <c r="P1918" s="327" t="s">
        <v>468</v>
      </c>
      <c r="Q1918" s="329" t="s">
        <v>469</v>
      </c>
      <c r="R1918" s="330"/>
      <c r="T1918" s="325" t="s">
        <v>466</v>
      </c>
      <c r="U1918" s="327" t="s">
        <v>467</v>
      </c>
      <c r="V1918" s="327" t="s">
        <v>468</v>
      </c>
      <c r="W1918" s="329" t="s">
        <v>469</v>
      </c>
      <c r="X1918" s="330"/>
      <c r="Z1918" s="325" t="s">
        <v>466</v>
      </c>
      <c r="AA1918" s="327" t="s">
        <v>467</v>
      </c>
      <c r="AB1918" s="327" t="s">
        <v>468</v>
      </c>
      <c r="AC1918" s="329" t="s">
        <v>469</v>
      </c>
      <c r="AD1918" s="330"/>
      <c r="AF1918" s="325" t="s">
        <v>466</v>
      </c>
      <c r="AG1918" s="327" t="s">
        <v>467</v>
      </c>
      <c r="AH1918" s="327" t="s">
        <v>468</v>
      </c>
      <c r="AI1918" s="329" t="s">
        <v>469</v>
      </c>
      <c r="AJ1918" s="330"/>
    </row>
    <row r="1919" spans="2:63" ht="14.4" thickBot="1" x14ac:dyDescent="0.3">
      <c r="B1919" s="326"/>
      <c r="C1919" s="328"/>
      <c r="D1919" s="328"/>
      <c r="E1919" s="232" t="s">
        <v>403</v>
      </c>
      <c r="F1919" s="174" t="s">
        <v>402</v>
      </c>
      <c r="H1919" s="326"/>
      <c r="I1919" s="328"/>
      <c r="J1919" s="328"/>
      <c r="K1919" s="232" t="s">
        <v>403</v>
      </c>
      <c r="L1919" s="174" t="s">
        <v>402</v>
      </c>
      <c r="N1919" s="326"/>
      <c r="O1919" s="328"/>
      <c r="P1919" s="328"/>
      <c r="Q1919" s="232" t="s">
        <v>403</v>
      </c>
      <c r="R1919" s="174" t="s">
        <v>402</v>
      </c>
      <c r="T1919" s="326"/>
      <c r="U1919" s="328"/>
      <c r="V1919" s="328"/>
      <c r="W1919" s="232" t="s">
        <v>403</v>
      </c>
      <c r="X1919" s="174" t="s">
        <v>402</v>
      </c>
      <c r="Z1919" s="326"/>
      <c r="AA1919" s="328"/>
      <c r="AB1919" s="328"/>
      <c r="AC1919" s="232" t="s">
        <v>403</v>
      </c>
      <c r="AD1919" s="174" t="s">
        <v>402</v>
      </c>
      <c r="AF1919" s="326"/>
      <c r="AG1919" s="328"/>
      <c r="AH1919" s="328"/>
      <c r="AI1919" s="232" t="s">
        <v>403</v>
      </c>
      <c r="AJ1919" s="174" t="s">
        <v>402</v>
      </c>
    </row>
    <row r="1920" spans="2:63" ht="14.4" thickTop="1" x14ac:dyDescent="0.25">
      <c r="B1920" s="236">
        <v>41670</v>
      </c>
      <c r="C1920" s="171"/>
      <c r="D1920" s="166" t="s">
        <v>470</v>
      </c>
      <c r="E1920" s="167">
        <f>SUMIF('Libro Diario Convencional'!$D$15:$D$167,D1914,'Libro Diario Convencional'!$G$15:$G$167)</f>
        <v>0</v>
      </c>
      <c r="F1920" s="168">
        <f>SUMIF('Libro Diario Convencional'!$D$15:$D$167,D1914,'Libro Diario Convencional'!$H$15:$H$167)</f>
        <v>0</v>
      </c>
      <c r="H1920" s="236">
        <v>41670</v>
      </c>
      <c r="I1920" s="171"/>
      <c r="J1920" s="166" t="s">
        <v>470</v>
      </c>
      <c r="K1920" s="167">
        <f>SUMIF('Libro Diario Convencional'!$D$15:$D$167,J1914,'Libro Diario Convencional'!$G$15:$G$167)</f>
        <v>0</v>
      </c>
      <c r="L1920" s="168">
        <f>SUMIF('Libro Diario Convencional'!$D$15:$D$167,J1914,'Libro Diario Convencional'!$H$15:$H$167)</f>
        <v>0</v>
      </c>
      <c r="N1920" s="236">
        <v>41670</v>
      </c>
      <c r="O1920" s="171"/>
      <c r="P1920" s="166" t="s">
        <v>470</v>
      </c>
      <c r="Q1920" s="167">
        <f>SUMIF('Libro Diario Convencional'!$D$15:$D$167,P1914,'Libro Diario Convencional'!$G$15:$G$167)</f>
        <v>0</v>
      </c>
      <c r="R1920" s="168">
        <f>SUMIF('Libro Diario Convencional'!$D$15:$D$167,P1914,'Libro Diario Convencional'!$H$15:$H$167)</f>
        <v>0</v>
      </c>
      <c r="T1920" s="236">
        <v>41670</v>
      </c>
      <c r="U1920" s="171"/>
      <c r="V1920" s="166" t="s">
        <v>470</v>
      </c>
      <c r="W1920" s="167">
        <f>SUMIF('Libro Diario Convencional'!$D$15:$D$167,V1914,'Libro Diario Convencional'!$G$15:$G$167)</f>
        <v>0</v>
      </c>
      <c r="X1920" s="168">
        <f>SUMIF('Libro Diario Convencional'!$D$15:$D$167,V1914,'Libro Diario Convencional'!$H$15:$H$167)</f>
        <v>0</v>
      </c>
      <c r="Z1920" s="236">
        <v>41670</v>
      </c>
      <c r="AA1920" s="171"/>
      <c r="AB1920" s="166" t="s">
        <v>470</v>
      </c>
      <c r="AC1920" s="167">
        <f>SUMIF('Libro Diario Convencional'!$D$15:$D$167,AB1914,'Libro Diario Convencional'!$G$15:$G$167)</f>
        <v>0</v>
      </c>
      <c r="AD1920" s="168">
        <f>SUMIF('Libro Diario Convencional'!$D$15:$D$167,AB1914,'Libro Diario Convencional'!$H$15:$H$167)</f>
        <v>0</v>
      </c>
      <c r="AF1920" s="236">
        <v>41670</v>
      </c>
      <c r="AG1920" s="171"/>
      <c r="AH1920" s="166" t="s">
        <v>470</v>
      </c>
      <c r="AI1920" s="167">
        <f>SUMIF('Libro Diario Convencional'!$D$15:$D$167,AH1914,'Libro Diario Convencional'!$G$15:$G$167)</f>
        <v>0</v>
      </c>
      <c r="AJ1920" s="168">
        <f>SUMIF('Libro Diario Convencional'!$D$15:$D$167,AH1914,'Libro Diario Convencional'!$H$15:$H$167)</f>
        <v>0</v>
      </c>
    </row>
    <row r="1921" spans="2:63" x14ac:dyDescent="0.25">
      <c r="B1921" s="169">
        <v>41670</v>
      </c>
      <c r="C1921" s="172"/>
      <c r="D1921" s="161" t="s">
        <v>474</v>
      </c>
      <c r="E1921" s="162">
        <f>SUMIF('Asientos de Cierre'!$D$6:$D$549,D1914,'Asientos de Cierre'!$G$6:$G$549)</f>
        <v>0</v>
      </c>
      <c r="F1921" s="163">
        <f>SUMIF('Asientos de Cierre'!$D$6:$D$549,D1914,'Asientos de Cierre'!$H$6:$H$549)</f>
        <v>0</v>
      </c>
      <c r="H1921" s="169">
        <v>41670</v>
      </c>
      <c r="I1921" s="172"/>
      <c r="J1921" s="161" t="s">
        <v>474</v>
      </c>
      <c r="K1921" s="162">
        <f>SUMIF('Asientos de Cierre'!$D$6:$D$549,J1914,'Asientos de Cierre'!$G$6:$G$549)</f>
        <v>0</v>
      </c>
      <c r="L1921" s="163">
        <f>SUMIF('Asientos de Cierre'!$D$6:$D$549,J1914,'Asientos de Cierre'!$H$6:$H$549)</f>
        <v>0</v>
      </c>
      <c r="N1921" s="169">
        <v>41670</v>
      </c>
      <c r="O1921" s="172"/>
      <c r="P1921" s="161" t="s">
        <v>474</v>
      </c>
      <c r="Q1921" s="162">
        <f>SUMIF('Asientos de Cierre'!$D$6:$D$549,P1914,'Asientos de Cierre'!$G$6:$G$549)</f>
        <v>0</v>
      </c>
      <c r="R1921" s="163">
        <f>SUMIF('Asientos de Cierre'!$D$6:$D$549,P1914,'Asientos de Cierre'!$H$6:$H$549)</f>
        <v>0</v>
      </c>
      <c r="T1921" s="169">
        <v>41670</v>
      </c>
      <c r="U1921" s="172"/>
      <c r="V1921" s="161" t="s">
        <v>474</v>
      </c>
      <c r="W1921" s="162">
        <f>SUMIF('Asientos de Cierre'!$D$6:$D$549,V1914,'Asientos de Cierre'!$G$6:$G$549)</f>
        <v>0</v>
      </c>
      <c r="X1921" s="163">
        <f>SUMIF('Asientos de Cierre'!$D$6:$D$549,V1914,'Asientos de Cierre'!$H$6:$H$549)</f>
        <v>0</v>
      </c>
      <c r="Z1921" s="169">
        <v>41670</v>
      </c>
      <c r="AA1921" s="172"/>
      <c r="AB1921" s="161" t="s">
        <v>474</v>
      </c>
      <c r="AC1921" s="162">
        <f>SUMIF('Asientos de Cierre'!$D$6:$D$549,AB1914,'Asientos de Cierre'!$G$6:$G$549)</f>
        <v>0</v>
      </c>
      <c r="AD1921" s="163">
        <f>SUMIF('Asientos de Cierre'!$D$6:$D$549,AB1914,'Asientos de Cierre'!$H$6:$H$549)</f>
        <v>0</v>
      </c>
      <c r="AF1921" s="169">
        <v>41670</v>
      </c>
      <c r="AG1921" s="172"/>
      <c r="AH1921" s="161" t="s">
        <v>474</v>
      </c>
      <c r="AI1921" s="162">
        <f>SUMIF('Asientos de Cierre'!$D$6:$D$549,AH1914,'Asientos de Cierre'!$G$6:$G$549)</f>
        <v>0</v>
      </c>
      <c r="AJ1921" s="163">
        <f>SUMIF('Asientos de Cierre'!$D$6:$D$549,AH1914,'Asientos de Cierre'!$H$6:$H$549)</f>
        <v>0</v>
      </c>
    </row>
    <row r="1922" spans="2:63" x14ac:dyDescent="0.25">
      <c r="B1922" s="169"/>
      <c r="C1922" s="172"/>
      <c r="D1922" s="161"/>
      <c r="E1922" s="162"/>
      <c r="F1922" s="163"/>
      <c r="H1922" s="169"/>
      <c r="I1922" s="172"/>
      <c r="J1922" s="161"/>
      <c r="K1922" s="162"/>
      <c r="L1922" s="163"/>
      <c r="N1922" s="169"/>
      <c r="O1922" s="172"/>
      <c r="P1922" s="161"/>
      <c r="Q1922" s="162"/>
      <c r="R1922" s="163"/>
      <c r="T1922" s="169"/>
      <c r="U1922" s="172"/>
      <c r="V1922" s="161"/>
      <c r="W1922" s="162"/>
      <c r="X1922" s="163"/>
      <c r="Z1922" s="169"/>
      <c r="AA1922" s="172"/>
      <c r="AB1922" s="161"/>
      <c r="AC1922" s="162"/>
      <c r="AD1922" s="163"/>
      <c r="AF1922" s="169"/>
      <c r="AG1922" s="172"/>
      <c r="AH1922" s="161"/>
      <c r="AI1922" s="162"/>
      <c r="AJ1922" s="163"/>
    </row>
    <row r="1923" spans="2:63" ht="14.4" thickBot="1" x14ac:dyDescent="0.3">
      <c r="B1923" s="169"/>
      <c r="C1923" s="172"/>
      <c r="D1923" s="161"/>
      <c r="E1923" s="162"/>
      <c r="F1923" s="163"/>
      <c r="H1923" s="169"/>
      <c r="I1923" s="172"/>
      <c r="J1923" s="161"/>
      <c r="K1923" s="162"/>
      <c r="L1923" s="163"/>
      <c r="N1923" s="169"/>
      <c r="O1923" s="172"/>
      <c r="P1923" s="161"/>
      <c r="Q1923" s="162"/>
      <c r="R1923" s="163"/>
      <c r="T1923" s="169"/>
      <c r="U1923" s="172"/>
      <c r="V1923" s="161"/>
      <c r="W1923" s="162"/>
      <c r="X1923" s="163"/>
      <c r="Z1923" s="169"/>
      <c r="AA1923" s="172"/>
      <c r="AB1923" s="161"/>
      <c r="AC1923" s="162"/>
      <c r="AD1923" s="163"/>
      <c r="AF1923" s="169"/>
      <c r="AG1923" s="172"/>
      <c r="AH1923" s="161"/>
      <c r="AI1923" s="162"/>
      <c r="AJ1923" s="163"/>
    </row>
    <row r="1924" spans="2:63" ht="15" thickBot="1" x14ac:dyDescent="0.3">
      <c r="B1924" s="169"/>
      <c r="C1924" s="172"/>
      <c r="D1924" s="161" t="s">
        <v>471</v>
      </c>
      <c r="E1924" s="162">
        <f>SUM(E1920:E1923)</f>
        <v>0</v>
      </c>
      <c r="F1924" s="163">
        <f>SUM(F1920:F1923)</f>
        <v>0</v>
      </c>
      <c r="H1924" s="169"/>
      <c r="I1924" s="172"/>
      <c r="J1924" s="161" t="s">
        <v>471</v>
      </c>
      <c r="K1924" s="162">
        <f>SUM(K1920:K1923)</f>
        <v>0</v>
      </c>
      <c r="L1924" s="163">
        <f>SUM(L1920:L1923)</f>
        <v>0</v>
      </c>
      <c r="N1924" s="169"/>
      <c r="O1924" s="172"/>
      <c r="P1924" s="161" t="s">
        <v>471</v>
      </c>
      <c r="Q1924" s="162">
        <f>SUM(Q1920:Q1923)</f>
        <v>0</v>
      </c>
      <c r="R1924" s="163">
        <f>SUM(R1920:R1923)</f>
        <v>0</v>
      </c>
      <c r="T1924" s="169"/>
      <c r="U1924" s="172"/>
      <c r="V1924" s="161" t="s">
        <v>471</v>
      </c>
      <c r="W1924" s="162">
        <f>SUM(W1920:W1923)</f>
        <v>0</v>
      </c>
      <c r="X1924" s="163">
        <f>SUM(X1920:X1923)</f>
        <v>0</v>
      </c>
      <c r="Z1924" s="169"/>
      <c r="AA1924" s="172"/>
      <c r="AB1924" s="161" t="s">
        <v>471</v>
      </c>
      <c r="AC1924" s="162">
        <f>SUM(AC1920:AC1923)</f>
        <v>0</v>
      </c>
      <c r="AD1924" s="163">
        <f>SUM(AD1920:AD1923)</f>
        <v>0</v>
      </c>
      <c r="AF1924" s="169"/>
      <c r="AG1924" s="172"/>
      <c r="AH1924" s="161" t="s">
        <v>471</v>
      </c>
      <c r="AI1924" s="162">
        <f>SUM(AI1920:AI1923)</f>
        <v>0</v>
      </c>
      <c r="AJ1924" s="163">
        <f>SUM(AJ1920:AJ1923)</f>
        <v>0</v>
      </c>
      <c r="BJ1924" s="157">
        <f>SUM(E1924,K1924,Q1924,W1924,AC1924,AI1924,AO1924,AU1924,BA1924,BG1924)</f>
        <v>0</v>
      </c>
      <c r="BK1924" s="158">
        <f>SUM(F1924,L1924,R1924,X1924,AD1924,AJ1924,AP1924,AV1924,BB1924,BH1924)</f>
        <v>0</v>
      </c>
    </row>
    <row r="1925" spans="2:63" ht="14.4" thickBot="1" x14ac:dyDescent="0.3">
      <c r="B1925" s="170"/>
      <c r="C1925" s="173"/>
      <c r="D1925" s="164" t="str">
        <f>IF(E1924=F1924,"",IF(E1924&gt;F1924,"Saldo Deudor","Saldo Acreedor"))</f>
        <v/>
      </c>
      <c r="E1925" s="165" t="str">
        <f>IF(E1924&gt;F1924,E1924-F1924,"")</f>
        <v/>
      </c>
      <c r="F1925" s="176" t="str">
        <f>IF(E1924&lt;F1924,F1924-E1924,"")</f>
        <v/>
      </c>
      <c r="H1925" s="170"/>
      <c r="I1925" s="173"/>
      <c r="J1925" s="164" t="str">
        <f>IF(K1924=L1924,"",IF(K1924&gt;L1924,"Saldo Deudor","Saldo Acreedor"))</f>
        <v/>
      </c>
      <c r="K1925" s="165" t="str">
        <f>IF(K1924&gt;L1924,K1924-L1924,"")</f>
        <v/>
      </c>
      <c r="L1925" s="176" t="str">
        <f>IF(K1924&lt;L1924,L1924-K1924,"")</f>
        <v/>
      </c>
      <c r="N1925" s="170"/>
      <c r="O1925" s="173"/>
      <c r="P1925" s="164" t="str">
        <f>IF(Q1924=R1924,"",IF(Q1924&gt;R1924,"Saldo Deudor","Saldo Acreedor"))</f>
        <v/>
      </c>
      <c r="Q1925" s="165" t="str">
        <f>IF(Q1924&gt;R1924,Q1924-R1924,"")</f>
        <v/>
      </c>
      <c r="R1925" s="176" t="str">
        <f>IF(Q1924&lt;R1924,R1924-Q1924,"")</f>
        <v/>
      </c>
      <c r="T1925" s="170"/>
      <c r="U1925" s="173"/>
      <c r="V1925" s="164" t="str">
        <f>IF(W1924=X1924,"",IF(W1924&gt;X1924,"Saldo Deudor","Saldo Acreedor"))</f>
        <v/>
      </c>
      <c r="W1925" s="165" t="str">
        <f>IF(W1924&gt;X1924,W1924-X1924,"")</f>
        <v/>
      </c>
      <c r="X1925" s="176" t="str">
        <f>IF(W1924&lt;X1924,X1924-W1924,"")</f>
        <v/>
      </c>
      <c r="Z1925" s="170"/>
      <c r="AA1925" s="173"/>
      <c r="AB1925" s="164" t="str">
        <f>IF(AC1924=AD1924,"",IF(AC1924&gt;AD1924,"Saldo Deudor","Saldo Acreedor"))</f>
        <v/>
      </c>
      <c r="AC1925" s="165" t="str">
        <f>IF(AC1924&gt;AD1924,AC1924-AD1924,"")</f>
        <v/>
      </c>
      <c r="AD1925" s="176" t="str">
        <f>IF(AC1924&lt;AD1924,AD1924-AC1924,"")</f>
        <v/>
      </c>
      <c r="AF1925" s="170"/>
      <c r="AG1925" s="173"/>
      <c r="AH1925" s="164" t="str">
        <f>IF(AI1924=AJ1924,"",IF(AI1924&gt;AJ1924,"Saldo Deudor","Saldo Acreedor"))</f>
        <v/>
      </c>
      <c r="AI1925" s="165" t="str">
        <f>IF(AI1924&gt;AJ1924,AI1924-AJ1924,"")</f>
        <v/>
      </c>
      <c r="AJ1925" s="176" t="str">
        <f>IF(AI1924&lt;AJ1924,AJ1924-AI1924,"")</f>
        <v/>
      </c>
    </row>
    <row r="1928" spans="2:63" ht="15.6" x14ac:dyDescent="0.25">
      <c r="B1928" s="324" t="s">
        <v>472</v>
      </c>
      <c r="C1928" s="324"/>
      <c r="D1928" s="175">
        <v>9321</v>
      </c>
      <c r="E1928" s="160"/>
      <c r="H1928" s="324" t="s">
        <v>472</v>
      </c>
      <c r="I1928" s="324"/>
      <c r="J1928" s="175">
        <v>9322</v>
      </c>
      <c r="K1928" s="160"/>
    </row>
    <row r="1929" spans="2:63" x14ac:dyDescent="0.25">
      <c r="B1929" s="160"/>
      <c r="C1929" s="160"/>
      <c r="D1929" s="160"/>
      <c r="E1929" s="160"/>
      <c r="H1929" s="160"/>
      <c r="I1929" s="160"/>
      <c r="J1929" s="160"/>
      <c r="K1929" s="160"/>
    </row>
    <row r="1930" spans="2:63" ht="15.6" x14ac:dyDescent="0.25">
      <c r="B1930" s="324" t="s">
        <v>473</v>
      </c>
      <c r="C1930" s="324"/>
      <c r="D1930" s="234" t="str">
        <f>VLOOKUP(D1928,DivisionariasContables,3,FALSE)</f>
        <v>Materiales Directos</v>
      </c>
      <c r="E1930" s="160"/>
      <c r="H1930" s="324" t="s">
        <v>473</v>
      </c>
      <c r="I1930" s="324"/>
      <c r="J1930" s="234" t="str">
        <f>VLOOKUP(J1928,DivisionariasContables,3,FALSE)</f>
        <v>Costos Indirectos de Fabricación</v>
      </c>
      <c r="K1930" s="160"/>
    </row>
    <row r="1931" spans="2:63" ht="14.4" thickBot="1" x14ac:dyDescent="0.3"/>
    <row r="1932" spans="2:63" x14ac:dyDescent="0.25">
      <c r="B1932" s="325" t="s">
        <v>466</v>
      </c>
      <c r="C1932" s="327" t="s">
        <v>467</v>
      </c>
      <c r="D1932" s="327" t="s">
        <v>468</v>
      </c>
      <c r="E1932" s="329" t="s">
        <v>469</v>
      </c>
      <c r="F1932" s="330"/>
      <c r="H1932" s="325" t="s">
        <v>466</v>
      </c>
      <c r="I1932" s="327" t="s">
        <v>467</v>
      </c>
      <c r="J1932" s="327" t="s">
        <v>468</v>
      </c>
      <c r="K1932" s="329" t="s">
        <v>469</v>
      </c>
      <c r="L1932" s="330"/>
    </row>
    <row r="1933" spans="2:63" ht="14.4" thickBot="1" x14ac:dyDescent="0.3">
      <c r="B1933" s="326"/>
      <c r="C1933" s="328"/>
      <c r="D1933" s="328"/>
      <c r="E1933" s="232" t="s">
        <v>403</v>
      </c>
      <c r="F1933" s="174" t="s">
        <v>402</v>
      </c>
      <c r="H1933" s="326"/>
      <c r="I1933" s="328"/>
      <c r="J1933" s="328"/>
      <c r="K1933" s="232" t="s">
        <v>403</v>
      </c>
      <c r="L1933" s="174" t="s">
        <v>402</v>
      </c>
    </row>
    <row r="1934" spans="2:63" ht="14.4" thickTop="1" x14ac:dyDescent="0.25">
      <c r="B1934" s="236">
        <v>41670</v>
      </c>
      <c r="C1934" s="171"/>
      <c r="D1934" s="166" t="s">
        <v>470</v>
      </c>
      <c r="E1934" s="167">
        <f>SUMIF('Libro Diario Convencional'!$D$15:$D$167,D1928,'Libro Diario Convencional'!$G$15:$G$167)</f>
        <v>0</v>
      </c>
      <c r="F1934" s="168">
        <f>SUMIF('Libro Diario Convencional'!$D$15:$D$167,D1928,'Libro Diario Convencional'!$H$15:$H$167)</f>
        <v>0</v>
      </c>
      <c r="H1934" s="236">
        <v>41670</v>
      </c>
      <c r="I1934" s="171"/>
      <c r="J1934" s="166" t="s">
        <v>470</v>
      </c>
      <c r="K1934" s="167">
        <f>SUMIF('Libro Diario Convencional'!$D$15:$D$167,J1928,'Libro Diario Convencional'!$G$15:$G$167)</f>
        <v>0</v>
      </c>
      <c r="L1934" s="168">
        <f>SUMIF('Libro Diario Convencional'!$D$15:$D$167,J1928,'Libro Diario Convencional'!$H$15:$H$167)</f>
        <v>0</v>
      </c>
    </row>
    <row r="1935" spans="2:63" x14ac:dyDescent="0.25">
      <c r="B1935" s="169">
        <v>41670</v>
      </c>
      <c r="C1935" s="172"/>
      <c r="D1935" s="161" t="s">
        <v>474</v>
      </c>
      <c r="E1935" s="162">
        <f>SUMIF('Asientos de Cierre'!$D$6:$D$549,D1928,'Asientos de Cierre'!$G$6:$G$549)</f>
        <v>0</v>
      </c>
      <c r="F1935" s="163">
        <f>SUMIF('Asientos de Cierre'!$D$6:$D$549,D1928,'Asientos de Cierre'!$H$6:$H$549)</f>
        <v>0</v>
      </c>
      <c r="H1935" s="169">
        <v>41670</v>
      </c>
      <c r="I1935" s="172"/>
      <c r="J1935" s="161" t="s">
        <v>474</v>
      </c>
      <c r="K1935" s="162">
        <f>SUMIF('Asientos de Cierre'!$D$6:$D$549,J1928,'Asientos de Cierre'!$G$6:$G$549)</f>
        <v>0</v>
      </c>
      <c r="L1935" s="163">
        <f>SUMIF('Asientos de Cierre'!$D$6:$D$549,J1928,'Asientos de Cierre'!$H$6:$H$549)</f>
        <v>0</v>
      </c>
    </row>
    <row r="1936" spans="2:63" x14ac:dyDescent="0.25">
      <c r="B1936" s="169"/>
      <c r="C1936" s="172"/>
      <c r="D1936" s="161"/>
      <c r="E1936" s="162"/>
      <c r="F1936" s="163"/>
      <c r="H1936" s="169"/>
      <c r="I1936" s="172"/>
      <c r="J1936" s="161"/>
      <c r="K1936" s="162"/>
      <c r="L1936" s="163"/>
    </row>
    <row r="1937" spans="2:63" ht="14.4" thickBot="1" x14ac:dyDescent="0.3">
      <c r="B1937" s="169"/>
      <c r="C1937" s="172"/>
      <c r="D1937" s="161"/>
      <c r="E1937" s="162"/>
      <c r="F1937" s="163"/>
      <c r="H1937" s="169"/>
      <c r="I1937" s="172"/>
      <c r="J1937" s="161"/>
      <c r="K1937" s="162"/>
      <c r="L1937" s="163"/>
    </row>
    <row r="1938" spans="2:63" ht="15" thickBot="1" x14ac:dyDescent="0.3">
      <c r="B1938" s="169"/>
      <c r="C1938" s="172"/>
      <c r="D1938" s="161" t="s">
        <v>471</v>
      </c>
      <c r="E1938" s="162">
        <f>SUM(E1934:E1937)</f>
        <v>0</v>
      </c>
      <c r="F1938" s="163">
        <f>SUM(F1934:F1937)</f>
        <v>0</v>
      </c>
      <c r="H1938" s="169"/>
      <c r="I1938" s="172"/>
      <c r="J1938" s="161" t="s">
        <v>471</v>
      </c>
      <c r="K1938" s="162">
        <f>SUM(K1934:K1937)</f>
        <v>0</v>
      </c>
      <c r="L1938" s="163">
        <f>SUM(L1934:L1937)</f>
        <v>0</v>
      </c>
      <c r="BJ1938" s="157">
        <f>SUM(E1938,K1938,Q1938,W1938,AC1938,AI1938,AO1938,AU1938,BA1938,BG1938)</f>
        <v>0</v>
      </c>
      <c r="BK1938" s="158">
        <f>SUM(F1938,L1938,R1938,X1938,AD1938,AJ1938,AP1938,AV1938,BB1938,BH1938)</f>
        <v>0</v>
      </c>
    </row>
    <row r="1939" spans="2:63" ht="14.4" thickBot="1" x14ac:dyDescent="0.3">
      <c r="B1939" s="170"/>
      <c r="C1939" s="173"/>
      <c r="D1939" s="164" t="str">
        <f>IF(E1938=F1938,"",IF(E1938&gt;F1938,"Saldo Deudor","Saldo Acreedor"))</f>
        <v/>
      </c>
      <c r="E1939" s="165" t="str">
        <f>IF(E1938&gt;F1938,E1938-F1938,"")</f>
        <v/>
      </c>
      <c r="F1939" s="176" t="str">
        <f>IF(E1938&lt;F1938,F1938-E1938,"")</f>
        <v/>
      </c>
      <c r="H1939" s="170"/>
      <c r="I1939" s="173"/>
      <c r="J1939" s="164" t="str">
        <f>IF(K1938=L1938,"",IF(K1938&gt;L1938,"Saldo Deudor","Saldo Acreedor"))</f>
        <v/>
      </c>
      <c r="K1939" s="165" t="str">
        <f>IF(K1938&gt;L1938,K1938-L1938,"")</f>
        <v/>
      </c>
      <c r="L1939" s="176" t="str">
        <f>IF(K1938&lt;L1938,L1938-K1938,"")</f>
        <v/>
      </c>
    </row>
    <row r="1942" spans="2:63" ht="15.6" x14ac:dyDescent="0.25">
      <c r="B1942" s="324" t="s">
        <v>472</v>
      </c>
      <c r="C1942" s="324"/>
      <c r="D1942" s="175">
        <v>9491</v>
      </c>
      <c r="E1942" s="160"/>
    </row>
    <row r="1943" spans="2:63" x14ac:dyDescent="0.25">
      <c r="B1943" s="160"/>
      <c r="C1943" s="160"/>
      <c r="D1943" s="160"/>
      <c r="E1943" s="160"/>
    </row>
    <row r="1944" spans="2:63" ht="15.6" x14ac:dyDescent="0.25">
      <c r="B1944" s="324" t="s">
        <v>473</v>
      </c>
      <c r="C1944" s="324"/>
      <c r="D1944" s="234" t="str">
        <f>VLOOKUP(D1942,DivisionariasContables,3,FALSE)</f>
        <v>Otros Gastos Administrativos</v>
      </c>
      <c r="E1944" s="160"/>
    </row>
    <row r="1945" spans="2:63" ht="14.4" thickBot="1" x14ac:dyDescent="0.3"/>
    <row r="1946" spans="2:63" x14ac:dyDescent="0.25">
      <c r="B1946" s="325" t="s">
        <v>466</v>
      </c>
      <c r="C1946" s="327" t="s">
        <v>467</v>
      </c>
      <c r="D1946" s="327" t="s">
        <v>468</v>
      </c>
      <c r="E1946" s="329" t="s">
        <v>469</v>
      </c>
      <c r="F1946" s="330"/>
    </row>
    <row r="1947" spans="2:63" ht="14.4" thickBot="1" x14ac:dyDescent="0.3">
      <c r="B1947" s="326"/>
      <c r="C1947" s="328"/>
      <c r="D1947" s="328"/>
      <c r="E1947" s="232" t="s">
        <v>403</v>
      </c>
      <c r="F1947" s="174" t="s">
        <v>402</v>
      </c>
    </row>
    <row r="1948" spans="2:63" ht="14.4" thickTop="1" x14ac:dyDescent="0.25">
      <c r="B1948" s="236">
        <v>41670</v>
      </c>
      <c r="C1948" s="171"/>
      <c r="D1948" s="166" t="s">
        <v>470</v>
      </c>
      <c r="E1948" s="167">
        <f>SUMIF('Libro Diario Convencional'!$D$15:$D$167,D1942,'Libro Diario Convencional'!$G$15:$G$167)</f>
        <v>366992.5</v>
      </c>
      <c r="F1948" s="168">
        <f>SUMIF('Libro Diario Convencional'!$D$15:$D$167,D1942,'Libro Diario Convencional'!$H$15:$H$167)</f>
        <v>0</v>
      </c>
    </row>
    <row r="1949" spans="2:63" x14ac:dyDescent="0.25">
      <c r="B1949" s="169">
        <v>41670</v>
      </c>
      <c r="C1949" s="172"/>
      <c r="D1949" s="161" t="s">
        <v>474</v>
      </c>
      <c r="E1949" s="162">
        <f>SUMIF('Asientos de Cierre'!$D$6:$D$549,D1942,'Asientos de Cierre'!$G$6:$G$549)</f>
        <v>0</v>
      </c>
      <c r="F1949" s="163">
        <f>SUMIF('Asientos de Cierre'!$D$6:$D$549,D1942,'Asientos de Cierre'!$H$6:$H$549)</f>
        <v>366992.5</v>
      </c>
    </row>
    <row r="1950" spans="2:63" x14ac:dyDescent="0.25">
      <c r="B1950" s="169"/>
      <c r="C1950" s="172"/>
      <c r="D1950" s="161"/>
      <c r="E1950" s="162"/>
      <c r="F1950" s="163"/>
    </row>
    <row r="1951" spans="2:63" ht="14.4" thickBot="1" x14ac:dyDescent="0.3">
      <c r="B1951" s="169"/>
      <c r="C1951" s="172"/>
      <c r="D1951" s="161"/>
      <c r="E1951" s="162"/>
      <c r="F1951" s="163"/>
    </row>
    <row r="1952" spans="2:63" ht="15" thickBot="1" x14ac:dyDescent="0.3">
      <c r="B1952" s="169"/>
      <c r="C1952" s="172"/>
      <c r="D1952" s="161" t="s">
        <v>471</v>
      </c>
      <c r="E1952" s="162">
        <f>SUM(E1948:E1951)</f>
        <v>366992.5</v>
      </c>
      <c r="F1952" s="163">
        <f>SUM(F1948:F1951)</f>
        <v>366992.5</v>
      </c>
      <c r="BJ1952" s="157">
        <f>SUM(E1952,K1952,Q1952,W1952,AC1952,AI1952,AO1952,AU1952,BA1952,BG1952)</f>
        <v>366992.5</v>
      </c>
      <c r="BK1952" s="158">
        <f>SUM(F1952,L1952,R1952,X1952,AD1952,AJ1952,AP1952,AV1952,BB1952,BH1952)</f>
        <v>366992.5</v>
      </c>
    </row>
    <row r="1953" spans="2:63" ht="14.4" thickBot="1" x14ac:dyDescent="0.3">
      <c r="B1953" s="170"/>
      <c r="C1953" s="173"/>
      <c r="D1953" s="164" t="str">
        <f>IF(E1952=F1952,"",IF(E1952&gt;F1952,"Saldo Deudor","Saldo Acreedor"))</f>
        <v/>
      </c>
      <c r="E1953" s="165" t="str">
        <f>IF(E1952&gt;F1952,E1952-F1952,"")</f>
        <v/>
      </c>
      <c r="F1953" s="176" t="str">
        <f>IF(E1952&lt;F1952,F1952-E1952,"")</f>
        <v/>
      </c>
    </row>
    <row r="1956" spans="2:63" ht="15.6" x14ac:dyDescent="0.25">
      <c r="B1956" s="324" t="s">
        <v>472</v>
      </c>
      <c r="C1956" s="324"/>
      <c r="D1956" s="175">
        <v>9791</v>
      </c>
      <c r="E1956" s="160"/>
    </row>
    <row r="1957" spans="2:63" x14ac:dyDescent="0.25">
      <c r="B1957" s="160"/>
      <c r="C1957" s="160"/>
      <c r="D1957" s="160"/>
      <c r="E1957" s="160"/>
    </row>
    <row r="1958" spans="2:63" ht="15.6" x14ac:dyDescent="0.25">
      <c r="B1958" s="324" t="s">
        <v>473</v>
      </c>
      <c r="C1958" s="324"/>
      <c r="D1958" s="234" t="str">
        <f>VLOOKUP(D1956,DivisionariasContables,3,FALSE)</f>
        <v>Impuesto a las Transacciones Financieras</v>
      </c>
      <c r="E1958" s="160"/>
    </row>
    <row r="1959" spans="2:63" ht="14.4" thickBot="1" x14ac:dyDescent="0.3"/>
    <row r="1960" spans="2:63" x14ac:dyDescent="0.25">
      <c r="B1960" s="325" t="s">
        <v>466</v>
      </c>
      <c r="C1960" s="327" t="s">
        <v>467</v>
      </c>
      <c r="D1960" s="327" t="s">
        <v>468</v>
      </c>
      <c r="E1960" s="329" t="s">
        <v>469</v>
      </c>
      <c r="F1960" s="330"/>
    </row>
    <row r="1961" spans="2:63" ht="14.4" thickBot="1" x14ac:dyDescent="0.3">
      <c r="B1961" s="326"/>
      <c r="C1961" s="328"/>
      <c r="D1961" s="328"/>
      <c r="E1961" s="232" t="s">
        <v>403</v>
      </c>
      <c r="F1961" s="174" t="s">
        <v>402</v>
      </c>
    </row>
    <row r="1962" spans="2:63" ht="14.4" thickTop="1" x14ac:dyDescent="0.25">
      <c r="B1962" s="236">
        <v>41670</v>
      </c>
      <c r="C1962" s="171"/>
      <c r="D1962" s="166" t="s">
        <v>470</v>
      </c>
      <c r="E1962" s="167">
        <f>SUMIF('Libro Diario Convencional'!$D$15:$D$167,D1956,'Libro Diario Convencional'!$G$15:$G$167)</f>
        <v>0</v>
      </c>
      <c r="F1962" s="168">
        <f>SUMIF('Libro Diario Convencional'!$D$15:$D$167,D1956,'Libro Diario Convencional'!$H$15:$H$167)</f>
        <v>0</v>
      </c>
    </row>
    <row r="1963" spans="2:63" x14ac:dyDescent="0.25">
      <c r="B1963" s="169">
        <v>41670</v>
      </c>
      <c r="C1963" s="172"/>
      <c r="D1963" s="161" t="s">
        <v>474</v>
      </c>
      <c r="E1963" s="162">
        <f>SUMIF('Asientos de Cierre'!$D$6:$D$549,D1956,'Asientos de Cierre'!$G$6:$G$549)</f>
        <v>0</v>
      </c>
      <c r="F1963" s="163">
        <f>SUMIF('Asientos de Cierre'!$D$6:$D$549,D1956,'Asientos de Cierre'!$H$6:$H$549)</f>
        <v>0</v>
      </c>
    </row>
    <row r="1964" spans="2:63" x14ac:dyDescent="0.25">
      <c r="B1964" s="169"/>
      <c r="C1964" s="172"/>
      <c r="D1964" s="161"/>
      <c r="E1964" s="162"/>
      <c r="F1964" s="163"/>
    </row>
    <row r="1965" spans="2:63" ht="14.4" thickBot="1" x14ac:dyDescent="0.3">
      <c r="B1965" s="169"/>
      <c r="C1965" s="172"/>
      <c r="D1965" s="161"/>
      <c r="E1965" s="162"/>
      <c r="F1965" s="163"/>
    </row>
    <row r="1966" spans="2:63" ht="15" thickBot="1" x14ac:dyDescent="0.3">
      <c r="B1966" s="169"/>
      <c r="C1966" s="172"/>
      <c r="D1966" s="161" t="s">
        <v>471</v>
      </c>
      <c r="E1966" s="162">
        <f>SUM(E1962:E1965)</f>
        <v>0</v>
      </c>
      <c r="F1966" s="163">
        <f>SUM(F1962:F1965)</f>
        <v>0</v>
      </c>
      <c r="BJ1966" s="157">
        <f>SUM(E1966,K1966,Q1966,W1966,AC1966,AI1966,AO1966,AU1966,BA1966,BG1966)</f>
        <v>0</v>
      </c>
      <c r="BK1966" s="158">
        <f>SUM(F1966,L1966,R1966,X1966,AD1966,AJ1966,AP1966,AV1966,BB1966,BH1966)</f>
        <v>0</v>
      </c>
    </row>
    <row r="1967" spans="2:63" ht="15" thickBot="1" x14ac:dyDescent="0.3">
      <c r="B1967" s="170"/>
      <c r="C1967" s="173"/>
      <c r="D1967" s="164" t="str">
        <f>IF(E1966=F1966,"",IF(E1966&gt;F1966,"Saldo Deudor","Saldo Acreedor"))</f>
        <v/>
      </c>
      <c r="E1967" s="165" t="str">
        <f>IF(E1966&gt;F1966,E1966-F1966,"")</f>
        <v/>
      </c>
      <c r="F1967" s="176" t="str">
        <f>IF(E1966&lt;F1966,F1966-E1966,"")</f>
        <v/>
      </c>
      <c r="BJ1967" s="10">
        <f>SUM(BJ20:BJ1966)</f>
        <v>3631555.9915254237</v>
      </c>
      <c r="BK1967" s="11">
        <f>SUM(BK20:BK1966)</f>
        <v>3247825.618644068</v>
      </c>
    </row>
  </sheetData>
  <mergeCells count="1829">
    <mergeCell ref="BF1904:BF1905"/>
    <mergeCell ref="BG1904:BH1904"/>
    <mergeCell ref="AB1904:AB1905"/>
    <mergeCell ref="AC1904:AD1904"/>
    <mergeCell ref="AF1900:AG1900"/>
    <mergeCell ref="AF1902:AG1902"/>
    <mergeCell ref="AF1904:AF1905"/>
    <mergeCell ref="AG1904:AG1905"/>
    <mergeCell ref="AH1904:AH1905"/>
    <mergeCell ref="AI1904:AJ1904"/>
    <mergeCell ref="AL1900:AM1900"/>
    <mergeCell ref="AL1902:AM1902"/>
    <mergeCell ref="AL1904:AL1905"/>
    <mergeCell ref="AM1904:AM1905"/>
    <mergeCell ref="AN1904:AN1905"/>
    <mergeCell ref="AO1904:AP1904"/>
    <mergeCell ref="AR1900:AS1900"/>
    <mergeCell ref="AR1902:AS1902"/>
    <mergeCell ref="AR1904:AR1905"/>
    <mergeCell ref="AS1904:AS1905"/>
    <mergeCell ref="W1904:X1904"/>
    <mergeCell ref="Z1900:AA1900"/>
    <mergeCell ref="Z1902:AA1902"/>
    <mergeCell ref="Z1904:Z1905"/>
    <mergeCell ref="AA1904:AA1905"/>
    <mergeCell ref="AT1904:AT1905"/>
    <mergeCell ref="AU1904:AV1904"/>
    <mergeCell ref="AX1900:AY1900"/>
    <mergeCell ref="AX1902:AY1902"/>
    <mergeCell ref="AX1904:AX1905"/>
    <mergeCell ref="AY1904:AY1905"/>
    <mergeCell ref="AZ1904:AZ1905"/>
    <mergeCell ref="BA1904:BB1904"/>
    <mergeCell ref="BD1900:BE1900"/>
    <mergeCell ref="BD1902:BE1902"/>
    <mergeCell ref="BD1904:BD1905"/>
    <mergeCell ref="BE1904:BE1905"/>
    <mergeCell ref="B1932:B1933"/>
    <mergeCell ref="C1932:C1933"/>
    <mergeCell ref="D1932:D1933"/>
    <mergeCell ref="E1932:F1932"/>
    <mergeCell ref="H1932:H1933"/>
    <mergeCell ref="I1932:I1933"/>
    <mergeCell ref="B1900:C1900"/>
    <mergeCell ref="B1902:C1902"/>
    <mergeCell ref="B1904:B1905"/>
    <mergeCell ref="C1904:C1905"/>
    <mergeCell ref="D1904:D1905"/>
    <mergeCell ref="E1904:F1904"/>
    <mergeCell ref="H1900:I1900"/>
    <mergeCell ref="H1902:I1902"/>
    <mergeCell ref="H1904:H1905"/>
    <mergeCell ref="I1904:I1905"/>
    <mergeCell ref="J1904:J1905"/>
    <mergeCell ref="B1918:B1919"/>
    <mergeCell ref="C1918:C1919"/>
    <mergeCell ref="D1918:D1919"/>
    <mergeCell ref="E1918:F1918"/>
    <mergeCell ref="H1918:H1919"/>
    <mergeCell ref="I1918:I1919"/>
    <mergeCell ref="B1916:C1916"/>
    <mergeCell ref="H1916:I1916"/>
    <mergeCell ref="AH1918:AH1919"/>
    <mergeCell ref="AI1918:AJ1918"/>
    <mergeCell ref="T1918:T1919"/>
    <mergeCell ref="U1918:U1919"/>
    <mergeCell ref="V1918:V1919"/>
    <mergeCell ref="W1918:X1918"/>
    <mergeCell ref="Z1918:Z1919"/>
    <mergeCell ref="AA1918:AA1919"/>
    <mergeCell ref="J1918:J1919"/>
    <mergeCell ref="K1918:L1918"/>
    <mergeCell ref="N1918:N1919"/>
    <mergeCell ref="O1918:O1919"/>
    <mergeCell ref="P1918:P1919"/>
    <mergeCell ref="Q1918:R1918"/>
    <mergeCell ref="B1956:C1956"/>
    <mergeCell ref="B1958:C1958"/>
    <mergeCell ref="B1960:B1961"/>
    <mergeCell ref="C1960:C1961"/>
    <mergeCell ref="D1960:D1961"/>
    <mergeCell ref="E1960:F1960"/>
    <mergeCell ref="J1932:J1933"/>
    <mergeCell ref="K1932:L1932"/>
    <mergeCell ref="B1942:C1942"/>
    <mergeCell ref="B1944:C1944"/>
    <mergeCell ref="B1946:B1947"/>
    <mergeCell ref="C1946:C1947"/>
    <mergeCell ref="D1946:D1947"/>
    <mergeCell ref="E1946:F1946"/>
    <mergeCell ref="B1928:C1928"/>
    <mergeCell ref="H1928:I1928"/>
    <mergeCell ref="B1930:C1930"/>
    <mergeCell ref="H1930:I1930"/>
    <mergeCell ref="N1916:O1916"/>
    <mergeCell ref="T1916:U1916"/>
    <mergeCell ref="Z1916:AA1916"/>
    <mergeCell ref="AF1916:AG1916"/>
    <mergeCell ref="B1914:C1914"/>
    <mergeCell ref="H1914:I1914"/>
    <mergeCell ref="N1914:O1914"/>
    <mergeCell ref="T1914:U1914"/>
    <mergeCell ref="Z1914:AA1914"/>
    <mergeCell ref="AF1914:AG1914"/>
    <mergeCell ref="AB1918:AB1919"/>
    <mergeCell ref="AC1918:AD1918"/>
    <mergeCell ref="AF1918:AF1919"/>
    <mergeCell ref="AG1918:AG1919"/>
    <mergeCell ref="B1886:C1886"/>
    <mergeCell ref="B1888:C1888"/>
    <mergeCell ref="B1890:B1891"/>
    <mergeCell ref="C1890:C1891"/>
    <mergeCell ref="D1890:D1891"/>
    <mergeCell ref="E1890:F1890"/>
    <mergeCell ref="K1904:L1904"/>
    <mergeCell ref="N1900:O1900"/>
    <mergeCell ref="N1902:O1902"/>
    <mergeCell ref="N1904:N1905"/>
    <mergeCell ref="O1904:O1905"/>
    <mergeCell ref="P1904:P1905"/>
    <mergeCell ref="Q1904:R1904"/>
    <mergeCell ref="T1900:U1900"/>
    <mergeCell ref="T1902:U1902"/>
    <mergeCell ref="T1904:T1905"/>
    <mergeCell ref="U1904:U1905"/>
    <mergeCell ref="V1904:V1905"/>
    <mergeCell ref="B1872:C1872"/>
    <mergeCell ref="B1874:C1874"/>
    <mergeCell ref="B1876:B1877"/>
    <mergeCell ref="C1876:C1877"/>
    <mergeCell ref="D1876:D1877"/>
    <mergeCell ref="E1876:F1876"/>
    <mergeCell ref="B1858:C1858"/>
    <mergeCell ref="B1860:C1860"/>
    <mergeCell ref="B1862:B1863"/>
    <mergeCell ref="C1862:C1863"/>
    <mergeCell ref="D1862:D1863"/>
    <mergeCell ref="E1862:F1862"/>
    <mergeCell ref="B1844:C1844"/>
    <mergeCell ref="B1846:C1846"/>
    <mergeCell ref="B1848:B1849"/>
    <mergeCell ref="C1848:C1849"/>
    <mergeCell ref="D1848:D1849"/>
    <mergeCell ref="E1848:F1848"/>
    <mergeCell ref="B1830:C1830"/>
    <mergeCell ref="B1832:C1832"/>
    <mergeCell ref="B1834:B1835"/>
    <mergeCell ref="C1834:C1835"/>
    <mergeCell ref="D1834:D1835"/>
    <mergeCell ref="E1834:F1834"/>
    <mergeCell ref="AB1806:AB1807"/>
    <mergeCell ref="AC1806:AD1806"/>
    <mergeCell ref="B1816:C1816"/>
    <mergeCell ref="B1818:C1818"/>
    <mergeCell ref="B1820:B1821"/>
    <mergeCell ref="C1820:C1821"/>
    <mergeCell ref="D1820:D1821"/>
    <mergeCell ref="E1820:F1820"/>
    <mergeCell ref="T1806:T1807"/>
    <mergeCell ref="U1806:U1807"/>
    <mergeCell ref="V1806:V1807"/>
    <mergeCell ref="W1806:X1806"/>
    <mergeCell ref="Z1806:Z1807"/>
    <mergeCell ref="AA1806:AA1807"/>
    <mergeCell ref="J1806:J1807"/>
    <mergeCell ref="K1806:L1806"/>
    <mergeCell ref="N1806:N1807"/>
    <mergeCell ref="O1806:O1807"/>
    <mergeCell ref="P1806:P1807"/>
    <mergeCell ref="Q1806:R1806"/>
    <mergeCell ref="B1806:B1807"/>
    <mergeCell ref="C1806:C1807"/>
    <mergeCell ref="D1806:D1807"/>
    <mergeCell ref="E1806:F1806"/>
    <mergeCell ref="H1806:H1807"/>
    <mergeCell ref="I1806:I1807"/>
    <mergeCell ref="B1802:C1802"/>
    <mergeCell ref="H1802:I1802"/>
    <mergeCell ref="N1802:O1802"/>
    <mergeCell ref="T1802:U1802"/>
    <mergeCell ref="Z1802:AA1802"/>
    <mergeCell ref="B1804:C1804"/>
    <mergeCell ref="H1804:I1804"/>
    <mergeCell ref="N1804:O1804"/>
    <mergeCell ref="T1804:U1804"/>
    <mergeCell ref="Z1804:AA1804"/>
    <mergeCell ref="J1778:J1779"/>
    <mergeCell ref="K1778:L1778"/>
    <mergeCell ref="B1788:C1788"/>
    <mergeCell ref="B1790:C1790"/>
    <mergeCell ref="B1792:B1793"/>
    <mergeCell ref="C1792:C1793"/>
    <mergeCell ref="D1792:D1793"/>
    <mergeCell ref="E1792:F1792"/>
    <mergeCell ref="B1774:C1774"/>
    <mergeCell ref="H1774:I1774"/>
    <mergeCell ref="B1776:C1776"/>
    <mergeCell ref="H1776:I1776"/>
    <mergeCell ref="B1778:B1779"/>
    <mergeCell ref="C1778:C1779"/>
    <mergeCell ref="D1778:D1779"/>
    <mergeCell ref="E1778:F1778"/>
    <mergeCell ref="H1778:H1779"/>
    <mergeCell ref="I1778:I1779"/>
    <mergeCell ref="AB1750:AB1751"/>
    <mergeCell ref="AC1750:AD1750"/>
    <mergeCell ref="B1760:C1760"/>
    <mergeCell ref="B1762:C1762"/>
    <mergeCell ref="B1764:B1765"/>
    <mergeCell ref="C1764:C1765"/>
    <mergeCell ref="D1764:D1765"/>
    <mergeCell ref="E1764:F1764"/>
    <mergeCell ref="T1750:T1751"/>
    <mergeCell ref="U1750:U1751"/>
    <mergeCell ref="V1750:V1751"/>
    <mergeCell ref="W1750:X1750"/>
    <mergeCell ref="Z1750:Z1751"/>
    <mergeCell ref="AA1750:AA1751"/>
    <mergeCell ref="J1750:J1751"/>
    <mergeCell ref="K1750:L1750"/>
    <mergeCell ref="N1750:N1751"/>
    <mergeCell ref="O1750:O1751"/>
    <mergeCell ref="P1750:P1751"/>
    <mergeCell ref="Q1750:R1750"/>
    <mergeCell ref="B1750:B1751"/>
    <mergeCell ref="C1750:C1751"/>
    <mergeCell ref="D1750:D1751"/>
    <mergeCell ref="E1750:F1750"/>
    <mergeCell ref="H1750:H1751"/>
    <mergeCell ref="I1750:I1751"/>
    <mergeCell ref="B1746:C1746"/>
    <mergeCell ref="H1746:I1746"/>
    <mergeCell ref="N1746:O1746"/>
    <mergeCell ref="T1746:U1746"/>
    <mergeCell ref="Z1746:AA1746"/>
    <mergeCell ref="B1748:C1748"/>
    <mergeCell ref="H1748:I1748"/>
    <mergeCell ref="N1748:O1748"/>
    <mergeCell ref="T1748:U1748"/>
    <mergeCell ref="Z1748:AA1748"/>
    <mergeCell ref="J1736:J1737"/>
    <mergeCell ref="K1736:L1736"/>
    <mergeCell ref="N1736:N1737"/>
    <mergeCell ref="O1736:O1737"/>
    <mergeCell ref="P1736:P1737"/>
    <mergeCell ref="Q1736:R1736"/>
    <mergeCell ref="B1736:B1737"/>
    <mergeCell ref="C1736:C1737"/>
    <mergeCell ref="D1736:D1737"/>
    <mergeCell ref="E1736:F1736"/>
    <mergeCell ref="H1736:H1737"/>
    <mergeCell ref="I1736:I1737"/>
    <mergeCell ref="AB1722:AB1723"/>
    <mergeCell ref="AC1722:AD1722"/>
    <mergeCell ref="B1732:C1732"/>
    <mergeCell ref="H1732:I1732"/>
    <mergeCell ref="N1732:O1732"/>
    <mergeCell ref="B1734:C1734"/>
    <mergeCell ref="H1734:I1734"/>
    <mergeCell ref="N1734:O1734"/>
    <mergeCell ref="T1722:T1723"/>
    <mergeCell ref="U1722:U1723"/>
    <mergeCell ref="V1722:V1723"/>
    <mergeCell ref="W1722:X1722"/>
    <mergeCell ref="Z1722:Z1723"/>
    <mergeCell ref="AA1722:AA1723"/>
    <mergeCell ref="J1722:J1723"/>
    <mergeCell ref="K1722:L1722"/>
    <mergeCell ref="N1722:N1723"/>
    <mergeCell ref="O1722:O1723"/>
    <mergeCell ref="P1722:P1723"/>
    <mergeCell ref="Q1722:R1722"/>
    <mergeCell ref="B1722:B1723"/>
    <mergeCell ref="C1722:C1723"/>
    <mergeCell ref="D1722:D1723"/>
    <mergeCell ref="E1722:F1722"/>
    <mergeCell ref="H1722:H1723"/>
    <mergeCell ref="I1722:I1723"/>
    <mergeCell ref="B1718:C1718"/>
    <mergeCell ref="H1718:I1718"/>
    <mergeCell ref="N1718:O1718"/>
    <mergeCell ref="T1718:U1718"/>
    <mergeCell ref="Z1718:AA1718"/>
    <mergeCell ref="B1720:C1720"/>
    <mergeCell ref="H1720:I1720"/>
    <mergeCell ref="N1720:O1720"/>
    <mergeCell ref="T1720:U1720"/>
    <mergeCell ref="Z1720:AA1720"/>
    <mergeCell ref="J1694:J1695"/>
    <mergeCell ref="K1694:L1694"/>
    <mergeCell ref="B1704:C1704"/>
    <mergeCell ref="B1706:C1706"/>
    <mergeCell ref="B1708:B1709"/>
    <mergeCell ref="C1708:C1709"/>
    <mergeCell ref="D1708:D1709"/>
    <mergeCell ref="E1708:F1708"/>
    <mergeCell ref="B1690:C1690"/>
    <mergeCell ref="H1690:I1690"/>
    <mergeCell ref="B1692:C1692"/>
    <mergeCell ref="H1692:I1692"/>
    <mergeCell ref="B1694:B1695"/>
    <mergeCell ref="C1694:C1695"/>
    <mergeCell ref="D1694:D1695"/>
    <mergeCell ref="E1694:F1694"/>
    <mergeCell ref="H1694:H1695"/>
    <mergeCell ref="I1694:I1695"/>
    <mergeCell ref="J1666:J1667"/>
    <mergeCell ref="K1666:L1666"/>
    <mergeCell ref="B1676:C1676"/>
    <mergeCell ref="B1678:C1678"/>
    <mergeCell ref="B1680:B1681"/>
    <mergeCell ref="C1680:C1681"/>
    <mergeCell ref="D1680:D1681"/>
    <mergeCell ref="E1680:F1680"/>
    <mergeCell ref="B1664:C1664"/>
    <mergeCell ref="H1664:I1664"/>
    <mergeCell ref="B1666:B1667"/>
    <mergeCell ref="C1666:C1667"/>
    <mergeCell ref="D1666:D1667"/>
    <mergeCell ref="E1666:F1666"/>
    <mergeCell ref="H1666:H1667"/>
    <mergeCell ref="I1666:I1667"/>
    <mergeCell ref="B1652:B1653"/>
    <mergeCell ref="C1652:C1653"/>
    <mergeCell ref="D1652:D1653"/>
    <mergeCell ref="E1652:F1652"/>
    <mergeCell ref="B1662:C1662"/>
    <mergeCell ref="H1662:I1662"/>
    <mergeCell ref="B1638:B1639"/>
    <mergeCell ref="C1638:C1639"/>
    <mergeCell ref="D1638:D1639"/>
    <mergeCell ref="E1638:F1638"/>
    <mergeCell ref="B1648:C1648"/>
    <mergeCell ref="B1650:C1650"/>
    <mergeCell ref="AL1624:AL1625"/>
    <mergeCell ref="AM1624:AM1625"/>
    <mergeCell ref="AN1624:AN1625"/>
    <mergeCell ref="AO1624:AP1624"/>
    <mergeCell ref="B1634:C1634"/>
    <mergeCell ref="B1636:C1636"/>
    <mergeCell ref="AB1624:AB1625"/>
    <mergeCell ref="AC1624:AD1624"/>
    <mergeCell ref="AF1624:AF1625"/>
    <mergeCell ref="AG1624:AG1625"/>
    <mergeCell ref="AH1624:AH1625"/>
    <mergeCell ref="AI1624:AJ1624"/>
    <mergeCell ref="T1624:T1625"/>
    <mergeCell ref="U1624:U1625"/>
    <mergeCell ref="V1624:V1625"/>
    <mergeCell ref="W1624:X1624"/>
    <mergeCell ref="Z1624:Z1625"/>
    <mergeCell ref="AA1624:AA1625"/>
    <mergeCell ref="J1624:J1625"/>
    <mergeCell ref="K1624:L1624"/>
    <mergeCell ref="N1624:N1625"/>
    <mergeCell ref="O1624:O1625"/>
    <mergeCell ref="P1624:P1625"/>
    <mergeCell ref="Q1624:R1624"/>
    <mergeCell ref="B1624:B1625"/>
    <mergeCell ref="C1624:C1625"/>
    <mergeCell ref="D1624:D1625"/>
    <mergeCell ref="E1624:F1624"/>
    <mergeCell ref="H1624:H1625"/>
    <mergeCell ref="I1624:I1625"/>
    <mergeCell ref="Z1620:AA1620"/>
    <mergeCell ref="AF1620:AG1620"/>
    <mergeCell ref="AL1620:AM1620"/>
    <mergeCell ref="B1622:C1622"/>
    <mergeCell ref="H1622:I1622"/>
    <mergeCell ref="N1622:O1622"/>
    <mergeCell ref="T1622:U1622"/>
    <mergeCell ref="Z1622:AA1622"/>
    <mergeCell ref="AF1622:AG1622"/>
    <mergeCell ref="AL1622:AM1622"/>
    <mergeCell ref="J1610:J1611"/>
    <mergeCell ref="K1610:L1610"/>
    <mergeCell ref="B1620:C1620"/>
    <mergeCell ref="H1620:I1620"/>
    <mergeCell ref="N1620:O1620"/>
    <mergeCell ref="T1620:U1620"/>
    <mergeCell ref="B1610:B1611"/>
    <mergeCell ref="C1610:C1611"/>
    <mergeCell ref="D1610:D1611"/>
    <mergeCell ref="E1610:F1610"/>
    <mergeCell ref="H1610:H1611"/>
    <mergeCell ref="I1610:I1611"/>
    <mergeCell ref="J1596:J1597"/>
    <mergeCell ref="K1596:L1596"/>
    <mergeCell ref="B1606:C1606"/>
    <mergeCell ref="H1606:I1606"/>
    <mergeCell ref="B1608:C1608"/>
    <mergeCell ref="H1608:I1608"/>
    <mergeCell ref="B1596:B1597"/>
    <mergeCell ref="C1596:C1597"/>
    <mergeCell ref="D1596:D1597"/>
    <mergeCell ref="E1596:F1596"/>
    <mergeCell ref="H1596:H1597"/>
    <mergeCell ref="I1596:I1597"/>
    <mergeCell ref="AA1582:AA1583"/>
    <mergeCell ref="AB1582:AB1583"/>
    <mergeCell ref="AC1582:AD1582"/>
    <mergeCell ref="B1592:C1592"/>
    <mergeCell ref="H1592:I1592"/>
    <mergeCell ref="B1594:C1594"/>
    <mergeCell ref="H1594:I1594"/>
    <mergeCell ref="Q1582:R1582"/>
    <mergeCell ref="T1582:T1583"/>
    <mergeCell ref="U1582:U1583"/>
    <mergeCell ref="V1582:V1583"/>
    <mergeCell ref="W1582:X1582"/>
    <mergeCell ref="Z1582:Z1583"/>
    <mergeCell ref="I1582:I1583"/>
    <mergeCell ref="J1582:J1583"/>
    <mergeCell ref="K1582:L1582"/>
    <mergeCell ref="N1582:N1583"/>
    <mergeCell ref="O1582:O1583"/>
    <mergeCell ref="P1582:P1583"/>
    <mergeCell ref="B1580:C1580"/>
    <mergeCell ref="H1580:I1580"/>
    <mergeCell ref="N1580:O1580"/>
    <mergeCell ref="T1580:U1580"/>
    <mergeCell ref="Z1580:AA1580"/>
    <mergeCell ref="B1582:B1583"/>
    <mergeCell ref="C1582:C1583"/>
    <mergeCell ref="D1582:D1583"/>
    <mergeCell ref="E1582:F1582"/>
    <mergeCell ref="H1582:H1583"/>
    <mergeCell ref="AB1568:AB1569"/>
    <mergeCell ref="AC1568:AD1568"/>
    <mergeCell ref="B1578:C1578"/>
    <mergeCell ref="H1578:I1578"/>
    <mergeCell ref="N1578:O1578"/>
    <mergeCell ref="T1578:U1578"/>
    <mergeCell ref="Z1578:AA1578"/>
    <mergeCell ref="T1568:T1569"/>
    <mergeCell ref="U1568:U1569"/>
    <mergeCell ref="V1568:V1569"/>
    <mergeCell ref="W1568:X1568"/>
    <mergeCell ref="Z1568:Z1569"/>
    <mergeCell ref="AA1568:AA1569"/>
    <mergeCell ref="J1568:J1569"/>
    <mergeCell ref="K1568:L1568"/>
    <mergeCell ref="N1568:N1569"/>
    <mergeCell ref="O1568:O1569"/>
    <mergeCell ref="P1568:P1569"/>
    <mergeCell ref="Q1568:R1568"/>
    <mergeCell ref="B1568:B1569"/>
    <mergeCell ref="C1568:C1569"/>
    <mergeCell ref="D1568:D1569"/>
    <mergeCell ref="E1568:F1568"/>
    <mergeCell ref="H1568:H1569"/>
    <mergeCell ref="I1568:I1569"/>
    <mergeCell ref="B1564:C1564"/>
    <mergeCell ref="H1564:I1564"/>
    <mergeCell ref="N1564:O1564"/>
    <mergeCell ref="T1564:U1564"/>
    <mergeCell ref="Z1564:AA1564"/>
    <mergeCell ref="B1566:C1566"/>
    <mergeCell ref="H1566:I1566"/>
    <mergeCell ref="N1566:O1566"/>
    <mergeCell ref="T1566:U1566"/>
    <mergeCell ref="Z1566:AA1566"/>
    <mergeCell ref="B1550:C1550"/>
    <mergeCell ref="B1552:C1552"/>
    <mergeCell ref="B1554:B1555"/>
    <mergeCell ref="C1554:C1555"/>
    <mergeCell ref="D1554:D1555"/>
    <mergeCell ref="E1554:F1554"/>
    <mergeCell ref="B1536:C1536"/>
    <mergeCell ref="B1538:C1538"/>
    <mergeCell ref="B1540:B1541"/>
    <mergeCell ref="C1540:C1541"/>
    <mergeCell ref="D1540:D1541"/>
    <mergeCell ref="E1540:F1540"/>
    <mergeCell ref="AB1512:AB1513"/>
    <mergeCell ref="AC1512:AD1512"/>
    <mergeCell ref="B1522:C1522"/>
    <mergeCell ref="B1524:C1524"/>
    <mergeCell ref="B1526:B1527"/>
    <mergeCell ref="C1526:C1527"/>
    <mergeCell ref="D1526:D1527"/>
    <mergeCell ref="E1526:F1526"/>
    <mergeCell ref="T1512:T1513"/>
    <mergeCell ref="U1512:U1513"/>
    <mergeCell ref="V1512:V1513"/>
    <mergeCell ref="W1512:X1512"/>
    <mergeCell ref="Z1512:Z1513"/>
    <mergeCell ref="AA1512:AA1513"/>
    <mergeCell ref="J1512:J1513"/>
    <mergeCell ref="K1512:L1512"/>
    <mergeCell ref="N1512:N1513"/>
    <mergeCell ref="O1512:O1513"/>
    <mergeCell ref="P1512:P1513"/>
    <mergeCell ref="Q1512:R1512"/>
    <mergeCell ref="B1512:B1513"/>
    <mergeCell ref="C1512:C1513"/>
    <mergeCell ref="D1512:D1513"/>
    <mergeCell ref="E1512:F1512"/>
    <mergeCell ref="H1512:H1513"/>
    <mergeCell ref="I1512:I1513"/>
    <mergeCell ref="B1508:C1508"/>
    <mergeCell ref="H1508:I1508"/>
    <mergeCell ref="N1508:O1508"/>
    <mergeCell ref="T1508:U1508"/>
    <mergeCell ref="Z1508:AA1508"/>
    <mergeCell ref="B1510:C1510"/>
    <mergeCell ref="H1510:I1510"/>
    <mergeCell ref="N1510:O1510"/>
    <mergeCell ref="T1510:U1510"/>
    <mergeCell ref="Z1510:AA1510"/>
    <mergeCell ref="B1494:C1494"/>
    <mergeCell ref="B1496:C1496"/>
    <mergeCell ref="B1498:B1499"/>
    <mergeCell ref="C1498:C1499"/>
    <mergeCell ref="D1498:D1499"/>
    <mergeCell ref="E1498:F1498"/>
    <mergeCell ref="B1480:C1480"/>
    <mergeCell ref="B1482:C1482"/>
    <mergeCell ref="B1484:B1485"/>
    <mergeCell ref="C1484:C1485"/>
    <mergeCell ref="D1484:D1485"/>
    <mergeCell ref="E1484:F1484"/>
    <mergeCell ref="B1466:C1466"/>
    <mergeCell ref="B1468:C1468"/>
    <mergeCell ref="B1470:B1471"/>
    <mergeCell ref="C1470:C1471"/>
    <mergeCell ref="D1470:D1471"/>
    <mergeCell ref="E1470:F1470"/>
    <mergeCell ref="AN1442:AN1443"/>
    <mergeCell ref="AO1442:AP1442"/>
    <mergeCell ref="B1452:C1452"/>
    <mergeCell ref="B1454:C1454"/>
    <mergeCell ref="B1456:B1457"/>
    <mergeCell ref="C1456:C1457"/>
    <mergeCell ref="D1456:D1457"/>
    <mergeCell ref="E1456:F1456"/>
    <mergeCell ref="AF1442:AF1443"/>
    <mergeCell ref="AG1442:AG1443"/>
    <mergeCell ref="AH1442:AH1443"/>
    <mergeCell ref="AI1442:AJ1442"/>
    <mergeCell ref="AL1442:AL1443"/>
    <mergeCell ref="AM1442:AM1443"/>
    <mergeCell ref="V1442:V1443"/>
    <mergeCell ref="W1442:X1442"/>
    <mergeCell ref="Z1442:Z1443"/>
    <mergeCell ref="AA1442:AA1443"/>
    <mergeCell ref="AB1442:AB1443"/>
    <mergeCell ref="AC1442:AD1442"/>
    <mergeCell ref="N1442:N1443"/>
    <mergeCell ref="O1442:O1443"/>
    <mergeCell ref="P1442:P1443"/>
    <mergeCell ref="Q1442:R1442"/>
    <mergeCell ref="T1442:T1443"/>
    <mergeCell ref="U1442:U1443"/>
    <mergeCell ref="AF1440:AG1440"/>
    <mergeCell ref="AL1440:AM1440"/>
    <mergeCell ref="B1442:B1443"/>
    <mergeCell ref="C1442:C1443"/>
    <mergeCell ref="D1442:D1443"/>
    <mergeCell ref="E1442:F1442"/>
    <mergeCell ref="H1442:H1443"/>
    <mergeCell ref="I1442:I1443"/>
    <mergeCell ref="J1442:J1443"/>
    <mergeCell ref="K1442:L1442"/>
    <mergeCell ref="N1438:O1438"/>
    <mergeCell ref="T1438:U1438"/>
    <mergeCell ref="Z1438:AA1438"/>
    <mergeCell ref="AF1438:AG1438"/>
    <mergeCell ref="AL1438:AM1438"/>
    <mergeCell ref="B1440:C1440"/>
    <mergeCell ref="H1440:I1440"/>
    <mergeCell ref="N1440:O1440"/>
    <mergeCell ref="T1440:U1440"/>
    <mergeCell ref="Z1440:AA1440"/>
    <mergeCell ref="B1428:B1429"/>
    <mergeCell ref="C1428:C1429"/>
    <mergeCell ref="D1428:D1429"/>
    <mergeCell ref="E1428:F1428"/>
    <mergeCell ref="B1438:C1438"/>
    <mergeCell ref="H1438:I1438"/>
    <mergeCell ref="T1414:T1415"/>
    <mergeCell ref="U1414:U1415"/>
    <mergeCell ref="V1414:V1415"/>
    <mergeCell ref="W1414:X1414"/>
    <mergeCell ref="B1424:C1424"/>
    <mergeCell ref="B1426:C1426"/>
    <mergeCell ref="J1414:J1415"/>
    <mergeCell ref="K1414:L1414"/>
    <mergeCell ref="N1414:N1415"/>
    <mergeCell ref="O1414:O1415"/>
    <mergeCell ref="P1414:P1415"/>
    <mergeCell ref="Q1414:R1414"/>
    <mergeCell ref="B1412:C1412"/>
    <mergeCell ref="H1412:I1412"/>
    <mergeCell ref="N1412:O1412"/>
    <mergeCell ref="T1412:U1412"/>
    <mergeCell ref="B1414:B1415"/>
    <mergeCell ref="C1414:C1415"/>
    <mergeCell ref="D1414:D1415"/>
    <mergeCell ref="E1414:F1414"/>
    <mergeCell ref="H1414:H1415"/>
    <mergeCell ref="I1414:I1415"/>
    <mergeCell ref="AB1400:AB1401"/>
    <mergeCell ref="AC1400:AD1400"/>
    <mergeCell ref="B1410:C1410"/>
    <mergeCell ref="H1410:I1410"/>
    <mergeCell ref="N1410:O1410"/>
    <mergeCell ref="T1410:U1410"/>
    <mergeCell ref="T1400:T1401"/>
    <mergeCell ref="U1400:U1401"/>
    <mergeCell ref="V1400:V1401"/>
    <mergeCell ref="W1400:X1400"/>
    <mergeCell ref="Z1400:Z1401"/>
    <mergeCell ref="AA1400:AA1401"/>
    <mergeCell ref="J1400:J1401"/>
    <mergeCell ref="K1400:L1400"/>
    <mergeCell ref="N1400:N1401"/>
    <mergeCell ref="O1400:O1401"/>
    <mergeCell ref="P1400:P1401"/>
    <mergeCell ref="Q1400:R1400"/>
    <mergeCell ref="B1400:B1401"/>
    <mergeCell ref="C1400:C1401"/>
    <mergeCell ref="D1400:D1401"/>
    <mergeCell ref="E1400:F1400"/>
    <mergeCell ref="H1400:H1401"/>
    <mergeCell ref="I1400:I1401"/>
    <mergeCell ref="B1396:C1396"/>
    <mergeCell ref="H1396:I1396"/>
    <mergeCell ref="N1396:O1396"/>
    <mergeCell ref="T1396:U1396"/>
    <mergeCell ref="Z1396:AA1396"/>
    <mergeCell ref="B1398:C1398"/>
    <mergeCell ref="H1398:I1398"/>
    <mergeCell ref="N1398:O1398"/>
    <mergeCell ref="T1398:U1398"/>
    <mergeCell ref="Z1398:AA1398"/>
    <mergeCell ref="J1372:J1373"/>
    <mergeCell ref="K1372:L1372"/>
    <mergeCell ref="B1382:C1382"/>
    <mergeCell ref="B1384:C1384"/>
    <mergeCell ref="B1386:B1387"/>
    <mergeCell ref="C1386:C1387"/>
    <mergeCell ref="D1386:D1387"/>
    <mergeCell ref="E1386:F1386"/>
    <mergeCell ref="B1368:C1368"/>
    <mergeCell ref="H1368:I1368"/>
    <mergeCell ref="B1370:C1370"/>
    <mergeCell ref="H1370:I1370"/>
    <mergeCell ref="B1372:B1373"/>
    <mergeCell ref="C1372:C1373"/>
    <mergeCell ref="D1372:D1373"/>
    <mergeCell ref="E1372:F1372"/>
    <mergeCell ref="H1372:H1373"/>
    <mergeCell ref="I1372:I1373"/>
    <mergeCell ref="J1344:J1345"/>
    <mergeCell ref="K1344:L1344"/>
    <mergeCell ref="B1354:C1354"/>
    <mergeCell ref="B1356:C1356"/>
    <mergeCell ref="B1358:B1359"/>
    <mergeCell ref="C1358:C1359"/>
    <mergeCell ref="D1358:D1359"/>
    <mergeCell ref="E1358:F1358"/>
    <mergeCell ref="B1344:B1345"/>
    <mergeCell ref="C1344:C1345"/>
    <mergeCell ref="D1344:D1345"/>
    <mergeCell ref="E1344:F1344"/>
    <mergeCell ref="H1344:H1345"/>
    <mergeCell ref="I1344:I1345"/>
    <mergeCell ref="J1330:J1331"/>
    <mergeCell ref="K1330:L1330"/>
    <mergeCell ref="B1340:C1340"/>
    <mergeCell ref="H1340:I1340"/>
    <mergeCell ref="B1342:C1342"/>
    <mergeCell ref="H1342:I1342"/>
    <mergeCell ref="B1330:B1331"/>
    <mergeCell ref="C1330:C1331"/>
    <mergeCell ref="D1330:D1331"/>
    <mergeCell ref="E1330:F1330"/>
    <mergeCell ref="H1330:H1331"/>
    <mergeCell ref="I1330:I1331"/>
    <mergeCell ref="J1316:J1317"/>
    <mergeCell ref="K1316:L1316"/>
    <mergeCell ref="B1326:C1326"/>
    <mergeCell ref="H1326:I1326"/>
    <mergeCell ref="B1328:C1328"/>
    <mergeCell ref="H1328:I1328"/>
    <mergeCell ref="H1312:I1312"/>
    <mergeCell ref="B1314:C1314"/>
    <mergeCell ref="H1314:I1314"/>
    <mergeCell ref="B1316:B1317"/>
    <mergeCell ref="C1316:C1317"/>
    <mergeCell ref="D1316:D1317"/>
    <mergeCell ref="E1316:F1316"/>
    <mergeCell ref="H1316:H1317"/>
    <mergeCell ref="I1316:I1317"/>
    <mergeCell ref="B1300:C1300"/>
    <mergeCell ref="B1302:B1303"/>
    <mergeCell ref="C1302:C1303"/>
    <mergeCell ref="D1302:D1303"/>
    <mergeCell ref="E1302:F1302"/>
    <mergeCell ref="B1312:C1312"/>
    <mergeCell ref="B1286:C1286"/>
    <mergeCell ref="B1288:B1289"/>
    <mergeCell ref="C1288:C1289"/>
    <mergeCell ref="D1288:D1289"/>
    <mergeCell ref="E1288:F1288"/>
    <mergeCell ref="B1298:C1298"/>
    <mergeCell ref="B1272:C1272"/>
    <mergeCell ref="B1274:B1275"/>
    <mergeCell ref="C1274:C1275"/>
    <mergeCell ref="D1274:D1275"/>
    <mergeCell ref="E1274:F1274"/>
    <mergeCell ref="B1284:C1284"/>
    <mergeCell ref="Q1260:R1260"/>
    <mergeCell ref="T1260:T1261"/>
    <mergeCell ref="U1260:U1261"/>
    <mergeCell ref="V1260:V1261"/>
    <mergeCell ref="W1260:X1260"/>
    <mergeCell ref="B1270:C1270"/>
    <mergeCell ref="I1260:I1261"/>
    <mergeCell ref="J1260:J1261"/>
    <mergeCell ref="K1260:L1260"/>
    <mergeCell ref="N1260:N1261"/>
    <mergeCell ref="O1260:O1261"/>
    <mergeCell ref="P1260:P1261"/>
    <mergeCell ref="T1256:U1256"/>
    <mergeCell ref="B1258:C1258"/>
    <mergeCell ref="H1258:I1258"/>
    <mergeCell ref="N1258:O1258"/>
    <mergeCell ref="T1258:U1258"/>
    <mergeCell ref="B1260:B1261"/>
    <mergeCell ref="C1260:C1261"/>
    <mergeCell ref="D1260:D1261"/>
    <mergeCell ref="E1260:F1260"/>
    <mergeCell ref="H1260:H1261"/>
    <mergeCell ref="K1246:L1246"/>
    <mergeCell ref="N1246:N1247"/>
    <mergeCell ref="O1246:O1247"/>
    <mergeCell ref="P1246:P1247"/>
    <mergeCell ref="Q1246:R1246"/>
    <mergeCell ref="B1256:C1256"/>
    <mergeCell ref="H1256:I1256"/>
    <mergeCell ref="N1256:O1256"/>
    <mergeCell ref="B1244:C1244"/>
    <mergeCell ref="H1244:I1244"/>
    <mergeCell ref="N1244:O1244"/>
    <mergeCell ref="B1246:B1247"/>
    <mergeCell ref="C1246:C1247"/>
    <mergeCell ref="D1246:D1247"/>
    <mergeCell ref="E1246:F1246"/>
    <mergeCell ref="H1246:H1247"/>
    <mergeCell ref="I1246:I1247"/>
    <mergeCell ref="J1246:J1247"/>
    <mergeCell ref="AL1232:AL1233"/>
    <mergeCell ref="AM1232:AM1233"/>
    <mergeCell ref="AN1232:AN1233"/>
    <mergeCell ref="AO1232:AP1232"/>
    <mergeCell ref="B1242:C1242"/>
    <mergeCell ref="H1242:I1242"/>
    <mergeCell ref="N1242:O1242"/>
    <mergeCell ref="AB1232:AB1233"/>
    <mergeCell ref="AC1232:AD1232"/>
    <mergeCell ref="AF1232:AF1233"/>
    <mergeCell ref="AG1232:AG1233"/>
    <mergeCell ref="AH1232:AH1233"/>
    <mergeCell ref="AI1232:AJ1232"/>
    <mergeCell ref="T1232:T1233"/>
    <mergeCell ref="U1232:U1233"/>
    <mergeCell ref="V1232:V1233"/>
    <mergeCell ref="W1232:X1232"/>
    <mergeCell ref="Z1232:Z1233"/>
    <mergeCell ref="AA1232:AA1233"/>
    <mergeCell ref="J1232:J1233"/>
    <mergeCell ref="K1232:L1232"/>
    <mergeCell ref="N1232:N1233"/>
    <mergeCell ref="O1232:O1233"/>
    <mergeCell ref="P1232:P1233"/>
    <mergeCell ref="Q1232:R1232"/>
    <mergeCell ref="B1232:B1233"/>
    <mergeCell ref="C1232:C1233"/>
    <mergeCell ref="D1232:D1233"/>
    <mergeCell ref="E1232:F1232"/>
    <mergeCell ref="H1232:H1233"/>
    <mergeCell ref="I1232:I1233"/>
    <mergeCell ref="AF1228:AG1228"/>
    <mergeCell ref="AL1228:AM1228"/>
    <mergeCell ref="B1230:C1230"/>
    <mergeCell ref="H1230:I1230"/>
    <mergeCell ref="N1230:O1230"/>
    <mergeCell ref="T1230:U1230"/>
    <mergeCell ref="Z1230:AA1230"/>
    <mergeCell ref="AF1230:AG1230"/>
    <mergeCell ref="AL1230:AM1230"/>
    <mergeCell ref="AB1218:AB1219"/>
    <mergeCell ref="AC1218:AD1218"/>
    <mergeCell ref="B1228:C1228"/>
    <mergeCell ref="H1228:I1228"/>
    <mergeCell ref="N1228:O1228"/>
    <mergeCell ref="T1228:U1228"/>
    <mergeCell ref="Z1228:AA1228"/>
    <mergeCell ref="T1218:T1219"/>
    <mergeCell ref="U1218:U1219"/>
    <mergeCell ref="V1218:V1219"/>
    <mergeCell ref="W1218:X1218"/>
    <mergeCell ref="Z1218:Z1219"/>
    <mergeCell ref="AA1218:AA1219"/>
    <mergeCell ref="J1218:J1219"/>
    <mergeCell ref="K1218:L1218"/>
    <mergeCell ref="N1218:N1219"/>
    <mergeCell ref="O1218:O1219"/>
    <mergeCell ref="P1218:P1219"/>
    <mergeCell ref="Q1218:R1218"/>
    <mergeCell ref="B1218:B1219"/>
    <mergeCell ref="C1218:C1219"/>
    <mergeCell ref="D1218:D1219"/>
    <mergeCell ref="E1218:F1218"/>
    <mergeCell ref="H1218:H1219"/>
    <mergeCell ref="I1218:I1219"/>
    <mergeCell ref="Z1214:AA1214"/>
    <mergeCell ref="B1216:C1216"/>
    <mergeCell ref="H1216:I1216"/>
    <mergeCell ref="N1216:O1216"/>
    <mergeCell ref="T1216:U1216"/>
    <mergeCell ref="Z1216:AA1216"/>
    <mergeCell ref="J1204:J1205"/>
    <mergeCell ref="K1204:L1204"/>
    <mergeCell ref="B1214:C1214"/>
    <mergeCell ref="H1214:I1214"/>
    <mergeCell ref="N1214:O1214"/>
    <mergeCell ref="T1214:U1214"/>
    <mergeCell ref="H1200:I1200"/>
    <mergeCell ref="B1202:C1202"/>
    <mergeCell ref="H1202:I1202"/>
    <mergeCell ref="B1204:B1205"/>
    <mergeCell ref="C1204:C1205"/>
    <mergeCell ref="D1204:D1205"/>
    <mergeCell ref="E1204:F1204"/>
    <mergeCell ref="H1204:H1205"/>
    <mergeCell ref="I1204:I1205"/>
    <mergeCell ref="B1188:C1188"/>
    <mergeCell ref="B1190:B1191"/>
    <mergeCell ref="C1190:C1191"/>
    <mergeCell ref="D1190:D1191"/>
    <mergeCell ref="E1190:F1190"/>
    <mergeCell ref="B1200:C1200"/>
    <mergeCell ref="K1176:L1176"/>
    <mergeCell ref="N1176:N1177"/>
    <mergeCell ref="O1176:O1177"/>
    <mergeCell ref="P1176:P1177"/>
    <mergeCell ref="Q1176:R1176"/>
    <mergeCell ref="B1186:C1186"/>
    <mergeCell ref="B1174:C1174"/>
    <mergeCell ref="H1174:I1174"/>
    <mergeCell ref="N1174:O1174"/>
    <mergeCell ref="B1176:B1177"/>
    <mergeCell ref="C1176:C1177"/>
    <mergeCell ref="D1176:D1177"/>
    <mergeCell ref="E1176:F1176"/>
    <mergeCell ref="H1176:H1177"/>
    <mergeCell ref="I1176:I1177"/>
    <mergeCell ref="J1176:J1177"/>
    <mergeCell ref="T1162:T1163"/>
    <mergeCell ref="U1162:U1163"/>
    <mergeCell ref="V1162:V1163"/>
    <mergeCell ref="W1162:X1162"/>
    <mergeCell ref="B1172:C1172"/>
    <mergeCell ref="H1172:I1172"/>
    <mergeCell ref="N1172:O1172"/>
    <mergeCell ref="J1162:J1163"/>
    <mergeCell ref="K1162:L1162"/>
    <mergeCell ref="N1162:N1163"/>
    <mergeCell ref="O1162:O1163"/>
    <mergeCell ref="P1162:P1163"/>
    <mergeCell ref="Q1162:R1162"/>
    <mergeCell ref="B1162:B1163"/>
    <mergeCell ref="C1162:C1163"/>
    <mergeCell ref="D1162:D1163"/>
    <mergeCell ref="E1162:F1162"/>
    <mergeCell ref="H1162:H1163"/>
    <mergeCell ref="I1162:I1163"/>
    <mergeCell ref="B1158:C1158"/>
    <mergeCell ref="H1158:I1158"/>
    <mergeCell ref="N1158:O1158"/>
    <mergeCell ref="T1158:U1158"/>
    <mergeCell ref="B1160:C1160"/>
    <mergeCell ref="H1160:I1160"/>
    <mergeCell ref="N1160:O1160"/>
    <mergeCell ref="T1160:U1160"/>
    <mergeCell ref="J1134:J1135"/>
    <mergeCell ref="K1134:L1134"/>
    <mergeCell ref="B1144:C1144"/>
    <mergeCell ref="B1146:C1146"/>
    <mergeCell ref="B1148:B1149"/>
    <mergeCell ref="C1148:C1149"/>
    <mergeCell ref="D1148:D1149"/>
    <mergeCell ref="E1148:F1148"/>
    <mergeCell ref="B1130:C1130"/>
    <mergeCell ref="H1130:I1130"/>
    <mergeCell ref="B1132:C1132"/>
    <mergeCell ref="H1132:I1132"/>
    <mergeCell ref="B1134:B1135"/>
    <mergeCell ref="C1134:C1135"/>
    <mergeCell ref="D1134:D1135"/>
    <mergeCell ref="E1134:F1134"/>
    <mergeCell ref="H1134:H1135"/>
    <mergeCell ref="I1134:I1135"/>
    <mergeCell ref="J1106:J1107"/>
    <mergeCell ref="K1106:L1106"/>
    <mergeCell ref="B1116:C1116"/>
    <mergeCell ref="B1118:C1118"/>
    <mergeCell ref="B1120:B1121"/>
    <mergeCell ref="C1120:C1121"/>
    <mergeCell ref="D1120:D1121"/>
    <mergeCell ref="E1120:F1120"/>
    <mergeCell ref="B1106:B1107"/>
    <mergeCell ref="C1106:C1107"/>
    <mergeCell ref="D1106:D1107"/>
    <mergeCell ref="E1106:F1106"/>
    <mergeCell ref="H1106:H1107"/>
    <mergeCell ref="I1106:I1107"/>
    <mergeCell ref="J1092:J1093"/>
    <mergeCell ref="K1092:L1092"/>
    <mergeCell ref="B1102:C1102"/>
    <mergeCell ref="H1102:I1102"/>
    <mergeCell ref="B1104:C1104"/>
    <mergeCell ref="H1104:I1104"/>
    <mergeCell ref="B1088:C1088"/>
    <mergeCell ref="H1088:I1088"/>
    <mergeCell ref="B1090:C1090"/>
    <mergeCell ref="H1090:I1090"/>
    <mergeCell ref="B1092:B1093"/>
    <mergeCell ref="C1092:C1093"/>
    <mergeCell ref="D1092:D1093"/>
    <mergeCell ref="E1092:F1092"/>
    <mergeCell ref="H1092:H1093"/>
    <mergeCell ref="I1092:I1093"/>
    <mergeCell ref="J1078:J1079"/>
    <mergeCell ref="K1078:L1078"/>
    <mergeCell ref="N1078:N1079"/>
    <mergeCell ref="O1078:O1079"/>
    <mergeCell ref="P1078:P1079"/>
    <mergeCell ref="Q1078:R1078"/>
    <mergeCell ref="B1078:B1079"/>
    <mergeCell ref="C1078:C1079"/>
    <mergeCell ref="D1078:D1079"/>
    <mergeCell ref="E1078:F1078"/>
    <mergeCell ref="H1078:H1079"/>
    <mergeCell ref="I1078:I1079"/>
    <mergeCell ref="B1074:C1074"/>
    <mergeCell ref="H1074:I1074"/>
    <mergeCell ref="N1074:O1074"/>
    <mergeCell ref="B1076:C1076"/>
    <mergeCell ref="H1076:I1076"/>
    <mergeCell ref="N1076:O1076"/>
    <mergeCell ref="B1060:C1060"/>
    <mergeCell ref="B1062:C1062"/>
    <mergeCell ref="B1064:B1065"/>
    <mergeCell ref="C1064:C1065"/>
    <mergeCell ref="D1064:D1065"/>
    <mergeCell ref="E1064:F1064"/>
    <mergeCell ref="B1046:C1046"/>
    <mergeCell ref="B1048:C1048"/>
    <mergeCell ref="B1050:B1051"/>
    <mergeCell ref="C1050:C1051"/>
    <mergeCell ref="D1050:D1051"/>
    <mergeCell ref="E1050:F1050"/>
    <mergeCell ref="J1036:J1037"/>
    <mergeCell ref="K1036:L1036"/>
    <mergeCell ref="N1036:N1037"/>
    <mergeCell ref="O1036:O1037"/>
    <mergeCell ref="P1036:P1037"/>
    <mergeCell ref="Q1036:R1036"/>
    <mergeCell ref="B1036:B1037"/>
    <mergeCell ref="C1036:C1037"/>
    <mergeCell ref="D1036:D1037"/>
    <mergeCell ref="E1036:F1036"/>
    <mergeCell ref="H1036:H1037"/>
    <mergeCell ref="I1036:I1037"/>
    <mergeCell ref="J1022:J1023"/>
    <mergeCell ref="K1022:L1022"/>
    <mergeCell ref="B1032:C1032"/>
    <mergeCell ref="H1032:I1032"/>
    <mergeCell ref="N1032:O1032"/>
    <mergeCell ref="B1034:C1034"/>
    <mergeCell ref="H1034:I1034"/>
    <mergeCell ref="N1034:O1034"/>
    <mergeCell ref="B1020:C1020"/>
    <mergeCell ref="H1020:I1020"/>
    <mergeCell ref="B1022:B1023"/>
    <mergeCell ref="C1022:C1023"/>
    <mergeCell ref="D1022:D1023"/>
    <mergeCell ref="E1022:F1022"/>
    <mergeCell ref="H1022:H1023"/>
    <mergeCell ref="I1022:I1023"/>
    <mergeCell ref="K1008:L1008"/>
    <mergeCell ref="N1008:N1009"/>
    <mergeCell ref="O1008:O1009"/>
    <mergeCell ref="P1008:P1009"/>
    <mergeCell ref="Q1008:R1008"/>
    <mergeCell ref="B1018:C1018"/>
    <mergeCell ref="H1018:I1018"/>
    <mergeCell ref="B1006:C1006"/>
    <mergeCell ref="H1006:I1006"/>
    <mergeCell ref="N1006:O1006"/>
    <mergeCell ref="B1008:B1009"/>
    <mergeCell ref="C1008:C1009"/>
    <mergeCell ref="D1008:D1009"/>
    <mergeCell ref="E1008:F1008"/>
    <mergeCell ref="H1008:H1009"/>
    <mergeCell ref="I1008:I1009"/>
    <mergeCell ref="J1008:J1009"/>
    <mergeCell ref="T994:T995"/>
    <mergeCell ref="U994:U995"/>
    <mergeCell ref="V994:V995"/>
    <mergeCell ref="W994:X994"/>
    <mergeCell ref="B1004:C1004"/>
    <mergeCell ref="H1004:I1004"/>
    <mergeCell ref="N1004:O1004"/>
    <mergeCell ref="J994:J995"/>
    <mergeCell ref="K994:L994"/>
    <mergeCell ref="N994:N995"/>
    <mergeCell ref="O994:O995"/>
    <mergeCell ref="P994:P995"/>
    <mergeCell ref="Q994:R994"/>
    <mergeCell ref="B992:C992"/>
    <mergeCell ref="H992:I992"/>
    <mergeCell ref="N992:O992"/>
    <mergeCell ref="T992:U992"/>
    <mergeCell ref="B994:B995"/>
    <mergeCell ref="C994:C995"/>
    <mergeCell ref="D994:D995"/>
    <mergeCell ref="E994:F994"/>
    <mergeCell ref="H994:H995"/>
    <mergeCell ref="I994:I995"/>
    <mergeCell ref="AB980:AB981"/>
    <mergeCell ref="AC980:AD980"/>
    <mergeCell ref="B990:C990"/>
    <mergeCell ref="H990:I990"/>
    <mergeCell ref="N990:O990"/>
    <mergeCell ref="T990:U990"/>
    <mergeCell ref="T980:T981"/>
    <mergeCell ref="U980:U981"/>
    <mergeCell ref="V980:V981"/>
    <mergeCell ref="W980:X980"/>
    <mergeCell ref="Z980:Z981"/>
    <mergeCell ref="AA980:AA981"/>
    <mergeCell ref="J980:J981"/>
    <mergeCell ref="K980:L980"/>
    <mergeCell ref="N980:N981"/>
    <mergeCell ref="O980:O981"/>
    <mergeCell ref="P980:P981"/>
    <mergeCell ref="Q980:R980"/>
    <mergeCell ref="B980:B981"/>
    <mergeCell ref="C980:C981"/>
    <mergeCell ref="D980:D981"/>
    <mergeCell ref="E980:F980"/>
    <mergeCell ref="H980:H981"/>
    <mergeCell ref="I980:I981"/>
    <mergeCell ref="B976:C976"/>
    <mergeCell ref="H976:I976"/>
    <mergeCell ref="N976:O976"/>
    <mergeCell ref="T976:U976"/>
    <mergeCell ref="Z976:AA976"/>
    <mergeCell ref="B978:C978"/>
    <mergeCell ref="H978:I978"/>
    <mergeCell ref="N978:O978"/>
    <mergeCell ref="T978:U978"/>
    <mergeCell ref="Z978:AA978"/>
    <mergeCell ref="B962:C962"/>
    <mergeCell ref="B964:C964"/>
    <mergeCell ref="B966:B967"/>
    <mergeCell ref="C966:C967"/>
    <mergeCell ref="D966:D967"/>
    <mergeCell ref="E966:F966"/>
    <mergeCell ref="J938:J939"/>
    <mergeCell ref="K938:L938"/>
    <mergeCell ref="B948:C948"/>
    <mergeCell ref="B950:C950"/>
    <mergeCell ref="B952:B953"/>
    <mergeCell ref="C952:C953"/>
    <mergeCell ref="D952:D953"/>
    <mergeCell ref="E952:F952"/>
    <mergeCell ref="B936:C936"/>
    <mergeCell ref="H936:I936"/>
    <mergeCell ref="B938:B939"/>
    <mergeCell ref="C938:C939"/>
    <mergeCell ref="D938:D939"/>
    <mergeCell ref="E938:F938"/>
    <mergeCell ref="H938:H939"/>
    <mergeCell ref="I938:I939"/>
    <mergeCell ref="B924:B925"/>
    <mergeCell ref="C924:C925"/>
    <mergeCell ref="D924:D925"/>
    <mergeCell ref="E924:F924"/>
    <mergeCell ref="B934:C934"/>
    <mergeCell ref="H934:I934"/>
    <mergeCell ref="B910:B911"/>
    <mergeCell ref="C910:C911"/>
    <mergeCell ref="D910:D911"/>
    <mergeCell ref="E910:F910"/>
    <mergeCell ref="B920:C920"/>
    <mergeCell ref="B922:C922"/>
    <mergeCell ref="B896:B897"/>
    <mergeCell ref="C896:C897"/>
    <mergeCell ref="D896:D897"/>
    <mergeCell ref="E896:F896"/>
    <mergeCell ref="B906:C906"/>
    <mergeCell ref="B908:C908"/>
    <mergeCell ref="B882:B883"/>
    <mergeCell ref="C882:C883"/>
    <mergeCell ref="D882:D883"/>
    <mergeCell ref="E882:F882"/>
    <mergeCell ref="B892:C892"/>
    <mergeCell ref="B894:C894"/>
    <mergeCell ref="B868:B869"/>
    <mergeCell ref="C868:C869"/>
    <mergeCell ref="D868:D869"/>
    <mergeCell ref="E868:F868"/>
    <mergeCell ref="B878:C878"/>
    <mergeCell ref="B880:C880"/>
    <mergeCell ref="T854:T855"/>
    <mergeCell ref="U854:U855"/>
    <mergeCell ref="V854:V855"/>
    <mergeCell ref="W854:X854"/>
    <mergeCell ref="B864:C864"/>
    <mergeCell ref="B866:C866"/>
    <mergeCell ref="J854:J855"/>
    <mergeCell ref="K854:L854"/>
    <mergeCell ref="N854:N855"/>
    <mergeCell ref="O854:O855"/>
    <mergeCell ref="P854:P855"/>
    <mergeCell ref="Q854:R854"/>
    <mergeCell ref="B854:B855"/>
    <mergeCell ref="C854:C855"/>
    <mergeCell ref="D854:D855"/>
    <mergeCell ref="E854:F854"/>
    <mergeCell ref="H854:H855"/>
    <mergeCell ref="I854:I855"/>
    <mergeCell ref="B850:C850"/>
    <mergeCell ref="H850:I850"/>
    <mergeCell ref="N850:O850"/>
    <mergeCell ref="T850:U850"/>
    <mergeCell ref="B852:C852"/>
    <mergeCell ref="H852:I852"/>
    <mergeCell ref="N852:O852"/>
    <mergeCell ref="T852:U852"/>
    <mergeCell ref="J826:J827"/>
    <mergeCell ref="K826:L826"/>
    <mergeCell ref="B836:C836"/>
    <mergeCell ref="B838:C838"/>
    <mergeCell ref="B840:B841"/>
    <mergeCell ref="C840:C841"/>
    <mergeCell ref="D840:D841"/>
    <mergeCell ref="E840:F840"/>
    <mergeCell ref="B824:C824"/>
    <mergeCell ref="H824:I824"/>
    <mergeCell ref="B826:B827"/>
    <mergeCell ref="C826:C827"/>
    <mergeCell ref="D826:D827"/>
    <mergeCell ref="E826:F826"/>
    <mergeCell ref="H826:H827"/>
    <mergeCell ref="I826:I827"/>
    <mergeCell ref="T812:T813"/>
    <mergeCell ref="U812:U813"/>
    <mergeCell ref="V812:V813"/>
    <mergeCell ref="W812:X812"/>
    <mergeCell ref="B822:C822"/>
    <mergeCell ref="H822:I822"/>
    <mergeCell ref="J812:J813"/>
    <mergeCell ref="K812:L812"/>
    <mergeCell ref="N812:N813"/>
    <mergeCell ref="O812:O813"/>
    <mergeCell ref="P812:P813"/>
    <mergeCell ref="Q812:R812"/>
    <mergeCell ref="B810:C810"/>
    <mergeCell ref="H810:I810"/>
    <mergeCell ref="N810:O810"/>
    <mergeCell ref="T810:U810"/>
    <mergeCell ref="B812:B813"/>
    <mergeCell ref="C812:C813"/>
    <mergeCell ref="D812:D813"/>
    <mergeCell ref="E812:F812"/>
    <mergeCell ref="H812:H813"/>
    <mergeCell ref="I812:I813"/>
    <mergeCell ref="J798:J799"/>
    <mergeCell ref="K798:L798"/>
    <mergeCell ref="B808:C808"/>
    <mergeCell ref="H808:I808"/>
    <mergeCell ref="N808:O808"/>
    <mergeCell ref="T808:U808"/>
    <mergeCell ref="B794:C794"/>
    <mergeCell ref="H794:I794"/>
    <mergeCell ref="B796:C796"/>
    <mergeCell ref="H796:I796"/>
    <mergeCell ref="B798:B799"/>
    <mergeCell ref="C798:C799"/>
    <mergeCell ref="D798:D799"/>
    <mergeCell ref="E798:F798"/>
    <mergeCell ref="H798:H799"/>
    <mergeCell ref="I798:I799"/>
    <mergeCell ref="B780:C780"/>
    <mergeCell ref="B782:C782"/>
    <mergeCell ref="B784:B785"/>
    <mergeCell ref="C784:C785"/>
    <mergeCell ref="D784:D785"/>
    <mergeCell ref="E784:F784"/>
    <mergeCell ref="J770:J771"/>
    <mergeCell ref="K770:L770"/>
    <mergeCell ref="N770:N771"/>
    <mergeCell ref="O770:O771"/>
    <mergeCell ref="P770:P771"/>
    <mergeCell ref="Q770:R770"/>
    <mergeCell ref="B770:B771"/>
    <mergeCell ref="C770:C771"/>
    <mergeCell ref="D770:D771"/>
    <mergeCell ref="E770:F770"/>
    <mergeCell ref="H770:H771"/>
    <mergeCell ref="I770:I771"/>
    <mergeCell ref="B766:C766"/>
    <mergeCell ref="H766:I766"/>
    <mergeCell ref="N766:O766"/>
    <mergeCell ref="B768:C768"/>
    <mergeCell ref="H768:I768"/>
    <mergeCell ref="N768:O768"/>
    <mergeCell ref="J756:J757"/>
    <mergeCell ref="K756:L756"/>
    <mergeCell ref="N756:N757"/>
    <mergeCell ref="O756:O757"/>
    <mergeCell ref="P756:P757"/>
    <mergeCell ref="Q756:R756"/>
    <mergeCell ref="B756:B757"/>
    <mergeCell ref="C756:C757"/>
    <mergeCell ref="D756:D757"/>
    <mergeCell ref="E756:F756"/>
    <mergeCell ref="H756:H757"/>
    <mergeCell ref="I756:I757"/>
    <mergeCell ref="B752:C752"/>
    <mergeCell ref="H752:I752"/>
    <mergeCell ref="N752:O752"/>
    <mergeCell ref="B754:C754"/>
    <mergeCell ref="H754:I754"/>
    <mergeCell ref="N754:O754"/>
    <mergeCell ref="B738:C738"/>
    <mergeCell ref="B740:C740"/>
    <mergeCell ref="B742:B743"/>
    <mergeCell ref="C742:C743"/>
    <mergeCell ref="D742:D743"/>
    <mergeCell ref="E742:F742"/>
    <mergeCell ref="J714:J715"/>
    <mergeCell ref="K714:L714"/>
    <mergeCell ref="B724:C724"/>
    <mergeCell ref="B726:C726"/>
    <mergeCell ref="B728:B729"/>
    <mergeCell ref="C728:C729"/>
    <mergeCell ref="D728:D729"/>
    <mergeCell ref="E728:F728"/>
    <mergeCell ref="B714:B715"/>
    <mergeCell ref="C714:C715"/>
    <mergeCell ref="D714:D715"/>
    <mergeCell ref="E714:F714"/>
    <mergeCell ref="H714:H715"/>
    <mergeCell ref="I714:I715"/>
    <mergeCell ref="J700:J701"/>
    <mergeCell ref="K700:L700"/>
    <mergeCell ref="B710:C710"/>
    <mergeCell ref="H710:I710"/>
    <mergeCell ref="B712:C712"/>
    <mergeCell ref="H712:I712"/>
    <mergeCell ref="B700:B701"/>
    <mergeCell ref="C700:C701"/>
    <mergeCell ref="D700:D701"/>
    <mergeCell ref="E700:F700"/>
    <mergeCell ref="H700:H701"/>
    <mergeCell ref="I700:I701"/>
    <mergeCell ref="J686:J687"/>
    <mergeCell ref="K686:L686"/>
    <mergeCell ref="B696:C696"/>
    <mergeCell ref="H696:I696"/>
    <mergeCell ref="B698:C698"/>
    <mergeCell ref="H698:I698"/>
    <mergeCell ref="B684:C684"/>
    <mergeCell ref="H684:I684"/>
    <mergeCell ref="B686:B687"/>
    <mergeCell ref="C686:C687"/>
    <mergeCell ref="D686:D687"/>
    <mergeCell ref="E686:F686"/>
    <mergeCell ref="H686:H687"/>
    <mergeCell ref="I686:I687"/>
    <mergeCell ref="B672:B673"/>
    <mergeCell ref="C672:C673"/>
    <mergeCell ref="D672:D673"/>
    <mergeCell ref="E672:F672"/>
    <mergeCell ref="B682:C682"/>
    <mergeCell ref="H682:I682"/>
    <mergeCell ref="T658:T659"/>
    <mergeCell ref="U658:U659"/>
    <mergeCell ref="V658:V659"/>
    <mergeCell ref="W658:X658"/>
    <mergeCell ref="B668:C668"/>
    <mergeCell ref="B670:C670"/>
    <mergeCell ref="J658:J659"/>
    <mergeCell ref="K658:L658"/>
    <mergeCell ref="N658:N659"/>
    <mergeCell ref="O658:O659"/>
    <mergeCell ref="P658:P659"/>
    <mergeCell ref="Q658:R658"/>
    <mergeCell ref="B656:C656"/>
    <mergeCell ref="H656:I656"/>
    <mergeCell ref="N656:O656"/>
    <mergeCell ref="T656:U656"/>
    <mergeCell ref="B658:B659"/>
    <mergeCell ref="C658:C659"/>
    <mergeCell ref="D658:D659"/>
    <mergeCell ref="E658:F658"/>
    <mergeCell ref="H658:H659"/>
    <mergeCell ref="I658:I659"/>
    <mergeCell ref="J644:J645"/>
    <mergeCell ref="K644:L644"/>
    <mergeCell ref="B654:C654"/>
    <mergeCell ref="H654:I654"/>
    <mergeCell ref="N654:O654"/>
    <mergeCell ref="T654:U654"/>
    <mergeCell ref="B644:B645"/>
    <mergeCell ref="C644:C645"/>
    <mergeCell ref="D644:D645"/>
    <mergeCell ref="E644:F644"/>
    <mergeCell ref="H644:H645"/>
    <mergeCell ref="I644:I645"/>
    <mergeCell ref="J630:J631"/>
    <mergeCell ref="K630:L630"/>
    <mergeCell ref="B640:C640"/>
    <mergeCell ref="H640:I640"/>
    <mergeCell ref="B642:C642"/>
    <mergeCell ref="H642:I642"/>
    <mergeCell ref="B626:C626"/>
    <mergeCell ref="H626:I626"/>
    <mergeCell ref="B628:C628"/>
    <mergeCell ref="H628:I628"/>
    <mergeCell ref="B630:B631"/>
    <mergeCell ref="C630:C631"/>
    <mergeCell ref="D630:D631"/>
    <mergeCell ref="E630:F630"/>
    <mergeCell ref="H630:H631"/>
    <mergeCell ref="I630:I631"/>
    <mergeCell ref="J602:J603"/>
    <mergeCell ref="K602:L602"/>
    <mergeCell ref="B612:C612"/>
    <mergeCell ref="B614:C614"/>
    <mergeCell ref="B616:B617"/>
    <mergeCell ref="C616:C617"/>
    <mergeCell ref="D616:D617"/>
    <mergeCell ref="E616:F616"/>
    <mergeCell ref="B600:C600"/>
    <mergeCell ref="H600:I600"/>
    <mergeCell ref="B602:B603"/>
    <mergeCell ref="C602:C603"/>
    <mergeCell ref="D602:D603"/>
    <mergeCell ref="E602:F602"/>
    <mergeCell ref="H602:H603"/>
    <mergeCell ref="I602:I603"/>
    <mergeCell ref="K588:L588"/>
    <mergeCell ref="N588:N589"/>
    <mergeCell ref="O588:O589"/>
    <mergeCell ref="P588:P589"/>
    <mergeCell ref="Q588:R588"/>
    <mergeCell ref="B598:C598"/>
    <mergeCell ref="H598:I598"/>
    <mergeCell ref="B586:C586"/>
    <mergeCell ref="H586:I586"/>
    <mergeCell ref="N586:O586"/>
    <mergeCell ref="B588:B589"/>
    <mergeCell ref="C588:C589"/>
    <mergeCell ref="D588:D589"/>
    <mergeCell ref="E588:F588"/>
    <mergeCell ref="H588:H589"/>
    <mergeCell ref="I588:I589"/>
    <mergeCell ref="J588:J589"/>
    <mergeCell ref="AL574:AL575"/>
    <mergeCell ref="AM574:AM575"/>
    <mergeCell ref="AN574:AN575"/>
    <mergeCell ref="AO574:AP574"/>
    <mergeCell ref="B584:C584"/>
    <mergeCell ref="H584:I584"/>
    <mergeCell ref="N584:O584"/>
    <mergeCell ref="AB574:AB575"/>
    <mergeCell ref="AC574:AD574"/>
    <mergeCell ref="AF574:AF575"/>
    <mergeCell ref="AG574:AG575"/>
    <mergeCell ref="AH574:AH575"/>
    <mergeCell ref="AI574:AJ574"/>
    <mergeCell ref="T574:T575"/>
    <mergeCell ref="U574:U575"/>
    <mergeCell ref="V574:V575"/>
    <mergeCell ref="W574:X574"/>
    <mergeCell ref="Z574:Z575"/>
    <mergeCell ref="AA574:AA575"/>
    <mergeCell ref="J574:J575"/>
    <mergeCell ref="K574:L574"/>
    <mergeCell ref="N574:N575"/>
    <mergeCell ref="O574:O575"/>
    <mergeCell ref="P574:P575"/>
    <mergeCell ref="Q574:R574"/>
    <mergeCell ref="B574:B575"/>
    <mergeCell ref="C574:C575"/>
    <mergeCell ref="D574:D575"/>
    <mergeCell ref="E574:F574"/>
    <mergeCell ref="H574:H575"/>
    <mergeCell ref="I574:I575"/>
    <mergeCell ref="AF570:AG570"/>
    <mergeCell ref="AL570:AM570"/>
    <mergeCell ref="B572:C572"/>
    <mergeCell ref="H572:I572"/>
    <mergeCell ref="N572:O572"/>
    <mergeCell ref="T572:U572"/>
    <mergeCell ref="Z572:AA572"/>
    <mergeCell ref="AF572:AG572"/>
    <mergeCell ref="AL572:AM572"/>
    <mergeCell ref="AB560:AB561"/>
    <mergeCell ref="AC560:AD560"/>
    <mergeCell ref="B570:C570"/>
    <mergeCell ref="H570:I570"/>
    <mergeCell ref="N570:O570"/>
    <mergeCell ref="T570:U570"/>
    <mergeCell ref="Z570:AA570"/>
    <mergeCell ref="T560:T561"/>
    <mergeCell ref="U560:U561"/>
    <mergeCell ref="V560:V561"/>
    <mergeCell ref="W560:X560"/>
    <mergeCell ref="Z560:Z561"/>
    <mergeCell ref="AA560:AA561"/>
    <mergeCell ref="J560:J561"/>
    <mergeCell ref="K560:L560"/>
    <mergeCell ref="N560:N561"/>
    <mergeCell ref="O560:O561"/>
    <mergeCell ref="P560:P561"/>
    <mergeCell ref="Q560:R560"/>
    <mergeCell ref="B560:B561"/>
    <mergeCell ref="C560:C561"/>
    <mergeCell ref="D560:D561"/>
    <mergeCell ref="E560:F560"/>
    <mergeCell ref="H560:H561"/>
    <mergeCell ref="I560:I561"/>
    <mergeCell ref="Z556:AA556"/>
    <mergeCell ref="B558:C558"/>
    <mergeCell ref="H558:I558"/>
    <mergeCell ref="N558:O558"/>
    <mergeCell ref="T558:U558"/>
    <mergeCell ref="Z558:AA558"/>
    <mergeCell ref="J546:J547"/>
    <mergeCell ref="K546:L546"/>
    <mergeCell ref="B556:C556"/>
    <mergeCell ref="H556:I556"/>
    <mergeCell ref="N556:O556"/>
    <mergeCell ref="T556:U556"/>
    <mergeCell ref="B544:C544"/>
    <mergeCell ref="H544:I544"/>
    <mergeCell ref="B546:B547"/>
    <mergeCell ref="C546:C547"/>
    <mergeCell ref="D546:D547"/>
    <mergeCell ref="E546:F546"/>
    <mergeCell ref="H546:H547"/>
    <mergeCell ref="I546:I547"/>
    <mergeCell ref="T532:T533"/>
    <mergeCell ref="U532:U533"/>
    <mergeCell ref="V532:V533"/>
    <mergeCell ref="W532:X532"/>
    <mergeCell ref="B542:C542"/>
    <mergeCell ref="H542:I542"/>
    <mergeCell ref="J532:J533"/>
    <mergeCell ref="K532:L532"/>
    <mergeCell ref="N532:N533"/>
    <mergeCell ref="O532:O533"/>
    <mergeCell ref="P532:P533"/>
    <mergeCell ref="Q532:R532"/>
    <mergeCell ref="B530:C530"/>
    <mergeCell ref="H530:I530"/>
    <mergeCell ref="N530:O530"/>
    <mergeCell ref="T530:U530"/>
    <mergeCell ref="B532:B533"/>
    <mergeCell ref="C532:C533"/>
    <mergeCell ref="D532:D533"/>
    <mergeCell ref="E532:F532"/>
    <mergeCell ref="H532:H533"/>
    <mergeCell ref="I532:I533"/>
    <mergeCell ref="J518:J519"/>
    <mergeCell ref="K518:L518"/>
    <mergeCell ref="B528:C528"/>
    <mergeCell ref="H528:I528"/>
    <mergeCell ref="N528:O528"/>
    <mergeCell ref="T528:U528"/>
    <mergeCell ref="B518:B519"/>
    <mergeCell ref="C518:C519"/>
    <mergeCell ref="D518:D519"/>
    <mergeCell ref="E518:F518"/>
    <mergeCell ref="H518:H519"/>
    <mergeCell ref="I518:I519"/>
    <mergeCell ref="J504:J505"/>
    <mergeCell ref="K504:L504"/>
    <mergeCell ref="B514:C514"/>
    <mergeCell ref="H514:I514"/>
    <mergeCell ref="B516:C516"/>
    <mergeCell ref="H516:I516"/>
    <mergeCell ref="B502:C502"/>
    <mergeCell ref="H502:I502"/>
    <mergeCell ref="B504:B505"/>
    <mergeCell ref="C504:C505"/>
    <mergeCell ref="D504:D505"/>
    <mergeCell ref="E504:F504"/>
    <mergeCell ref="H504:H505"/>
    <mergeCell ref="I504:I505"/>
    <mergeCell ref="B490:B491"/>
    <mergeCell ref="C490:C491"/>
    <mergeCell ref="D490:D491"/>
    <mergeCell ref="E490:F490"/>
    <mergeCell ref="B500:C500"/>
    <mergeCell ref="H500:I500"/>
    <mergeCell ref="T476:T477"/>
    <mergeCell ref="U476:U477"/>
    <mergeCell ref="V476:V477"/>
    <mergeCell ref="W476:X476"/>
    <mergeCell ref="B486:C486"/>
    <mergeCell ref="B488:C488"/>
    <mergeCell ref="J476:J477"/>
    <mergeCell ref="K476:L476"/>
    <mergeCell ref="N476:N477"/>
    <mergeCell ref="O476:O477"/>
    <mergeCell ref="P476:P477"/>
    <mergeCell ref="Q476:R476"/>
    <mergeCell ref="B476:B477"/>
    <mergeCell ref="C476:C477"/>
    <mergeCell ref="D476:D477"/>
    <mergeCell ref="E476:F476"/>
    <mergeCell ref="H476:H477"/>
    <mergeCell ref="I476:I477"/>
    <mergeCell ref="B472:C472"/>
    <mergeCell ref="H472:I472"/>
    <mergeCell ref="N472:O472"/>
    <mergeCell ref="T472:U472"/>
    <mergeCell ref="B474:C474"/>
    <mergeCell ref="H474:I474"/>
    <mergeCell ref="N474:O474"/>
    <mergeCell ref="T474:U474"/>
    <mergeCell ref="B458:C458"/>
    <mergeCell ref="B460:C460"/>
    <mergeCell ref="B462:B463"/>
    <mergeCell ref="C462:C463"/>
    <mergeCell ref="D462:D463"/>
    <mergeCell ref="E462:F462"/>
    <mergeCell ref="AN448:AN449"/>
    <mergeCell ref="AO448:AP448"/>
    <mergeCell ref="AR448:AR449"/>
    <mergeCell ref="AS448:AS449"/>
    <mergeCell ref="AT448:AT449"/>
    <mergeCell ref="AU448:AV448"/>
    <mergeCell ref="AF448:AF449"/>
    <mergeCell ref="AG448:AG449"/>
    <mergeCell ref="AH448:AH449"/>
    <mergeCell ref="AI448:AJ448"/>
    <mergeCell ref="AL448:AL449"/>
    <mergeCell ref="AM448:AM449"/>
    <mergeCell ref="V448:V449"/>
    <mergeCell ref="W448:X448"/>
    <mergeCell ref="Z448:Z449"/>
    <mergeCell ref="AA448:AA449"/>
    <mergeCell ref="AB448:AB449"/>
    <mergeCell ref="AC448:AD448"/>
    <mergeCell ref="N448:N449"/>
    <mergeCell ref="O448:O449"/>
    <mergeCell ref="P448:P449"/>
    <mergeCell ref="Q448:R448"/>
    <mergeCell ref="T448:T449"/>
    <mergeCell ref="U448:U449"/>
    <mergeCell ref="AL446:AM446"/>
    <mergeCell ref="AR446:AS446"/>
    <mergeCell ref="B448:B449"/>
    <mergeCell ref="C448:C449"/>
    <mergeCell ref="D448:D449"/>
    <mergeCell ref="E448:F448"/>
    <mergeCell ref="H448:H449"/>
    <mergeCell ref="I448:I449"/>
    <mergeCell ref="J448:J449"/>
    <mergeCell ref="K448:L448"/>
    <mergeCell ref="Z444:AA444"/>
    <mergeCell ref="AF444:AG444"/>
    <mergeCell ref="AL444:AM444"/>
    <mergeCell ref="AR444:AS444"/>
    <mergeCell ref="B446:C446"/>
    <mergeCell ref="H446:I446"/>
    <mergeCell ref="N446:O446"/>
    <mergeCell ref="T446:U446"/>
    <mergeCell ref="Z446:AA446"/>
    <mergeCell ref="AF446:AG446"/>
    <mergeCell ref="J434:J435"/>
    <mergeCell ref="K434:L434"/>
    <mergeCell ref="B444:C444"/>
    <mergeCell ref="H444:I444"/>
    <mergeCell ref="N444:O444"/>
    <mergeCell ref="T444:U444"/>
    <mergeCell ref="B432:C432"/>
    <mergeCell ref="H432:I432"/>
    <mergeCell ref="B434:B435"/>
    <mergeCell ref="C434:C435"/>
    <mergeCell ref="D434:D435"/>
    <mergeCell ref="E434:F434"/>
    <mergeCell ref="H434:H435"/>
    <mergeCell ref="I434:I435"/>
    <mergeCell ref="B420:B421"/>
    <mergeCell ref="C420:C421"/>
    <mergeCell ref="D420:D421"/>
    <mergeCell ref="E420:F420"/>
    <mergeCell ref="B430:C430"/>
    <mergeCell ref="H430:I430"/>
    <mergeCell ref="B406:B407"/>
    <mergeCell ref="C406:C407"/>
    <mergeCell ref="D406:D407"/>
    <mergeCell ref="E406:F406"/>
    <mergeCell ref="B416:C416"/>
    <mergeCell ref="B418:C418"/>
    <mergeCell ref="B392:B393"/>
    <mergeCell ref="C392:C393"/>
    <mergeCell ref="D392:D393"/>
    <mergeCell ref="E392:F392"/>
    <mergeCell ref="B402:C402"/>
    <mergeCell ref="B404:C404"/>
    <mergeCell ref="B378:B379"/>
    <mergeCell ref="C378:C379"/>
    <mergeCell ref="D378:D379"/>
    <mergeCell ref="E378:F378"/>
    <mergeCell ref="B388:C388"/>
    <mergeCell ref="B390:C390"/>
    <mergeCell ref="T364:T365"/>
    <mergeCell ref="U364:U365"/>
    <mergeCell ref="V364:V365"/>
    <mergeCell ref="W364:X364"/>
    <mergeCell ref="B374:C374"/>
    <mergeCell ref="B376:C376"/>
    <mergeCell ref="J364:J365"/>
    <mergeCell ref="K364:L364"/>
    <mergeCell ref="N364:N365"/>
    <mergeCell ref="O364:O365"/>
    <mergeCell ref="P364:P365"/>
    <mergeCell ref="Q364:R364"/>
    <mergeCell ref="B364:B365"/>
    <mergeCell ref="C364:C365"/>
    <mergeCell ref="D364:D365"/>
    <mergeCell ref="E364:F364"/>
    <mergeCell ref="H364:H365"/>
    <mergeCell ref="I364:I365"/>
    <mergeCell ref="B360:C360"/>
    <mergeCell ref="H360:I360"/>
    <mergeCell ref="N360:O360"/>
    <mergeCell ref="T360:U360"/>
    <mergeCell ref="B362:C362"/>
    <mergeCell ref="H362:I362"/>
    <mergeCell ref="N362:O362"/>
    <mergeCell ref="T362:U362"/>
    <mergeCell ref="B346:C346"/>
    <mergeCell ref="B348:C348"/>
    <mergeCell ref="B350:B351"/>
    <mergeCell ref="C350:C351"/>
    <mergeCell ref="D350:D351"/>
    <mergeCell ref="E350:F350"/>
    <mergeCell ref="B332:C332"/>
    <mergeCell ref="B334:C334"/>
    <mergeCell ref="B336:B337"/>
    <mergeCell ref="C336:C337"/>
    <mergeCell ref="D336:D337"/>
    <mergeCell ref="E336:F336"/>
    <mergeCell ref="B318:C318"/>
    <mergeCell ref="B320:C320"/>
    <mergeCell ref="B322:B323"/>
    <mergeCell ref="C322:C323"/>
    <mergeCell ref="D322:D323"/>
    <mergeCell ref="E322:F322"/>
    <mergeCell ref="B304:C304"/>
    <mergeCell ref="B306:C306"/>
    <mergeCell ref="B308:B309"/>
    <mergeCell ref="C308:C309"/>
    <mergeCell ref="D308:D309"/>
    <mergeCell ref="E308:F308"/>
    <mergeCell ref="B290:C290"/>
    <mergeCell ref="B292:C292"/>
    <mergeCell ref="B294:B295"/>
    <mergeCell ref="C294:C295"/>
    <mergeCell ref="D294:D295"/>
    <mergeCell ref="E294:F294"/>
    <mergeCell ref="B276:C276"/>
    <mergeCell ref="B278:C278"/>
    <mergeCell ref="B280:B281"/>
    <mergeCell ref="C280:C281"/>
    <mergeCell ref="D280:D281"/>
    <mergeCell ref="E280:F280"/>
    <mergeCell ref="B262:C262"/>
    <mergeCell ref="B264:C264"/>
    <mergeCell ref="B266:B267"/>
    <mergeCell ref="C266:C267"/>
    <mergeCell ref="D266:D267"/>
    <mergeCell ref="E266:F266"/>
    <mergeCell ref="J238:J239"/>
    <mergeCell ref="K238:L238"/>
    <mergeCell ref="B248:C248"/>
    <mergeCell ref="B250:C250"/>
    <mergeCell ref="B252:B253"/>
    <mergeCell ref="C252:C253"/>
    <mergeCell ref="D252:D253"/>
    <mergeCell ref="E252:F252"/>
    <mergeCell ref="B234:C234"/>
    <mergeCell ref="H234:I234"/>
    <mergeCell ref="B236:C236"/>
    <mergeCell ref="H236:I236"/>
    <mergeCell ref="B238:B239"/>
    <mergeCell ref="C238:C239"/>
    <mergeCell ref="D238:D239"/>
    <mergeCell ref="E238:F238"/>
    <mergeCell ref="H238:H239"/>
    <mergeCell ref="I238:I239"/>
    <mergeCell ref="B220:C220"/>
    <mergeCell ref="B222:C222"/>
    <mergeCell ref="B224:B225"/>
    <mergeCell ref="C224:C225"/>
    <mergeCell ref="D224:D225"/>
    <mergeCell ref="E224:F224"/>
    <mergeCell ref="J196:J197"/>
    <mergeCell ref="K196:L196"/>
    <mergeCell ref="B206:C206"/>
    <mergeCell ref="B208:C208"/>
    <mergeCell ref="B210:B211"/>
    <mergeCell ref="C210:C211"/>
    <mergeCell ref="D210:D211"/>
    <mergeCell ref="E210:F210"/>
    <mergeCell ref="B192:C192"/>
    <mergeCell ref="H192:I192"/>
    <mergeCell ref="B194:C194"/>
    <mergeCell ref="H194:I194"/>
    <mergeCell ref="B196:B197"/>
    <mergeCell ref="C196:C197"/>
    <mergeCell ref="D196:D197"/>
    <mergeCell ref="E196:F196"/>
    <mergeCell ref="H196:H197"/>
    <mergeCell ref="I196:I197"/>
    <mergeCell ref="B178:C178"/>
    <mergeCell ref="B180:C180"/>
    <mergeCell ref="B182:B183"/>
    <mergeCell ref="C182:C183"/>
    <mergeCell ref="D182:D183"/>
    <mergeCell ref="E182:F182"/>
    <mergeCell ref="B164:C164"/>
    <mergeCell ref="B166:C166"/>
    <mergeCell ref="B168:B169"/>
    <mergeCell ref="C168:C169"/>
    <mergeCell ref="D168:D169"/>
    <mergeCell ref="E168:F168"/>
    <mergeCell ref="B150:C150"/>
    <mergeCell ref="B152:C152"/>
    <mergeCell ref="B154:B155"/>
    <mergeCell ref="C154:C155"/>
    <mergeCell ref="D154:D155"/>
    <mergeCell ref="E154:F154"/>
    <mergeCell ref="B136:C136"/>
    <mergeCell ref="B138:C138"/>
    <mergeCell ref="B140:B141"/>
    <mergeCell ref="C140:C141"/>
    <mergeCell ref="D140:D141"/>
    <mergeCell ref="E140:F140"/>
    <mergeCell ref="B122:C122"/>
    <mergeCell ref="B124:C124"/>
    <mergeCell ref="B126:B127"/>
    <mergeCell ref="C126:C127"/>
    <mergeCell ref="D126:D127"/>
    <mergeCell ref="E126:F126"/>
    <mergeCell ref="B108:C108"/>
    <mergeCell ref="B110:C110"/>
    <mergeCell ref="B112:B113"/>
    <mergeCell ref="C112:C113"/>
    <mergeCell ref="D112:D113"/>
    <mergeCell ref="E112:F112"/>
    <mergeCell ref="E28:F28"/>
    <mergeCell ref="B94:C94"/>
    <mergeCell ref="B96:C96"/>
    <mergeCell ref="B98:B99"/>
    <mergeCell ref="C98:C99"/>
    <mergeCell ref="D98:D99"/>
    <mergeCell ref="E98:F98"/>
    <mergeCell ref="B80:C80"/>
    <mergeCell ref="B82:C82"/>
    <mergeCell ref="B84:B85"/>
    <mergeCell ref="C84:C85"/>
    <mergeCell ref="D84:D85"/>
    <mergeCell ref="E84:F84"/>
    <mergeCell ref="J56:J57"/>
    <mergeCell ref="K56:L56"/>
    <mergeCell ref="B66:C66"/>
    <mergeCell ref="B68:C68"/>
    <mergeCell ref="B70:B71"/>
    <mergeCell ref="C70:C71"/>
    <mergeCell ref="D70:D71"/>
    <mergeCell ref="E70:F70"/>
    <mergeCell ref="B10:C10"/>
    <mergeCell ref="B12:C12"/>
    <mergeCell ref="B14:B15"/>
    <mergeCell ref="C14:C15"/>
    <mergeCell ref="D14:D15"/>
    <mergeCell ref="E14:F14"/>
    <mergeCell ref="B2:C2"/>
    <mergeCell ref="B4:C4"/>
    <mergeCell ref="B6:C6"/>
    <mergeCell ref="D6:E6"/>
    <mergeCell ref="B8:C8"/>
    <mergeCell ref="B52:C52"/>
    <mergeCell ref="H52:I52"/>
    <mergeCell ref="B54:C54"/>
    <mergeCell ref="H54:I54"/>
    <mergeCell ref="B56:B57"/>
    <mergeCell ref="C56:C57"/>
    <mergeCell ref="D56:D57"/>
    <mergeCell ref="E56:F56"/>
    <mergeCell ref="H56:H57"/>
    <mergeCell ref="I56:I57"/>
    <mergeCell ref="B38:C38"/>
    <mergeCell ref="B40:C40"/>
    <mergeCell ref="B42:B43"/>
    <mergeCell ref="C42:C43"/>
    <mergeCell ref="D42:D43"/>
    <mergeCell ref="E42:F42"/>
    <mergeCell ref="B24:C24"/>
    <mergeCell ref="B26:C26"/>
    <mergeCell ref="B28:B29"/>
    <mergeCell ref="C28:C29"/>
    <mergeCell ref="D28:D29"/>
  </mergeCells>
  <conditionalFormatting sqref="BJ1967">
    <cfRule type="cellIs" dxfId="1" priority="2" stopIfTrue="1" operator="notEqual">
      <formula>BK1967</formula>
    </cfRule>
  </conditionalFormatting>
  <conditionalFormatting sqref="BK1967">
    <cfRule type="cellIs" dxfId="0" priority="1" stopIfTrue="1" operator="notEqual">
      <formula>BJ1967</formula>
    </cfRule>
  </conditionalFormatting>
  <printOptions horizontalCentered="1"/>
  <pageMargins left="0.19685039370078741" right="0.19685039370078741" top="0.39370078740157483" bottom="0.39370078740157483" header="0" footer="0"/>
  <pageSetup paperSize="9" scale="80" orientation="landscape" horizontalDpi="120" verticalDpi="72" r:id="rId1"/>
  <headerFooter alignWithMargins="0"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4"/>
    <pageSetUpPr fitToPage="1"/>
  </sheetPr>
  <dimension ref="B2:G2104"/>
  <sheetViews>
    <sheetView showGridLines="0" topLeftCell="A21" zoomScale="80" zoomScaleNormal="80" workbookViewId="0">
      <selection activeCell="A42" sqref="A42"/>
    </sheetView>
  </sheetViews>
  <sheetFormatPr baseColWidth="10" defaultColWidth="11.44140625" defaultRowHeight="14.4" x14ac:dyDescent="0.25"/>
  <cols>
    <col min="1" max="1" width="3.6640625" style="237" customWidth="1"/>
    <col min="2" max="2" width="4.88671875" style="237" bestFit="1" customWidth="1"/>
    <col min="3" max="3" width="5.6640625" style="237" bestFit="1" customWidth="1"/>
    <col min="4" max="4" width="7" style="237" bestFit="1" customWidth="1"/>
    <col min="5" max="5" width="7.6640625" style="237" bestFit="1" customWidth="1"/>
    <col min="6" max="6" width="92.88671875" style="237" bestFit="1" customWidth="1"/>
    <col min="7" max="7" width="11.44140625" style="237"/>
    <col min="8" max="8" width="3.6640625" style="237" customWidth="1"/>
    <col min="9" max="16384" width="11.44140625" style="237"/>
  </cols>
  <sheetData>
    <row r="2" spans="2:7" ht="15.6" x14ac:dyDescent="0.25">
      <c r="B2" s="230" t="s">
        <v>321</v>
      </c>
      <c r="C2" s="230"/>
      <c r="F2" s="233" t="s">
        <v>1270</v>
      </c>
      <c r="G2" s="1"/>
    </row>
    <row r="3" spans="2:7" x14ac:dyDescent="0.25">
      <c r="B3" s="1"/>
      <c r="C3" s="2"/>
      <c r="F3" s="2"/>
      <c r="G3" s="2"/>
    </row>
    <row r="4" spans="2:7" ht="15.6" x14ac:dyDescent="0.25">
      <c r="B4" s="253" t="s">
        <v>322</v>
      </c>
      <c r="C4" s="2"/>
      <c r="F4" s="254" t="str">
        <f>'Base de Datos'!$C$8</f>
        <v>MARZO</v>
      </c>
      <c r="G4" s="2"/>
    </row>
    <row r="5" spans="2:7" x14ac:dyDescent="0.25">
      <c r="B5" s="1"/>
      <c r="C5" s="2"/>
      <c r="F5" s="2"/>
      <c r="G5" s="2"/>
    </row>
    <row r="6" spans="2:7" ht="15.6" x14ac:dyDescent="0.25">
      <c r="B6" s="230" t="s">
        <v>323</v>
      </c>
      <c r="C6" s="230"/>
      <c r="F6" s="231">
        <f>'Base de Datos'!$C$9</f>
        <v>2015</v>
      </c>
      <c r="G6" s="8"/>
    </row>
    <row r="7" spans="2:7" x14ac:dyDescent="0.25">
      <c r="B7" s="1"/>
      <c r="C7" s="2"/>
      <c r="F7" s="2"/>
      <c r="G7" s="2"/>
    </row>
    <row r="8" spans="2:7" ht="15.6" x14ac:dyDescent="0.25">
      <c r="B8" s="230" t="s">
        <v>324</v>
      </c>
      <c r="C8" s="230"/>
      <c r="F8" s="316">
        <f>'Base de Datos'!$C$6</f>
        <v>20411074561</v>
      </c>
      <c r="G8" s="316"/>
    </row>
    <row r="9" spans="2:7" x14ac:dyDescent="0.25">
      <c r="B9" s="1"/>
      <c r="C9" s="2"/>
      <c r="F9" s="2"/>
      <c r="G9" s="2"/>
    </row>
    <row r="10" spans="2:7" ht="15.6" x14ac:dyDescent="0.25">
      <c r="B10" s="230" t="s">
        <v>325</v>
      </c>
      <c r="C10" s="230"/>
      <c r="F10" s="254" t="str">
        <f>'Base de Datos'!$C$5</f>
        <v>LOS BAILARINES SRL</v>
      </c>
      <c r="G10" s="2"/>
    </row>
    <row r="12" spans="2:7" x14ac:dyDescent="0.25">
      <c r="B12" s="238">
        <v>10</v>
      </c>
      <c r="C12" s="239"/>
      <c r="D12" s="239"/>
      <c r="E12" s="239"/>
      <c r="F12" s="240" t="s">
        <v>1274</v>
      </c>
      <c r="G12" s="241">
        <v>1</v>
      </c>
    </row>
    <row r="13" spans="2:7" x14ac:dyDescent="0.25">
      <c r="B13" s="242"/>
      <c r="C13" s="243">
        <v>101</v>
      </c>
      <c r="D13" s="243"/>
      <c r="E13" s="243"/>
      <c r="F13" s="244" t="s">
        <v>1269</v>
      </c>
      <c r="G13" s="241">
        <f t="shared" ref="G13:G76" si="0">G12+1</f>
        <v>2</v>
      </c>
    </row>
    <row r="14" spans="2:7" x14ac:dyDescent="0.25">
      <c r="B14" s="242"/>
      <c r="C14" s="243"/>
      <c r="D14" s="243">
        <v>1011</v>
      </c>
      <c r="E14" s="243"/>
      <c r="F14" s="244" t="s">
        <v>1267</v>
      </c>
      <c r="G14" s="241">
        <f t="shared" si="0"/>
        <v>3</v>
      </c>
    </row>
    <row r="15" spans="2:7" x14ac:dyDescent="0.25">
      <c r="B15" s="242"/>
      <c r="C15" s="243">
        <v>102</v>
      </c>
      <c r="D15" s="243"/>
      <c r="E15" s="243"/>
      <c r="F15" s="244" t="s">
        <v>1268</v>
      </c>
      <c r="G15" s="241">
        <f t="shared" si="0"/>
        <v>4</v>
      </c>
    </row>
    <row r="16" spans="2:7" x14ac:dyDescent="0.25">
      <c r="B16" s="242"/>
      <c r="C16" s="243"/>
      <c r="D16" s="243">
        <v>1021</v>
      </c>
      <c r="E16" s="243"/>
      <c r="F16" s="244" t="s">
        <v>1267</v>
      </c>
      <c r="G16" s="241">
        <f t="shared" si="0"/>
        <v>5</v>
      </c>
    </row>
    <row r="17" spans="2:7" x14ac:dyDescent="0.25">
      <c r="B17" s="242"/>
      <c r="C17" s="243">
        <v>103</v>
      </c>
      <c r="D17" s="243"/>
      <c r="E17" s="243"/>
      <c r="F17" s="244" t="s">
        <v>1266</v>
      </c>
      <c r="G17" s="241">
        <f t="shared" si="0"/>
        <v>6</v>
      </c>
    </row>
    <row r="18" spans="2:7" x14ac:dyDescent="0.25">
      <c r="B18" s="242"/>
      <c r="C18" s="243"/>
      <c r="D18" s="243">
        <v>1031</v>
      </c>
      <c r="E18" s="243"/>
      <c r="F18" s="244" t="s">
        <v>1266</v>
      </c>
      <c r="G18" s="241">
        <f t="shared" si="0"/>
        <v>7</v>
      </c>
    </row>
    <row r="19" spans="2:7" x14ac:dyDescent="0.25">
      <c r="B19" s="242"/>
      <c r="C19" s="243">
        <v>104</v>
      </c>
      <c r="D19" s="243"/>
      <c r="E19" s="243"/>
      <c r="F19" s="244" t="s">
        <v>1265</v>
      </c>
      <c r="G19" s="241">
        <f t="shared" si="0"/>
        <v>8</v>
      </c>
    </row>
    <row r="20" spans="2:7" x14ac:dyDescent="0.25">
      <c r="B20" s="242"/>
      <c r="C20" s="243"/>
      <c r="D20" s="243">
        <v>1041</v>
      </c>
      <c r="E20" s="243"/>
      <c r="F20" s="244" t="s">
        <v>1264</v>
      </c>
      <c r="G20" s="241">
        <f t="shared" si="0"/>
        <v>9</v>
      </c>
    </row>
    <row r="21" spans="2:7" x14ac:dyDescent="0.25">
      <c r="B21" s="242"/>
      <c r="C21" s="243"/>
      <c r="D21" s="243">
        <v>1042</v>
      </c>
      <c r="E21" s="243"/>
      <c r="F21" s="244" t="s">
        <v>1263</v>
      </c>
      <c r="G21" s="241">
        <f t="shared" si="0"/>
        <v>10</v>
      </c>
    </row>
    <row r="22" spans="2:7" x14ac:dyDescent="0.25">
      <c r="B22" s="242"/>
      <c r="C22" s="243">
        <v>105</v>
      </c>
      <c r="D22" s="243"/>
      <c r="E22" s="243"/>
      <c r="F22" s="244" t="s">
        <v>1275</v>
      </c>
      <c r="G22" s="241">
        <f t="shared" si="0"/>
        <v>11</v>
      </c>
    </row>
    <row r="23" spans="2:7" x14ac:dyDescent="0.25">
      <c r="B23" s="242"/>
      <c r="C23" s="243"/>
      <c r="D23" s="243">
        <v>1051</v>
      </c>
      <c r="E23" s="243"/>
      <c r="F23" s="244" t="s">
        <v>1275</v>
      </c>
      <c r="G23" s="241">
        <f t="shared" si="0"/>
        <v>12</v>
      </c>
    </row>
    <row r="24" spans="2:7" x14ac:dyDescent="0.25">
      <c r="B24" s="242"/>
      <c r="C24" s="243"/>
      <c r="D24" s="243">
        <v>1052</v>
      </c>
      <c r="E24" s="243"/>
      <c r="F24" s="244" t="s">
        <v>1262</v>
      </c>
      <c r="G24" s="241">
        <f t="shared" si="0"/>
        <v>13</v>
      </c>
    </row>
    <row r="25" spans="2:7" x14ac:dyDescent="0.25">
      <c r="B25" s="242"/>
      <c r="C25" s="243">
        <v>106</v>
      </c>
      <c r="D25" s="243"/>
      <c r="E25" s="243"/>
      <c r="F25" s="244" t="s">
        <v>635</v>
      </c>
      <c r="G25" s="241">
        <f t="shared" si="0"/>
        <v>14</v>
      </c>
    </row>
    <row r="26" spans="2:7" x14ac:dyDescent="0.25">
      <c r="B26" s="242"/>
      <c r="C26" s="243"/>
      <c r="D26" s="243">
        <v>1061</v>
      </c>
      <c r="E26" s="243"/>
      <c r="F26" s="244" t="s">
        <v>1261</v>
      </c>
      <c r="G26" s="241">
        <f t="shared" si="0"/>
        <v>15</v>
      </c>
    </row>
    <row r="27" spans="2:7" x14ac:dyDescent="0.25">
      <c r="B27" s="242"/>
      <c r="C27" s="243"/>
      <c r="D27" s="243">
        <v>1062</v>
      </c>
      <c r="E27" s="243"/>
      <c r="F27" s="244" t="s">
        <v>1260</v>
      </c>
      <c r="G27" s="241">
        <f t="shared" si="0"/>
        <v>16</v>
      </c>
    </row>
    <row r="28" spans="2:7" x14ac:dyDescent="0.25">
      <c r="B28" s="242"/>
      <c r="C28" s="243">
        <v>107</v>
      </c>
      <c r="D28" s="243"/>
      <c r="E28" s="243"/>
      <c r="F28" s="244" t="s">
        <v>1259</v>
      </c>
      <c r="G28" s="241">
        <f t="shared" si="0"/>
        <v>17</v>
      </c>
    </row>
    <row r="29" spans="2:7" x14ac:dyDescent="0.25">
      <c r="B29" s="242"/>
      <c r="C29" s="243"/>
      <c r="D29" s="243">
        <v>1071</v>
      </c>
      <c r="E29" s="243"/>
      <c r="F29" s="244" t="s">
        <v>1259</v>
      </c>
      <c r="G29" s="241">
        <f t="shared" si="0"/>
        <v>18</v>
      </c>
    </row>
    <row r="30" spans="2:7" x14ac:dyDescent="0.25">
      <c r="B30" s="242">
        <v>11</v>
      </c>
      <c r="C30" s="243"/>
      <c r="D30" s="243"/>
      <c r="E30" s="243"/>
      <c r="F30" s="244" t="s">
        <v>1276</v>
      </c>
      <c r="G30" s="241">
        <f t="shared" si="0"/>
        <v>19</v>
      </c>
    </row>
    <row r="31" spans="2:7" x14ac:dyDescent="0.25">
      <c r="B31" s="242"/>
      <c r="C31" s="243">
        <v>111</v>
      </c>
      <c r="D31" s="243"/>
      <c r="E31" s="243"/>
      <c r="F31" s="244" t="s">
        <v>1277</v>
      </c>
      <c r="G31" s="241">
        <f t="shared" si="0"/>
        <v>20</v>
      </c>
    </row>
    <row r="32" spans="2:7" x14ac:dyDescent="0.25">
      <c r="B32" s="242"/>
      <c r="C32" s="243"/>
      <c r="D32" s="243">
        <v>1111</v>
      </c>
      <c r="E32" s="243"/>
      <c r="F32" s="244" t="s">
        <v>1152</v>
      </c>
      <c r="G32" s="241">
        <f t="shared" si="0"/>
        <v>21</v>
      </c>
    </row>
    <row r="33" spans="2:7" x14ac:dyDescent="0.25">
      <c r="B33" s="242"/>
      <c r="C33" s="243"/>
      <c r="D33" s="243"/>
      <c r="E33" s="243">
        <v>11111</v>
      </c>
      <c r="F33" s="244" t="s">
        <v>1083</v>
      </c>
      <c r="G33" s="241">
        <f t="shared" si="0"/>
        <v>22</v>
      </c>
    </row>
    <row r="34" spans="2:7" x14ac:dyDescent="0.25">
      <c r="B34" s="242"/>
      <c r="C34" s="243"/>
      <c r="D34" s="243"/>
      <c r="E34" s="243">
        <v>11112</v>
      </c>
      <c r="F34" s="244" t="s">
        <v>1084</v>
      </c>
      <c r="G34" s="241">
        <f t="shared" si="0"/>
        <v>23</v>
      </c>
    </row>
    <row r="35" spans="2:7" x14ac:dyDescent="0.25">
      <c r="B35" s="242"/>
      <c r="C35" s="243"/>
      <c r="D35" s="243">
        <v>1112</v>
      </c>
      <c r="E35" s="243"/>
      <c r="F35" s="244" t="s">
        <v>1151</v>
      </c>
      <c r="G35" s="241">
        <f t="shared" si="0"/>
        <v>24</v>
      </c>
    </row>
    <row r="36" spans="2:7" x14ac:dyDescent="0.25">
      <c r="B36" s="242"/>
      <c r="C36" s="243"/>
      <c r="D36" s="243"/>
      <c r="E36" s="243">
        <v>11121</v>
      </c>
      <c r="F36" s="244" t="s">
        <v>1083</v>
      </c>
      <c r="G36" s="241">
        <f t="shared" si="0"/>
        <v>25</v>
      </c>
    </row>
    <row r="37" spans="2:7" x14ac:dyDescent="0.25">
      <c r="B37" s="242"/>
      <c r="C37" s="243"/>
      <c r="D37" s="243"/>
      <c r="E37" s="243">
        <v>11122</v>
      </c>
      <c r="F37" s="244" t="s">
        <v>1084</v>
      </c>
      <c r="G37" s="241">
        <f t="shared" si="0"/>
        <v>26</v>
      </c>
    </row>
    <row r="38" spans="2:7" x14ac:dyDescent="0.25">
      <c r="B38" s="242"/>
      <c r="C38" s="243"/>
      <c r="D38" s="243">
        <v>1113</v>
      </c>
      <c r="E38" s="243"/>
      <c r="F38" s="244" t="s">
        <v>1278</v>
      </c>
      <c r="G38" s="241">
        <f t="shared" si="0"/>
        <v>27</v>
      </c>
    </row>
    <row r="39" spans="2:7" x14ac:dyDescent="0.25">
      <c r="B39" s="242"/>
      <c r="C39" s="243"/>
      <c r="D39" s="243"/>
      <c r="E39" s="243">
        <v>11131</v>
      </c>
      <c r="F39" s="244" t="s">
        <v>1083</v>
      </c>
      <c r="G39" s="241">
        <f t="shared" si="0"/>
        <v>28</v>
      </c>
    </row>
    <row r="40" spans="2:7" x14ac:dyDescent="0.25">
      <c r="B40" s="242"/>
      <c r="C40" s="243"/>
      <c r="D40" s="243"/>
      <c r="E40" s="243">
        <v>11132</v>
      </c>
      <c r="F40" s="244" t="s">
        <v>1084</v>
      </c>
      <c r="G40" s="241">
        <f t="shared" si="0"/>
        <v>29</v>
      </c>
    </row>
    <row r="41" spans="2:7" x14ac:dyDescent="0.25">
      <c r="B41" s="242"/>
      <c r="C41" s="243"/>
      <c r="D41" s="243">
        <v>1114</v>
      </c>
      <c r="E41" s="243"/>
      <c r="F41" s="244" t="s">
        <v>1149</v>
      </c>
      <c r="G41" s="241">
        <f t="shared" si="0"/>
        <v>30</v>
      </c>
    </row>
    <row r="42" spans="2:7" x14ac:dyDescent="0.25">
      <c r="B42" s="242"/>
      <c r="C42" s="243"/>
      <c r="D42" s="243"/>
      <c r="E42" s="243">
        <v>11141</v>
      </c>
      <c r="F42" s="244" t="s">
        <v>1083</v>
      </c>
      <c r="G42" s="241">
        <f t="shared" si="0"/>
        <v>31</v>
      </c>
    </row>
    <row r="43" spans="2:7" x14ac:dyDescent="0.25">
      <c r="B43" s="242"/>
      <c r="C43" s="243"/>
      <c r="D43" s="243"/>
      <c r="E43" s="243">
        <v>11142</v>
      </c>
      <c r="F43" s="244" t="s">
        <v>1084</v>
      </c>
      <c r="G43" s="241">
        <f t="shared" si="0"/>
        <v>32</v>
      </c>
    </row>
    <row r="44" spans="2:7" x14ac:dyDescent="0.25">
      <c r="B44" s="242"/>
      <c r="C44" s="243"/>
      <c r="D44" s="243">
        <v>1115</v>
      </c>
      <c r="E44" s="243"/>
      <c r="F44" s="244" t="s">
        <v>1258</v>
      </c>
      <c r="G44" s="241">
        <f t="shared" si="0"/>
        <v>33</v>
      </c>
    </row>
    <row r="45" spans="2:7" x14ac:dyDescent="0.25">
      <c r="B45" s="242"/>
      <c r="C45" s="243"/>
      <c r="D45" s="243"/>
      <c r="E45" s="243">
        <v>11151</v>
      </c>
      <c r="F45" s="244" t="s">
        <v>1083</v>
      </c>
      <c r="G45" s="241">
        <f t="shared" si="0"/>
        <v>34</v>
      </c>
    </row>
    <row r="46" spans="2:7" x14ac:dyDescent="0.25">
      <c r="B46" s="242"/>
      <c r="C46" s="243"/>
      <c r="D46" s="243"/>
      <c r="E46" s="243">
        <v>11152</v>
      </c>
      <c r="F46" s="244" t="s">
        <v>1084</v>
      </c>
      <c r="G46" s="241">
        <f t="shared" si="0"/>
        <v>35</v>
      </c>
    </row>
    <row r="47" spans="2:7" x14ac:dyDescent="0.25">
      <c r="B47" s="242"/>
      <c r="C47" s="243">
        <v>112</v>
      </c>
      <c r="D47" s="243"/>
      <c r="E47" s="243"/>
      <c r="F47" s="244" t="s">
        <v>1257</v>
      </c>
      <c r="G47" s="241">
        <f t="shared" si="0"/>
        <v>36</v>
      </c>
    </row>
    <row r="48" spans="2:7" x14ac:dyDescent="0.25">
      <c r="B48" s="242"/>
      <c r="C48" s="243"/>
      <c r="D48" s="243">
        <v>1121</v>
      </c>
      <c r="E48" s="243"/>
      <c r="F48" s="244" t="s">
        <v>1152</v>
      </c>
      <c r="G48" s="241">
        <f t="shared" si="0"/>
        <v>37</v>
      </c>
    </row>
    <row r="49" spans="2:7" x14ac:dyDescent="0.25">
      <c r="B49" s="242"/>
      <c r="C49" s="243"/>
      <c r="D49" s="243"/>
      <c r="E49" s="243">
        <v>11211</v>
      </c>
      <c r="F49" s="244" t="s">
        <v>1083</v>
      </c>
      <c r="G49" s="241">
        <f t="shared" si="0"/>
        <v>38</v>
      </c>
    </row>
    <row r="50" spans="2:7" x14ac:dyDescent="0.25">
      <c r="B50" s="242"/>
      <c r="C50" s="243"/>
      <c r="D50" s="243"/>
      <c r="E50" s="243">
        <v>11212</v>
      </c>
      <c r="F50" s="244" t="s">
        <v>1084</v>
      </c>
      <c r="G50" s="241">
        <f t="shared" si="0"/>
        <v>39</v>
      </c>
    </row>
    <row r="51" spans="2:7" x14ac:dyDescent="0.25">
      <c r="B51" s="242"/>
      <c r="C51" s="243"/>
      <c r="D51" s="243">
        <v>1122</v>
      </c>
      <c r="E51" s="243"/>
      <c r="F51" s="244" t="s">
        <v>1151</v>
      </c>
      <c r="G51" s="241">
        <f t="shared" si="0"/>
        <v>40</v>
      </c>
    </row>
    <row r="52" spans="2:7" x14ac:dyDescent="0.25">
      <c r="B52" s="242"/>
      <c r="C52" s="243"/>
      <c r="D52" s="243"/>
      <c r="E52" s="243">
        <v>11221</v>
      </c>
      <c r="F52" s="244" t="s">
        <v>1083</v>
      </c>
      <c r="G52" s="241">
        <f t="shared" si="0"/>
        <v>41</v>
      </c>
    </row>
    <row r="53" spans="2:7" x14ac:dyDescent="0.25">
      <c r="B53" s="242"/>
      <c r="C53" s="243"/>
      <c r="D53" s="243"/>
      <c r="E53" s="243">
        <v>11222</v>
      </c>
      <c r="F53" s="244" t="s">
        <v>1084</v>
      </c>
      <c r="G53" s="241">
        <f t="shared" si="0"/>
        <v>42</v>
      </c>
    </row>
    <row r="54" spans="2:7" x14ac:dyDescent="0.25">
      <c r="B54" s="242"/>
      <c r="C54" s="243"/>
      <c r="D54" s="243">
        <v>1123</v>
      </c>
      <c r="E54" s="243"/>
      <c r="F54" s="244" t="s">
        <v>1256</v>
      </c>
      <c r="G54" s="241">
        <f t="shared" si="0"/>
        <v>43</v>
      </c>
    </row>
    <row r="55" spans="2:7" x14ac:dyDescent="0.25">
      <c r="B55" s="242"/>
      <c r="C55" s="243"/>
      <c r="D55" s="243"/>
      <c r="E55" s="243">
        <v>11231</v>
      </c>
      <c r="F55" s="244" t="s">
        <v>1083</v>
      </c>
      <c r="G55" s="241">
        <f t="shared" si="0"/>
        <v>44</v>
      </c>
    </row>
    <row r="56" spans="2:7" x14ac:dyDescent="0.25">
      <c r="B56" s="242"/>
      <c r="C56" s="243"/>
      <c r="D56" s="243"/>
      <c r="E56" s="243">
        <v>11232</v>
      </c>
      <c r="F56" s="244" t="s">
        <v>1084</v>
      </c>
      <c r="G56" s="241">
        <f t="shared" si="0"/>
        <v>45</v>
      </c>
    </row>
    <row r="57" spans="2:7" x14ac:dyDescent="0.25">
      <c r="B57" s="242"/>
      <c r="C57" s="243"/>
      <c r="D57" s="243">
        <v>1124</v>
      </c>
      <c r="E57" s="243"/>
      <c r="F57" s="244" t="s">
        <v>1149</v>
      </c>
      <c r="G57" s="241">
        <f t="shared" si="0"/>
        <v>46</v>
      </c>
    </row>
    <row r="58" spans="2:7" x14ac:dyDescent="0.25">
      <c r="B58" s="242"/>
      <c r="C58" s="243"/>
      <c r="D58" s="243"/>
      <c r="E58" s="243">
        <v>11241</v>
      </c>
      <c r="F58" s="244" t="s">
        <v>1083</v>
      </c>
      <c r="G58" s="241">
        <f t="shared" si="0"/>
        <v>47</v>
      </c>
    </row>
    <row r="59" spans="2:7" x14ac:dyDescent="0.25">
      <c r="B59" s="242"/>
      <c r="C59" s="243"/>
      <c r="D59" s="243"/>
      <c r="E59" s="243">
        <v>11242</v>
      </c>
      <c r="F59" s="244" t="s">
        <v>1084</v>
      </c>
      <c r="G59" s="241">
        <f t="shared" si="0"/>
        <v>48</v>
      </c>
    </row>
    <row r="60" spans="2:7" x14ac:dyDescent="0.25">
      <c r="B60" s="242"/>
      <c r="C60" s="243">
        <v>113</v>
      </c>
      <c r="D60" s="243"/>
      <c r="E60" s="243"/>
      <c r="F60" s="244" t="s">
        <v>1279</v>
      </c>
      <c r="G60" s="241">
        <f t="shared" si="0"/>
        <v>49</v>
      </c>
    </row>
    <row r="61" spans="2:7" x14ac:dyDescent="0.25">
      <c r="B61" s="242"/>
      <c r="C61" s="243"/>
      <c r="D61" s="243">
        <v>1131</v>
      </c>
      <c r="E61" s="243"/>
      <c r="F61" s="244" t="s">
        <v>1280</v>
      </c>
      <c r="G61" s="241">
        <f t="shared" si="0"/>
        <v>50</v>
      </c>
    </row>
    <row r="62" spans="2:7" x14ac:dyDescent="0.25">
      <c r="B62" s="242"/>
      <c r="C62" s="243"/>
      <c r="D62" s="243"/>
      <c r="E62" s="243">
        <v>11311</v>
      </c>
      <c r="F62" s="244" t="s">
        <v>1083</v>
      </c>
      <c r="G62" s="241">
        <f t="shared" si="0"/>
        <v>51</v>
      </c>
    </row>
    <row r="63" spans="2:7" x14ac:dyDescent="0.25">
      <c r="B63" s="242"/>
      <c r="C63" s="243"/>
      <c r="D63" s="243"/>
      <c r="E63" s="243">
        <v>11312</v>
      </c>
      <c r="F63" s="244" t="s">
        <v>1084</v>
      </c>
      <c r="G63" s="241">
        <f t="shared" si="0"/>
        <v>52</v>
      </c>
    </row>
    <row r="64" spans="2:7" x14ac:dyDescent="0.25">
      <c r="B64" s="242"/>
      <c r="C64" s="243"/>
      <c r="D64" s="243">
        <v>1132</v>
      </c>
      <c r="E64" s="243"/>
      <c r="F64" s="244" t="s">
        <v>1281</v>
      </c>
      <c r="G64" s="241">
        <f t="shared" si="0"/>
        <v>53</v>
      </c>
    </row>
    <row r="65" spans="2:7" x14ac:dyDescent="0.25">
      <c r="B65" s="242"/>
      <c r="C65" s="243"/>
      <c r="D65" s="243"/>
      <c r="E65" s="243">
        <v>11321</v>
      </c>
      <c r="F65" s="244" t="s">
        <v>1083</v>
      </c>
      <c r="G65" s="241">
        <f t="shared" si="0"/>
        <v>54</v>
      </c>
    </row>
    <row r="66" spans="2:7" x14ac:dyDescent="0.25">
      <c r="B66" s="242"/>
      <c r="C66" s="243"/>
      <c r="D66" s="243"/>
      <c r="E66" s="243">
        <v>11322</v>
      </c>
      <c r="F66" s="244" t="s">
        <v>1084</v>
      </c>
      <c r="G66" s="241">
        <f t="shared" si="0"/>
        <v>55</v>
      </c>
    </row>
    <row r="67" spans="2:7" x14ac:dyDescent="0.25">
      <c r="B67" s="242">
        <v>12</v>
      </c>
      <c r="C67" s="243"/>
      <c r="D67" s="243"/>
      <c r="E67" s="243"/>
      <c r="F67" s="244" t="s">
        <v>1255</v>
      </c>
      <c r="G67" s="241">
        <f t="shared" si="0"/>
        <v>56</v>
      </c>
    </row>
    <row r="68" spans="2:7" x14ac:dyDescent="0.25">
      <c r="B68" s="242"/>
      <c r="C68" s="243">
        <v>121</v>
      </c>
      <c r="D68" s="243"/>
      <c r="E68" s="243"/>
      <c r="F68" s="244" t="s">
        <v>1191</v>
      </c>
      <c r="G68" s="241">
        <f t="shared" si="0"/>
        <v>57</v>
      </c>
    </row>
    <row r="69" spans="2:7" x14ac:dyDescent="0.25">
      <c r="B69" s="242"/>
      <c r="C69" s="243"/>
      <c r="D69" s="243">
        <v>1211</v>
      </c>
      <c r="E69" s="243"/>
      <c r="F69" s="244" t="s">
        <v>1252</v>
      </c>
      <c r="G69" s="241">
        <f t="shared" si="0"/>
        <v>58</v>
      </c>
    </row>
    <row r="70" spans="2:7" x14ac:dyDescent="0.25">
      <c r="B70" s="242"/>
      <c r="C70" s="243"/>
      <c r="D70" s="243">
        <v>1212</v>
      </c>
      <c r="E70" s="243"/>
      <c r="F70" s="244" t="s">
        <v>1251</v>
      </c>
      <c r="G70" s="241">
        <f t="shared" si="0"/>
        <v>59</v>
      </c>
    </row>
    <row r="71" spans="2:7" x14ac:dyDescent="0.25">
      <c r="B71" s="242"/>
      <c r="C71" s="243"/>
      <c r="D71" s="243">
        <v>1213</v>
      </c>
      <c r="E71" s="243"/>
      <c r="F71" s="244" t="s">
        <v>1250</v>
      </c>
      <c r="G71" s="241">
        <f t="shared" si="0"/>
        <v>60</v>
      </c>
    </row>
    <row r="72" spans="2:7" x14ac:dyDescent="0.25">
      <c r="B72" s="242"/>
      <c r="C72" s="243"/>
      <c r="D72" s="243">
        <v>1214</v>
      </c>
      <c r="E72" s="243"/>
      <c r="F72" s="244" t="s">
        <v>1249</v>
      </c>
      <c r="G72" s="241">
        <f t="shared" si="0"/>
        <v>61</v>
      </c>
    </row>
    <row r="73" spans="2:7" x14ac:dyDescent="0.25">
      <c r="B73" s="242"/>
      <c r="C73" s="243">
        <v>122</v>
      </c>
      <c r="D73" s="243"/>
      <c r="E73" s="243"/>
      <c r="F73" s="244" t="s">
        <v>1254</v>
      </c>
      <c r="G73" s="241">
        <f t="shared" si="0"/>
        <v>62</v>
      </c>
    </row>
    <row r="74" spans="2:7" x14ac:dyDescent="0.25">
      <c r="B74" s="242"/>
      <c r="C74" s="243"/>
      <c r="D74" s="243">
        <v>1221</v>
      </c>
      <c r="E74" s="243"/>
      <c r="F74" s="244" t="s">
        <v>1254</v>
      </c>
      <c r="G74" s="241">
        <f t="shared" si="0"/>
        <v>63</v>
      </c>
    </row>
    <row r="75" spans="2:7" x14ac:dyDescent="0.25">
      <c r="B75" s="242"/>
      <c r="C75" s="243">
        <v>123</v>
      </c>
      <c r="D75" s="243"/>
      <c r="E75" s="243"/>
      <c r="F75" s="244" t="s">
        <v>1190</v>
      </c>
      <c r="G75" s="241">
        <f t="shared" si="0"/>
        <v>64</v>
      </c>
    </row>
    <row r="76" spans="2:7" x14ac:dyDescent="0.25">
      <c r="B76" s="242"/>
      <c r="C76" s="243"/>
      <c r="D76" s="243">
        <v>1231</v>
      </c>
      <c r="E76" s="243"/>
      <c r="F76" s="244" t="s">
        <v>1248</v>
      </c>
      <c r="G76" s="241">
        <f t="shared" si="0"/>
        <v>65</v>
      </c>
    </row>
    <row r="77" spans="2:7" x14ac:dyDescent="0.25">
      <c r="B77" s="242"/>
      <c r="C77" s="243"/>
      <c r="D77" s="243">
        <v>1232</v>
      </c>
      <c r="E77" s="243"/>
      <c r="F77" s="244" t="s">
        <v>1247</v>
      </c>
      <c r="G77" s="241">
        <f t="shared" ref="G77:G140" si="1">G76+1</f>
        <v>66</v>
      </c>
    </row>
    <row r="78" spans="2:7" x14ac:dyDescent="0.25">
      <c r="B78" s="242"/>
      <c r="C78" s="243"/>
      <c r="D78" s="243">
        <v>1233</v>
      </c>
      <c r="E78" s="243"/>
      <c r="F78" s="244" t="s">
        <v>1246</v>
      </c>
      <c r="G78" s="241">
        <f t="shared" si="1"/>
        <v>67</v>
      </c>
    </row>
    <row r="79" spans="2:7" x14ac:dyDescent="0.25">
      <c r="B79" s="242">
        <v>13</v>
      </c>
      <c r="C79" s="243"/>
      <c r="D79" s="243"/>
      <c r="E79" s="243"/>
      <c r="F79" s="244" t="s">
        <v>1253</v>
      </c>
      <c r="G79" s="241">
        <f t="shared" si="1"/>
        <v>68</v>
      </c>
    </row>
    <row r="80" spans="2:7" x14ac:dyDescent="0.25">
      <c r="B80" s="242"/>
      <c r="C80" s="243">
        <v>131</v>
      </c>
      <c r="D80" s="243"/>
      <c r="E80" s="243"/>
      <c r="F80" s="244" t="s">
        <v>1191</v>
      </c>
      <c r="G80" s="241">
        <f t="shared" si="1"/>
        <v>69</v>
      </c>
    </row>
    <row r="81" spans="2:7" x14ac:dyDescent="0.25">
      <c r="B81" s="242"/>
      <c r="C81" s="243"/>
      <c r="D81" s="243">
        <v>1311</v>
      </c>
      <c r="E81" s="243"/>
      <c r="F81" s="244" t="s">
        <v>1252</v>
      </c>
      <c r="G81" s="241">
        <f t="shared" si="1"/>
        <v>70</v>
      </c>
    </row>
    <row r="82" spans="2:7" x14ac:dyDescent="0.25">
      <c r="B82" s="242"/>
      <c r="C82" s="243"/>
      <c r="D82" s="243"/>
      <c r="E82" s="243">
        <v>13111</v>
      </c>
      <c r="F82" s="244" t="s">
        <v>1219</v>
      </c>
      <c r="G82" s="241">
        <f t="shared" si="1"/>
        <v>71</v>
      </c>
    </row>
    <row r="83" spans="2:7" x14ac:dyDescent="0.25">
      <c r="B83" s="242"/>
      <c r="C83" s="243"/>
      <c r="D83" s="243"/>
      <c r="E83" s="243">
        <v>13112</v>
      </c>
      <c r="F83" s="244" t="s">
        <v>1218</v>
      </c>
      <c r="G83" s="241">
        <f t="shared" si="1"/>
        <v>72</v>
      </c>
    </row>
    <row r="84" spans="2:7" x14ac:dyDescent="0.25">
      <c r="B84" s="242"/>
      <c r="C84" s="243"/>
      <c r="D84" s="243"/>
      <c r="E84" s="243">
        <v>13113</v>
      </c>
      <c r="F84" s="244" t="s">
        <v>1217</v>
      </c>
      <c r="G84" s="241">
        <f t="shared" si="1"/>
        <v>73</v>
      </c>
    </row>
    <row r="85" spans="2:7" x14ac:dyDescent="0.25">
      <c r="B85" s="242"/>
      <c r="C85" s="243"/>
      <c r="D85" s="243"/>
      <c r="E85" s="243">
        <v>13114</v>
      </c>
      <c r="F85" s="244" t="s">
        <v>1282</v>
      </c>
      <c r="G85" s="241">
        <f t="shared" si="1"/>
        <v>74</v>
      </c>
    </row>
    <row r="86" spans="2:7" x14ac:dyDescent="0.25">
      <c r="B86" s="242"/>
      <c r="C86" s="243"/>
      <c r="D86" s="243"/>
      <c r="E86" s="243">
        <v>13115</v>
      </c>
      <c r="F86" s="244" t="s">
        <v>1262</v>
      </c>
      <c r="G86" s="241">
        <f t="shared" si="1"/>
        <v>75</v>
      </c>
    </row>
    <row r="87" spans="2:7" x14ac:dyDescent="0.25">
      <c r="B87" s="242"/>
      <c r="C87" s="243"/>
      <c r="D87" s="243">
        <v>1312</v>
      </c>
      <c r="E87" s="243"/>
      <c r="F87" s="244" t="s">
        <v>1251</v>
      </c>
      <c r="G87" s="241">
        <f t="shared" si="1"/>
        <v>76</v>
      </c>
    </row>
    <row r="88" spans="2:7" x14ac:dyDescent="0.25">
      <c r="B88" s="242"/>
      <c r="C88" s="243"/>
      <c r="D88" s="243"/>
      <c r="E88" s="243">
        <v>13121</v>
      </c>
      <c r="F88" s="244" t="s">
        <v>1219</v>
      </c>
      <c r="G88" s="241">
        <f t="shared" si="1"/>
        <v>77</v>
      </c>
    </row>
    <row r="89" spans="2:7" x14ac:dyDescent="0.25">
      <c r="B89" s="242"/>
      <c r="C89" s="243"/>
      <c r="D89" s="243"/>
      <c r="E89" s="243">
        <v>13122</v>
      </c>
      <c r="F89" s="244" t="s">
        <v>1218</v>
      </c>
      <c r="G89" s="241">
        <f t="shared" si="1"/>
        <v>78</v>
      </c>
    </row>
    <row r="90" spans="2:7" x14ac:dyDescent="0.25">
      <c r="B90" s="242"/>
      <c r="C90" s="243"/>
      <c r="D90" s="243"/>
      <c r="E90" s="243">
        <v>13123</v>
      </c>
      <c r="F90" s="244" t="s">
        <v>1217</v>
      </c>
      <c r="G90" s="241">
        <f t="shared" si="1"/>
        <v>79</v>
      </c>
    </row>
    <row r="91" spans="2:7" x14ac:dyDescent="0.25">
      <c r="B91" s="242"/>
      <c r="C91" s="243"/>
      <c r="D91" s="243"/>
      <c r="E91" s="243">
        <v>13124</v>
      </c>
      <c r="F91" s="244" t="s">
        <v>1282</v>
      </c>
      <c r="G91" s="241">
        <f t="shared" si="1"/>
        <v>80</v>
      </c>
    </row>
    <row r="92" spans="2:7" x14ac:dyDescent="0.25">
      <c r="B92" s="242"/>
      <c r="C92" s="243"/>
      <c r="D92" s="243"/>
      <c r="E92" s="243">
        <v>13125</v>
      </c>
      <c r="F92" s="244" t="s">
        <v>1262</v>
      </c>
      <c r="G92" s="241">
        <f t="shared" si="1"/>
        <v>81</v>
      </c>
    </row>
    <row r="93" spans="2:7" x14ac:dyDescent="0.25">
      <c r="B93" s="242"/>
      <c r="C93" s="243"/>
      <c r="D93" s="243">
        <v>1313</v>
      </c>
      <c r="E93" s="243"/>
      <c r="F93" s="244" t="s">
        <v>1250</v>
      </c>
      <c r="G93" s="241">
        <f t="shared" si="1"/>
        <v>82</v>
      </c>
    </row>
    <row r="94" spans="2:7" x14ac:dyDescent="0.25">
      <c r="B94" s="242"/>
      <c r="C94" s="243"/>
      <c r="D94" s="243"/>
      <c r="E94" s="243">
        <v>13131</v>
      </c>
      <c r="F94" s="244" t="s">
        <v>1219</v>
      </c>
      <c r="G94" s="241">
        <f t="shared" si="1"/>
        <v>83</v>
      </c>
    </row>
    <row r="95" spans="2:7" x14ac:dyDescent="0.25">
      <c r="B95" s="242"/>
      <c r="C95" s="243"/>
      <c r="D95" s="243"/>
      <c r="E95" s="243">
        <v>13132</v>
      </c>
      <c r="F95" s="244" t="s">
        <v>1218</v>
      </c>
      <c r="G95" s="241">
        <f t="shared" si="1"/>
        <v>84</v>
      </c>
    </row>
    <row r="96" spans="2:7" x14ac:dyDescent="0.25">
      <c r="B96" s="242"/>
      <c r="C96" s="243"/>
      <c r="D96" s="243"/>
      <c r="E96" s="243">
        <v>13133</v>
      </c>
      <c r="F96" s="244" t="s">
        <v>1217</v>
      </c>
      <c r="G96" s="241">
        <f t="shared" si="1"/>
        <v>85</v>
      </c>
    </row>
    <row r="97" spans="2:7" x14ac:dyDescent="0.25">
      <c r="B97" s="242"/>
      <c r="C97" s="243"/>
      <c r="D97" s="243"/>
      <c r="E97" s="243">
        <v>13134</v>
      </c>
      <c r="F97" s="244" t="s">
        <v>1282</v>
      </c>
      <c r="G97" s="241">
        <f t="shared" si="1"/>
        <v>86</v>
      </c>
    </row>
    <row r="98" spans="2:7" x14ac:dyDescent="0.25">
      <c r="B98" s="242"/>
      <c r="C98" s="243"/>
      <c r="D98" s="243"/>
      <c r="E98" s="243">
        <v>13135</v>
      </c>
      <c r="F98" s="244" t="s">
        <v>1262</v>
      </c>
      <c r="G98" s="241">
        <f t="shared" si="1"/>
        <v>87</v>
      </c>
    </row>
    <row r="99" spans="2:7" x14ac:dyDescent="0.25">
      <c r="B99" s="242"/>
      <c r="C99" s="243"/>
      <c r="D99" s="243">
        <v>1314</v>
      </c>
      <c r="E99" s="243"/>
      <c r="F99" s="244" t="s">
        <v>1249</v>
      </c>
      <c r="G99" s="241">
        <f t="shared" si="1"/>
        <v>88</v>
      </c>
    </row>
    <row r="100" spans="2:7" x14ac:dyDescent="0.25">
      <c r="B100" s="242"/>
      <c r="C100" s="243"/>
      <c r="D100" s="243"/>
      <c r="E100" s="243">
        <v>13141</v>
      </c>
      <c r="F100" s="244" t="s">
        <v>1219</v>
      </c>
      <c r="G100" s="241">
        <f t="shared" si="1"/>
        <v>89</v>
      </c>
    </row>
    <row r="101" spans="2:7" x14ac:dyDescent="0.25">
      <c r="B101" s="242"/>
      <c r="C101" s="243"/>
      <c r="D101" s="243"/>
      <c r="E101" s="243">
        <v>13142</v>
      </c>
      <c r="F101" s="244" t="s">
        <v>1218</v>
      </c>
      <c r="G101" s="241">
        <f t="shared" si="1"/>
        <v>90</v>
      </c>
    </row>
    <row r="102" spans="2:7" x14ac:dyDescent="0.25">
      <c r="B102" s="242"/>
      <c r="C102" s="243"/>
      <c r="D102" s="243"/>
      <c r="E102" s="243">
        <v>13143</v>
      </c>
      <c r="F102" s="244" t="s">
        <v>1217</v>
      </c>
      <c r="G102" s="241">
        <f t="shared" si="1"/>
        <v>91</v>
      </c>
    </row>
    <row r="103" spans="2:7" x14ac:dyDescent="0.25">
      <c r="B103" s="242"/>
      <c r="C103" s="243"/>
      <c r="D103" s="243"/>
      <c r="E103" s="243">
        <v>13144</v>
      </c>
      <c r="F103" s="244" t="s">
        <v>1282</v>
      </c>
      <c r="G103" s="241">
        <f t="shared" si="1"/>
        <v>92</v>
      </c>
    </row>
    <row r="104" spans="2:7" x14ac:dyDescent="0.25">
      <c r="B104" s="242"/>
      <c r="C104" s="243"/>
      <c r="D104" s="243"/>
      <c r="E104" s="243">
        <v>13145</v>
      </c>
      <c r="F104" s="244" t="s">
        <v>1262</v>
      </c>
      <c r="G104" s="241">
        <f t="shared" si="1"/>
        <v>93</v>
      </c>
    </row>
    <row r="105" spans="2:7" x14ac:dyDescent="0.25">
      <c r="B105" s="242"/>
      <c r="C105" s="243">
        <v>132</v>
      </c>
      <c r="D105" s="243"/>
      <c r="E105" s="243"/>
      <c r="F105" s="244" t="s">
        <v>951</v>
      </c>
      <c r="G105" s="241">
        <f t="shared" si="1"/>
        <v>94</v>
      </c>
    </row>
    <row r="106" spans="2:7" x14ac:dyDescent="0.25">
      <c r="B106" s="242"/>
      <c r="C106" s="243"/>
      <c r="D106" s="243">
        <v>1321</v>
      </c>
      <c r="E106" s="243"/>
      <c r="F106" s="244" t="s">
        <v>951</v>
      </c>
      <c r="G106" s="241">
        <f t="shared" si="1"/>
        <v>95</v>
      </c>
    </row>
    <row r="107" spans="2:7" x14ac:dyDescent="0.25">
      <c r="B107" s="242"/>
      <c r="C107" s="243"/>
      <c r="D107" s="243"/>
      <c r="E107" s="243">
        <v>13211</v>
      </c>
      <c r="F107" s="244" t="s">
        <v>1219</v>
      </c>
      <c r="G107" s="241">
        <f t="shared" si="1"/>
        <v>96</v>
      </c>
    </row>
    <row r="108" spans="2:7" x14ac:dyDescent="0.25">
      <c r="B108" s="242"/>
      <c r="C108" s="243"/>
      <c r="D108" s="243"/>
      <c r="E108" s="243">
        <v>13212</v>
      </c>
      <c r="F108" s="244" t="s">
        <v>1218</v>
      </c>
      <c r="G108" s="241">
        <f t="shared" si="1"/>
        <v>97</v>
      </c>
    </row>
    <row r="109" spans="2:7" x14ac:dyDescent="0.25">
      <c r="B109" s="242"/>
      <c r="C109" s="243"/>
      <c r="D109" s="243"/>
      <c r="E109" s="243">
        <v>13213</v>
      </c>
      <c r="F109" s="244" t="s">
        <v>1217</v>
      </c>
      <c r="G109" s="241">
        <f t="shared" si="1"/>
        <v>98</v>
      </c>
    </row>
    <row r="110" spans="2:7" x14ac:dyDescent="0.25">
      <c r="B110" s="242"/>
      <c r="C110" s="243"/>
      <c r="D110" s="243"/>
      <c r="E110" s="243">
        <v>13214</v>
      </c>
      <c r="F110" s="244" t="s">
        <v>1282</v>
      </c>
      <c r="G110" s="241">
        <f t="shared" si="1"/>
        <v>99</v>
      </c>
    </row>
    <row r="111" spans="2:7" x14ac:dyDescent="0.25">
      <c r="B111" s="242"/>
      <c r="C111" s="243"/>
      <c r="D111" s="243"/>
      <c r="E111" s="243">
        <v>13215</v>
      </c>
      <c r="F111" s="244" t="s">
        <v>1262</v>
      </c>
      <c r="G111" s="241">
        <f t="shared" si="1"/>
        <v>100</v>
      </c>
    </row>
    <row r="112" spans="2:7" x14ac:dyDescent="0.25">
      <c r="B112" s="242"/>
      <c r="C112" s="243">
        <v>133</v>
      </c>
      <c r="D112" s="243"/>
      <c r="E112" s="243"/>
      <c r="F112" s="244" t="s">
        <v>1190</v>
      </c>
      <c r="G112" s="241">
        <f t="shared" si="1"/>
        <v>101</v>
      </c>
    </row>
    <row r="113" spans="2:7" x14ac:dyDescent="0.25">
      <c r="B113" s="242"/>
      <c r="C113" s="243"/>
      <c r="D113" s="243">
        <v>1331</v>
      </c>
      <c r="E113" s="243"/>
      <c r="F113" s="244" t="s">
        <v>1248</v>
      </c>
      <c r="G113" s="241">
        <f t="shared" si="1"/>
        <v>102</v>
      </c>
    </row>
    <row r="114" spans="2:7" x14ac:dyDescent="0.25">
      <c r="B114" s="242"/>
      <c r="C114" s="243"/>
      <c r="D114" s="243"/>
      <c r="E114" s="243">
        <v>13311</v>
      </c>
      <c r="F114" s="244" t="s">
        <v>1219</v>
      </c>
      <c r="G114" s="241">
        <f t="shared" si="1"/>
        <v>103</v>
      </c>
    </row>
    <row r="115" spans="2:7" x14ac:dyDescent="0.25">
      <c r="B115" s="242"/>
      <c r="C115" s="243"/>
      <c r="D115" s="243"/>
      <c r="E115" s="243">
        <v>13312</v>
      </c>
      <c r="F115" s="244" t="s">
        <v>1218</v>
      </c>
      <c r="G115" s="241">
        <f t="shared" si="1"/>
        <v>104</v>
      </c>
    </row>
    <row r="116" spans="2:7" x14ac:dyDescent="0.25">
      <c r="B116" s="242"/>
      <c r="C116" s="243"/>
      <c r="D116" s="243"/>
      <c r="E116" s="243">
        <v>13313</v>
      </c>
      <c r="F116" s="244" t="s">
        <v>1217</v>
      </c>
      <c r="G116" s="241">
        <f t="shared" si="1"/>
        <v>105</v>
      </c>
    </row>
    <row r="117" spans="2:7" x14ac:dyDescent="0.25">
      <c r="B117" s="242"/>
      <c r="C117" s="243"/>
      <c r="D117" s="243"/>
      <c r="E117" s="243">
        <v>13314</v>
      </c>
      <c r="F117" s="244" t="s">
        <v>1282</v>
      </c>
      <c r="G117" s="241">
        <f t="shared" si="1"/>
        <v>106</v>
      </c>
    </row>
    <row r="118" spans="2:7" x14ac:dyDescent="0.25">
      <c r="B118" s="242"/>
      <c r="C118" s="243"/>
      <c r="D118" s="243"/>
      <c r="E118" s="243">
        <v>13315</v>
      </c>
      <c r="F118" s="244" t="s">
        <v>1262</v>
      </c>
      <c r="G118" s="241">
        <f t="shared" si="1"/>
        <v>107</v>
      </c>
    </row>
    <row r="119" spans="2:7" x14ac:dyDescent="0.25">
      <c r="B119" s="242"/>
      <c r="C119" s="243"/>
      <c r="D119" s="243">
        <v>1332</v>
      </c>
      <c r="E119" s="243"/>
      <c r="F119" s="244" t="s">
        <v>1247</v>
      </c>
      <c r="G119" s="241">
        <f t="shared" si="1"/>
        <v>108</v>
      </c>
    </row>
    <row r="120" spans="2:7" x14ac:dyDescent="0.25">
      <c r="B120" s="242"/>
      <c r="C120" s="243"/>
      <c r="D120" s="243"/>
      <c r="E120" s="243">
        <v>13321</v>
      </c>
      <c r="F120" s="244" t="s">
        <v>1219</v>
      </c>
      <c r="G120" s="241">
        <f t="shared" si="1"/>
        <v>109</v>
      </c>
    </row>
    <row r="121" spans="2:7" x14ac:dyDescent="0.25">
      <c r="B121" s="242"/>
      <c r="C121" s="243"/>
      <c r="D121" s="243"/>
      <c r="E121" s="243">
        <v>13322</v>
      </c>
      <c r="F121" s="244" t="s">
        <v>1218</v>
      </c>
      <c r="G121" s="241">
        <f t="shared" si="1"/>
        <v>110</v>
      </c>
    </row>
    <row r="122" spans="2:7" x14ac:dyDescent="0.25">
      <c r="B122" s="242"/>
      <c r="C122" s="243"/>
      <c r="D122" s="243"/>
      <c r="E122" s="243">
        <v>13323</v>
      </c>
      <c r="F122" s="244" t="s">
        <v>1217</v>
      </c>
      <c r="G122" s="241">
        <f t="shared" si="1"/>
        <v>111</v>
      </c>
    </row>
    <row r="123" spans="2:7" x14ac:dyDescent="0.25">
      <c r="B123" s="242"/>
      <c r="C123" s="243"/>
      <c r="D123" s="243"/>
      <c r="E123" s="243">
        <v>13324</v>
      </c>
      <c r="F123" s="244" t="s">
        <v>1282</v>
      </c>
      <c r="G123" s="241">
        <f t="shared" si="1"/>
        <v>112</v>
      </c>
    </row>
    <row r="124" spans="2:7" x14ac:dyDescent="0.25">
      <c r="B124" s="242"/>
      <c r="C124" s="243"/>
      <c r="D124" s="243"/>
      <c r="E124" s="243">
        <v>13325</v>
      </c>
      <c r="F124" s="244" t="s">
        <v>1262</v>
      </c>
      <c r="G124" s="241">
        <f t="shared" si="1"/>
        <v>113</v>
      </c>
    </row>
    <row r="125" spans="2:7" x14ac:dyDescent="0.25">
      <c r="B125" s="242"/>
      <c r="C125" s="243"/>
      <c r="D125" s="243">
        <v>1333</v>
      </c>
      <c r="E125" s="243"/>
      <c r="F125" s="244" t="s">
        <v>1246</v>
      </c>
      <c r="G125" s="241">
        <f t="shared" si="1"/>
        <v>114</v>
      </c>
    </row>
    <row r="126" spans="2:7" x14ac:dyDescent="0.25">
      <c r="B126" s="242"/>
      <c r="C126" s="243"/>
      <c r="D126" s="243"/>
      <c r="E126" s="243">
        <v>13331</v>
      </c>
      <c r="F126" s="244" t="s">
        <v>1219</v>
      </c>
      <c r="G126" s="241">
        <f t="shared" si="1"/>
        <v>115</v>
      </c>
    </row>
    <row r="127" spans="2:7" x14ac:dyDescent="0.25">
      <c r="B127" s="242"/>
      <c r="C127" s="243"/>
      <c r="D127" s="243"/>
      <c r="E127" s="243">
        <v>13332</v>
      </c>
      <c r="F127" s="244" t="s">
        <v>1218</v>
      </c>
      <c r="G127" s="241">
        <f t="shared" si="1"/>
        <v>116</v>
      </c>
    </row>
    <row r="128" spans="2:7" x14ac:dyDescent="0.25">
      <c r="B128" s="242"/>
      <c r="C128" s="243"/>
      <c r="D128" s="243"/>
      <c r="E128" s="243">
        <v>13333</v>
      </c>
      <c r="F128" s="244" t="s">
        <v>1217</v>
      </c>
      <c r="G128" s="241">
        <f t="shared" si="1"/>
        <v>117</v>
      </c>
    </row>
    <row r="129" spans="2:7" x14ac:dyDescent="0.25">
      <c r="B129" s="242"/>
      <c r="C129" s="243"/>
      <c r="D129" s="243"/>
      <c r="E129" s="243">
        <v>13334</v>
      </c>
      <c r="F129" s="244" t="s">
        <v>1282</v>
      </c>
      <c r="G129" s="241">
        <f t="shared" si="1"/>
        <v>118</v>
      </c>
    </row>
    <row r="130" spans="2:7" x14ac:dyDescent="0.25">
      <c r="B130" s="242"/>
      <c r="C130" s="243"/>
      <c r="D130" s="243"/>
      <c r="E130" s="243">
        <v>13335</v>
      </c>
      <c r="F130" s="244" t="s">
        <v>1262</v>
      </c>
      <c r="G130" s="241">
        <f t="shared" si="1"/>
        <v>119</v>
      </c>
    </row>
    <row r="131" spans="2:7" x14ac:dyDescent="0.25">
      <c r="B131" s="242">
        <v>14</v>
      </c>
      <c r="C131" s="243"/>
      <c r="D131" s="243"/>
      <c r="E131" s="243"/>
      <c r="F131" s="244" t="s">
        <v>1245</v>
      </c>
      <c r="G131" s="241">
        <f t="shared" si="1"/>
        <v>120</v>
      </c>
    </row>
    <row r="132" spans="2:7" x14ac:dyDescent="0.25">
      <c r="B132" s="242"/>
      <c r="C132" s="243">
        <v>141</v>
      </c>
      <c r="D132" s="243"/>
      <c r="E132" s="243"/>
      <c r="F132" s="244" t="s">
        <v>1244</v>
      </c>
      <c r="G132" s="241">
        <f t="shared" si="1"/>
        <v>121</v>
      </c>
    </row>
    <row r="133" spans="2:7" x14ac:dyDescent="0.25">
      <c r="B133" s="242"/>
      <c r="C133" s="243"/>
      <c r="D133" s="243">
        <v>1411</v>
      </c>
      <c r="E133" s="243"/>
      <c r="F133" s="244" t="s">
        <v>1243</v>
      </c>
      <c r="G133" s="241">
        <f t="shared" si="1"/>
        <v>122</v>
      </c>
    </row>
    <row r="134" spans="2:7" x14ac:dyDescent="0.25">
      <c r="B134" s="242"/>
      <c r="C134" s="243"/>
      <c r="D134" s="243">
        <v>1412</v>
      </c>
      <c r="E134" s="243"/>
      <c r="F134" s="244" t="s">
        <v>1242</v>
      </c>
      <c r="G134" s="241">
        <f t="shared" si="1"/>
        <v>123</v>
      </c>
    </row>
    <row r="135" spans="2:7" x14ac:dyDescent="0.25">
      <c r="B135" s="242"/>
      <c r="C135" s="243"/>
      <c r="D135" s="243">
        <v>1413</v>
      </c>
      <c r="E135" s="243"/>
      <c r="F135" s="244" t="s">
        <v>1241</v>
      </c>
      <c r="G135" s="241">
        <f t="shared" si="1"/>
        <v>124</v>
      </c>
    </row>
    <row r="136" spans="2:7" x14ac:dyDescent="0.25">
      <c r="B136" s="242"/>
      <c r="C136" s="243"/>
      <c r="D136" s="243">
        <v>1419</v>
      </c>
      <c r="E136" s="243"/>
      <c r="F136" s="244" t="s">
        <v>1283</v>
      </c>
      <c r="G136" s="241">
        <f t="shared" si="1"/>
        <v>125</v>
      </c>
    </row>
    <row r="137" spans="2:7" x14ac:dyDescent="0.25">
      <c r="B137" s="242"/>
      <c r="C137" s="243">
        <v>142</v>
      </c>
      <c r="D137" s="243"/>
      <c r="E137" s="243"/>
      <c r="F137" s="244" t="s">
        <v>980</v>
      </c>
      <c r="G137" s="241">
        <f t="shared" si="1"/>
        <v>126</v>
      </c>
    </row>
    <row r="138" spans="2:7" x14ac:dyDescent="0.25">
      <c r="B138" s="242"/>
      <c r="C138" s="243"/>
      <c r="D138" s="243">
        <v>1421</v>
      </c>
      <c r="E138" s="243"/>
      <c r="F138" s="244" t="s">
        <v>1240</v>
      </c>
      <c r="G138" s="241">
        <f t="shared" si="1"/>
        <v>127</v>
      </c>
    </row>
    <row r="139" spans="2:7" x14ac:dyDescent="0.25">
      <c r="B139" s="242"/>
      <c r="C139" s="243"/>
      <c r="D139" s="243">
        <v>1422</v>
      </c>
      <c r="E139" s="243"/>
      <c r="F139" s="244" t="s">
        <v>1239</v>
      </c>
      <c r="G139" s="241">
        <f t="shared" si="1"/>
        <v>128</v>
      </c>
    </row>
    <row r="140" spans="2:7" x14ac:dyDescent="0.25">
      <c r="B140" s="242"/>
      <c r="C140" s="243">
        <v>143</v>
      </c>
      <c r="D140" s="243"/>
      <c r="E140" s="243"/>
      <c r="F140" s="244" t="s">
        <v>979</v>
      </c>
      <c r="G140" s="241">
        <f t="shared" si="1"/>
        <v>129</v>
      </c>
    </row>
    <row r="141" spans="2:7" x14ac:dyDescent="0.25">
      <c r="B141" s="242"/>
      <c r="C141" s="243"/>
      <c r="D141" s="243">
        <v>1431</v>
      </c>
      <c r="E141" s="243"/>
      <c r="F141" s="244" t="s">
        <v>1284</v>
      </c>
      <c r="G141" s="241">
        <f t="shared" ref="G141:G204" si="2">G140+1</f>
        <v>130</v>
      </c>
    </row>
    <row r="142" spans="2:7" x14ac:dyDescent="0.25">
      <c r="B142" s="242"/>
      <c r="C142" s="243"/>
      <c r="D142" s="243">
        <v>1432</v>
      </c>
      <c r="E142" s="243"/>
      <c r="F142" s="244" t="s">
        <v>1285</v>
      </c>
      <c r="G142" s="241">
        <f t="shared" si="2"/>
        <v>131</v>
      </c>
    </row>
    <row r="143" spans="2:7" x14ac:dyDescent="0.25">
      <c r="B143" s="242"/>
      <c r="C143" s="243"/>
      <c r="D143" s="243">
        <v>1433</v>
      </c>
      <c r="E143" s="243"/>
      <c r="F143" s="244" t="s">
        <v>1286</v>
      </c>
      <c r="G143" s="241">
        <f t="shared" si="2"/>
        <v>132</v>
      </c>
    </row>
    <row r="144" spans="2:7" x14ac:dyDescent="0.25">
      <c r="B144" s="242"/>
      <c r="C144" s="243">
        <v>144</v>
      </c>
      <c r="D144" s="243"/>
      <c r="E144" s="243"/>
      <c r="F144" s="244" t="s">
        <v>852</v>
      </c>
      <c r="G144" s="241">
        <f t="shared" si="2"/>
        <v>133</v>
      </c>
    </row>
    <row r="145" spans="2:7" x14ac:dyDescent="0.25">
      <c r="B145" s="242"/>
      <c r="C145" s="243"/>
      <c r="D145" s="243">
        <v>1441</v>
      </c>
      <c r="E145" s="243"/>
      <c r="F145" s="244" t="s">
        <v>1287</v>
      </c>
      <c r="G145" s="241">
        <f t="shared" si="2"/>
        <v>134</v>
      </c>
    </row>
    <row r="146" spans="2:7" x14ac:dyDescent="0.25">
      <c r="B146" s="242"/>
      <c r="C146" s="243"/>
      <c r="D146" s="243">
        <v>1442</v>
      </c>
      <c r="E146" s="243"/>
      <c r="F146" s="244" t="s">
        <v>1288</v>
      </c>
      <c r="G146" s="241">
        <f t="shared" si="2"/>
        <v>135</v>
      </c>
    </row>
    <row r="147" spans="2:7" x14ac:dyDescent="0.25">
      <c r="B147" s="242"/>
      <c r="C147" s="243"/>
      <c r="D147" s="243">
        <v>1443</v>
      </c>
      <c r="E147" s="243"/>
      <c r="F147" s="244" t="s">
        <v>1289</v>
      </c>
      <c r="G147" s="241">
        <f t="shared" si="2"/>
        <v>136</v>
      </c>
    </row>
    <row r="148" spans="2:7" x14ac:dyDescent="0.25">
      <c r="B148" s="242"/>
      <c r="C148" s="243">
        <v>148</v>
      </c>
      <c r="D148" s="243"/>
      <c r="E148" s="243"/>
      <c r="F148" s="244" t="s">
        <v>513</v>
      </c>
      <c r="G148" s="241">
        <f t="shared" si="2"/>
        <v>137</v>
      </c>
    </row>
    <row r="149" spans="2:7" x14ac:dyDescent="0.25">
      <c r="B149" s="242"/>
      <c r="C149" s="243"/>
      <c r="D149" s="243">
        <v>1481</v>
      </c>
      <c r="E149" s="243"/>
      <c r="F149" s="244" t="s">
        <v>513</v>
      </c>
      <c r="G149" s="241">
        <f t="shared" si="2"/>
        <v>138</v>
      </c>
    </row>
    <row r="150" spans="2:7" x14ac:dyDescent="0.25">
      <c r="B150" s="242">
        <v>16</v>
      </c>
      <c r="C150" s="243"/>
      <c r="D150" s="243"/>
      <c r="E150" s="243"/>
      <c r="F150" s="244" t="s">
        <v>1238</v>
      </c>
      <c r="G150" s="241">
        <f t="shared" si="2"/>
        <v>139</v>
      </c>
    </row>
    <row r="151" spans="2:7" x14ac:dyDescent="0.25">
      <c r="B151" s="242"/>
      <c r="C151" s="243">
        <v>161</v>
      </c>
      <c r="D151" s="243"/>
      <c r="E151" s="243"/>
      <c r="F151" s="244" t="s">
        <v>961</v>
      </c>
      <c r="G151" s="241">
        <f t="shared" si="2"/>
        <v>140</v>
      </c>
    </row>
    <row r="152" spans="2:7" x14ac:dyDescent="0.25">
      <c r="B152" s="242"/>
      <c r="C152" s="243"/>
      <c r="D152" s="243">
        <v>1611</v>
      </c>
      <c r="E152" s="243"/>
      <c r="F152" s="244" t="s">
        <v>1224</v>
      </c>
      <c r="G152" s="241">
        <f t="shared" si="2"/>
        <v>141</v>
      </c>
    </row>
    <row r="153" spans="2:7" x14ac:dyDescent="0.25">
      <c r="B153" s="242"/>
      <c r="C153" s="243"/>
      <c r="D153" s="243">
        <v>1612</v>
      </c>
      <c r="E153" s="243"/>
      <c r="F153" s="244" t="s">
        <v>1223</v>
      </c>
      <c r="G153" s="241">
        <f t="shared" si="2"/>
        <v>142</v>
      </c>
    </row>
    <row r="154" spans="2:7" x14ac:dyDescent="0.25">
      <c r="B154" s="242"/>
      <c r="C154" s="243">
        <v>162</v>
      </c>
      <c r="D154" s="243"/>
      <c r="E154" s="243"/>
      <c r="F154" s="244" t="s">
        <v>1237</v>
      </c>
      <c r="G154" s="241">
        <f t="shared" si="2"/>
        <v>143</v>
      </c>
    </row>
    <row r="155" spans="2:7" x14ac:dyDescent="0.25">
      <c r="B155" s="242"/>
      <c r="C155" s="243"/>
      <c r="D155" s="243">
        <v>1621</v>
      </c>
      <c r="E155" s="243"/>
      <c r="F155" s="244" t="s">
        <v>1236</v>
      </c>
      <c r="G155" s="241">
        <f t="shared" si="2"/>
        <v>144</v>
      </c>
    </row>
    <row r="156" spans="2:7" x14ac:dyDescent="0.25">
      <c r="B156" s="242"/>
      <c r="C156" s="243"/>
      <c r="D156" s="243">
        <v>1622</v>
      </c>
      <c r="E156" s="243"/>
      <c r="F156" s="244" t="s">
        <v>1235</v>
      </c>
      <c r="G156" s="241">
        <f t="shared" si="2"/>
        <v>145</v>
      </c>
    </row>
    <row r="157" spans="2:7" x14ac:dyDescent="0.25">
      <c r="B157" s="242"/>
      <c r="C157" s="243"/>
      <c r="D157" s="243">
        <v>1623</v>
      </c>
      <c r="E157" s="243"/>
      <c r="F157" s="244" t="s">
        <v>1234</v>
      </c>
      <c r="G157" s="241">
        <f t="shared" si="2"/>
        <v>146</v>
      </c>
    </row>
    <row r="158" spans="2:7" x14ac:dyDescent="0.25">
      <c r="B158" s="242"/>
      <c r="C158" s="243"/>
      <c r="D158" s="243">
        <v>1624</v>
      </c>
      <c r="E158" s="243"/>
      <c r="F158" s="244" t="s">
        <v>1290</v>
      </c>
      <c r="G158" s="241">
        <f t="shared" si="2"/>
        <v>147</v>
      </c>
    </row>
    <row r="159" spans="2:7" x14ac:dyDescent="0.25">
      <c r="B159" s="242"/>
      <c r="C159" s="243"/>
      <c r="D159" s="243">
        <v>1629</v>
      </c>
      <c r="E159" s="243"/>
      <c r="F159" s="244" t="s">
        <v>1291</v>
      </c>
      <c r="G159" s="241">
        <f t="shared" si="2"/>
        <v>148</v>
      </c>
    </row>
    <row r="160" spans="2:7" x14ac:dyDescent="0.25">
      <c r="B160" s="242"/>
      <c r="C160" s="243">
        <v>163</v>
      </c>
      <c r="D160" s="243"/>
      <c r="E160" s="243"/>
      <c r="F160" s="244" t="s">
        <v>1189</v>
      </c>
      <c r="G160" s="241">
        <f t="shared" si="2"/>
        <v>149</v>
      </c>
    </row>
    <row r="161" spans="2:7" x14ac:dyDescent="0.25">
      <c r="B161" s="242"/>
      <c r="C161" s="243"/>
      <c r="D161" s="243">
        <v>1631</v>
      </c>
      <c r="E161" s="243"/>
      <c r="F161" s="244" t="s">
        <v>1222</v>
      </c>
      <c r="G161" s="241">
        <f t="shared" si="2"/>
        <v>150</v>
      </c>
    </row>
    <row r="162" spans="2:7" x14ac:dyDescent="0.25">
      <c r="B162" s="242"/>
      <c r="C162" s="243"/>
      <c r="D162" s="243">
        <v>1632</v>
      </c>
      <c r="E162" s="243"/>
      <c r="F162" s="244" t="s">
        <v>1221</v>
      </c>
      <c r="G162" s="241">
        <f t="shared" si="2"/>
        <v>151</v>
      </c>
    </row>
    <row r="163" spans="2:7" x14ac:dyDescent="0.25">
      <c r="B163" s="242"/>
      <c r="C163" s="243"/>
      <c r="D163" s="243">
        <v>1633</v>
      </c>
      <c r="E163" s="243"/>
      <c r="F163" s="244" t="s">
        <v>1220</v>
      </c>
      <c r="G163" s="241">
        <f t="shared" si="2"/>
        <v>152</v>
      </c>
    </row>
    <row r="164" spans="2:7" x14ac:dyDescent="0.25">
      <c r="B164" s="242"/>
      <c r="C164" s="243">
        <v>164</v>
      </c>
      <c r="D164" s="243"/>
      <c r="E164" s="243"/>
      <c r="F164" s="244" t="s">
        <v>1188</v>
      </c>
      <c r="G164" s="241">
        <f t="shared" si="2"/>
        <v>153</v>
      </c>
    </row>
    <row r="165" spans="2:7" x14ac:dyDescent="0.25">
      <c r="B165" s="242"/>
      <c r="C165" s="243"/>
      <c r="D165" s="243">
        <v>1641</v>
      </c>
      <c r="E165" s="243"/>
      <c r="F165" s="244" t="s">
        <v>1232</v>
      </c>
      <c r="G165" s="241">
        <f t="shared" si="2"/>
        <v>154</v>
      </c>
    </row>
    <row r="166" spans="2:7" x14ac:dyDescent="0.25">
      <c r="B166" s="242"/>
      <c r="C166" s="243"/>
      <c r="D166" s="243">
        <v>1642</v>
      </c>
      <c r="E166" s="243"/>
      <c r="F166" s="244" t="s">
        <v>1233</v>
      </c>
      <c r="G166" s="241">
        <f t="shared" si="2"/>
        <v>155</v>
      </c>
    </row>
    <row r="167" spans="2:7" x14ac:dyDescent="0.25">
      <c r="B167" s="242"/>
      <c r="C167" s="243"/>
      <c r="D167" s="243">
        <v>1644</v>
      </c>
      <c r="E167" s="243"/>
      <c r="F167" s="244" t="s">
        <v>1292</v>
      </c>
      <c r="G167" s="241">
        <f t="shared" si="2"/>
        <v>156</v>
      </c>
    </row>
    <row r="168" spans="2:7" x14ac:dyDescent="0.25">
      <c r="B168" s="242"/>
      <c r="C168" s="243"/>
      <c r="D168" s="243">
        <v>1649</v>
      </c>
      <c r="E168" s="243"/>
      <c r="F168" s="244" t="s">
        <v>1293</v>
      </c>
      <c r="G168" s="241">
        <f t="shared" si="2"/>
        <v>157</v>
      </c>
    </row>
    <row r="169" spans="2:7" x14ac:dyDescent="0.25">
      <c r="B169" s="242"/>
      <c r="C169" s="243">
        <v>165</v>
      </c>
      <c r="D169" s="243"/>
      <c r="E169" s="243"/>
      <c r="F169" s="244" t="s">
        <v>1231</v>
      </c>
      <c r="G169" s="241">
        <f t="shared" si="2"/>
        <v>158</v>
      </c>
    </row>
    <row r="170" spans="2:7" x14ac:dyDescent="0.25">
      <c r="B170" s="242"/>
      <c r="C170" s="243"/>
      <c r="D170" s="243">
        <v>1651</v>
      </c>
      <c r="E170" s="243"/>
      <c r="F170" s="244" t="s">
        <v>1230</v>
      </c>
      <c r="G170" s="241">
        <f t="shared" si="2"/>
        <v>159</v>
      </c>
    </row>
    <row r="171" spans="2:7" x14ac:dyDescent="0.25">
      <c r="B171" s="242"/>
      <c r="C171" s="243"/>
      <c r="D171" s="243">
        <v>1652</v>
      </c>
      <c r="E171" s="243"/>
      <c r="F171" s="244" t="s">
        <v>1229</v>
      </c>
      <c r="G171" s="241">
        <f t="shared" si="2"/>
        <v>160</v>
      </c>
    </row>
    <row r="172" spans="2:7" x14ac:dyDescent="0.25">
      <c r="B172" s="242"/>
      <c r="C172" s="243"/>
      <c r="D172" s="243">
        <v>1653</v>
      </c>
      <c r="E172" s="243"/>
      <c r="F172" s="244" t="s">
        <v>1228</v>
      </c>
      <c r="G172" s="241">
        <f t="shared" si="2"/>
        <v>161</v>
      </c>
    </row>
    <row r="173" spans="2:7" x14ac:dyDescent="0.25">
      <c r="B173" s="242"/>
      <c r="C173" s="243"/>
      <c r="D173" s="243">
        <v>1654</v>
      </c>
      <c r="E173" s="243"/>
      <c r="F173" s="244" t="s">
        <v>1227</v>
      </c>
      <c r="G173" s="241">
        <f t="shared" si="2"/>
        <v>162</v>
      </c>
    </row>
    <row r="174" spans="2:7" x14ac:dyDescent="0.25">
      <c r="B174" s="242"/>
      <c r="C174" s="243"/>
      <c r="D174" s="243">
        <v>1655</v>
      </c>
      <c r="E174" s="243"/>
      <c r="F174" s="244" t="s">
        <v>1226</v>
      </c>
      <c r="G174" s="241">
        <f t="shared" si="2"/>
        <v>163</v>
      </c>
    </row>
    <row r="175" spans="2:7" x14ac:dyDescent="0.25">
      <c r="B175" s="242"/>
      <c r="C175" s="243">
        <v>166</v>
      </c>
      <c r="D175" s="243"/>
      <c r="E175" s="243"/>
      <c r="F175" s="244" t="s">
        <v>1294</v>
      </c>
      <c r="G175" s="241">
        <f t="shared" si="2"/>
        <v>164</v>
      </c>
    </row>
    <row r="176" spans="2:7" x14ac:dyDescent="0.25">
      <c r="B176" s="242"/>
      <c r="C176" s="243"/>
      <c r="D176" s="243">
        <v>1661</v>
      </c>
      <c r="E176" s="243"/>
      <c r="F176" s="244" t="s">
        <v>1295</v>
      </c>
      <c r="G176" s="241">
        <f t="shared" si="2"/>
        <v>165</v>
      </c>
    </row>
    <row r="177" spans="2:7" x14ac:dyDescent="0.25">
      <c r="B177" s="242"/>
      <c r="C177" s="243"/>
      <c r="D177" s="243">
        <v>1662</v>
      </c>
      <c r="E177" s="243"/>
      <c r="F177" s="244" t="s">
        <v>1296</v>
      </c>
      <c r="G177" s="241">
        <f t="shared" si="2"/>
        <v>166</v>
      </c>
    </row>
    <row r="178" spans="2:7" x14ac:dyDescent="0.25">
      <c r="B178" s="242"/>
      <c r="C178" s="243"/>
      <c r="D178" s="243"/>
      <c r="E178" s="243">
        <v>16621</v>
      </c>
      <c r="F178" s="244" t="s">
        <v>1297</v>
      </c>
      <c r="G178" s="241">
        <f t="shared" si="2"/>
        <v>167</v>
      </c>
    </row>
    <row r="179" spans="2:7" x14ac:dyDescent="0.25">
      <c r="B179" s="242"/>
      <c r="C179" s="243"/>
      <c r="D179" s="243"/>
      <c r="E179" s="243">
        <v>16622</v>
      </c>
      <c r="F179" s="244" t="s">
        <v>1298</v>
      </c>
      <c r="G179" s="241">
        <f t="shared" si="2"/>
        <v>168</v>
      </c>
    </row>
    <row r="180" spans="2:7" x14ac:dyDescent="0.25">
      <c r="B180" s="242"/>
      <c r="C180" s="243">
        <v>168</v>
      </c>
      <c r="D180" s="243"/>
      <c r="E180" s="243"/>
      <c r="F180" s="244" t="s">
        <v>1186</v>
      </c>
      <c r="G180" s="241">
        <f t="shared" si="2"/>
        <v>169</v>
      </c>
    </row>
    <row r="181" spans="2:7" x14ac:dyDescent="0.25">
      <c r="B181" s="242"/>
      <c r="C181" s="243"/>
      <c r="D181" s="243">
        <v>1681</v>
      </c>
      <c r="E181" s="243"/>
      <c r="F181" s="244" t="s">
        <v>1299</v>
      </c>
      <c r="G181" s="241">
        <f t="shared" si="2"/>
        <v>170</v>
      </c>
    </row>
    <row r="182" spans="2:7" x14ac:dyDescent="0.25">
      <c r="B182" s="242"/>
      <c r="C182" s="243"/>
      <c r="D182" s="243">
        <v>1689</v>
      </c>
      <c r="E182" s="243"/>
      <c r="F182" s="244" t="s">
        <v>1300</v>
      </c>
      <c r="G182" s="241">
        <f t="shared" si="2"/>
        <v>171</v>
      </c>
    </row>
    <row r="183" spans="2:7" x14ac:dyDescent="0.25">
      <c r="B183" s="242">
        <v>17</v>
      </c>
      <c r="C183" s="243"/>
      <c r="D183" s="243"/>
      <c r="E183" s="243"/>
      <c r="F183" s="244" t="s">
        <v>1225</v>
      </c>
      <c r="G183" s="241">
        <f t="shared" si="2"/>
        <v>172</v>
      </c>
    </row>
    <row r="184" spans="2:7" x14ac:dyDescent="0.25">
      <c r="B184" s="242"/>
      <c r="C184" s="243">
        <v>171</v>
      </c>
      <c r="D184" s="243"/>
      <c r="E184" s="243"/>
      <c r="F184" s="244" t="s">
        <v>961</v>
      </c>
      <c r="G184" s="241">
        <f t="shared" si="2"/>
        <v>173</v>
      </c>
    </row>
    <row r="185" spans="2:7" x14ac:dyDescent="0.25">
      <c r="B185" s="242"/>
      <c r="C185" s="243"/>
      <c r="D185" s="243">
        <v>1711</v>
      </c>
      <c r="E185" s="243"/>
      <c r="F185" s="244" t="s">
        <v>1224</v>
      </c>
      <c r="G185" s="241">
        <f t="shared" si="2"/>
        <v>174</v>
      </c>
    </row>
    <row r="186" spans="2:7" x14ac:dyDescent="0.25">
      <c r="B186" s="242"/>
      <c r="C186" s="243"/>
      <c r="D186" s="243"/>
      <c r="E186" s="243">
        <v>17111</v>
      </c>
      <c r="F186" s="244" t="s">
        <v>1301</v>
      </c>
      <c r="G186" s="241">
        <f t="shared" si="2"/>
        <v>175</v>
      </c>
    </row>
    <row r="187" spans="2:7" x14ac:dyDescent="0.25">
      <c r="B187" s="242"/>
      <c r="C187" s="243"/>
      <c r="D187" s="243"/>
      <c r="E187" s="243">
        <v>17112</v>
      </c>
      <c r="F187" s="244" t="s">
        <v>1302</v>
      </c>
      <c r="G187" s="241">
        <f t="shared" si="2"/>
        <v>176</v>
      </c>
    </row>
    <row r="188" spans="2:7" x14ac:dyDescent="0.25">
      <c r="B188" s="242"/>
      <c r="C188" s="243"/>
      <c r="D188" s="243"/>
      <c r="E188" s="243">
        <v>17113</v>
      </c>
      <c r="F188" s="244" t="s">
        <v>1303</v>
      </c>
      <c r="G188" s="241">
        <f t="shared" si="2"/>
        <v>177</v>
      </c>
    </row>
    <row r="189" spans="2:7" x14ac:dyDescent="0.25">
      <c r="B189" s="242"/>
      <c r="C189" s="243"/>
      <c r="D189" s="243"/>
      <c r="E189" s="243">
        <v>17114</v>
      </c>
      <c r="F189" s="244" t="s">
        <v>1304</v>
      </c>
      <c r="G189" s="241">
        <f t="shared" si="2"/>
        <v>178</v>
      </c>
    </row>
    <row r="190" spans="2:7" x14ac:dyDescent="0.25">
      <c r="B190" s="242"/>
      <c r="C190" s="243"/>
      <c r="D190" s="243"/>
      <c r="E190" s="243">
        <v>17115</v>
      </c>
      <c r="F190" s="244" t="s">
        <v>1305</v>
      </c>
      <c r="G190" s="241">
        <f t="shared" si="2"/>
        <v>179</v>
      </c>
    </row>
    <row r="191" spans="2:7" x14ac:dyDescent="0.25">
      <c r="B191" s="242"/>
      <c r="C191" s="243"/>
      <c r="D191" s="243">
        <v>1712</v>
      </c>
      <c r="E191" s="243"/>
      <c r="F191" s="244" t="s">
        <v>1223</v>
      </c>
      <c r="G191" s="241">
        <f t="shared" si="2"/>
        <v>180</v>
      </c>
    </row>
    <row r="192" spans="2:7" x14ac:dyDescent="0.25">
      <c r="B192" s="242"/>
      <c r="C192" s="243"/>
      <c r="D192" s="243"/>
      <c r="E192" s="243">
        <v>17121</v>
      </c>
      <c r="F192" s="244" t="s">
        <v>1306</v>
      </c>
      <c r="G192" s="241">
        <f t="shared" si="2"/>
        <v>181</v>
      </c>
    </row>
    <row r="193" spans="2:7" x14ac:dyDescent="0.25">
      <c r="B193" s="242"/>
      <c r="C193" s="243"/>
      <c r="D193" s="243"/>
      <c r="E193" s="243">
        <v>17122</v>
      </c>
      <c r="F193" s="244" t="s">
        <v>1307</v>
      </c>
      <c r="G193" s="241">
        <f t="shared" si="2"/>
        <v>182</v>
      </c>
    </row>
    <row r="194" spans="2:7" x14ac:dyDescent="0.25">
      <c r="B194" s="242"/>
      <c r="C194" s="243"/>
      <c r="D194" s="243"/>
      <c r="E194" s="243">
        <v>17123</v>
      </c>
      <c r="F194" s="244" t="s">
        <v>1308</v>
      </c>
      <c r="G194" s="241">
        <f t="shared" si="2"/>
        <v>183</v>
      </c>
    </row>
    <row r="195" spans="2:7" x14ac:dyDescent="0.25">
      <c r="B195" s="242"/>
      <c r="C195" s="243"/>
      <c r="D195" s="243"/>
      <c r="E195" s="243">
        <v>17124</v>
      </c>
      <c r="F195" s="244" t="s">
        <v>1309</v>
      </c>
      <c r="G195" s="241">
        <f t="shared" si="2"/>
        <v>184</v>
      </c>
    </row>
    <row r="196" spans="2:7" x14ac:dyDescent="0.25">
      <c r="B196" s="242"/>
      <c r="C196" s="243"/>
      <c r="D196" s="243"/>
      <c r="E196" s="243">
        <v>17125</v>
      </c>
      <c r="F196" s="244" t="s">
        <v>1310</v>
      </c>
      <c r="G196" s="241">
        <f t="shared" si="2"/>
        <v>185</v>
      </c>
    </row>
    <row r="197" spans="2:7" x14ac:dyDescent="0.25">
      <c r="B197" s="242"/>
      <c r="C197" s="243">
        <v>173</v>
      </c>
      <c r="D197" s="243"/>
      <c r="E197" s="243"/>
      <c r="F197" s="244" t="s">
        <v>1189</v>
      </c>
      <c r="G197" s="241">
        <f t="shared" si="2"/>
        <v>186</v>
      </c>
    </row>
    <row r="198" spans="2:7" x14ac:dyDescent="0.25">
      <c r="B198" s="242"/>
      <c r="C198" s="243"/>
      <c r="D198" s="243">
        <v>1731</v>
      </c>
      <c r="E198" s="243"/>
      <c r="F198" s="244" t="s">
        <v>1222</v>
      </c>
      <c r="G198" s="241">
        <f t="shared" si="2"/>
        <v>187</v>
      </c>
    </row>
    <row r="199" spans="2:7" x14ac:dyDescent="0.25">
      <c r="B199" s="242"/>
      <c r="C199" s="243"/>
      <c r="D199" s="243"/>
      <c r="E199" s="243">
        <v>17311</v>
      </c>
      <c r="F199" s="244" t="s">
        <v>1311</v>
      </c>
      <c r="G199" s="241">
        <f t="shared" si="2"/>
        <v>188</v>
      </c>
    </row>
    <row r="200" spans="2:7" x14ac:dyDescent="0.25">
      <c r="B200" s="242"/>
      <c r="C200" s="243"/>
      <c r="D200" s="243"/>
      <c r="E200" s="243">
        <v>17312</v>
      </c>
      <c r="F200" s="244" t="s">
        <v>1312</v>
      </c>
      <c r="G200" s="241">
        <f t="shared" si="2"/>
        <v>189</v>
      </c>
    </row>
    <row r="201" spans="2:7" x14ac:dyDescent="0.25">
      <c r="B201" s="242"/>
      <c r="C201" s="243"/>
      <c r="D201" s="243"/>
      <c r="E201" s="243">
        <v>17313</v>
      </c>
      <c r="F201" s="244" t="s">
        <v>1313</v>
      </c>
      <c r="G201" s="241">
        <f t="shared" si="2"/>
        <v>190</v>
      </c>
    </row>
    <row r="202" spans="2:7" x14ac:dyDescent="0.25">
      <c r="B202" s="242"/>
      <c r="C202" s="243"/>
      <c r="D202" s="243"/>
      <c r="E202" s="243">
        <v>17314</v>
      </c>
      <c r="F202" s="244" t="s">
        <v>1314</v>
      </c>
      <c r="G202" s="241">
        <f t="shared" si="2"/>
        <v>191</v>
      </c>
    </row>
    <row r="203" spans="2:7" x14ac:dyDescent="0.25">
      <c r="B203" s="242"/>
      <c r="C203" s="243"/>
      <c r="D203" s="243"/>
      <c r="E203" s="243">
        <v>17315</v>
      </c>
      <c r="F203" s="244" t="s">
        <v>1315</v>
      </c>
      <c r="G203" s="241">
        <f t="shared" si="2"/>
        <v>192</v>
      </c>
    </row>
    <row r="204" spans="2:7" x14ac:dyDescent="0.25">
      <c r="B204" s="242"/>
      <c r="C204" s="243"/>
      <c r="D204" s="243">
        <v>1732</v>
      </c>
      <c r="E204" s="243"/>
      <c r="F204" s="244" t="s">
        <v>1221</v>
      </c>
      <c r="G204" s="241">
        <f t="shared" si="2"/>
        <v>193</v>
      </c>
    </row>
    <row r="205" spans="2:7" x14ac:dyDescent="0.25">
      <c r="B205" s="242"/>
      <c r="C205" s="243"/>
      <c r="D205" s="243"/>
      <c r="E205" s="243">
        <v>17321</v>
      </c>
      <c r="F205" s="244" t="s">
        <v>946</v>
      </c>
      <c r="G205" s="241">
        <f t="shared" ref="G205:G268" si="3">G204+1</f>
        <v>194</v>
      </c>
    </row>
    <row r="206" spans="2:7" x14ac:dyDescent="0.25">
      <c r="B206" s="242"/>
      <c r="C206" s="243"/>
      <c r="D206" s="243"/>
      <c r="E206" s="243">
        <v>17322</v>
      </c>
      <c r="F206" s="244" t="s">
        <v>945</v>
      </c>
      <c r="G206" s="241">
        <f t="shared" si="3"/>
        <v>195</v>
      </c>
    </row>
    <row r="207" spans="2:7" x14ac:dyDescent="0.25">
      <c r="B207" s="242"/>
      <c r="C207" s="243"/>
      <c r="D207" s="243"/>
      <c r="E207" s="243">
        <v>17323</v>
      </c>
      <c r="F207" s="244" t="s">
        <v>944</v>
      </c>
      <c r="G207" s="241">
        <f t="shared" si="3"/>
        <v>196</v>
      </c>
    </row>
    <row r="208" spans="2:7" x14ac:dyDescent="0.25">
      <c r="B208" s="242"/>
      <c r="C208" s="243"/>
      <c r="D208" s="243"/>
      <c r="E208" s="243">
        <v>17324</v>
      </c>
      <c r="F208" s="244" t="s">
        <v>943</v>
      </c>
      <c r="G208" s="241">
        <f t="shared" si="3"/>
        <v>197</v>
      </c>
    </row>
    <row r="209" spans="2:7" x14ac:dyDescent="0.25">
      <c r="B209" s="242"/>
      <c r="C209" s="243"/>
      <c r="D209" s="243"/>
      <c r="E209" s="243">
        <v>17325</v>
      </c>
      <c r="F209" s="244" t="s">
        <v>1316</v>
      </c>
      <c r="G209" s="241">
        <f t="shared" si="3"/>
        <v>198</v>
      </c>
    </row>
    <row r="210" spans="2:7" x14ac:dyDescent="0.25">
      <c r="B210" s="242"/>
      <c r="C210" s="243"/>
      <c r="D210" s="243">
        <v>1733</v>
      </c>
      <c r="E210" s="243"/>
      <c r="F210" s="244" t="s">
        <v>1220</v>
      </c>
      <c r="G210" s="241">
        <f t="shared" si="3"/>
        <v>199</v>
      </c>
    </row>
    <row r="211" spans="2:7" x14ac:dyDescent="0.25">
      <c r="B211" s="242"/>
      <c r="C211" s="243"/>
      <c r="D211" s="243"/>
      <c r="E211" s="243">
        <v>17331</v>
      </c>
      <c r="F211" s="244" t="s">
        <v>942</v>
      </c>
      <c r="G211" s="241">
        <f t="shared" si="3"/>
        <v>200</v>
      </c>
    </row>
    <row r="212" spans="2:7" x14ac:dyDescent="0.25">
      <c r="B212" s="242"/>
      <c r="C212" s="243"/>
      <c r="D212" s="243"/>
      <c r="E212" s="243">
        <v>17332</v>
      </c>
      <c r="F212" s="244" t="s">
        <v>941</v>
      </c>
      <c r="G212" s="241">
        <f t="shared" si="3"/>
        <v>201</v>
      </c>
    </row>
    <row r="213" spans="2:7" x14ac:dyDescent="0.25">
      <c r="B213" s="242"/>
      <c r="C213" s="243"/>
      <c r="D213" s="243"/>
      <c r="E213" s="243">
        <v>17333</v>
      </c>
      <c r="F213" s="244" t="s">
        <v>940</v>
      </c>
      <c r="G213" s="241">
        <f t="shared" si="3"/>
        <v>202</v>
      </c>
    </row>
    <row r="214" spans="2:7" x14ac:dyDescent="0.25">
      <c r="B214" s="242"/>
      <c r="C214" s="243"/>
      <c r="D214" s="243"/>
      <c r="E214" s="243">
        <v>17334</v>
      </c>
      <c r="F214" s="244" t="s">
        <v>939</v>
      </c>
      <c r="G214" s="241">
        <f t="shared" si="3"/>
        <v>203</v>
      </c>
    </row>
    <row r="215" spans="2:7" x14ac:dyDescent="0.25">
      <c r="B215" s="242"/>
      <c r="C215" s="243"/>
      <c r="D215" s="243"/>
      <c r="E215" s="243">
        <v>17335</v>
      </c>
      <c r="F215" s="244" t="s">
        <v>1317</v>
      </c>
      <c r="G215" s="241">
        <f t="shared" si="3"/>
        <v>204</v>
      </c>
    </row>
    <row r="216" spans="2:7" x14ac:dyDescent="0.25">
      <c r="B216" s="242"/>
      <c r="C216" s="243">
        <v>174</v>
      </c>
      <c r="D216" s="243"/>
      <c r="E216" s="243"/>
      <c r="F216" s="244" t="s">
        <v>1188</v>
      </c>
      <c r="G216" s="241">
        <f t="shared" si="3"/>
        <v>205</v>
      </c>
    </row>
    <row r="217" spans="2:7" x14ac:dyDescent="0.25">
      <c r="B217" s="242"/>
      <c r="C217" s="243"/>
      <c r="D217" s="243">
        <v>1741</v>
      </c>
      <c r="E217" s="243"/>
      <c r="F217" s="244" t="s">
        <v>1188</v>
      </c>
      <c r="G217" s="241">
        <f t="shared" si="3"/>
        <v>206</v>
      </c>
    </row>
    <row r="218" spans="2:7" x14ac:dyDescent="0.25">
      <c r="B218" s="242"/>
      <c r="C218" s="243">
        <v>175</v>
      </c>
      <c r="D218" s="243"/>
      <c r="E218" s="243"/>
      <c r="F218" s="244" t="s">
        <v>1187</v>
      </c>
      <c r="G218" s="241">
        <f t="shared" si="3"/>
        <v>207</v>
      </c>
    </row>
    <row r="219" spans="2:7" x14ac:dyDescent="0.25">
      <c r="B219" s="242"/>
      <c r="C219" s="243"/>
      <c r="D219" s="243">
        <v>1751</v>
      </c>
      <c r="E219" s="243"/>
      <c r="F219" s="244" t="s">
        <v>1216</v>
      </c>
      <c r="G219" s="241">
        <f t="shared" si="3"/>
        <v>208</v>
      </c>
    </row>
    <row r="220" spans="2:7" x14ac:dyDescent="0.25">
      <c r="B220" s="242"/>
      <c r="C220" s="243"/>
      <c r="D220" s="243">
        <v>1752</v>
      </c>
      <c r="E220" s="243"/>
      <c r="F220" s="244" t="s">
        <v>1215</v>
      </c>
      <c r="G220" s="241">
        <f t="shared" si="3"/>
        <v>209</v>
      </c>
    </row>
    <row r="221" spans="2:7" x14ac:dyDescent="0.25">
      <c r="B221" s="242"/>
      <c r="C221" s="243"/>
      <c r="D221" s="243">
        <v>1753</v>
      </c>
      <c r="E221" s="243"/>
      <c r="F221" s="244" t="s">
        <v>1214</v>
      </c>
      <c r="G221" s="241">
        <f t="shared" si="3"/>
        <v>210</v>
      </c>
    </row>
    <row r="222" spans="2:7" x14ac:dyDescent="0.25">
      <c r="B222" s="242"/>
      <c r="C222" s="243"/>
      <c r="D222" s="243">
        <v>1754</v>
      </c>
      <c r="E222" s="243"/>
      <c r="F222" s="244" t="s">
        <v>1213</v>
      </c>
      <c r="G222" s="241">
        <f t="shared" si="3"/>
        <v>211</v>
      </c>
    </row>
    <row r="223" spans="2:7" x14ac:dyDescent="0.25">
      <c r="B223" s="242"/>
      <c r="C223" s="243"/>
      <c r="D223" s="243">
        <v>1755</v>
      </c>
      <c r="E223" s="243"/>
      <c r="F223" s="244" t="s">
        <v>1212</v>
      </c>
      <c r="G223" s="241">
        <f t="shared" si="3"/>
        <v>212</v>
      </c>
    </row>
    <row r="224" spans="2:7" x14ac:dyDescent="0.25">
      <c r="B224" s="242"/>
      <c r="C224" s="243">
        <v>176</v>
      </c>
      <c r="D224" s="243"/>
      <c r="E224" s="243"/>
      <c r="F224" s="244" t="s">
        <v>1294</v>
      </c>
      <c r="G224" s="241">
        <f t="shared" si="3"/>
        <v>213</v>
      </c>
    </row>
    <row r="225" spans="2:7" x14ac:dyDescent="0.25">
      <c r="B225" s="242"/>
      <c r="C225" s="243"/>
      <c r="D225" s="243">
        <v>1761</v>
      </c>
      <c r="E225" s="243"/>
      <c r="F225" s="244" t="s">
        <v>1294</v>
      </c>
      <c r="G225" s="241">
        <f t="shared" si="3"/>
        <v>214</v>
      </c>
    </row>
    <row r="226" spans="2:7" x14ac:dyDescent="0.25">
      <c r="B226" s="242"/>
      <c r="C226" s="243">
        <v>178</v>
      </c>
      <c r="D226" s="243"/>
      <c r="E226" s="243"/>
      <c r="F226" s="244" t="s">
        <v>1186</v>
      </c>
      <c r="G226" s="241">
        <f t="shared" si="3"/>
        <v>215</v>
      </c>
    </row>
    <row r="227" spans="2:7" x14ac:dyDescent="0.25">
      <c r="B227" s="242"/>
      <c r="C227" s="243"/>
      <c r="D227" s="243">
        <v>1781</v>
      </c>
      <c r="E227" s="243"/>
      <c r="F227" s="244" t="s">
        <v>1186</v>
      </c>
      <c r="G227" s="241">
        <f t="shared" si="3"/>
        <v>216</v>
      </c>
    </row>
    <row r="228" spans="2:7" x14ac:dyDescent="0.25">
      <c r="B228" s="242">
        <v>18</v>
      </c>
      <c r="C228" s="243"/>
      <c r="D228" s="243"/>
      <c r="E228" s="243"/>
      <c r="F228" s="244" t="s">
        <v>1211</v>
      </c>
      <c r="G228" s="241">
        <f t="shared" si="3"/>
        <v>217</v>
      </c>
    </row>
    <row r="229" spans="2:7" x14ac:dyDescent="0.25">
      <c r="B229" s="242"/>
      <c r="C229" s="243">
        <v>181</v>
      </c>
      <c r="D229" s="243"/>
      <c r="E229" s="243"/>
      <c r="F229" s="244" t="s">
        <v>1318</v>
      </c>
      <c r="G229" s="241">
        <f t="shared" si="3"/>
        <v>218</v>
      </c>
    </row>
    <row r="230" spans="2:7" x14ac:dyDescent="0.25">
      <c r="B230" s="242"/>
      <c r="C230" s="243"/>
      <c r="D230" s="243">
        <v>1811</v>
      </c>
      <c r="E230" s="243"/>
      <c r="F230" s="244" t="s">
        <v>1319</v>
      </c>
      <c r="G230" s="241">
        <f t="shared" si="3"/>
        <v>219</v>
      </c>
    </row>
    <row r="231" spans="2:7" x14ac:dyDescent="0.25">
      <c r="B231" s="242"/>
      <c r="C231" s="243">
        <v>182</v>
      </c>
      <c r="D231" s="243"/>
      <c r="E231" s="243"/>
      <c r="F231" s="244" t="s">
        <v>570</v>
      </c>
      <c r="G231" s="241">
        <f t="shared" si="3"/>
        <v>220</v>
      </c>
    </row>
    <row r="232" spans="2:7" x14ac:dyDescent="0.25">
      <c r="B232" s="242"/>
      <c r="C232" s="243"/>
      <c r="D232" s="243">
        <v>1821</v>
      </c>
      <c r="E232" s="243"/>
      <c r="F232" s="244" t="s">
        <v>1210</v>
      </c>
      <c r="G232" s="241">
        <f t="shared" si="3"/>
        <v>221</v>
      </c>
    </row>
    <row r="233" spans="2:7" x14ac:dyDescent="0.25">
      <c r="B233" s="242"/>
      <c r="C233" s="243">
        <v>183</v>
      </c>
      <c r="D233" s="243"/>
      <c r="E233" s="243"/>
      <c r="F233" s="244" t="s">
        <v>564</v>
      </c>
      <c r="G233" s="241">
        <f t="shared" si="3"/>
        <v>222</v>
      </c>
    </row>
    <row r="234" spans="2:7" x14ac:dyDescent="0.25">
      <c r="B234" s="242"/>
      <c r="C234" s="243"/>
      <c r="D234" s="243">
        <v>1831</v>
      </c>
      <c r="E234" s="243"/>
      <c r="F234" s="244" t="s">
        <v>1209</v>
      </c>
      <c r="G234" s="241">
        <f t="shared" si="3"/>
        <v>223</v>
      </c>
    </row>
    <row r="235" spans="2:7" x14ac:dyDescent="0.25">
      <c r="B235" s="242"/>
      <c r="C235" s="243">
        <v>184</v>
      </c>
      <c r="D235" s="243"/>
      <c r="E235" s="243"/>
      <c r="F235" s="244" t="s">
        <v>1208</v>
      </c>
      <c r="G235" s="241">
        <f t="shared" si="3"/>
        <v>224</v>
      </c>
    </row>
    <row r="236" spans="2:7" x14ac:dyDescent="0.25">
      <c r="B236" s="242"/>
      <c r="C236" s="243"/>
      <c r="D236" s="243">
        <v>1841</v>
      </c>
      <c r="E236" s="243"/>
      <c r="F236" s="244" t="s">
        <v>1207</v>
      </c>
      <c r="G236" s="241">
        <f t="shared" si="3"/>
        <v>225</v>
      </c>
    </row>
    <row r="237" spans="2:7" x14ac:dyDescent="0.25">
      <c r="B237" s="242"/>
      <c r="C237" s="243">
        <v>185</v>
      </c>
      <c r="D237" s="243"/>
      <c r="E237" s="243"/>
      <c r="F237" s="244" t="s">
        <v>1206</v>
      </c>
      <c r="G237" s="241">
        <f t="shared" si="3"/>
        <v>226</v>
      </c>
    </row>
    <row r="238" spans="2:7" x14ac:dyDescent="0.25">
      <c r="B238" s="242"/>
      <c r="C238" s="243"/>
      <c r="D238" s="243">
        <v>1851</v>
      </c>
      <c r="E238" s="243"/>
      <c r="F238" s="244" t="s">
        <v>1205</v>
      </c>
      <c r="G238" s="241">
        <f t="shared" si="3"/>
        <v>227</v>
      </c>
    </row>
    <row r="239" spans="2:7" x14ac:dyDescent="0.25">
      <c r="B239" s="242"/>
      <c r="C239" s="243">
        <v>189</v>
      </c>
      <c r="D239" s="243"/>
      <c r="E239" s="243"/>
      <c r="F239" s="244" t="s">
        <v>1204</v>
      </c>
      <c r="G239" s="241">
        <f t="shared" si="3"/>
        <v>228</v>
      </c>
    </row>
    <row r="240" spans="2:7" x14ac:dyDescent="0.25">
      <c r="B240" s="242"/>
      <c r="C240" s="243"/>
      <c r="D240" s="243">
        <v>1891</v>
      </c>
      <c r="E240" s="243"/>
      <c r="F240" s="244" t="s">
        <v>1203</v>
      </c>
      <c r="G240" s="241">
        <f t="shared" si="3"/>
        <v>229</v>
      </c>
    </row>
    <row r="241" spans="2:7" x14ac:dyDescent="0.25">
      <c r="B241" s="242"/>
      <c r="C241" s="243"/>
      <c r="D241" s="243">
        <v>1899</v>
      </c>
      <c r="E241" s="243"/>
      <c r="F241" s="244" t="s">
        <v>1202</v>
      </c>
      <c r="G241" s="241">
        <f t="shared" si="3"/>
        <v>230</v>
      </c>
    </row>
    <row r="242" spans="2:7" x14ac:dyDescent="0.25">
      <c r="B242" s="242">
        <v>19</v>
      </c>
      <c r="C242" s="243"/>
      <c r="D242" s="243"/>
      <c r="E242" s="243"/>
      <c r="F242" s="244" t="s">
        <v>1201</v>
      </c>
      <c r="G242" s="241">
        <f t="shared" si="3"/>
        <v>231</v>
      </c>
    </row>
    <row r="243" spans="2:7" x14ac:dyDescent="0.25">
      <c r="B243" s="242"/>
      <c r="C243" s="243">
        <v>191</v>
      </c>
      <c r="D243" s="243"/>
      <c r="E243" s="243"/>
      <c r="F243" s="244" t="s">
        <v>1200</v>
      </c>
      <c r="G243" s="241">
        <f t="shared" si="3"/>
        <v>232</v>
      </c>
    </row>
    <row r="244" spans="2:7" x14ac:dyDescent="0.25">
      <c r="B244" s="242"/>
      <c r="C244" s="243"/>
      <c r="D244" s="243">
        <v>1911</v>
      </c>
      <c r="E244" s="243"/>
      <c r="F244" s="244" t="s">
        <v>1199</v>
      </c>
      <c r="G244" s="241">
        <f t="shared" si="3"/>
        <v>233</v>
      </c>
    </row>
    <row r="245" spans="2:7" x14ac:dyDescent="0.25">
      <c r="B245" s="242"/>
      <c r="C245" s="243"/>
      <c r="D245" s="243">
        <v>1913</v>
      </c>
      <c r="E245" s="243"/>
      <c r="F245" s="244" t="s">
        <v>1198</v>
      </c>
      <c r="G245" s="241">
        <f t="shared" si="3"/>
        <v>234</v>
      </c>
    </row>
    <row r="246" spans="2:7" x14ac:dyDescent="0.25">
      <c r="B246" s="242"/>
      <c r="C246" s="243">
        <v>192</v>
      </c>
      <c r="D246" s="243"/>
      <c r="E246" s="243"/>
      <c r="F246" s="244" t="s">
        <v>1320</v>
      </c>
      <c r="G246" s="241">
        <f t="shared" si="3"/>
        <v>235</v>
      </c>
    </row>
    <row r="247" spans="2:7" x14ac:dyDescent="0.25">
      <c r="B247" s="242"/>
      <c r="C247" s="243"/>
      <c r="D247" s="243">
        <v>1921</v>
      </c>
      <c r="E247" s="243"/>
      <c r="F247" s="244" t="s">
        <v>1321</v>
      </c>
      <c r="G247" s="241">
        <f t="shared" si="3"/>
        <v>236</v>
      </c>
    </row>
    <row r="248" spans="2:7" x14ac:dyDescent="0.25">
      <c r="B248" s="242"/>
      <c r="C248" s="243"/>
      <c r="D248" s="243">
        <v>1922</v>
      </c>
      <c r="E248" s="243"/>
      <c r="F248" s="244" t="s">
        <v>1322</v>
      </c>
      <c r="G248" s="241">
        <f t="shared" si="3"/>
        <v>237</v>
      </c>
    </row>
    <row r="249" spans="2:7" x14ac:dyDescent="0.25">
      <c r="B249" s="242"/>
      <c r="C249" s="243">
        <v>193</v>
      </c>
      <c r="D249" s="243"/>
      <c r="E249" s="243"/>
      <c r="F249" s="244" t="s">
        <v>1197</v>
      </c>
      <c r="G249" s="241">
        <f t="shared" si="3"/>
        <v>238</v>
      </c>
    </row>
    <row r="250" spans="2:7" x14ac:dyDescent="0.25">
      <c r="B250" s="242"/>
      <c r="C250" s="243"/>
      <c r="D250" s="243">
        <v>1931</v>
      </c>
      <c r="E250" s="243"/>
      <c r="F250" s="244" t="s">
        <v>1196</v>
      </c>
      <c r="G250" s="241">
        <f t="shared" si="3"/>
        <v>239</v>
      </c>
    </row>
    <row r="251" spans="2:7" x14ac:dyDescent="0.25">
      <c r="B251" s="242"/>
      <c r="C251" s="243"/>
      <c r="D251" s="243">
        <v>1932</v>
      </c>
      <c r="E251" s="243"/>
      <c r="F251" s="244" t="s">
        <v>1195</v>
      </c>
      <c r="G251" s="241">
        <f t="shared" si="3"/>
        <v>240</v>
      </c>
    </row>
    <row r="252" spans="2:7" x14ac:dyDescent="0.25">
      <c r="B252" s="242"/>
      <c r="C252" s="243"/>
      <c r="D252" s="243">
        <v>1933</v>
      </c>
      <c r="E252" s="243"/>
      <c r="F252" s="244" t="s">
        <v>1194</v>
      </c>
      <c r="G252" s="241">
        <f t="shared" si="3"/>
        <v>241</v>
      </c>
    </row>
    <row r="253" spans="2:7" x14ac:dyDescent="0.25">
      <c r="B253" s="242"/>
      <c r="C253" s="243"/>
      <c r="D253" s="243">
        <v>1934</v>
      </c>
      <c r="E253" s="243"/>
      <c r="F253" s="244" t="s">
        <v>1193</v>
      </c>
      <c r="G253" s="241">
        <f t="shared" si="3"/>
        <v>242</v>
      </c>
    </row>
    <row r="254" spans="2:7" x14ac:dyDescent="0.25">
      <c r="B254" s="242"/>
      <c r="C254" s="243"/>
      <c r="D254" s="243">
        <v>1938</v>
      </c>
      <c r="E254" s="243"/>
      <c r="F254" s="244" t="s">
        <v>1192</v>
      </c>
      <c r="G254" s="241">
        <f t="shared" si="3"/>
        <v>243</v>
      </c>
    </row>
    <row r="255" spans="2:7" x14ac:dyDescent="0.25">
      <c r="B255" s="242"/>
      <c r="C255" s="243">
        <v>194</v>
      </c>
      <c r="D255" s="243"/>
      <c r="E255" s="243"/>
      <c r="F255" s="244" t="s">
        <v>1185</v>
      </c>
      <c r="G255" s="241">
        <f t="shared" si="3"/>
        <v>244</v>
      </c>
    </row>
    <row r="256" spans="2:7" x14ac:dyDescent="0.25">
      <c r="B256" s="242"/>
      <c r="C256" s="243"/>
      <c r="D256" s="243">
        <v>1941</v>
      </c>
      <c r="E256" s="243"/>
      <c r="F256" s="244" t="s">
        <v>1184</v>
      </c>
      <c r="G256" s="241">
        <f t="shared" si="3"/>
        <v>245</v>
      </c>
    </row>
    <row r="257" spans="2:7" x14ac:dyDescent="0.25">
      <c r="B257" s="242"/>
      <c r="C257" s="243"/>
      <c r="D257" s="243">
        <v>1942</v>
      </c>
      <c r="E257" s="243"/>
      <c r="F257" s="244" t="s">
        <v>1183</v>
      </c>
      <c r="G257" s="241">
        <f t="shared" si="3"/>
        <v>246</v>
      </c>
    </row>
    <row r="258" spans="2:7" x14ac:dyDescent="0.25">
      <c r="B258" s="242"/>
      <c r="C258" s="243"/>
      <c r="D258" s="243">
        <v>1943</v>
      </c>
      <c r="E258" s="243"/>
      <c r="F258" s="244" t="s">
        <v>1182</v>
      </c>
      <c r="G258" s="241">
        <f t="shared" si="3"/>
        <v>247</v>
      </c>
    </row>
    <row r="259" spans="2:7" x14ac:dyDescent="0.25">
      <c r="B259" s="242"/>
      <c r="C259" s="243"/>
      <c r="D259" s="243">
        <v>1944</v>
      </c>
      <c r="E259" s="243"/>
      <c r="F259" s="244" t="s">
        <v>1181</v>
      </c>
      <c r="G259" s="241">
        <f t="shared" si="3"/>
        <v>248</v>
      </c>
    </row>
    <row r="260" spans="2:7" x14ac:dyDescent="0.25">
      <c r="B260" s="242"/>
      <c r="C260" s="243"/>
      <c r="D260" s="243">
        <v>1945</v>
      </c>
      <c r="E260" s="243"/>
      <c r="F260" s="244" t="s">
        <v>1180</v>
      </c>
      <c r="G260" s="241">
        <f t="shared" si="3"/>
        <v>249</v>
      </c>
    </row>
    <row r="261" spans="2:7" x14ac:dyDescent="0.25">
      <c r="B261" s="242"/>
      <c r="C261" s="243"/>
      <c r="D261" s="243">
        <v>1946</v>
      </c>
      <c r="E261" s="243"/>
      <c r="F261" s="244" t="s">
        <v>1323</v>
      </c>
      <c r="G261" s="241">
        <f t="shared" si="3"/>
        <v>250</v>
      </c>
    </row>
    <row r="262" spans="2:7" x14ac:dyDescent="0.25">
      <c r="B262" s="242"/>
      <c r="C262" s="243"/>
      <c r="D262" s="243">
        <v>1949</v>
      </c>
      <c r="E262" s="243"/>
      <c r="F262" s="244" t="s">
        <v>1179</v>
      </c>
      <c r="G262" s="241">
        <f t="shared" si="3"/>
        <v>251</v>
      </c>
    </row>
    <row r="263" spans="2:7" x14ac:dyDescent="0.25">
      <c r="B263" s="242"/>
      <c r="C263" s="243">
        <v>195</v>
      </c>
      <c r="D263" s="243"/>
      <c r="E263" s="243"/>
      <c r="F263" s="244" t="s">
        <v>1324</v>
      </c>
      <c r="G263" s="241">
        <f t="shared" si="3"/>
        <v>252</v>
      </c>
    </row>
    <row r="264" spans="2:7" x14ac:dyDescent="0.25">
      <c r="B264" s="242"/>
      <c r="C264" s="243"/>
      <c r="D264" s="243">
        <v>1951</v>
      </c>
      <c r="E264" s="243"/>
      <c r="F264" s="244" t="s">
        <v>1325</v>
      </c>
      <c r="G264" s="241">
        <f t="shared" si="3"/>
        <v>253</v>
      </c>
    </row>
    <row r="265" spans="2:7" x14ac:dyDescent="0.25">
      <c r="B265" s="242"/>
      <c r="C265" s="243"/>
      <c r="D265" s="243">
        <v>1953</v>
      </c>
      <c r="E265" s="243"/>
      <c r="F265" s="244" t="s">
        <v>1326</v>
      </c>
      <c r="G265" s="241">
        <f t="shared" si="3"/>
        <v>254</v>
      </c>
    </row>
    <row r="266" spans="2:7" x14ac:dyDescent="0.25">
      <c r="B266" s="242"/>
      <c r="C266" s="243"/>
      <c r="D266" s="243">
        <v>1954</v>
      </c>
      <c r="E266" s="243"/>
      <c r="F266" s="244" t="s">
        <v>1327</v>
      </c>
      <c r="G266" s="241">
        <f t="shared" si="3"/>
        <v>255</v>
      </c>
    </row>
    <row r="267" spans="2:7" x14ac:dyDescent="0.25">
      <c r="B267" s="242"/>
      <c r="C267" s="243"/>
      <c r="D267" s="243">
        <v>1955</v>
      </c>
      <c r="E267" s="243"/>
      <c r="F267" s="244" t="s">
        <v>1328</v>
      </c>
      <c r="G267" s="241">
        <f t="shared" si="3"/>
        <v>256</v>
      </c>
    </row>
    <row r="268" spans="2:7" x14ac:dyDescent="0.25">
      <c r="B268" s="242"/>
      <c r="C268" s="243"/>
      <c r="D268" s="243">
        <v>1956</v>
      </c>
      <c r="E268" s="243"/>
      <c r="F268" s="244" t="s">
        <v>1329</v>
      </c>
      <c r="G268" s="241">
        <f t="shared" si="3"/>
        <v>257</v>
      </c>
    </row>
    <row r="269" spans="2:7" x14ac:dyDescent="0.25">
      <c r="B269" s="242"/>
      <c r="C269" s="243"/>
      <c r="D269" s="243">
        <v>1958</v>
      </c>
      <c r="E269" s="243"/>
      <c r="F269" s="244" t="s">
        <v>1330</v>
      </c>
      <c r="G269" s="241">
        <f t="shared" ref="G269:G332" si="4">G268+1</f>
        <v>258</v>
      </c>
    </row>
    <row r="270" spans="2:7" x14ac:dyDescent="0.25">
      <c r="B270" s="242">
        <v>20</v>
      </c>
      <c r="C270" s="243"/>
      <c r="D270" s="243"/>
      <c r="E270" s="243"/>
      <c r="F270" s="244" t="s">
        <v>1178</v>
      </c>
      <c r="G270" s="241">
        <f t="shared" si="4"/>
        <v>259</v>
      </c>
    </row>
    <row r="271" spans="2:7" x14ac:dyDescent="0.25">
      <c r="B271" s="242"/>
      <c r="C271" s="243">
        <v>201</v>
      </c>
      <c r="D271" s="243"/>
      <c r="E271" s="243"/>
      <c r="F271" s="244" t="s">
        <v>717</v>
      </c>
      <c r="G271" s="241">
        <f t="shared" si="4"/>
        <v>260</v>
      </c>
    </row>
    <row r="272" spans="2:7" x14ac:dyDescent="0.25">
      <c r="B272" s="242"/>
      <c r="C272" s="243"/>
      <c r="D272" s="243">
        <v>2011</v>
      </c>
      <c r="E272" s="243"/>
      <c r="F272" s="244" t="s">
        <v>717</v>
      </c>
      <c r="G272" s="241">
        <f t="shared" si="4"/>
        <v>261</v>
      </c>
    </row>
    <row r="273" spans="2:7" x14ac:dyDescent="0.25">
      <c r="B273" s="242"/>
      <c r="C273" s="243"/>
      <c r="D273" s="243"/>
      <c r="E273" s="243">
        <v>20111</v>
      </c>
      <c r="F273" s="244" t="s">
        <v>1083</v>
      </c>
      <c r="G273" s="241">
        <f t="shared" si="4"/>
        <v>262</v>
      </c>
    </row>
    <row r="274" spans="2:7" x14ac:dyDescent="0.25">
      <c r="B274" s="242"/>
      <c r="C274" s="243"/>
      <c r="D274" s="243"/>
      <c r="E274" s="243">
        <v>20112</v>
      </c>
      <c r="F274" s="244" t="s">
        <v>1084</v>
      </c>
      <c r="G274" s="241">
        <f t="shared" si="4"/>
        <v>263</v>
      </c>
    </row>
    <row r="275" spans="2:7" x14ac:dyDescent="0.25">
      <c r="B275" s="242"/>
      <c r="C275" s="243">
        <v>202</v>
      </c>
      <c r="D275" s="243"/>
      <c r="E275" s="243"/>
      <c r="F275" s="244" t="s">
        <v>716</v>
      </c>
      <c r="G275" s="241">
        <f t="shared" si="4"/>
        <v>264</v>
      </c>
    </row>
    <row r="276" spans="2:7" x14ac:dyDescent="0.25">
      <c r="B276" s="242"/>
      <c r="C276" s="243"/>
      <c r="D276" s="243">
        <v>2021</v>
      </c>
      <c r="E276" s="243"/>
      <c r="F276" s="244" t="s">
        <v>716</v>
      </c>
      <c r="G276" s="241">
        <f t="shared" si="4"/>
        <v>265</v>
      </c>
    </row>
    <row r="277" spans="2:7" x14ac:dyDescent="0.25">
      <c r="B277" s="242"/>
      <c r="C277" s="243">
        <v>203</v>
      </c>
      <c r="D277" s="243"/>
      <c r="E277" s="243"/>
      <c r="F277" s="244" t="s">
        <v>1331</v>
      </c>
      <c r="G277" s="241">
        <f t="shared" si="4"/>
        <v>266</v>
      </c>
    </row>
    <row r="278" spans="2:7" x14ac:dyDescent="0.25">
      <c r="B278" s="242"/>
      <c r="C278" s="243"/>
      <c r="D278" s="243">
        <v>2031</v>
      </c>
      <c r="E278" s="243"/>
      <c r="F278" s="244" t="s">
        <v>1173</v>
      </c>
      <c r="G278" s="241">
        <f t="shared" si="4"/>
        <v>267</v>
      </c>
    </row>
    <row r="279" spans="2:7" x14ac:dyDescent="0.25">
      <c r="B279" s="242"/>
      <c r="C279" s="243"/>
      <c r="D279" s="243">
        <v>2032</v>
      </c>
      <c r="E279" s="243"/>
      <c r="F279" s="244" t="s">
        <v>1172</v>
      </c>
      <c r="G279" s="241">
        <f t="shared" si="4"/>
        <v>268</v>
      </c>
    </row>
    <row r="280" spans="2:7" x14ac:dyDescent="0.25">
      <c r="B280" s="242"/>
      <c r="C280" s="243">
        <v>204</v>
      </c>
      <c r="D280" s="243"/>
      <c r="E280" s="243"/>
      <c r="F280" s="244" t="s">
        <v>715</v>
      </c>
      <c r="G280" s="241">
        <f t="shared" si="4"/>
        <v>269</v>
      </c>
    </row>
    <row r="281" spans="2:7" x14ac:dyDescent="0.25">
      <c r="B281" s="242"/>
      <c r="C281" s="243"/>
      <c r="D281" s="243">
        <v>2041</v>
      </c>
      <c r="E281" s="243"/>
      <c r="F281" s="244" t="s">
        <v>715</v>
      </c>
      <c r="G281" s="241">
        <f t="shared" si="4"/>
        <v>270</v>
      </c>
    </row>
    <row r="282" spans="2:7" x14ac:dyDescent="0.25">
      <c r="B282" s="242"/>
      <c r="C282" s="243">
        <v>208</v>
      </c>
      <c r="D282" s="243"/>
      <c r="E282" s="243"/>
      <c r="F282" s="244" t="s">
        <v>736</v>
      </c>
      <c r="G282" s="241">
        <f t="shared" si="4"/>
        <v>271</v>
      </c>
    </row>
    <row r="283" spans="2:7" x14ac:dyDescent="0.25">
      <c r="B283" s="242"/>
      <c r="C283" s="243"/>
      <c r="D283" s="243">
        <v>2081</v>
      </c>
      <c r="E283" s="243"/>
      <c r="F283" s="244" t="s">
        <v>736</v>
      </c>
      <c r="G283" s="241">
        <f t="shared" si="4"/>
        <v>272</v>
      </c>
    </row>
    <row r="284" spans="2:7" x14ac:dyDescent="0.25">
      <c r="B284" s="242">
        <v>21</v>
      </c>
      <c r="C284" s="243"/>
      <c r="D284" s="243"/>
      <c r="E284" s="243"/>
      <c r="F284" s="244" t="s">
        <v>1177</v>
      </c>
      <c r="G284" s="241">
        <f t="shared" si="4"/>
        <v>273</v>
      </c>
    </row>
    <row r="285" spans="2:7" x14ac:dyDescent="0.25">
      <c r="B285" s="242"/>
      <c r="C285" s="243">
        <v>211</v>
      </c>
      <c r="D285" s="243"/>
      <c r="E285" s="243"/>
      <c r="F285" s="244" t="s">
        <v>705</v>
      </c>
      <c r="G285" s="241">
        <f t="shared" si="4"/>
        <v>274</v>
      </c>
    </row>
    <row r="286" spans="2:7" x14ac:dyDescent="0.25">
      <c r="B286" s="242"/>
      <c r="C286" s="243"/>
      <c r="D286" s="243">
        <v>2111</v>
      </c>
      <c r="E286" s="243"/>
      <c r="F286" s="244" t="s">
        <v>705</v>
      </c>
      <c r="G286" s="241">
        <f t="shared" si="4"/>
        <v>275</v>
      </c>
    </row>
    <row r="287" spans="2:7" x14ac:dyDescent="0.25">
      <c r="B287" s="242"/>
      <c r="C287" s="243">
        <v>212</v>
      </c>
      <c r="D287" s="243"/>
      <c r="E287" s="243"/>
      <c r="F287" s="244" t="s">
        <v>704</v>
      </c>
      <c r="G287" s="241">
        <f t="shared" si="4"/>
        <v>276</v>
      </c>
    </row>
    <row r="288" spans="2:7" x14ac:dyDescent="0.25">
      <c r="B288" s="242"/>
      <c r="C288" s="243"/>
      <c r="D288" s="243">
        <v>2121</v>
      </c>
      <c r="E288" s="243"/>
      <c r="F288" s="244" t="s">
        <v>704</v>
      </c>
      <c r="G288" s="241">
        <f t="shared" si="4"/>
        <v>277</v>
      </c>
    </row>
    <row r="289" spans="2:7" x14ac:dyDescent="0.25">
      <c r="B289" s="242"/>
      <c r="C289" s="243">
        <v>213</v>
      </c>
      <c r="D289" s="243"/>
      <c r="E289" s="243"/>
      <c r="F289" s="244" t="s">
        <v>1162</v>
      </c>
      <c r="G289" s="241">
        <f t="shared" si="4"/>
        <v>278</v>
      </c>
    </row>
    <row r="290" spans="2:7" x14ac:dyDescent="0.25">
      <c r="B290" s="242"/>
      <c r="C290" s="243"/>
      <c r="D290" s="243">
        <v>2131</v>
      </c>
      <c r="E290" s="243"/>
      <c r="F290" s="244" t="s">
        <v>1173</v>
      </c>
      <c r="G290" s="241">
        <f t="shared" si="4"/>
        <v>279</v>
      </c>
    </row>
    <row r="291" spans="2:7" x14ac:dyDescent="0.25">
      <c r="B291" s="242"/>
      <c r="C291" s="243"/>
      <c r="D291" s="243"/>
      <c r="E291" s="243">
        <v>21311</v>
      </c>
      <c r="F291" s="244" t="s">
        <v>1083</v>
      </c>
      <c r="G291" s="241">
        <f t="shared" si="4"/>
        <v>280</v>
      </c>
    </row>
    <row r="292" spans="2:7" x14ac:dyDescent="0.25">
      <c r="B292" s="242"/>
      <c r="C292" s="243"/>
      <c r="D292" s="243"/>
      <c r="E292" s="243">
        <v>21312</v>
      </c>
      <c r="F292" s="244" t="s">
        <v>1084</v>
      </c>
      <c r="G292" s="241">
        <f t="shared" si="4"/>
        <v>281</v>
      </c>
    </row>
    <row r="293" spans="2:7" x14ac:dyDescent="0.25">
      <c r="B293" s="242"/>
      <c r="C293" s="243"/>
      <c r="D293" s="243">
        <v>2132</v>
      </c>
      <c r="E293" s="243"/>
      <c r="F293" s="244" t="s">
        <v>1172</v>
      </c>
      <c r="G293" s="241">
        <f t="shared" si="4"/>
        <v>282</v>
      </c>
    </row>
    <row r="294" spans="2:7" x14ac:dyDescent="0.25">
      <c r="B294" s="242"/>
      <c r="C294" s="243"/>
      <c r="D294" s="243"/>
      <c r="E294" s="243">
        <v>21321</v>
      </c>
      <c r="F294" s="244" t="s">
        <v>1083</v>
      </c>
      <c r="G294" s="241">
        <f t="shared" si="4"/>
        <v>283</v>
      </c>
    </row>
    <row r="295" spans="2:7" x14ac:dyDescent="0.25">
      <c r="B295" s="242"/>
      <c r="C295" s="243"/>
      <c r="D295" s="243"/>
      <c r="E295" s="243">
        <v>21322</v>
      </c>
      <c r="F295" s="244" t="s">
        <v>1084</v>
      </c>
      <c r="G295" s="241">
        <f t="shared" si="4"/>
        <v>284</v>
      </c>
    </row>
    <row r="296" spans="2:7" x14ac:dyDescent="0.25">
      <c r="B296" s="242"/>
      <c r="C296" s="243">
        <v>214</v>
      </c>
      <c r="D296" s="243"/>
      <c r="E296" s="243"/>
      <c r="F296" s="244" t="s">
        <v>1161</v>
      </c>
      <c r="G296" s="241">
        <f t="shared" si="4"/>
        <v>285</v>
      </c>
    </row>
    <row r="297" spans="2:7" x14ac:dyDescent="0.25">
      <c r="B297" s="242"/>
      <c r="C297" s="243"/>
      <c r="D297" s="243">
        <v>2141</v>
      </c>
      <c r="E297" s="243"/>
      <c r="F297" s="244" t="s">
        <v>1161</v>
      </c>
      <c r="G297" s="241">
        <f t="shared" si="4"/>
        <v>286</v>
      </c>
    </row>
    <row r="298" spans="2:7" x14ac:dyDescent="0.25">
      <c r="B298" s="242"/>
      <c r="C298" s="243">
        <v>215</v>
      </c>
      <c r="D298" s="243"/>
      <c r="E298" s="243"/>
      <c r="F298" s="244" t="s">
        <v>702</v>
      </c>
      <c r="G298" s="241">
        <f t="shared" si="4"/>
        <v>287</v>
      </c>
    </row>
    <row r="299" spans="2:7" x14ac:dyDescent="0.25">
      <c r="B299" s="242"/>
      <c r="C299" s="243"/>
      <c r="D299" s="243">
        <v>2151</v>
      </c>
      <c r="E299" s="243"/>
      <c r="F299" s="244" t="s">
        <v>702</v>
      </c>
      <c r="G299" s="241">
        <f t="shared" si="4"/>
        <v>288</v>
      </c>
    </row>
    <row r="300" spans="2:7" x14ac:dyDescent="0.25">
      <c r="B300" s="242"/>
      <c r="C300" s="243">
        <v>217</v>
      </c>
      <c r="D300" s="243"/>
      <c r="E300" s="243"/>
      <c r="F300" s="244" t="s">
        <v>1160</v>
      </c>
      <c r="G300" s="241">
        <f t="shared" si="4"/>
        <v>289</v>
      </c>
    </row>
    <row r="301" spans="2:7" x14ac:dyDescent="0.25">
      <c r="B301" s="242"/>
      <c r="C301" s="243"/>
      <c r="D301" s="243">
        <v>2171</v>
      </c>
      <c r="E301" s="243"/>
      <c r="F301" s="244" t="s">
        <v>1160</v>
      </c>
      <c r="G301" s="241">
        <f t="shared" si="4"/>
        <v>290</v>
      </c>
    </row>
    <row r="302" spans="2:7" x14ac:dyDescent="0.25">
      <c r="B302" s="242"/>
      <c r="C302" s="243">
        <v>218</v>
      </c>
      <c r="D302" s="243"/>
      <c r="E302" s="243"/>
      <c r="F302" s="244" t="s">
        <v>1159</v>
      </c>
      <c r="G302" s="241">
        <f t="shared" si="4"/>
        <v>291</v>
      </c>
    </row>
    <row r="303" spans="2:7" x14ac:dyDescent="0.25">
      <c r="B303" s="242"/>
      <c r="C303" s="243"/>
      <c r="D303" s="243">
        <v>2181</v>
      </c>
      <c r="E303" s="243"/>
      <c r="F303" s="244" t="s">
        <v>1159</v>
      </c>
      <c r="G303" s="241">
        <f t="shared" si="4"/>
        <v>292</v>
      </c>
    </row>
    <row r="304" spans="2:7" x14ac:dyDescent="0.25">
      <c r="B304" s="242">
        <v>22</v>
      </c>
      <c r="C304" s="243"/>
      <c r="D304" s="243"/>
      <c r="E304" s="243"/>
      <c r="F304" s="244" t="s">
        <v>1176</v>
      </c>
      <c r="G304" s="241">
        <f t="shared" si="4"/>
        <v>293</v>
      </c>
    </row>
    <row r="305" spans="2:7" x14ac:dyDescent="0.25">
      <c r="B305" s="242"/>
      <c r="C305" s="243">
        <v>221</v>
      </c>
      <c r="D305" s="243"/>
      <c r="E305" s="243"/>
      <c r="F305" s="244" t="s">
        <v>1175</v>
      </c>
      <c r="G305" s="241">
        <f t="shared" si="4"/>
        <v>294</v>
      </c>
    </row>
    <row r="306" spans="2:7" x14ac:dyDescent="0.25">
      <c r="B306" s="242"/>
      <c r="C306" s="243"/>
      <c r="D306" s="243">
        <v>2211</v>
      </c>
      <c r="E306" s="243"/>
      <c r="F306" s="244" t="s">
        <v>1175</v>
      </c>
      <c r="G306" s="241">
        <f t="shared" si="4"/>
        <v>295</v>
      </c>
    </row>
    <row r="307" spans="2:7" x14ac:dyDescent="0.25">
      <c r="B307" s="242"/>
      <c r="C307" s="243">
        <v>222</v>
      </c>
      <c r="D307" s="243"/>
      <c r="E307" s="243"/>
      <c r="F307" s="244" t="s">
        <v>699</v>
      </c>
      <c r="G307" s="241">
        <f t="shared" si="4"/>
        <v>296</v>
      </c>
    </row>
    <row r="308" spans="2:7" x14ac:dyDescent="0.25">
      <c r="B308" s="242"/>
      <c r="C308" s="243"/>
      <c r="D308" s="243">
        <v>2221</v>
      </c>
      <c r="E308" s="243"/>
      <c r="F308" s="244" t="s">
        <v>699</v>
      </c>
      <c r="G308" s="241">
        <f t="shared" si="4"/>
        <v>297</v>
      </c>
    </row>
    <row r="309" spans="2:7" x14ac:dyDescent="0.25">
      <c r="B309" s="242">
        <v>23</v>
      </c>
      <c r="C309" s="243"/>
      <c r="D309" s="243"/>
      <c r="E309" s="243"/>
      <c r="F309" s="244" t="s">
        <v>1174</v>
      </c>
      <c r="G309" s="241">
        <f t="shared" si="4"/>
        <v>298</v>
      </c>
    </row>
    <row r="310" spans="2:7" x14ac:dyDescent="0.25">
      <c r="B310" s="242"/>
      <c r="C310" s="243">
        <v>231</v>
      </c>
      <c r="D310" s="243"/>
      <c r="E310" s="243"/>
      <c r="F310" s="244" t="s">
        <v>697</v>
      </c>
      <c r="G310" s="241">
        <f t="shared" si="4"/>
        <v>299</v>
      </c>
    </row>
    <row r="311" spans="2:7" x14ac:dyDescent="0.25">
      <c r="B311" s="242"/>
      <c r="C311" s="243"/>
      <c r="D311" s="243">
        <v>2311</v>
      </c>
      <c r="E311" s="243"/>
      <c r="F311" s="244" t="s">
        <v>697</v>
      </c>
      <c r="G311" s="241">
        <f t="shared" si="4"/>
        <v>300</v>
      </c>
    </row>
    <row r="312" spans="2:7" x14ac:dyDescent="0.25">
      <c r="B312" s="242"/>
      <c r="C312" s="243">
        <v>232</v>
      </c>
      <c r="D312" s="243"/>
      <c r="E312" s="243"/>
      <c r="F312" s="244" t="s">
        <v>696</v>
      </c>
      <c r="G312" s="241">
        <f t="shared" si="4"/>
        <v>301</v>
      </c>
    </row>
    <row r="313" spans="2:7" x14ac:dyDescent="0.25">
      <c r="B313" s="242"/>
      <c r="C313" s="243"/>
      <c r="D313" s="243">
        <v>2321</v>
      </c>
      <c r="E313" s="243"/>
      <c r="F313" s="244" t="s">
        <v>696</v>
      </c>
      <c r="G313" s="241">
        <f t="shared" si="4"/>
        <v>302</v>
      </c>
    </row>
    <row r="314" spans="2:7" x14ac:dyDescent="0.25">
      <c r="B314" s="242"/>
      <c r="C314" s="243">
        <v>233</v>
      </c>
      <c r="D314" s="243"/>
      <c r="E314" s="243"/>
      <c r="F314" s="244" t="s">
        <v>695</v>
      </c>
      <c r="G314" s="241">
        <f t="shared" si="4"/>
        <v>303</v>
      </c>
    </row>
    <row r="315" spans="2:7" x14ac:dyDescent="0.25">
      <c r="B315" s="242"/>
      <c r="C315" s="243"/>
      <c r="D315" s="243">
        <v>2331</v>
      </c>
      <c r="E315" s="243"/>
      <c r="F315" s="244" t="s">
        <v>1173</v>
      </c>
      <c r="G315" s="241">
        <f t="shared" si="4"/>
        <v>304</v>
      </c>
    </row>
    <row r="316" spans="2:7" x14ac:dyDescent="0.25">
      <c r="B316" s="242"/>
      <c r="C316" s="243"/>
      <c r="D316" s="243"/>
      <c r="E316" s="243">
        <v>23311</v>
      </c>
      <c r="F316" s="244" t="s">
        <v>1083</v>
      </c>
      <c r="G316" s="241">
        <f t="shared" si="4"/>
        <v>305</v>
      </c>
    </row>
    <row r="317" spans="2:7" x14ac:dyDescent="0.25">
      <c r="B317" s="242"/>
      <c r="C317" s="243"/>
      <c r="D317" s="243"/>
      <c r="E317" s="243">
        <v>23312</v>
      </c>
      <c r="F317" s="244" t="s">
        <v>1084</v>
      </c>
      <c r="G317" s="241">
        <f t="shared" si="4"/>
        <v>306</v>
      </c>
    </row>
    <row r="318" spans="2:7" x14ac:dyDescent="0.25">
      <c r="B318" s="242"/>
      <c r="C318" s="243"/>
      <c r="D318" s="243">
        <v>2332</v>
      </c>
      <c r="E318" s="243"/>
      <c r="F318" s="244" t="s">
        <v>1172</v>
      </c>
      <c r="G318" s="241">
        <f t="shared" si="4"/>
        <v>307</v>
      </c>
    </row>
    <row r="319" spans="2:7" x14ac:dyDescent="0.25">
      <c r="B319" s="242"/>
      <c r="C319" s="243"/>
      <c r="D319" s="243"/>
      <c r="E319" s="243">
        <v>23321</v>
      </c>
      <c r="F319" s="244" t="s">
        <v>1083</v>
      </c>
      <c r="G319" s="241">
        <f t="shared" si="4"/>
        <v>308</v>
      </c>
    </row>
    <row r="320" spans="2:7" x14ac:dyDescent="0.25">
      <c r="B320" s="242"/>
      <c r="C320" s="243"/>
      <c r="D320" s="243"/>
      <c r="E320" s="243">
        <v>23322</v>
      </c>
      <c r="F320" s="244" t="s">
        <v>1084</v>
      </c>
      <c r="G320" s="241">
        <f t="shared" si="4"/>
        <v>309</v>
      </c>
    </row>
    <row r="321" spans="2:7" x14ac:dyDescent="0.25">
      <c r="B321" s="242"/>
      <c r="C321" s="243">
        <v>234</v>
      </c>
      <c r="D321" s="243"/>
      <c r="E321" s="243"/>
      <c r="F321" s="244" t="s">
        <v>694</v>
      </c>
      <c r="G321" s="241">
        <f t="shared" si="4"/>
        <v>310</v>
      </c>
    </row>
    <row r="322" spans="2:7" x14ac:dyDescent="0.25">
      <c r="B322" s="242"/>
      <c r="C322" s="243"/>
      <c r="D322" s="243">
        <v>2341</v>
      </c>
      <c r="E322" s="243"/>
      <c r="F322" s="244" t="s">
        <v>694</v>
      </c>
      <c r="G322" s="241">
        <f t="shared" si="4"/>
        <v>311</v>
      </c>
    </row>
    <row r="323" spans="2:7" x14ac:dyDescent="0.25">
      <c r="B323" s="242"/>
      <c r="C323" s="243">
        <v>235</v>
      </c>
      <c r="D323" s="243"/>
      <c r="E323" s="243"/>
      <c r="F323" s="244" t="s">
        <v>693</v>
      </c>
      <c r="G323" s="241">
        <f t="shared" si="4"/>
        <v>312</v>
      </c>
    </row>
    <row r="324" spans="2:7" x14ac:dyDescent="0.25">
      <c r="B324" s="242"/>
      <c r="C324" s="243"/>
      <c r="D324" s="243">
        <v>2351</v>
      </c>
      <c r="E324" s="243"/>
      <c r="F324" s="244" t="s">
        <v>693</v>
      </c>
      <c r="G324" s="241">
        <f t="shared" si="4"/>
        <v>313</v>
      </c>
    </row>
    <row r="325" spans="2:7" x14ac:dyDescent="0.25">
      <c r="B325" s="242"/>
      <c r="C325" s="243">
        <v>237</v>
      </c>
      <c r="D325" s="243"/>
      <c r="E325" s="243"/>
      <c r="F325" s="244" t="s">
        <v>692</v>
      </c>
      <c r="G325" s="241">
        <f t="shared" si="4"/>
        <v>314</v>
      </c>
    </row>
    <row r="326" spans="2:7" x14ac:dyDescent="0.25">
      <c r="B326" s="242"/>
      <c r="C326" s="243"/>
      <c r="D326" s="243">
        <v>2371</v>
      </c>
      <c r="E326" s="243"/>
      <c r="F326" s="244" t="s">
        <v>692</v>
      </c>
      <c r="G326" s="241">
        <f t="shared" si="4"/>
        <v>315</v>
      </c>
    </row>
    <row r="327" spans="2:7" x14ac:dyDescent="0.25">
      <c r="B327" s="242"/>
      <c r="C327" s="243">
        <v>238</v>
      </c>
      <c r="D327" s="243"/>
      <c r="E327" s="243"/>
      <c r="F327" s="244" t="s">
        <v>1156</v>
      </c>
      <c r="G327" s="241">
        <f t="shared" si="4"/>
        <v>316</v>
      </c>
    </row>
    <row r="328" spans="2:7" x14ac:dyDescent="0.25">
      <c r="B328" s="242"/>
      <c r="C328" s="243"/>
      <c r="D328" s="243">
        <v>2381</v>
      </c>
      <c r="E328" s="243"/>
      <c r="F328" s="244" t="s">
        <v>1156</v>
      </c>
      <c r="G328" s="241">
        <f t="shared" si="4"/>
        <v>317</v>
      </c>
    </row>
    <row r="329" spans="2:7" x14ac:dyDescent="0.25">
      <c r="B329" s="242">
        <v>24</v>
      </c>
      <c r="C329" s="243"/>
      <c r="D329" s="243"/>
      <c r="E329" s="243"/>
      <c r="F329" s="244" t="s">
        <v>1171</v>
      </c>
      <c r="G329" s="241">
        <f t="shared" si="4"/>
        <v>318</v>
      </c>
    </row>
    <row r="330" spans="2:7" x14ac:dyDescent="0.25">
      <c r="B330" s="242"/>
      <c r="C330" s="243">
        <v>241</v>
      </c>
      <c r="D330" s="243"/>
      <c r="E330" s="243"/>
      <c r="F330" s="244" t="s">
        <v>868</v>
      </c>
      <c r="G330" s="241">
        <f t="shared" si="4"/>
        <v>319</v>
      </c>
    </row>
    <row r="331" spans="2:7" x14ac:dyDescent="0.25">
      <c r="B331" s="242"/>
      <c r="C331" s="243"/>
      <c r="D331" s="243">
        <v>2411</v>
      </c>
      <c r="E331" s="243"/>
      <c r="F331" s="244" t="s">
        <v>868</v>
      </c>
      <c r="G331" s="241">
        <f t="shared" si="4"/>
        <v>320</v>
      </c>
    </row>
    <row r="332" spans="2:7" x14ac:dyDescent="0.25">
      <c r="B332" s="242"/>
      <c r="C332" s="243">
        <v>242</v>
      </c>
      <c r="D332" s="243"/>
      <c r="E332" s="243"/>
      <c r="F332" s="244" t="s">
        <v>867</v>
      </c>
      <c r="G332" s="241">
        <f t="shared" si="4"/>
        <v>321</v>
      </c>
    </row>
    <row r="333" spans="2:7" x14ac:dyDescent="0.25">
      <c r="B333" s="242"/>
      <c r="C333" s="243"/>
      <c r="D333" s="243">
        <v>2421</v>
      </c>
      <c r="E333" s="243"/>
      <c r="F333" s="244" t="s">
        <v>867</v>
      </c>
      <c r="G333" s="241">
        <f t="shared" ref="G333:G396" si="5">G332+1</f>
        <v>322</v>
      </c>
    </row>
    <row r="334" spans="2:7" x14ac:dyDescent="0.25">
      <c r="B334" s="242"/>
      <c r="C334" s="243">
        <v>243</v>
      </c>
      <c r="D334" s="243"/>
      <c r="E334" s="243"/>
      <c r="F334" s="244" t="s">
        <v>866</v>
      </c>
      <c r="G334" s="241">
        <f t="shared" si="5"/>
        <v>323</v>
      </c>
    </row>
    <row r="335" spans="2:7" x14ac:dyDescent="0.25">
      <c r="B335" s="242"/>
      <c r="C335" s="243"/>
      <c r="D335" s="243">
        <v>2431</v>
      </c>
      <c r="E335" s="243"/>
      <c r="F335" s="244" t="s">
        <v>866</v>
      </c>
      <c r="G335" s="241">
        <f t="shared" si="5"/>
        <v>324</v>
      </c>
    </row>
    <row r="336" spans="2:7" x14ac:dyDescent="0.25">
      <c r="B336" s="242"/>
      <c r="C336" s="243">
        <v>244</v>
      </c>
      <c r="D336" s="243"/>
      <c r="E336" s="243"/>
      <c r="F336" s="244" t="s">
        <v>865</v>
      </c>
      <c r="G336" s="241">
        <f t="shared" si="5"/>
        <v>325</v>
      </c>
    </row>
    <row r="337" spans="2:7" x14ac:dyDescent="0.25">
      <c r="B337" s="242"/>
      <c r="C337" s="243"/>
      <c r="D337" s="243">
        <v>2441</v>
      </c>
      <c r="E337" s="243"/>
      <c r="F337" s="244" t="s">
        <v>865</v>
      </c>
      <c r="G337" s="241">
        <f t="shared" si="5"/>
        <v>326</v>
      </c>
    </row>
    <row r="338" spans="2:7" x14ac:dyDescent="0.25">
      <c r="B338" s="242">
        <v>25</v>
      </c>
      <c r="C338" s="243"/>
      <c r="D338" s="243"/>
      <c r="E338" s="243"/>
      <c r="F338" s="244" t="s">
        <v>1170</v>
      </c>
      <c r="G338" s="241">
        <f t="shared" si="5"/>
        <v>327</v>
      </c>
    </row>
    <row r="339" spans="2:7" x14ac:dyDescent="0.25">
      <c r="B339" s="242"/>
      <c r="C339" s="243">
        <v>251</v>
      </c>
      <c r="D339" s="243"/>
      <c r="E339" s="243"/>
      <c r="F339" s="244" t="s">
        <v>593</v>
      </c>
      <c r="G339" s="241">
        <f t="shared" si="5"/>
        <v>328</v>
      </c>
    </row>
    <row r="340" spans="2:7" x14ac:dyDescent="0.25">
      <c r="B340" s="242"/>
      <c r="C340" s="243"/>
      <c r="D340" s="243">
        <v>2511</v>
      </c>
      <c r="E340" s="243"/>
      <c r="F340" s="244" t="s">
        <v>593</v>
      </c>
      <c r="G340" s="241">
        <f t="shared" si="5"/>
        <v>329</v>
      </c>
    </row>
    <row r="341" spans="2:7" x14ac:dyDescent="0.25">
      <c r="B341" s="242"/>
      <c r="C341" s="243">
        <v>252</v>
      </c>
      <c r="D341" s="243"/>
      <c r="E341" s="243"/>
      <c r="F341" s="244" t="s">
        <v>532</v>
      </c>
      <c r="G341" s="241">
        <f t="shared" si="5"/>
        <v>330</v>
      </c>
    </row>
    <row r="342" spans="2:7" x14ac:dyDescent="0.25">
      <c r="B342" s="242"/>
      <c r="C342" s="243"/>
      <c r="D342" s="243">
        <v>2521</v>
      </c>
      <c r="E342" s="243"/>
      <c r="F342" s="244" t="s">
        <v>1169</v>
      </c>
      <c r="G342" s="241">
        <f t="shared" si="5"/>
        <v>331</v>
      </c>
    </row>
    <row r="343" spans="2:7" x14ac:dyDescent="0.25">
      <c r="B343" s="242"/>
      <c r="C343" s="243"/>
      <c r="D343" s="243">
        <v>2522</v>
      </c>
      <c r="E343" s="243"/>
      <c r="F343" s="244" t="s">
        <v>1168</v>
      </c>
      <c r="G343" s="241">
        <f t="shared" si="5"/>
        <v>332</v>
      </c>
    </row>
    <row r="344" spans="2:7" x14ac:dyDescent="0.25">
      <c r="B344" s="242"/>
      <c r="C344" s="243"/>
      <c r="D344" s="243">
        <v>2523</v>
      </c>
      <c r="E344" s="243"/>
      <c r="F344" s="244" t="s">
        <v>1167</v>
      </c>
      <c r="G344" s="241">
        <f t="shared" si="5"/>
        <v>333</v>
      </c>
    </row>
    <row r="345" spans="2:7" x14ac:dyDescent="0.25">
      <c r="B345" s="242"/>
      <c r="C345" s="243"/>
      <c r="D345" s="243">
        <v>2524</v>
      </c>
      <c r="E345" s="243"/>
      <c r="F345" s="244" t="s">
        <v>1166</v>
      </c>
      <c r="G345" s="241">
        <f t="shared" si="5"/>
        <v>334</v>
      </c>
    </row>
    <row r="346" spans="2:7" x14ac:dyDescent="0.25">
      <c r="B346" s="242"/>
      <c r="C346" s="243">
        <v>253</v>
      </c>
      <c r="D346" s="243"/>
      <c r="E346" s="243"/>
      <c r="F346" s="244" t="s">
        <v>863</v>
      </c>
      <c r="G346" s="241">
        <f t="shared" si="5"/>
        <v>335</v>
      </c>
    </row>
    <row r="347" spans="2:7" x14ac:dyDescent="0.25">
      <c r="B347" s="242"/>
      <c r="C347" s="243"/>
      <c r="D347" s="243">
        <v>2531</v>
      </c>
      <c r="E347" s="243"/>
      <c r="F347" s="244" t="s">
        <v>863</v>
      </c>
      <c r="G347" s="241">
        <f t="shared" si="5"/>
        <v>336</v>
      </c>
    </row>
    <row r="348" spans="2:7" x14ac:dyDescent="0.25">
      <c r="B348" s="242">
        <v>26</v>
      </c>
      <c r="C348" s="243"/>
      <c r="D348" s="243"/>
      <c r="E348" s="243"/>
      <c r="F348" s="244" t="s">
        <v>398</v>
      </c>
      <c r="G348" s="241">
        <f t="shared" si="5"/>
        <v>337</v>
      </c>
    </row>
    <row r="349" spans="2:7" x14ac:dyDescent="0.25">
      <c r="B349" s="242"/>
      <c r="C349" s="243">
        <v>261</v>
      </c>
      <c r="D349" s="243"/>
      <c r="E349" s="243"/>
      <c r="F349" s="244" t="s">
        <v>592</v>
      </c>
      <c r="G349" s="241">
        <f t="shared" si="5"/>
        <v>338</v>
      </c>
    </row>
    <row r="350" spans="2:7" x14ac:dyDescent="0.25">
      <c r="B350" s="242"/>
      <c r="C350" s="243"/>
      <c r="D350" s="243">
        <v>2611</v>
      </c>
      <c r="E350" s="243"/>
      <c r="F350" s="244" t="s">
        <v>592</v>
      </c>
      <c r="G350" s="241">
        <f t="shared" si="5"/>
        <v>339</v>
      </c>
    </row>
    <row r="351" spans="2:7" x14ac:dyDescent="0.25">
      <c r="B351" s="242"/>
      <c r="C351" s="243">
        <v>262</v>
      </c>
      <c r="D351" s="243"/>
      <c r="E351" s="243"/>
      <c r="F351" s="244" t="s">
        <v>591</v>
      </c>
      <c r="G351" s="241">
        <f t="shared" si="5"/>
        <v>340</v>
      </c>
    </row>
    <row r="352" spans="2:7" x14ac:dyDescent="0.25">
      <c r="B352" s="242"/>
      <c r="C352" s="243"/>
      <c r="D352" s="243">
        <v>2621</v>
      </c>
      <c r="E352" s="243"/>
      <c r="F352" s="244" t="s">
        <v>591</v>
      </c>
      <c r="G352" s="241">
        <f t="shared" si="5"/>
        <v>341</v>
      </c>
    </row>
    <row r="353" spans="2:7" x14ac:dyDescent="0.25">
      <c r="B353" s="242">
        <v>27</v>
      </c>
      <c r="C353" s="243"/>
      <c r="D353" s="243"/>
      <c r="E353" s="243"/>
      <c r="F353" s="244" t="s">
        <v>1165</v>
      </c>
      <c r="G353" s="241">
        <f t="shared" si="5"/>
        <v>342</v>
      </c>
    </row>
    <row r="354" spans="2:7" x14ac:dyDescent="0.25">
      <c r="B354" s="242"/>
      <c r="C354" s="243">
        <v>271</v>
      </c>
      <c r="D354" s="243"/>
      <c r="E354" s="243"/>
      <c r="F354" s="244" t="s">
        <v>641</v>
      </c>
      <c r="G354" s="241">
        <f t="shared" si="5"/>
        <v>343</v>
      </c>
    </row>
    <row r="355" spans="2:7" x14ac:dyDescent="0.25">
      <c r="B355" s="242"/>
      <c r="C355" s="243"/>
      <c r="D355" s="243">
        <v>2711</v>
      </c>
      <c r="E355" s="243"/>
      <c r="F355" s="244" t="s">
        <v>658</v>
      </c>
      <c r="G355" s="241">
        <f t="shared" si="5"/>
        <v>344</v>
      </c>
    </row>
    <row r="356" spans="2:7" x14ac:dyDescent="0.25">
      <c r="B356" s="242"/>
      <c r="C356" s="243"/>
      <c r="D356" s="243"/>
      <c r="E356" s="243">
        <v>27111</v>
      </c>
      <c r="F356" s="244" t="s">
        <v>1332</v>
      </c>
      <c r="G356" s="241">
        <f t="shared" si="5"/>
        <v>345</v>
      </c>
    </row>
    <row r="357" spans="2:7" x14ac:dyDescent="0.25">
      <c r="B357" s="242"/>
      <c r="C357" s="243"/>
      <c r="D357" s="243"/>
      <c r="E357" s="243">
        <v>27112</v>
      </c>
      <c r="F357" s="244" t="s">
        <v>1333</v>
      </c>
      <c r="G357" s="241">
        <f t="shared" si="5"/>
        <v>346</v>
      </c>
    </row>
    <row r="358" spans="2:7" x14ac:dyDescent="0.25">
      <c r="B358" s="242"/>
      <c r="C358" s="243"/>
      <c r="D358" s="243"/>
      <c r="E358" s="243">
        <v>27113</v>
      </c>
      <c r="F358" s="244" t="s">
        <v>1334</v>
      </c>
      <c r="G358" s="241">
        <f t="shared" si="5"/>
        <v>347</v>
      </c>
    </row>
    <row r="359" spans="2:7" x14ac:dyDescent="0.25">
      <c r="B359" s="242"/>
      <c r="C359" s="243"/>
      <c r="D359" s="243">
        <v>2712</v>
      </c>
      <c r="E359" s="243"/>
      <c r="F359" s="244" t="s">
        <v>657</v>
      </c>
      <c r="G359" s="241">
        <f t="shared" si="5"/>
        <v>348</v>
      </c>
    </row>
    <row r="360" spans="2:7" x14ac:dyDescent="0.25">
      <c r="B360" s="242"/>
      <c r="C360" s="243"/>
      <c r="D360" s="243"/>
      <c r="E360" s="243">
        <v>27121</v>
      </c>
      <c r="F360" s="244" t="s">
        <v>772</v>
      </c>
      <c r="G360" s="241">
        <f t="shared" si="5"/>
        <v>349</v>
      </c>
    </row>
    <row r="361" spans="2:7" x14ac:dyDescent="0.25">
      <c r="B361" s="242"/>
      <c r="C361" s="243"/>
      <c r="D361" s="243"/>
      <c r="E361" s="243">
        <v>27122</v>
      </c>
      <c r="F361" s="244" t="s">
        <v>1335</v>
      </c>
      <c r="G361" s="241">
        <f t="shared" si="5"/>
        <v>350</v>
      </c>
    </row>
    <row r="362" spans="2:7" x14ac:dyDescent="0.25">
      <c r="B362" s="242"/>
      <c r="C362" s="243"/>
      <c r="D362" s="243"/>
      <c r="E362" s="243">
        <v>27123</v>
      </c>
      <c r="F362" s="244" t="s">
        <v>771</v>
      </c>
      <c r="G362" s="241">
        <f t="shared" si="5"/>
        <v>351</v>
      </c>
    </row>
    <row r="363" spans="2:7" x14ac:dyDescent="0.25">
      <c r="B363" s="242"/>
      <c r="C363" s="243"/>
      <c r="D363" s="243"/>
      <c r="E363" s="243">
        <v>27124</v>
      </c>
      <c r="F363" s="244" t="s">
        <v>770</v>
      </c>
      <c r="G363" s="241">
        <f t="shared" si="5"/>
        <v>352</v>
      </c>
    </row>
    <row r="364" spans="2:7" x14ac:dyDescent="0.25">
      <c r="B364" s="242"/>
      <c r="C364" s="243">
        <v>272</v>
      </c>
      <c r="D364" s="243"/>
      <c r="E364" s="243"/>
      <c r="F364" s="244" t="s">
        <v>432</v>
      </c>
      <c r="G364" s="241">
        <f t="shared" si="5"/>
        <v>353</v>
      </c>
    </row>
    <row r="365" spans="2:7" x14ac:dyDescent="0.25">
      <c r="B365" s="242"/>
      <c r="C365" s="243"/>
      <c r="D365" s="243">
        <v>2721</v>
      </c>
      <c r="E365" s="243"/>
      <c r="F365" s="244" t="s">
        <v>658</v>
      </c>
      <c r="G365" s="241">
        <f t="shared" si="5"/>
        <v>354</v>
      </c>
    </row>
    <row r="366" spans="2:7" x14ac:dyDescent="0.25">
      <c r="B366" s="242"/>
      <c r="C366" s="243"/>
      <c r="D366" s="243"/>
      <c r="E366" s="243">
        <v>27211</v>
      </c>
      <c r="F366" s="244" t="s">
        <v>1332</v>
      </c>
      <c r="G366" s="241">
        <f t="shared" si="5"/>
        <v>355</v>
      </c>
    </row>
    <row r="367" spans="2:7" x14ac:dyDescent="0.25">
      <c r="B367" s="242"/>
      <c r="C367" s="243"/>
      <c r="D367" s="243"/>
      <c r="E367" s="243">
        <v>27212</v>
      </c>
      <c r="F367" s="244" t="s">
        <v>1333</v>
      </c>
      <c r="G367" s="241">
        <f t="shared" si="5"/>
        <v>356</v>
      </c>
    </row>
    <row r="368" spans="2:7" x14ac:dyDescent="0.25">
      <c r="B368" s="242"/>
      <c r="C368" s="243"/>
      <c r="D368" s="243"/>
      <c r="E368" s="243">
        <v>27213</v>
      </c>
      <c r="F368" s="244" t="s">
        <v>1334</v>
      </c>
      <c r="G368" s="241">
        <f t="shared" si="5"/>
        <v>357</v>
      </c>
    </row>
    <row r="369" spans="2:7" x14ac:dyDescent="0.25">
      <c r="B369" s="242"/>
      <c r="C369" s="243"/>
      <c r="D369" s="243">
        <v>2722</v>
      </c>
      <c r="E369" s="243"/>
      <c r="F369" s="244" t="s">
        <v>657</v>
      </c>
      <c r="G369" s="241">
        <f t="shared" si="5"/>
        <v>358</v>
      </c>
    </row>
    <row r="370" spans="2:7" x14ac:dyDescent="0.25">
      <c r="B370" s="242"/>
      <c r="C370" s="243"/>
      <c r="D370" s="243"/>
      <c r="E370" s="243">
        <v>27221</v>
      </c>
      <c r="F370" s="244" t="s">
        <v>1062</v>
      </c>
      <c r="G370" s="241">
        <f t="shared" si="5"/>
        <v>359</v>
      </c>
    </row>
    <row r="371" spans="2:7" x14ac:dyDescent="0.25">
      <c r="B371" s="242"/>
      <c r="C371" s="243"/>
      <c r="D371" s="243"/>
      <c r="E371" s="243">
        <v>27222</v>
      </c>
      <c r="F371" s="244" t="s">
        <v>771</v>
      </c>
      <c r="G371" s="241">
        <f t="shared" si="5"/>
        <v>360</v>
      </c>
    </row>
    <row r="372" spans="2:7" x14ac:dyDescent="0.25">
      <c r="B372" s="242"/>
      <c r="C372" s="243"/>
      <c r="D372" s="243"/>
      <c r="E372" s="243">
        <v>27223</v>
      </c>
      <c r="F372" s="244" t="s">
        <v>770</v>
      </c>
      <c r="G372" s="241">
        <f t="shared" si="5"/>
        <v>361</v>
      </c>
    </row>
    <row r="373" spans="2:7" x14ac:dyDescent="0.25">
      <c r="B373" s="242"/>
      <c r="C373" s="243"/>
      <c r="D373" s="243">
        <v>2723</v>
      </c>
      <c r="E373" s="243"/>
      <c r="F373" s="244" t="s">
        <v>656</v>
      </c>
      <c r="G373" s="241">
        <f t="shared" si="5"/>
        <v>362</v>
      </c>
    </row>
    <row r="374" spans="2:7" x14ac:dyDescent="0.25">
      <c r="B374" s="242"/>
      <c r="C374" s="243"/>
      <c r="D374" s="243"/>
      <c r="E374" s="243">
        <v>27231</v>
      </c>
      <c r="F374" s="244" t="s">
        <v>1336</v>
      </c>
      <c r="G374" s="241">
        <f t="shared" si="5"/>
        <v>363</v>
      </c>
    </row>
    <row r="375" spans="2:7" x14ac:dyDescent="0.25">
      <c r="B375" s="242"/>
      <c r="C375" s="243"/>
      <c r="D375" s="243"/>
      <c r="E375" s="243">
        <v>27232</v>
      </c>
      <c r="F375" s="244" t="s">
        <v>1337</v>
      </c>
      <c r="G375" s="241">
        <f t="shared" si="5"/>
        <v>364</v>
      </c>
    </row>
    <row r="376" spans="2:7" x14ac:dyDescent="0.25">
      <c r="B376" s="242"/>
      <c r="C376" s="243"/>
      <c r="D376" s="243"/>
      <c r="E376" s="243">
        <v>27233</v>
      </c>
      <c r="F376" s="244" t="s">
        <v>1080</v>
      </c>
      <c r="G376" s="241">
        <f t="shared" si="5"/>
        <v>365</v>
      </c>
    </row>
    <row r="377" spans="2:7" x14ac:dyDescent="0.25">
      <c r="B377" s="242"/>
      <c r="C377" s="243"/>
      <c r="D377" s="243">
        <v>2724</v>
      </c>
      <c r="E377" s="243"/>
      <c r="F377" s="244" t="s">
        <v>1055</v>
      </c>
      <c r="G377" s="241">
        <f t="shared" si="5"/>
        <v>366</v>
      </c>
    </row>
    <row r="378" spans="2:7" x14ac:dyDescent="0.25">
      <c r="B378" s="242"/>
      <c r="C378" s="243"/>
      <c r="D378" s="243"/>
      <c r="E378" s="243">
        <v>27241</v>
      </c>
      <c r="F378" s="244" t="s">
        <v>1338</v>
      </c>
      <c r="G378" s="241">
        <f t="shared" si="5"/>
        <v>367</v>
      </c>
    </row>
    <row r="379" spans="2:7" x14ac:dyDescent="0.25">
      <c r="B379" s="242"/>
      <c r="C379" s="243"/>
      <c r="D379" s="243"/>
      <c r="E379" s="243">
        <v>27242</v>
      </c>
      <c r="F379" s="244" t="s">
        <v>1339</v>
      </c>
      <c r="G379" s="241">
        <f t="shared" si="5"/>
        <v>368</v>
      </c>
    </row>
    <row r="380" spans="2:7" x14ac:dyDescent="0.25">
      <c r="B380" s="242"/>
      <c r="C380" s="243"/>
      <c r="D380" s="243">
        <v>2725</v>
      </c>
      <c r="E380" s="243"/>
      <c r="F380" s="244" t="s">
        <v>688</v>
      </c>
      <c r="G380" s="241">
        <f t="shared" si="5"/>
        <v>369</v>
      </c>
    </row>
    <row r="381" spans="2:7" x14ac:dyDescent="0.25">
      <c r="B381" s="242"/>
      <c r="C381" s="243"/>
      <c r="D381" s="243"/>
      <c r="E381" s="243">
        <v>27251</v>
      </c>
      <c r="F381" s="244" t="s">
        <v>1340</v>
      </c>
      <c r="G381" s="241">
        <f t="shared" si="5"/>
        <v>370</v>
      </c>
    </row>
    <row r="382" spans="2:7" x14ac:dyDescent="0.25">
      <c r="B382" s="242"/>
      <c r="C382" s="243"/>
      <c r="D382" s="243"/>
      <c r="E382" s="243">
        <v>27252</v>
      </c>
      <c r="F382" s="244" t="s">
        <v>1341</v>
      </c>
      <c r="G382" s="241">
        <f t="shared" si="5"/>
        <v>371</v>
      </c>
    </row>
    <row r="383" spans="2:7" x14ac:dyDescent="0.25">
      <c r="B383" s="242"/>
      <c r="C383" s="243"/>
      <c r="D383" s="243">
        <v>2726</v>
      </c>
      <c r="E383" s="243"/>
      <c r="F383" s="244" t="s">
        <v>654</v>
      </c>
      <c r="G383" s="241">
        <f t="shared" si="5"/>
        <v>372</v>
      </c>
    </row>
    <row r="384" spans="2:7" x14ac:dyDescent="0.25">
      <c r="B384" s="242"/>
      <c r="C384" s="243"/>
      <c r="D384" s="243"/>
      <c r="E384" s="243">
        <v>27261</v>
      </c>
      <c r="F384" s="244" t="s">
        <v>1342</v>
      </c>
      <c r="G384" s="241">
        <f t="shared" si="5"/>
        <v>373</v>
      </c>
    </row>
    <row r="385" spans="2:7" x14ac:dyDescent="0.25">
      <c r="B385" s="242"/>
      <c r="C385" s="243"/>
      <c r="D385" s="243"/>
      <c r="E385" s="243">
        <v>27262</v>
      </c>
      <c r="F385" s="244" t="s">
        <v>1343</v>
      </c>
      <c r="G385" s="241">
        <f t="shared" si="5"/>
        <v>374</v>
      </c>
    </row>
    <row r="386" spans="2:7" x14ac:dyDescent="0.25">
      <c r="B386" s="242"/>
      <c r="C386" s="243"/>
      <c r="D386" s="243">
        <v>2727</v>
      </c>
      <c r="E386" s="243"/>
      <c r="F386" s="244" t="s">
        <v>753</v>
      </c>
      <c r="G386" s="241">
        <f t="shared" si="5"/>
        <v>375</v>
      </c>
    </row>
    <row r="387" spans="2:7" x14ac:dyDescent="0.25">
      <c r="B387" s="242"/>
      <c r="C387" s="243"/>
      <c r="D387" s="243"/>
      <c r="E387" s="243">
        <v>27271</v>
      </c>
      <c r="F387" s="244" t="s">
        <v>1344</v>
      </c>
      <c r="G387" s="241">
        <f t="shared" si="5"/>
        <v>376</v>
      </c>
    </row>
    <row r="388" spans="2:7" x14ac:dyDescent="0.25">
      <c r="B388" s="242"/>
      <c r="C388" s="243"/>
      <c r="D388" s="243"/>
      <c r="E388" s="243">
        <v>27272</v>
      </c>
      <c r="F388" s="244" t="s">
        <v>1345</v>
      </c>
      <c r="G388" s="241">
        <f t="shared" si="5"/>
        <v>377</v>
      </c>
    </row>
    <row r="389" spans="2:7" x14ac:dyDescent="0.25">
      <c r="B389" s="242"/>
      <c r="C389" s="243">
        <v>273</v>
      </c>
      <c r="D389" s="243"/>
      <c r="E389" s="243"/>
      <c r="F389" s="244" t="s">
        <v>521</v>
      </c>
      <c r="G389" s="241">
        <f t="shared" si="5"/>
        <v>378</v>
      </c>
    </row>
    <row r="390" spans="2:7" x14ac:dyDescent="0.25">
      <c r="B390" s="242"/>
      <c r="C390" s="243"/>
      <c r="D390" s="243">
        <v>2731</v>
      </c>
      <c r="E390" s="243"/>
      <c r="F390" s="244" t="s">
        <v>1164</v>
      </c>
      <c r="G390" s="241">
        <f t="shared" si="5"/>
        <v>379</v>
      </c>
    </row>
    <row r="391" spans="2:7" x14ac:dyDescent="0.25">
      <c r="B391" s="242"/>
      <c r="C391" s="243"/>
      <c r="D391" s="243"/>
      <c r="E391" s="243">
        <v>27311</v>
      </c>
      <c r="F391" s="244" t="s">
        <v>1346</v>
      </c>
      <c r="G391" s="241">
        <f t="shared" si="5"/>
        <v>380</v>
      </c>
    </row>
    <row r="392" spans="2:7" x14ac:dyDescent="0.25">
      <c r="B392" s="242"/>
      <c r="C392" s="243"/>
      <c r="D392" s="243"/>
      <c r="E392" s="243">
        <v>27312</v>
      </c>
      <c r="F392" s="244" t="s">
        <v>1347</v>
      </c>
      <c r="G392" s="241">
        <f t="shared" si="5"/>
        <v>381</v>
      </c>
    </row>
    <row r="393" spans="2:7" x14ac:dyDescent="0.25">
      <c r="B393" s="242"/>
      <c r="C393" s="243"/>
      <c r="D393" s="243">
        <v>2732</v>
      </c>
      <c r="E393" s="243"/>
      <c r="F393" s="244" t="s">
        <v>750</v>
      </c>
      <c r="G393" s="241">
        <f t="shared" si="5"/>
        <v>382</v>
      </c>
    </row>
    <row r="394" spans="2:7" x14ac:dyDescent="0.25">
      <c r="B394" s="242"/>
      <c r="C394" s="243"/>
      <c r="D394" s="243"/>
      <c r="E394" s="243">
        <v>27321</v>
      </c>
      <c r="F394" s="244" t="s">
        <v>1348</v>
      </c>
      <c r="G394" s="241">
        <f t="shared" si="5"/>
        <v>383</v>
      </c>
    </row>
    <row r="395" spans="2:7" x14ac:dyDescent="0.25">
      <c r="B395" s="242"/>
      <c r="C395" s="243"/>
      <c r="D395" s="243"/>
      <c r="E395" s="243">
        <v>27322</v>
      </c>
      <c r="F395" s="244" t="s">
        <v>1349</v>
      </c>
      <c r="G395" s="241">
        <f t="shared" si="5"/>
        <v>384</v>
      </c>
    </row>
    <row r="396" spans="2:7" x14ac:dyDescent="0.25">
      <c r="B396" s="242"/>
      <c r="C396" s="243"/>
      <c r="D396" s="243">
        <v>2733</v>
      </c>
      <c r="E396" s="243"/>
      <c r="F396" s="244" t="s">
        <v>684</v>
      </c>
      <c r="G396" s="241">
        <f t="shared" si="5"/>
        <v>385</v>
      </c>
    </row>
    <row r="397" spans="2:7" x14ac:dyDescent="0.25">
      <c r="B397" s="242"/>
      <c r="C397" s="243"/>
      <c r="D397" s="243"/>
      <c r="E397" s="243">
        <v>27331</v>
      </c>
      <c r="F397" s="244" t="s">
        <v>1350</v>
      </c>
      <c r="G397" s="241">
        <f t="shared" ref="G397:G460" si="6">G396+1</f>
        <v>386</v>
      </c>
    </row>
    <row r="398" spans="2:7" x14ac:dyDescent="0.25">
      <c r="B398" s="242"/>
      <c r="C398" s="243"/>
      <c r="D398" s="243"/>
      <c r="E398" s="243">
        <v>27332</v>
      </c>
      <c r="F398" s="244" t="s">
        <v>1351</v>
      </c>
      <c r="G398" s="241">
        <f t="shared" si="6"/>
        <v>387</v>
      </c>
    </row>
    <row r="399" spans="2:7" x14ac:dyDescent="0.25">
      <c r="B399" s="242"/>
      <c r="C399" s="243"/>
      <c r="D399" s="243">
        <v>2734</v>
      </c>
      <c r="E399" s="243"/>
      <c r="F399" s="244" t="s">
        <v>1352</v>
      </c>
      <c r="G399" s="241">
        <f t="shared" si="6"/>
        <v>388</v>
      </c>
    </row>
    <row r="400" spans="2:7" x14ac:dyDescent="0.25">
      <c r="B400" s="242"/>
      <c r="C400" s="243"/>
      <c r="D400" s="243"/>
      <c r="E400" s="243">
        <v>27341</v>
      </c>
      <c r="F400" s="244" t="s">
        <v>1353</v>
      </c>
      <c r="G400" s="241">
        <f t="shared" si="6"/>
        <v>389</v>
      </c>
    </row>
    <row r="401" spans="2:7" x14ac:dyDescent="0.25">
      <c r="B401" s="242"/>
      <c r="C401" s="243"/>
      <c r="D401" s="243"/>
      <c r="E401" s="243">
        <v>27342</v>
      </c>
      <c r="F401" s="244" t="s">
        <v>1354</v>
      </c>
      <c r="G401" s="241">
        <f t="shared" si="6"/>
        <v>390</v>
      </c>
    </row>
    <row r="402" spans="2:7" x14ac:dyDescent="0.25">
      <c r="B402" s="242"/>
      <c r="C402" s="243"/>
      <c r="D402" s="243">
        <v>2735</v>
      </c>
      <c r="E402" s="243"/>
      <c r="F402" s="244" t="s">
        <v>682</v>
      </c>
      <c r="G402" s="241">
        <f t="shared" si="6"/>
        <v>391</v>
      </c>
    </row>
    <row r="403" spans="2:7" x14ac:dyDescent="0.25">
      <c r="B403" s="242"/>
      <c r="C403" s="243"/>
      <c r="D403" s="243"/>
      <c r="E403" s="243">
        <v>27351</v>
      </c>
      <c r="F403" s="244" t="s">
        <v>1355</v>
      </c>
      <c r="G403" s="241">
        <f t="shared" si="6"/>
        <v>392</v>
      </c>
    </row>
    <row r="404" spans="2:7" x14ac:dyDescent="0.25">
      <c r="B404" s="242"/>
      <c r="C404" s="243"/>
      <c r="D404" s="243"/>
      <c r="E404" s="243">
        <v>27352</v>
      </c>
      <c r="F404" s="244" t="s">
        <v>1356</v>
      </c>
      <c r="G404" s="241">
        <f t="shared" si="6"/>
        <v>393</v>
      </c>
    </row>
    <row r="405" spans="2:7" x14ac:dyDescent="0.25">
      <c r="B405" s="242"/>
      <c r="C405" s="243"/>
      <c r="D405" s="243">
        <v>2736</v>
      </c>
      <c r="E405" s="243"/>
      <c r="F405" s="244" t="s">
        <v>1095</v>
      </c>
      <c r="G405" s="241">
        <f t="shared" si="6"/>
        <v>394</v>
      </c>
    </row>
    <row r="406" spans="2:7" x14ac:dyDescent="0.25">
      <c r="B406" s="242"/>
      <c r="C406" s="243"/>
      <c r="D406" s="243"/>
      <c r="E406" s="243">
        <v>27361</v>
      </c>
      <c r="F406" s="244" t="s">
        <v>1357</v>
      </c>
      <c r="G406" s="241">
        <f t="shared" si="6"/>
        <v>395</v>
      </c>
    </row>
    <row r="407" spans="2:7" x14ac:dyDescent="0.25">
      <c r="B407" s="242"/>
      <c r="C407" s="243"/>
      <c r="D407" s="243"/>
      <c r="E407" s="243">
        <v>27362</v>
      </c>
      <c r="F407" s="244" t="s">
        <v>1358</v>
      </c>
      <c r="G407" s="241">
        <f t="shared" si="6"/>
        <v>396</v>
      </c>
    </row>
    <row r="408" spans="2:7" x14ac:dyDescent="0.25">
      <c r="B408" s="242"/>
      <c r="C408" s="243"/>
      <c r="D408" s="243">
        <v>2739</v>
      </c>
      <c r="E408" s="243"/>
      <c r="F408" s="244" t="s">
        <v>749</v>
      </c>
      <c r="G408" s="241">
        <f t="shared" si="6"/>
        <v>397</v>
      </c>
    </row>
    <row r="409" spans="2:7" x14ac:dyDescent="0.25">
      <c r="B409" s="242"/>
      <c r="C409" s="243"/>
      <c r="D409" s="243"/>
      <c r="E409" s="243">
        <v>27391</v>
      </c>
      <c r="F409" s="244" t="s">
        <v>1359</v>
      </c>
      <c r="G409" s="241">
        <f t="shared" si="6"/>
        <v>398</v>
      </c>
    </row>
    <row r="410" spans="2:7" x14ac:dyDescent="0.25">
      <c r="B410" s="242"/>
      <c r="C410" s="243"/>
      <c r="D410" s="243"/>
      <c r="E410" s="243">
        <v>27392</v>
      </c>
      <c r="F410" s="244" t="s">
        <v>1360</v>
      </c>
      <c r="G410" s="241">
        <f t="shared" si="6"/>
        <v>399</v>
      </c>
    </row>
    <row r="411" spans="2:7" x14ac:dyDescent="0.25">
      <c r="B411" s="242"/>
      <c r="C411" s="243">
        <v>274</v>
      </c>
      <c r="D411" s="243"/>
      <c r="E411" s="243"/>
      <c r="F411" s="244" t="s">
        <v>520</v>
      </c>
      <c r="G411" s="241">
        <f t="shared" si="6"/>
        <v>400</v>
      </c>
    </row>
    <row r="412" spans="2:7" x14ac:dyDescent="0.25">
      <c r="B412" s="242"/>
      <c r="C412" s="243"/>
      <c r="D412" s="243">
        <v>2741</v>
      </c>
      <c r="E412" s="243"/>
      <c r="F412" s="244" t="s">
        <v>1079</v>
      </c>
      <c r="G412" s="241">
        <f t="shared" si="6"/>
        <v>401</v>
      </c>
    </row>
    <row r="413" spans="2:7" x14ac:dyDescent="0.25">
      <c r="B413" s="242"/>
      <c r="C413" s="243"/>
      <c r="D413" s="243"/>
      <c r="E413" s="243">
        <v>27411</v>
      </c>
      <c r="F413" s="244" t="s">
        <v>1052</v>
      </c>
      <c r="G413" s="241">
        <f t="shared" si="6"/>
        <v>402</v>
      </c>
    </row>
    <row r="414" spans="2:7" x14ac:dyDescent="0.25">
      <c r="B414" s="242"/>
      <c r="C414" s="243"/>
      <c r="D414" s="243"/>
      <c r="E414" s="243">
        <v>27412</v>
      </c>
      <c r="F414" s="244" t="s">
        <v>1361</v>
      </c>
      <c r="G414" s="241">
        <f t="shared" si="6"/>
        <v>403</v>
      </c>
    </row>
    <row r="415" spans="2:7" x14ac:dyDescent="0.25">
      <c r="B415" s="242"/>
      <c r="C415" s="243"/>
      <c r="D415" s="243"/>
      <c r="E415" s="243">
        <v>27413</v>
      </c>
      <c r="F415" s="244" t="s">
        <v>1362</v>
      </c>
      <c r="G415" s="241">
        <f t="shared" si="6"/>
        <v>404</v>
      </c>
    </row>
    <row r="416" spans="2:7" x14ac:dyDescent="0.25">
      <c r="B416" s="242"/>
      <c r="C416" s="243"/>
      <c r="D416" s="243">
        <v>2742</v>
      </c>
      <c r="E416" s="243"/>
      <c r="F416" s="244" t="s">
        <v>1078</v>
      </c>
      <c r="G416" s="241">
        <f t="shared" si="6"/>
        <v>405</v>
      </c>
    </row>
    <row r="417" spans="2:7" x14ac:dyDescent="0.25">
      <c r="B417" s="242"/>
      <c r="C417" s="243"/>
      <c r="D417" s="243"/>
      <c r="E417" s="243">
        <v>27421</v>
      </c>
      <c r="F417" s="244" t="s">
        <v>1077</v>
      </c>
      <c r="G417" s="241">
        <f t="shared" si="6"/>
        <v>406</v>
      </c>
    </row>
    <row r="418" spans="2:7" x14ac:dyDescent="0.25">
      <c r="B418" s="242"/>
      <c r="C418" s="243"/>
      <c r="D418" s="243"/>
      <c r="E418" s="243">
        <v>27422</v>
      </c>
      <c r="F418" s="244" t="s">
        <v>1363</v>
      </c>
      <c r="G418" s="241">
        <f t="shared" si="6"/>
        <v>407</v>
      </c>
    </row>
    <row r="419" spans="2:7" x14ac:dyDescent="0.25">
      <c r="B419" s="242"/>
      <c r="C419" s="243"/>
      <c r="D419" s="243"/>
      <c r="E419" s="243">
        <v>27423</v>
      </c>
      <c r="F419" s="244" t="s">
        <v>1364</v>
      </c>
      <c r="G419" s="241">
        <f t="shared" si="6"/>
        <v>408</v>
      </c>
    </row>
    <row r="420" spans="2:7" x14ac:dyDescent="0.25">
      <c r="B420" s="242"/>
      <c r="C420" s="243">
        <v>275</v>
      </c>
      <c r="D420" s="243"/>
      <c r="E420" s="243"/>
      <c r="F420" s="244" t="s">
        <v>1365</v>
      </c>
      <c r="G420" s="241">
        <f t="shared" si="6"/>
        <v>409</v>
      </c>
    </row>
    <row r="421" spans="2:7" x14ac:dyDescent="0.25">
      <c r="B421" s="242"/>
      <c r="C421" s="243"/>
      <c r="D421" s="243">
        <v>2752</v>
      </c>
      <c r="E421" s="243"/>
      <c r="F421" s="244" t="s">
        <v>1366</v>
      </c>
      <c r="G421" s="241">
        <f t="shared" si="6"/>
        <v>410</v>
      </c>
    </row>
    <row r="422" spans="2:7" x14ac:dyDescent="0.25">
      <c r="B422" s="242"/>
      <c r="C422" s="243"/>
      <c r="D422" s="243"/>
      <c r="E422" s="243">
        <v>27521</v>
      </c>
      <c r="F422" s="244" t="s">
        <v>772</v>
      </c>
      <c r="G422" s="241">
        <f t="shared" si="6"/>
        <v>411</v>
      </c>
    </row>
    <row r="423" spans="2:7" x14ac:dyDescent="0.25">
      <c r="B423" s="242"/>
      <c r="C423" s="243"/>
      <c r="D423" s="243"/>
      <c r="E423" s="243">
        <v>27522</v>
      </c>
      <c r="F423" s="244" t="s">
        <v>1335</v>
      </c>
      <c r="G423" s="241">
        <f t="shared" si="6"/>
        <v>412</v>
      </c>
    </row>
    <row r="424" spans="2:7" x14ac:dyDescent="0.25">
      <c r="B424" s="242"/>
      <c r="C424" s="243"/>
      <c r="D424" s="243"/>
      <c r="E424" s="243">
        <v>27523</v>
      </c>
      <c r="F424" s="244" t="s">
        <v>771</v>
      </c>
      <c r="G424" s="241">
        <f t="shared" si="6"/>
        <v>413</v>
      </c>
    </row>
    <row r="425" spans="2:7" x14ac:dyDescent="0.25">
      <c r="B425" s="242"/>
      <c r="C425" s="243">
        <v>276</v>
      </c>
      <c r="D425" s="243"/>
      <c r="E425" s="243"/>
      <c r="F425" s="244" t="s">
        <v>1367</v>
      </c>
      <c r="G425" s="241">
        <f t="shared" si="6"/>
        <v>414</v>
      </c>
    </row>
    <row r="426" spans="2:7" x14ac:dyDescent="0.25">
      <c r="B426" s="242"/>
      <c r="C426" s="243"/>
      <c r="D426" s="243">
        <v>2762</v>
      </c>
      <c r="E426" s="243"/>
      <c r="F426" s="244" t="s">
        <v>1060</v>
      </c>
      <c r="G426" s="241">
        <f t="shared" si="6"/>
        <v>415</v>
      </c>
    </row>
    <row r="427" spans="2:7" x14ac:dyDescent="0.25">
      <c r="B427" s="242"/>
      <c r="C427" s="243"/>
      <c r="D427" s="243"/>
      <c r="E427" s="243">
        <v>27621</v>
      </c>
      <c r="F427" s="244" t="s">
        <v>1062</v>
      </c>
      <c r="G427" s="241">
        <f t="shared" si="6"/>
        <v>416</v>
      </c>
    </row>
    <row r="428" spans="2:7" x14ac:dyDescent="0.25">
      <c r="B428" s="242"/>
      <c r="C428" s="243"/>
      <c r="D428" s="243"/>
      <c r="E428" s="243">
        <v>27622</v>
      </c>
      <c r="F428" s="244" t="s">
        <v>771</v>
      </c>
      <c r="G428" s="241">
        <f t="shared" si="6"/>
        <v>417</v>
      </c>
    </row>
    <row r="429" spans="2:7" x14ac:dyDescent="0.25">
      <c r="B429" s="242"/>
      <c r="C429" s="243"/>
      <c r="D429" s="243"/>
      <c r="E429" s="243">
        <v>27623</v>
      </c>
      <c r="F429" s="244" t="s">
        <v>1368</v>
      </c>
      <c r="G429" s="241">
        <f t="shared" si="6"/>
        <v>418</v>
      </c>
    </row>
    <row r="430" spans="2:7" x14ac:dyDescent="0.25">
      <c r="B430" s="242"/>
      <c r="C430" s="243"/>
      <c r="D430" s="243">
        <v>2763</v>
      </c>
      <c r="E430" s="243"/>
      <c r="F430" s="244" t="s">
        <v>1369</v>
      </c>
      <c r="G430" s="241">
        <f t="shared" si="6"/>
        <v>419</v>
      </c>
    </row>
    <row r="431" spans="2:7" x14ac:dyDescent="0.25">
      <c r="B431" s="242"/>
      <c r="C431" s="243"/>
      <c r="D431" s="243"/>
      <c r="E431" s="243">
        <v>27631</v>
      </c>
      <c r="F431" s="244" t="s">
        <v>1336</v>
      </c>
      <c r="G431" s="241">
        <f t="shared" si="6"/>
        <v>420</v>
      </c>
    </row>
    <row r="432" spans="2:7" x14ac:dyDescent="0.25">
      <c r="B432" s="242"/>
      <c r="C432" s="243"/>
      <c r="D432" s="243"/>
      <c r="E432" s="243">
        <v>27632</v>
      </c>
      <c r="F432" s="244" t="s">
        <v>1337</v>
      </c>
      <c r="G432" s="241">
        <f t="shared" si="6"/>
        <v>421</v>
      </c>
    </row>
    <row r="433" spans="2:7" x14ac:dyDescent="0.25">
      <c r="B433" s="242"/>
      <c r="C433" s="243"/>
      <c r="D433" s="243"/>
      <c r="E433" s="243">
        <v>27633</v>
      </c>
      <c r="F433" s="244" t="s">
        <v>1370</v>
      </c>
      <c r="G433" s="241">
        <f t="shared" si="6"/>
        <v>422</v>
      </c>
    </row>
    <row r="434" spans="2:7" x14ac:dyDescent="0.25">
      <c r="B434" s="242"/>
      <c r="C434" s="243"/>
      <c r="D434" s="243">
        <v>2764</v>
      </c>
      <c r="E434" s="243"/>
      <c r="F434" s="244" t="s">
        <v>1371</v>
      </c>
      <c r="G434" s="241">
        <f t="shared" si="6"/>
        <v>423</v>
      </c>
    </row>
    <row r="435" spans="2:7" x14ac:dyDescent="0.25">
      <c r="B435" s="242"/>
      <c r="C435" s="243"/>
      <c r="D435" s="243"/>
      <c r="E435" s="243">
        <v>27641</v>
      </c>
      <c r="F435" s="244" t="s">
        <v>1338</v>
      </c>
      <c r="G435" s="241">
        <f t="shared" si="6"/>
        <v>424</v>
      </c>
    </row>
    <row r="436" spans="2:7" x14ac:dyDescent="0.25">
      <c r="B436" s="242"/>
      <c r="C436" s="243"/>
      <c r="D436" s="243"/>
      <c r="E436" s="243">
        <v>27642</v>
      </c>
      <c r="F436" s="244" t="s">
        <v>1339</v>
      </c>
      <c r="G436" s="241">
        <f t="shared" si="6"/>
        <v>425</v>
      </c>
    </row>
    <row r="437" spans="2:7" x14ac:dyDescent="0.25">
      <c r="B437" s="242"/>
      <c r="C437" s="243"/>
      <c r="D437" s="243">
        <v>2765</v>
      </c>
      <c r="E437" s="243"/>
      <c r="F437" s="244" t="s">
        <v>1372</v>
      </c>
      <c r="G437" s="241">
        <f t="shared" si="6"/>
        <v>426</v>
      </c>
    </row>
    <row r="438" spans="2:7" x14ac:dyDescent="0.25">
      <c r="B438" s="242"/>
      <c r="C438" s="243"/>
      <c r="D438" s="243"/>
      <c r="E438" s="243">
        <v>27651</v>
      </c>
      <c r="F438" s="244" t="s">
        <v>1340</v>
      </c>
      <c r="G438" s="241">
        <f t="shared" si="6"/>
        <v>427</v>
      </c>
    </row>
    <row r="439" spans="2:7" x14ac:dyDescent="0.25">
      <c r="B439" s="242"/>
      <c r="C439" s="243"/>
      <c r="D439" s="243"/>
      <c r="E439" s="243">
        <v>27652</v>
      </c>
      <c r="F439" s="244" t="s">
        <v>1341</v>
      </c>
      <c r="G439" s="241">
        <f t="shared" si="6"/>
        <v>428</v>
      </c>
    </row>
    <row r="440" spans="2:7" x14ac:dyDescent="0.25">
      <c r="B440" s="242"/>
      <c r="C440" s="243"/>
      <c r="D440" s="243">
        <v>2766</v>
      </c>
      <c r="E440" s="243"/>
      <c r="F440" s="244" t="s">
        <v>1373</v>
      </c>
      <c r="G440" s="241">
        <f t="shared" si="6"/>
        <v>429</v>
      </c>
    </row>
    <row r="441" spans="2:7" x14ac:dyDescent="0.25">
      <c r="B441" s="242"/>
      <c r="C441" s="243"/>
      <c r="D441" s="243"/>
      <c r="E441" s="243">
        <v>27661</v>
      </c>
      <c r="F441" s="244" t="s">
        <v>1342</v>
      </c>
      <c r="G441" s="241">
        <f t="shared" si="6"/>
        <v>430</v>
      </c>
    </row>
    <row r="442" spans="2:7" x14ac:dyDescent="0.25">
      <c r="B442" s="242"/>
      <c r="C442" s="243"/>
      <c r="D442" s="243"/>
      <c r="E442" s="243">
        <v>27662</v>
      </c>
      <c r="F442" s="244" t="s">
        <v>1343</v>
      </c>
      <c r="G442" s="241">
        <f t="shared" si="6"/>
        <v>431</v>
      </c>
    </row>
    <row r="443" spans="2:7" x14ac:dyDescent="0.25">
      <c r="B443" s="242"/>
      <c r="C443" s="243"/>
      <c r="D443" s="243">
        <v>2767</v>
      </c>
      <c r="E443" s="243"/>
      <c r="F443" s="244" t="s">
        <v>1374</v>
      </c>
      <c r="G443" s="241">
        <f t="shared" si="6"/>
        <v>432</v>
      </c>
    </row>
    <row r="444" spans="2:7" x14ac:dyDescent="0.25">
      <c r="B444" s="242"/>
      <c r="C444" s="243"/>
      <c r="D444" s="243"/>
      <c r="E444" s="243">
        <v>27671</v>
      </c>
      <c r="F444" s="244" t="s">
        <v>1344</v>
      </c>
      <c r="G444" s="241">
        <f t="shared" si="6"/>
        <v>433</v>
      </c>
    </row>
    <row r="445" spans="2:7" x14ac:dyDescent="0.25">
      <c r="B445" s="242"/>
      <c r="C445" s="243"/>
      <c r="D445" s="243"/>
      <c r="E445" s="243">
        <v>27672</v>
      </c>
      <c r="F445" s="244" t="s">
        <v>1345</v>
      </c>
      <c r="G445" s="241">
        <f t="shared" si="6"/>
        <v>434</v>
      </c>
    </row>
    <row r="446" spans="2:7" x14ac:dyDescent="0.25">
      <c r="B446" s="242"/>
      <c r="C446" s="243">
        <v>277</v>
      </c>
      <c r="D446" s="243"/>
      <c r="E446" s="243"/>
      <c r="F446" s="244" t="s">
        <v>1375</v>
      </c>
      <c r="G446" s="241">
        <f t="shared" si="6"/>
        <v>435</v>
      </c>
    </row>
    <row r="447" spans="2:7" x14ac:dyDescent="0.25">
      <c r="B447" s="242"/>
      <c r="C447" s="243"/>
      <c r="D447" s="243">
        <v>2771</v>
      </c>
      <c r="E447" s="243"/>
      <c r="F447" s="244" t="s">
        <v>1376</v>
      </c>
      <c r="G447" s="241">
        <f t="shared" si="6"/>
        <v>436</v>
      </c>
    </row>
    <row r="448" spans="2:7" x14ac:dyDescent="0.25">
      <c r="B448" s="242"/>
      <c r="C448" s="243"/>
      <c r="D448" s="243"/>
      <c r="E448" s="243">
        <v>27711</v>
      </c>
      <c r="F448" s="244" t="s">
        <v>1346</v>
      </c>
      <c r="G448" s="241">
        <f t="shared" si="6"/>
        <v>437</v>
      </c>
    </row>
    <row r="449" spans="2:7" x14ac:dyDescent="0.25">
      <c r="B449" s="242"/>
      <c r="C449" s="243"/>
      <c r="D449" s="243"/>
      <c r="E449" s="243">
        <v>27712</v>
      </c>
      <c r="F449" s="244" t="s">
        <v>1347</v>
      </c>
      <c r="G449" s="241">
        <f t="shared" si="6"/>
        <v>438</v>
      </c>
    </row>
    <row r="450" spans="2:7" x14ac:dyDescent="0.25">
      <c r="B450" s="242"/>
      <c r="C450" s="243"/>
      <c r="D450" s="243">
        <v>2772</v>
      </c>
      <c r="E450" s="243"/>
      <c r="F450" s="244" t="s">
        <v>1377</v>
      </c>
      <c r="G450" s="241">
        <f t="shared" si="6"/>
        <v>439</v>
      </c>
    </row>
    <row r="451" spans="2:7" x14ac:dyDescent="0.25">
      <c r="B451" s="242"/>
      <c r="C451" s="243"/>
      <c r="D451" s="243"/>
      <c r="E451" s="243">
        <v>27721</v>
      </c>
      <c r="F451" s="244" t="s">
        <v>1348</v>
      </c>
      <c r="G451" s="241">
        <f t="shared" si="6"/>
        <v>440</v>
      </c>
    </row>
    <row r="452" spans="2:7" x14ac:dyDescent="0.25">
      <c r="B452" s="242"/>
      <c r="C452" s="243"/>
      <c r="D452" s="243"/>
      <c r="E452" s="243">
        <v>27722</v>
      </c>
      <c r="F452" s="244" t="s">
        <v>1349</v>
      </c>
      <c r="G452" s="241">
        <f t="shared" si="6"/>
        <v>441</v>
      </c>
    </row>
    <row r="453" spans="2:7" x14ac:dyDescent="0.25">
      <c r="B453" s="242"/>
      <c r="C453" s="243"/>
      <c r="D453" s="243">
        <v>2773</v>
      </c>
      <c r="E453" s="243"/>
      <c r="F453" s="244" t="s">
        <v>1378</v>
      </c>
      <c r="G453" s="241">
        <f t="shared" si="6"/>
        <v>442</v>
      </c>
    </row>
    <row r="454" spans="2:7" x14ac:dyDescent="0.25">
      <c r="B454" s="242"/>
      <c r="C454" s="243"/>
      <c r="D454" s="243"/>
      <c r="E454" s="243">
        <v>27731</v>
      </c>
      <c r="F454" s="244" t="s">
        <v>1350</v>
      </c>
      <c r="G454" s="241">
        <f t="shared" si="6"/>
        <v>443</v>
      </c>
    </row>
    <row r="455" spans="2:7" x14ac:dyDescent="0.25">
      <c r="B455" s="242"/>
      <c r="C455" s="243"/>
      <c r="D455" s="243"/>
      <c r="E455" s="243">
        <v>27732</v>
      </c>
      <c r="F455" s="244" t="s">
        <v>1351</v>
      </c>
      <c r="G455" s="241">
        <f t="shared" si="6"/>
        <v>444</v>
      </c>
    </row>
    <row r="456" spans="2:7" x14ac:dyDescent="0.25">
      <c r="B456" s="242"/>
      <c r="C456" s="243"/>
      <c r="D456" s="243">
        <v>2774</v>
      </c>
      <c r="E456" s="243"/>
      <c r="F456" s="244" t="s">
        <v>1379</v>
      </c>
      <c r="G456" s="241">
        <f t="shared" si="6"/>
        <v>445</v>
      </c>
    </row>
    <row r="457" spans="2:7" x14ac:dyDescent="0.25">
      <c r="B457" s="242"/>
      <c r="C457" s="243"/>
      <c r="D457" s="243"/>
      <c r="E457" s="243">
        <v>27741</v>
      </c>
      <c r="F457" s="244" t="s">
        <v>1380</v>
      </c>
      <c r="G457" s="241">
        <f t="shared" si="6"/>
        <v>446</v>
      </c>
    </row>
    <row r="458" spans="2:7" x14ac:dyDescent="0.25">
      <c r="B458" s="242"/>
      <c r="C458" s="243"/>
      <c r="D458" s="243"/>
      <c r="E458" s="243">
        <v>27742</v>
      </c>
      <c r="F458" s="244" t="s">
        <v>1381</v>
      </c>
      <c r="G458" s="241">
        <f t="shared" si="6"/>
        <v>447</v>
      </c>
    </row>
    <row r="459" spans="2:7" x14ac:dyDescent="0.25">
      <c r="B459" s="242"/>
      <c r="C459" s="243"/>
      <c r="D459" s="243">
        <v>2775</v>
      </c>
      <c r="E459" s="243"/>
      <c r="F459" s="244" t="s">
        <v>1382</v>
      </c>
      <c r="G459" s="241">
        <f t="shared" si="6"/>
        <v>448</v>
      </c>
    </row>
    <row r="460" spans="2:7" x14ac:dyDescent="0.25">
      <c r="B460" s="242"/>
      <c r="C460" s="243"/>
      <c r="D460" s="243"/>
      <c r="E460" s="243">
        <v>27751</v>
      </c>
      <c r="F460" s="244" t="s">
        <v>1355</v>
      </c>
      <c r="G460" s="241">
        <f t="shared" si="6"/>
        <v>449</v>
      </c>
    </row>
    <row r="461" spans="2:7" x14ac:dyDescent="0.25">
      <c r="B461" s="242"/>
      <c r="C461" s="243"/>
      <c r="D461" s="243"/>
      <c r="E461" s="243">
        <v>27752</v>
      </c>
      <c r="F461" s="244" t="s">
        <v>1356</v>
      </c>
      <c r="G461" s="241">
        <f t="shared" ref="G461:G524" si="7">G460+1</f>
        <v>450</v>
      </c>
    </row>
    <row r="462" spans="2:7" x14ac:dyDescent="0.25">
      <c r="B462" s="242"/>
      <c r="C462" s="243"/>
      <c r="D462" s="243">
        <v>2776</v>
      </c>
      <c r="E462" s="243"/>
      <c r="F462" s="244" t="s">
        <v>1383</v>
      </c>
      <c r="G462" s="241">
        <f t="shared" si="7"/>
        <v>451</v>
      </c>
    </row>
    <row r="463" spans="2:7" x14ac:dyDescent="0.25">
      <c r="B463" s="242"/>
      <c r="C463" s="243"/>
      <c r="D463" s="243"/>
      <c r="E463" s="243">
        <v>27761</v>
      </c>
      <c r="F463" s="244" t="s">
        <v>1357</v>
      </c>
      <c r="G463" s="241">
        <f t="shared" si="7"/>
        <v>452</v>
      </c>
    </row>
    <row r="464" spans="2:7" x14ac:dyDescent="0.25">
      <c r="B464" s="242"/>
      <c r="C464" s="243"/>
      <c r="D464" s="243"/>
      <c r="E464" s="243">
        <v>27762</v>
      </c>
      <c r="F464" s="244" t="s">
        <v>1358</v>
      </c>
      <c r="G464" s="241">
        <f t="shared" si="7"/>
        <v>453</v>
      </c>
    </row>
    <row r="465" spans="2:7" x14ac:dyDescent="0.25">
      <c r="B465" s="242"/>
      <c r="C465" s="243"/>
      <c r="D465" s="243">
        <v>2779</v>
      </c>
      <c r="E465" s="243"/>
      <c r="F465" s="244" t="s">
        <v>1384</v>
      </c>
      <c r="G465" s="241">
        <f t="shared" si="7"/>
        <v>454</v>
      </c>
    </row>
    <row r="466" spans="2:7" x14ac:dyDescent="0.25">
      <c r="B466" s="242"/>
      <c r="C466" s="243"/>
      <c r="D466" s="243"/>
      <c r="E466" s="243">
        <v>27791</v>
      </c>
      <c r="F466" s="244" t="s">
        <v>1359</v>
      </c>
      <c r="G466" s="241">
        <f t="shared" si="7"/>
        <v>455</v>
      </c>
    </row>
    <row r="467" spans="2:7" x14ac:dyDescent="0.25">
      <c r="B467" s="242"/>
      <c r="C467" s="243"/>
      <c r="D467" s="243"/>
      <c r="E467" s="243">
        <v>27792</v>
      </c>
      <c r="F467" s="244" t="s">
        <v>1360</v>
      </c>
      <c r="G467" s="241">
        <f t="shared" si="7"/>
        <v>456</v>
      </c>
    </row>
    <row r="468" spans="2:7" x14ac:dyDescent="0.25">
      <c r="B468" s="242"/>
      <c r="C468" s="243">
        <v>278</v>
      </c>
      <c r="D468" s="243"/>
      <c r="E468" s="243"/>
      <c r="F468" s="244" t="s">
        <v>1385</v>
      </c>
      <c r="G468" s="241">
        <f t="shared" si="7"/>
        <v>457</v>
      </c>
    </row>
    <row r="469" spans="2:7" x14ac:dyDescent="0.25">
      <c r="B469" s="242"/>
      <c r="C469" s="243"/>
      <c r="D469" s="243">
        <v>2781</v>
      </c>
      <c r="E469" s="243"/>
      <c r="F469" s="244" t="s">
        <v>1079</v>
      </c>
      <c r="G469" s="241">
        <f t="shared" si="7"/>
        <v>458</v>
      </c>
    </row>
    <row r="470" spans="2:7" x14ac:dyDescent="0.25">
      <c r="B470" s="242"/>
      <c r="C470" s="243"/>
      <c r="D470" s="243"/>
      <c r="E470" s="243">
        <v>27812</v>
      </c>
      <c r="F470" s="244" t="s">
        <v>1052</v>
      </c>
      <c r="G470" s="241">
        <f t="shared" si="7"/>
        <v>459</v>
      </c>
    </row>
    <row r="471" spans="2:7" x14ac:dyDescent="0.25">
      <c r="B471" s="242"/>
      <c r="C471" s="243"/>
      <c r="D471" s="243">
        <v>2782</v>
      </c>
      <c r="E471" s="243"/>
      <c r="F471" s="244" t="s">
        <v>1078</v>
      </c>
      <c r="G471" s="241">
        <f t="shared" si="7"/>
        <v>460</v>
      </c>
    </row>
    <row r="472" spans="2:7" x14ac:dyDescent="0.25">
      <c r="B472" s="242"/>
      <c r="C472" s="243"/>
      <c r="D472" s="243"/>
      <c r="E472" s="243">
        <v>27822</v>
      </c>
      <c r="F472" s="244" t="s">
        <v>1077</v>
      </c>
      <c r="G472" s="241">
        <f t="shared" si="7"/>
        <v>461</v>
      </c>
    </row>
    <row r="473" spans="2:7" x14ac:dyDescent="0.25">
      <c r="B473" s="242"/>
      <c r="C473" s="243">
        <v>279</v>
      </c>
      <c r="D473" s="243"/>
      <c r="E473" s="243"/>
      <c r="F473" s="244" t="s">
        <v>1386</v>
      </c>
      <c r="G473" s="241">
        <f t="shared" si="7"/>
        <v>462</v>
      </c>
    </row>
    <row r="474" spans="2:7" x14ac:dyDescent="0.25">
      <c r="B474" s="242"/>
      <c r="C474" s="243"/>
      <c r="D474" s="243">
        <v>2791</v>
      </c>
      <c r="E474" s="243"/>
      <c r="F474" s="244" t="s">
        <v>1387</v>
      </c>
      <c r="G474" s="241">
        <f t="shared" si="7"/>
        <v>463</v>
      </c>
    </row>
    <row r="475" spans="2:7" x14ac:dyDescent="0.25">
      <c r="B475" s="242"/>
      <c r="C475" s="243"/>
      <c r="D475" s="243"/>
      <c r="E475" s="243">
        <v>27911</v>
      </c>
      <c r="F475" s="244" t="s">
        <v>1388</v>
      </c>
      <c r="G475" s="241">
        <f t="shared" si="7"/>
        <v>464</v>
      </c>
    </row>
    <row r="476" spans="2:7" x14ac:dyDescent="0.25">
      <c r="B476" s="242"/>
      <c r="C476" s="243"/>
      <c r="D476" s="243"/>
      <c r="E476" s="243">
        <v>27912</v>
      </c>
      <c r="F476" s="244" t="s">
        <v>1366</v>
      </c>
      <c r="G476" s="241">
        <f t="shared" si="7"/>
        <v>465</v>
      </c>
    </row>
    <row r="477" spans="2:7" x14ac:dyDescent="0.25">
      <c r="B477" s="242"/>
      <c r="C477" s="243"/>
      <c r="D477" s="243">
        <v>2793</v>
      </c>
      <c r="E477" s="243"/>
      <c r="F477" s="244" t="s">
        <v>1389</v>
      </c>
      <c r="G477" s="241">
        <f t="shared" si="7"/>
        <v>466</v>
      </c>
    </row>
    <row r="478" spans="2:7" x14ac:dyDescent="0.25">
      <c r="B478" s="242"/>
      <c r="C478" s="243"/>
      <c r="D478" s="243"/>
      <c r="E478" s="243">
        <v>27931</v>
      </c>
      <c r="F478" s="244" t="s">
        <v>1139</v>
      </c>
      <c r="G478" s="241">
        <f t="shared" si="7"/>
        <v>467</v>
      </c>
    </row>
    <row r="479" spans="2:7" x14ac:dyDescent="0.25">
      <c r="B479" s="242"/>
      <c r="C479" s="243"/>
      <c r="D479" s="243"/>
      <c r="E479" s="243">
        <v>27932</v>
      </c>
      <c r="F479" s="244" t="s">
        <v>1060</v>
      </c>
      <c r="G479" s="241">
        <f t="shared" si="7"/>
        <v>468</v>
      </c>
    </row>
    <row r="480" spans="2:7" x14ac:dyDescent="0.25">
      <c r="B480" s="242"/>
      <c r="C480" s="243"/>
      <c r="D480" s="243"/>
      <c r="E480" s="243">
        <v>27933</v>
      </c>
      <c r="F480" s="244" t="s">
        <v>1059</v>
      </c>
      <c r="G480" s="241">
        <f t="shared" si="7"/>
        <v>469</v>
      </c>
    </row>
    <row r="481" spans="2:7" x14ac:dyDescent="0.25">
      <c r="B481" s="242"/>
      <c r="C481" s="243"/>
      <c r="D481" s="243"/>
      <c r="E481" s="243">
        <v>27934</v>
      </c>
      <c r="F481" s="244" t="s">
        <v>1390</v>
      </c>
      <c r="G481" s="241">
        <f t="shared" si="7"/>
        <v>470</v>
      </c>
    </row>
    <row r="482" spans="2:7" x14ac:dyDescent="0.25">
      <c r="B482" s="242"/>
      <c r="C482" s="243"/>
      <c r="D482" s="243"/>
      <c r="E482" s="243">
        <v>27935</v>
      </c>
      <c r="F482" s="244" t="s">
        <v>1138</v>
      </c>
      <c r="G482" s="241">
        <f t="shared" si="7"/>
        <v>471</v>
      </c>
    </row>
    <row r="483" spans="2:7" x14ac:dyDescent="0.25">
      <c r="B483" s="242"/>
      <c r="C483" s="243"/>
      <c r="D483" s="243"/>
      <c r="E483" s="243">
        <v>27936</v>
      </c>
      <c r="F483" s="244" t="s">
        <v>1057</v>
      </c>
      <c r="G483" s="241">
        <f t="shared" si="7"/>
        <v>472</v>
      </c>
    </row>
    <row r="484" spans="2:7" x14ac:dyDescent="0.25">
      <c r="B484" s="242"/>
      <c r="C484" s="243"/>
      <c r="D484" s="243"/>
      <c r="E484" s="243">
        <v>27937</v>
      </c>
      <c r="F484" s="244" t="s">
        <v>1137</v>
      </c>
      <c r="G484" s="241">
        <f t="shared" si="7"/>
        <v>473</v>
      </c>
    </row>
    <row r="485" spans="2:7" x14ac:dyDescent="0.25">
      <c r="B485" s="242"/>
      <c r="C485" s="243"/>
      <c r="D485" s="243">
        <v>2794</v>
      </c>
      <c r="E485" s="243"/>
      <c r="F485" s="244" t="s">
        <v>1391</v>
      </c>
      <c r="G485" s="241">
        <f t="shared" si="7"/>
        <v>474</v>
      </c>
    </row>
    <row r="486" spans="2:7" x14ac:dyDescent="0.25">
      <c r="B486" s="242"/>
      <c r="C486" s="243"/>
      <c r="D486" s="243"/>
      <c r="E486" s="243">
        <v>27941</v>
      </c>
      <c r="F486" s="244" t="s">
        <v>1376</v>
      </c>
      <c r="G486" s="241">
        <f t="shared" si="7"/>
        <v>475</v>
      </c>
    </row>
    <row r="487" spans="2:7" x14ac:dyDescent="0.25">
      <c r="B487" s="242"/>
      <c r="C487" s="243"/>
      <c r="D487" s="243"/>
      <c r="E487" s="243">
        <v>27942</v>
      </c>
      <c r="F487" s="244" t="s">
        <v>1377</v>
      </c>
      <c r="G487" s="241">
        <f t="shared" si="7"/>
        <v>476</v>
      </c>
    </row>
    <row r="488" spans="2:7" x14ac:dyDescent="0.25">
      <c r="B488" s="242"/>
      <c r="C488" s="243"/>
      <c r="D488" s="243"/>
      <c r="E488" s="243">
        <v>27943</v>
      </c>
      <c r="F488" s="244" t="s">
        <v>1378</v>
      </c>
      <c r="G488" s="241">
        <f t="shared" si="7"/>
        <v>477</v>
      </c>
    </row>
    <row r="489" spans="2:7" x14ac:dyDescent="0.25">
      <c r="B489" s="242"/>
      <c r="C489" s="243"/>
      <c r="D489" s="243"/>
      <c r="E489" s="243">
        <v>27944</v>
      </c>
      <c r="F489" s="244" t="s">
        <v>1379</v>
      </c>
      <c r="G489" s="241">
        <f t="shared" si="7"/>
        <v>478</v>
      </c>
    </row>
    <row r="490" spans="2:7" x14ac:dyDescent="0.25">
      <c r="B490" s="242"/>
      <c r="C490" s="243"/>
      <c r="D490" s="243"/>
      <c r="E490" s="243">
        <v>27945</v>
      </c>
      <c r="F490" s="244" t="s">
        <v>1382</v>
      </c>
      <c r="G490" s="241">
        <f t="shared" si="7"/>
        <v>479</v>
      </c>
    </row>
    <row r="491" spans="2:7" x14ac:dyDescent="0.25">
      <c r="B491" s="242"/>
      <c r="C491" s="243"/>
      <c r="D491" s="243"/>
      <c r="E491" s="243">
        <v>27946</v>
      </c>
      <c r="F491" s="244" t="s">
        <v>1383</v>
      </c>
      <c r="G491" s="241">
        <f t="shared" si="7"/>
        <v>480</v>
      </c>
    </row>
    <row r="492" spans="2:7" x14ac:dyDescent="0.25">
      <c r="B492" s="242"/>
      <c r="C492" s="243"/>
      <c r="D492" s="243"/>
      <c r="E492" s="243">
        <v>27949</v>
      </c>
      <c r="F492" s="244" t="s">
        <v>1392</v>
      </c>
      <c r="G492" s="241">
        <f t="shared" si="7"/>
        <v>481</v>
      </c>
    </row>
    <row r="493" spans="2:7" x14ac:dyDescent="0.25">
      <c r="B493" s="242"/>
      <c r="C493" s="243"/>
      <c r="D493" s="243">
        <v>2795</v>
      </c>
      <c r="E493" s="243"/>
      <c r="F493" s="244" t="s">
        <v>1393</v>
      </c>
      <c r="G493" s="241">
        <f t="shared" si="7"/>
        <v>482</v>
      </c>
    </row>
    <row r="494" spans="2:7" x14ac:dyDescent="0.25">
      <c r="B494" s="242"/>
      <c r="C494" s="243"/>
      <c r="D494" s="243"/>
      <c r="E494" s="243">
        <v>27951</v>
      </c>
      <c r="F494" s="244" t="s">
        <v>1394</v>
      </c>
      <c r="G494" s="241">
        <f t="shared" si="7"/>
        <v>483</v>
      </c>
    </row>
    <row r="495" spans="2:7" x14ac:dyDescent="0.25">
      <c r="B495" s="242"/>
      <c r="C495" s="243"/>
      <c r="D495" s="243"/>
      <c r="E495" s="243">
        <v>27952</v>
      </c>
      <c r="F495" s="244" t="s">
        <v>1395</v>
      </c>
      <c r="G495" s="241">
        <f t="shared" si="7"/>
        <v>484</v>
      </c>
    </row>
    <row r="496" spans="2:7" x14ac:dyDescent="0.25">
      <c r="B496" s="242">
        <v>28</v>
      </c>
      <c r="C496" s="243"/>
      <c r="D496" s="243"/>
      <c r="E496" s="243"/>
      <c r="F496" s="244" t="s">
        <v>1163</v>
      </c>
      <c r="G496" s="241">
        <f t="shared" si="7"/>
        <v>485</v>
      </c>
    </row>
    <row r="497" spans="2:7" x14ac:dyDescent="0.25">
      <c r="B497" s="242"/>
      <c r="C497" s="243">
        <v>281</v>
      </c>
      <c r="D497" s="243"/>
      <c r="E497" s="243"/>
      <c r="F497" s="244" t="s">
        <v>644</v>
      </c>
      <c r="G497" s="241">
        <f t="shared" si="7"/>
        <v>486</v>
      </c>
    </row>
    <row r="498" spans="2:7" x14ac:dyDescent="0.25">
      <c r="B498" s="242"/>
      <c r="C498" s="243"/>
      <c r="D498" s="243">
        <v>2811</v>
      </c>
      <c r="E498" s="243"/>
      <c r="F498" s="244" t="s">
        <v>644</v>
      </c>
      <c r="G498" s="241">
        <f t="shared" si="7"/>
        <v>487</v>
      </c>
    </row>
    <row r="499" spans="2:7" x14ac:dyDescent="0.25">
      <c r="B499" s="242"/>
      <c r="C499" s="243">
        <v>284</v>
      </c>
      <c r="D499" s="243"/>
      <c r="E499" s="243"/>
      <c r="F499" s="244" t="s">
        <v>594</v>
      </c>
      <c r="G499" s="241">
        <f t="shared" si="7"/>
        <v>488</v>
      </c>
    </row>
    <row r="500" spans="2:7" x14ac:dyDescent="0.25">
      <c r="B500" s="242"/>
      <c r="C500" s="243"/>
      <c r="D500" s="243">
        <v>2841</v>
      </c>
      <c r="E500" s="243"/>
      <c r="F500" s="244" t="s">
        <v>594</v>
      </c>
      <c r="G500" s="241">
        <f t="shared" si="7"/>
        <v>489</v>
      </c>
    </row>
    <row r="501" spans="2:7" x14ac:dyDescent="0.25">
      <c r="B501" s="242"/>
      <c r="C501" s="243">
        <v>285</v>
      </c>
      <c r="D501" s="243"/>
      <c r="E501" s="243"/>
      <c r="F501" s="244" t="s">
        <v>864</v>
      </c>
      <c r="G501" s="241">
        <f t="shared" si="7"/>
        <v>490</v>
      </c>
    </row>
    <row r="502" spans="2:7" x14ac:dyDescent="0.25">
      <c r="B502" s="242"/>
      <c r="C502" s="243"/>
      <c r="D502" s="243">
        <v>2851</v>
      </c>
      <c r="E502" s="243"/>
      <c r="F502" s="244" t="s">
        <v>593</v>
      </c>
      <c r="G502" s="241">
        <f t="shared" si="7"/>
        <v>491</v>
      </c>
    </row>
    <row r="503" spans="2:7" x14ac:dyDescent="0.25">
      <c r="B503" s="242"/>
      <c r="C503" s="243"/>
      <c r="D503" s="243">
        <v>2852</v>
      </c>
      <c r="E503" s="243"/>
      <c r="F503" s="244" t="s">
        <v>532</v>
      </c>
      <c r="G503" s="241">
        <f t="shared" si="7"/>
        <v>492</v>
      </c>
    </row>
    <row r="504" spans="2:7" x14ac:dyDescent="0.25">
      <c r="B504" s="242"/>
      <c r="C504" s="243"/>
      <c r="D504" s="243">
        <v>2853</v>
      </c>
      <c r="E504" s="243"/>
      <c r="F504" s="244" t="s">
        <v>863</v>
      </c>
      <c r="G504" s="241">
        <f t="shared" si="7"/>
        <v>493</v>
      </c>
    </row>
    <row r="505" spans="2:7" x14ac:dyDescent="0.25">
      <c r="B505" s="242"/>
      <c r="C505" s="243">
        <v>286</v>
      </c>
      <c r="D505" s="243"/>
      <c r="E505" s="243"/>
      <c r="F505" s="244" t="s">
        <v>862</v>
      </c>
      <c r="G505" s="241">
        <f t="shared" si="7"/>
        <v>494</v>
      </c>
    </row>
    <row r="506" spans="2:7" x14ac:dyDescent="0.25">
      <c r="B506" s="242"/>
      <c r="C506" s="243"/>
      <c r="D506" s="243">
        <v>2861</v>
      </c>
      <c r="E506" s="243"/>
      <c r="F506" s="244" t="s">
        <v>592</v>
      </c>
      <c r="G506" s="241">
        <f t="shared" si="7"/>
        <v>495</v>
      </c>
    </row>
    <row r="507" spans="2:7" x14ac:dyDescent="0.25">
      <c r="B507" s="242"/>
      <c r="C507" s="243"/>
      <c r="D507" s="243">
        <v>2862</v>
      </c>
      <c r="E507" s="243"/>
      <c r="F507" s="244" t="s">
        <v>591</v>
      </c>
      <c r="G507" s="241">
        <f t="shared" si="7"/>
        <v>496</v>
      </c>
    </row>
    <row r="508" spans="2:7" x14ac:dyDescent="0.25">
      <c r="B508" s="242">
        <v>29</v>
      </c>
      <c r="C508" s="243"/>
      <c r="D508" s="243"/>
      <c r="E508" s="243"/>
      <c r="F508" s="244" t="s">
        <v>1396</v>
      </c>
      <c r="G508" s="241">
        <f t="shared" si="7"/>
        <v>497</v>
      </c>
    </row>
    <row r="509" spans="2:7" x14ac:dyDescent="0.25">
      <c r="B509" s="242"/>
      <c r="C509" s="243">
        <v>291</v>
      </c>
      <c r="D509" s="243"/>
      <c r="E509" s="243"/>
      <c r="F509" s="244" t="s">
        <v>644</v>
      </c>
      <c r="G509" s="241">
        <f t="shared" si="7"/>
        <v>498</v>
      </c>
    </row>
    <row r="510" spans="2:7" x14ac:dyDescent="0.25">
      <c r="B510" s="242"/>
      <c r="C510" s="243"/>
      <c r="D510" s="243">
        <v>2911</v>
      </c>
      <c r="E510" s="243"/>
      <c r="F510" s="244" t="s">
        <v>717</v>
      </c>
      <c r="G510" s="241">
        <f t="shared" si="7"/>
        <v>499</v>
      </c>
    </row>
    <row r="511" spans="2:7" x14ac:dyDescent="0.25">
      <c r="B511" s="242"/>
      <c r="C511" s="243"/>
      <c r="D511" s="243">
        <v>2912</v>
      </c>
      <c r="E511" s="243"/>
      <c r="F511" s="244" t="s">
        <v>716</v>
      </c>
      <c r="G511" s="241">
        <f t="shared" si="7"/>
        <v>500</v>
      </c>
    </row>
    <row r="512" spans="2:7" x14ac:dyDescent="0.25">
      <c r="B512" s="242"/>
      <c r="C512" s="243"/>
      <c r="D512" s="243">
        <v>2913</v>
      </c>
      <c r="E512" s="243"/>
      <c r="F512" s="244" t="s">
        <v>1331</v>
      </c>
      <c r="G512" s="241">
        <f t="shared" si="7"/>
        <v>501</v>
      </c>
    </row>
    <row r="513" spans="2:7" x14ac:dyDescent="0.25">
      <c r="B513" s="242"/>
      <c r="C513" s="243"/>
      <c r="D513" s="243">
        <v>2914</v>
      </c>
      <c r="E513" s="243"/>
      <c r="F513" s="244" t="s">
        <v>715</v>
      </c>
      <c r="G513" s="241">
        <f t="shared" si="7"/>
        <v>502</v>
      </c>
    </row>
    <row r="514" spans="2:7" x14ac:dyDescent="0.25">
      <c r="B514" s="242"/>
      <c r="C514" s="243"/>
      <c r="D514" s="243">
        <v>2918</v>
      </c>
      <c r="E514" s="243"/>
      <c r="F514" s="244" t="s">
        <v>736</v>
      </c>
      <c r="G514" s="241">
        <f t="shared" si="7"/>
        <v>503</v>
      </c>
    </row>
    <row r="515" spans="2:7" x14ac:dyDescent="0.25">
      <c r="B515" s="242"/>
      <c r="C515" s="243">
        <v>292</v>
      </c>
      <c r="D515" s="243"/>
      <c r="E515" s="243"/>
      <c r="F515" s="244" t="s">
        <v>590</v>
      </c>
      <c r="G515" s="241">
        <f t="shared" si="7"/>
        <v>504</v>
      </c>
    </row>
    <row r="516" spans="2:7" x14ac:dyDescent="0.25">
      <c r="B516" s="242"/>
      <c r="C516" s="243"/>
      <c r="D516" s="243">
        <v>2921</v>
      </c>
      <c r="E516" s="243"/>
      <c r="F516" s="244" t="s">
        <v>705</v>
      </c>
      <c r="G516" s="241">
        <f t="shared" si="7"/>
        <v>505</v>
      </c>
    </row>
    <row r="517" spans="2:7" x14ac:dyDescent="0.25">
      <c r="B517" s="242"/>
      <c r="C517" s="243"/>
      <c r="D517" s="243">
        <v>2922</v>
      </c>
      <c r="E517" s="243"/>
      <c r="F517" s="244" t="s">
        <v>704</v>
      </c>
      <c r="G517" s="241">
        <f t="shared" si="7"/>
        <v>506</v>
      </c>
    </row>
    <row r="518" spans="2:7" x14ac:dyDescent="0.25">
      <c r="B518" s="242"/>
      <c r="C518" s="243"/>
      <c r="D518" s="243">
        <v>2923</v>
      </c>
      <c r="E518" s="243"/>
      <c r="F518" s="244" t="s">
        <v>1162</v>
      </c>
      <c r="G518" s="241">
        <f t="shared" si="7"/>
        <v>507</v>
      </c>
    </row>
    <row r="519" spans="2:7" x14ac:dyDescent="0.25">
      <c r="B519" s="242"/>
      <c r="C519" s="243"/>
      <c r="D519" s="243">
        <v>2924</v>
      </c>
      <c r="E519" s="243"/>
      <c r="F519" s="244" t="s">
        <v>1161</v>
      </c>
      <c r="G519" s="241">
        <f t="shared" si="7"/>
        <v>508</v>
      </c>
    </row>
    <row r="520" spans="2:7" x14ac:dyDescent="0.25">
      <c r="B520" s="242"/>
      <c r="C520" s="243"/>
      <c r="D520" s="243">
        <v>2925</v>
      </c>
      <c r="E520" s="243"/>
      <c r="F520" s="244" t="s">
        <v>702</v>
      </c>
      <c r="G520" s="241">
        <f t="shared" si="7"/>
        <v>509</v>
      </c>
    </row>
    <row r="521" spans="2:7" x14ac:dyDescent="0.25">
      <c r="B521" s="242"/>
      <c r="C521" s="243"/>
      <c r="D521" s="243">
        <v>2927</v>
      </c>
      <c r="E521" s="243"/>
      <c r="F521" s="244" t="s">
        <v>1160</v>
      </c>
      <c r="G521" s="241">
        <f t="shared" si="7"/>
        <v>510</v>
      </c>
    </row>
    <row r="522" spans="2:7" x14ac:dyDescent="0.25">
      <c r="B522" s="242"/>
      <c r="C522" s="243"/>
      <c r="D522" s="243">
        <v>2928</v>
      </c>
      <c r="E522" s="243"/>
      <c r="F522" s="244" t="s">
        <v>1159</v>
      </c>
      <c r="G522" s="241">
        <f t="shared" si="7"/>
        <v>511</v>
      </c>
    </row>
    <row r="523" spans="2:7" x14ac:dyDescent="0.25">
      <c r="B523" s="242"/>
      <c r="C523" s="243">
        <v>293</v>
      </c>
      <c r="D523" s="243"/>
      <c r="E523" s="243"/>
      <c r="F523" s="244" t="s">
        <v>1158</v>
      </c>
      <c r="G523" s="241">
        <f t="shared" si="7"/>
        <v>512</v>
      </c>
    </row>
    <row r="524" spans="2:7" x14ac:dyDescent="0.25">
      <c r="B524" s="242"/>
      <c r="C524" s="243"/>
      <c r="D524" s="243">
        <v>2931</v>
      </c>
      <c r="E524" s="243"/>
      <c r="F524" s="244" t="s">
        <v>1157</v>
      </c>
      <c r="G524" s="241">
        <f t="shared" si="7"/>
        <v>513</v>
      </c>
    </row>
    <row r="525" spans="2:7" x14ac:dyDescent="0.25">
      <c r="B525" s="242"/>
      <c r="C525" s="243"/>
      <c r="D525" s="243">
        <v>2932</v>
      </c>
      <c r="E525" s="243"/>
      <c r="F525" s="244" t="s">
        <v>699</v>
      </c>
      <c r="G525" s="241">
        <f t="shared" ref="G525:G588" si="8">G524+1</f>
        <v>514</v>
      </c>
    </row>
    <row r="526" spans="2:7" x14ac:dyDescent="0.25">
      <c r="B526" s="242"/>
      <c r="C526" s="243">
        <v>294</v>
      </c>
      <c r="D526" s="243"/>
      <c r="E526" s="243"/>
      <c r="F526" s="244" t="s">
        <v>595</v>
      </c>
      <c r="G526" s="241">
        <f t="shared" si="8"/>
        <v>515</v>
      </c>
    </row>
    <row r="527" spans="2:7" x14ac:dyDescent="0.25">
      <c r="B527" s="242"/>
      <c r="C527" s="243"/>
      <c r="D527" s="243">
        <v>2941</v>
      </c>
      <c r="E527" s="243"/>
      <c r="F527" s="244" t="s">
        <v>697</v>
      </c>
      <c r="G527" s="241">
        <f t="shared" si="8"/>
        <v>516</v>
      </c>
    </row>
    <row r="528" spans="2:7" x14ac:dyDescent="0.25">
      <c r="B528" s="242"/>
      <c r="C528" s="243"/>
      <c r="D528" s="243">
        <v>2942</v>
      </c>
      <c r="E528" s="243"/>
      <c r="F528" s="244" t="s">
        <v>696</v>
      </c>
      <c r="G528" s="241">
        <f t="shared" si="8"/>
        <v>517</v>
      </c>
    </row>
    <row r="529" spans="2:7" x14ac:dyDescent="0.25">
      <c r="B529" s="242"/>
      <c r="C529" s="243"/>
      <c r="D529" s="243">
        <v>2943</v>
      </c>
      <c r="E529" s="243"/>
      <c r="F529" s="244" t="s">
        <v>695</v>
      </c>
      <c r="G529" s="241">
        <f t="shared" si="8"/>
        <v>518</v>
      </c>
    </row>
    <row r="530" spans="2:7" x14ac:dyDescent="0.25">
      <c r="B530" s="242"/>
      <c r="C530" s="243"/>
      <c r="D530" s="243">
        <v>2944</v>
      </c>
      <c r="E530" s="243"/>
      <c r="F530" s="244" t="s">
        <v>694</v>
      </c>
      <c r="G530" s="241">
        <f t="shared" si="8"/>
        <v>519</v>
      </c>
    </row>
    <row r="531" spans="2:7" x14ac:dyDescent="0.25">
      <c r="B531" s="242"/>
      <c r="C531" s="243"/>
      <c r="D531" s="243">
        <v>2945</v>
      </c>
      <c r="E531" s="243"/>
      <c r="F531" s="244" t="s">
        <v>693</v>
      </c>
      <c r="G531" s="241">
        <f t="shared" si="8"/>
        <v>520</v>
      </c>
    </row>
    <row r="532" spans="2:7" x14ac:dyDescent="0.25">
      <c r="B532" s="242"/>
      <c r="C532" s="243"/>
      <c r="D532" s="243">
        <v>2947</v>
      </c>
      <c r="E532" s="243"/>
      <c r="F532" s="244" t="s">
        <v>692</v>
      </c>
      <c r="G532" s="241">
        <f t="shared" si="8"/>
        <v>521</v>
      </c>
    </row>
    <row r="533" spans="2:7" x14ac:dyDescent="0.25">
      <c r="B533" s="242"/>
      <c r="C533" s="243"/>
      <c r="D533" s="243">
        <v>2948</v>
      </c>
      <c r="E533" s="243"/>
      <c r="F533" s="244" t="s">
        <v>1156</v>
      </c>
      <c r="G533" s="241">
        <f t="shared" si="8"/>
        <v>522</v>
      </c>
    </row>
    <row r="534" spans="2:7" x14ac:dyDescent="0.25">
      <c r="B534" s="242"/>
      <c r="C534" s="243">
        <v>295</v>
      </c>
      <c r="D534" s="243"/>
      <c r="E534" s="243"/>
      <c r="F534" s="244" t="s">
        <v>594</v>
      </c>
      <c r="G534" s="241">
        <f t="shared" si="8"/>
        <v>523</v>
      </c>
    </row>
    <row r="535" spans="2:7" x14ac:dyDescent="0.25">
      <c r="B535" s="242"/>
      <c r="C535" s="243"/>
      <c r="D535" s="243">
        <v>2951</v>
      </c>
      <c r="E535" s="243"/>
      <c r="F535" s="244" t="s">
        <v>868</v>
      </c>
      <c r="G535" s="241">
        <f t="shared" si="8"/>
        <v>524</v>
      </c>
    </row>
    <row r="536" spans="2:7" x14ac:dyDescent="0.25">
      <c r="B536" s="242"/>
      <c r="C536" s="243"/>
      <c r="D536" s="243">
        <v>2952</v>
      </c>
      <c r="E536" s="243"/>
      <c r="F536" s="244" t="s">
        <v>867</v>
      </c>
      <c r="G536" s="241">
        <f t="shared" si="8"/>
        <v>525</v>
      </c>
    </row>
    <row r="537" spans="2:7" x14ac:dyDescent="0.25">
      <c r="B537" s="242"/>
      <c r="C537" s="243"/>
      <c r="D537" s="243">
        <v>2953</v>
      </c>
      <c r="E537" s="243"/>
      <c r="F537" s="244" t="s">
        <v>866</v>
      </c>
      <c r="G537" s="241">
        <f t="shared" si="8"/>
        <v>526</v>
      </c>
    </row>
    <row r="538" spans="2:7" x14ac:dyDescent="0.25">
      <c r="B538" s="242"/>
      <c r="C538" s="243"/>
      <c r="D538" s="243">
        <v>2954</v>
      </c>
      <c r="E538" s="243"/>
      <c r="F538" s="244" t="s">
        <v>865</v>
      </c>
      <c r="G538" s="241">
        <f t="shared" si="8"/>
        <v>527</v>
      </c>
    </row>
    <row r="539" spans="2:7" x14ac:dyDescent="0.25">
      <c r="B539" s="242"/>
      <c r="C539" s="243">
        <v>296</v>
      </c>
      <c r="D539" s="243"/>
      <c r="E539" s="243"/>
      <c r="F539" s="244" t="s">
        <v>864</v>
      </c>
      <c r="G539" s="241">
        <f t="shared" si="8"/>
        <v>528</v>
      </c>
    </row>
    <row r="540" spans="2:7" x14ac:dyDescent="0.25">
      <c r="B540" s="242"/>
      <c r="C540" s="243"/>
      <c r="D540" s="243">
        <v>2961</v>
      </c>
      <c r="E540" s="243"/>
      <c r="F540" s="244" t="s">
        <v>593</v>
      </c>
      <c r="G540" s="241">
        <f t="shared" si="8"/>
        <v>529</v>
      </c>
    </row>
    <row r="541" spans="2:7" x14ac:dyDescent="0.25">
      <c r="B541" s="242"/>
      <c r="C541" s="243"/>
      <c r="D541" s="243">
        <v>2962</v>
      </c>
      <c r="E541" s="243"/>
      <c r="F541" s="244" t="s">
        <v>532</v>
      </c>
      <c r="G541" s="241">
        <f t="shared" si="8"/>
        <v>530</v>
      </c>
    </row>
    <row r="542" spans="2:7" x14ac:dyDescent="0.25">
      <c r="B542" s="242"/>
      <c r="C542" s="243"/>
      <c r="D542" s="243">
        <v>2963</v>
      </c>
      <c r="E542" s="243"/>
      <c r="F542" s="244" t="s">
        <v>863</v>
      </c>
      <c r="G542" s="241">
        <f t="shared" si="8"/>
        <v>531</v>
      </c>
    </row>
    <row r="543" spans="2:7" x14ac:dyDescent="0.25">
      <c r="B543" s="242"/>
      <c r="C543" s="243">
        <v>297</v>
      </c>
      <c r="D543" s="243"/>
      <c r="E543" s="243"/>
      <c r="F543" s="244" t="s">
        <v>862</v>
      </c>
      <c r="G543" s="241">
        <f t="shared" si="8"/>
        <v>532</v>
      </c>
    </row>
    <row r="544" spans="2:7" x14ac:dyDescent="0.25">
      <c r="B544" s="242"/>
      <c r="C544" s="243"/>
      <c r="D544" s="243">
        <v>2971</v>
      </c>
      <c r="E544" s="243"/>
      <c r="F544" s="244" t="s">
        <v>592</v>
      </c>
      <c r="G544" s="241">
        <f t="shared" si="8"/>
        <v>533</v>
      </c>
    </row>
    <row r="545" spans="2:7" x14ac:dyDescent="0.25">
      <c r="B545" s="242"/>
      <c r="C545" s="243"/>
      <c r="D545" s="243">
        <v>2972</v>
      </c>
      <c r="E545" s="243"/>
      <c r="F545" s="244" t="s">
        <v>591</v>
      </c>
      <c r="G545" s="241">
        <f t="shared" si="8"/>
        <v>534</v>
      </c>
    </row>
    <row r="546" spans="2:7" x14ac:dyDescent="0.25">
      <c r="B546" s="242"/>
      <c r="C546" s="243">
        <v>298</v>
      </c>
      <c r="D546" s="243"/>
      <c r="E546" s="243"/>
      <c r="F546" s="244" t="s">
        <v>1155</v>
      </c>
      <c r="G546" s="241">
        <f t="shared" si="8"/>
        <v>535</v>
      </c>
    </row>
    <row r="547" spans="2:7" x14ac:dyDescent="0.25">
      <c r="B547" s="242"/>
      <c r="C547" s="243"/>
      <c r="D547" s="243">
        <v>2981</v>
      </c>
      <c r="E547" s="243"/>
      <c r="F547" s="244" t="s">
        <v>644</v>
      </c>
      <c r="G547" s="241">
        <f t="shared" si="8"/>
        <v>536</v>
      </c>
    </row>
    <row r="548" spans="2:7" x14ac:dyDescent="0.25">
      <c r="B548" s="242"/>
      <c r="C548" s="243"/>
      <c r="D548" s="243">
        <v>2982</v>
      </c>
      <c r="E548" s="243"/>
      <c r="F548" s="244" t="s">
        <v>594</v>
      </c>
      <c r="G548" s="241">
        <f t="shared" si="8"/>
        <v>537</v>
      </c>
    </row>
    <row r="549" spans="2:7" x14ac:dyDescent="0.25">
      <c r="B549" s="242"/>
      <c r="C549" s="243"/>
      <c r="D549" s="243">
        <v>2983</v>
      </c>
      <c r="E549" s="243"/>
      <c r="F549" s="244" t="s">
        <v>864</v>
      </c>
      <c r="G549" s="241">
        <f t="shared" si="8"/>
        <v>538</v>
      </c>
    </row>
    <row r="550" spans="2:7" x14ac:dyDescent="0.25">
      <c r="B550" s="242"/>
      <c r="C550" s="243"/>
      <c r="D550" s="243">
        <v>2984</v>
      </c>
      <c r="E550" s="243"/>
      <c r="F550" s="244" t="s">
        <v>862</v>
      </c>
      <c r="G550" s="241">
        <f t="shared" si="8"/>
        <v>539</v>
      </c>
    </row>
    <row r="551" spans="2:7" x14ac:dyDescent="0.25">
      <c r="B551" s="242">
        <v>30</v>
      </c>
      <c r="C551" s="243"/>
      <c r="D551" s="243"/>
      <c r="E551" s="243"/>
      <c r="F551" s="244" t="s">
        <v>1154</v>
      </c>
      <c r="G551" s="241">
        <f t="shared" si="8"/>
        <v>540</v>
      </c>
    </row>
    <row r="552" spans="2:7" x14ac:dyDescent="0.25">
      <c r="B552" s="242"/>
      <c r="C552" s="243">
        <v>301</v>
      </c>
      <c r="D552" s="243"/>
      <c r="E552" s="243"/>
      <c r="F552" s="244" t="s">
        <v>633</v>
      </c>
      <c r="G552" s="241">
        <f t="shared" si="8"/>
        <v>541</v>
      </c>
    </row>
    <row r="553" spans="2:7" x14ac:dyDescent="0.25">
      <c r="B553" s="242"/>
      <c r="C553" s="243"/>
      <c r="D553" s="243">
        <v>3011</v>
      </c>
      <c r="E553" s="243"/>
      <c r="F553" s="244" t="s">
        <v>1153</v>
      </c>
      <c r="G553" s="241">
        <f t="shared" si="8"/>
        <v>542</v>
      </c>
    </row>
    <row r="554" spans="2:7" x14ac:dyDescent="0.25">
      <c r="B554" s="242"/>
      <c r="C554" s="243"/>
      <c r="D554" s="243"/>
      <c r="E554" s="243">
        <v>30111</v>
      </c>
      <c r="F554" s="244" t="s">
        <v>1152</v>
      </c>
      <c r="G554" s="241">
        <f t="shared" si="8"/>
        <v>543</v>
      </c>
    </row>
    <row r="555" spans="2:7" x14ac:dyDescent="0.25">
      <c r="B555" s="242"/>
      <c r="C555" s="243"/>
      <c r="D555" s="243"/>
      <c r="E555" s="243">
        <v>30112</v>
      </c>
      <c r="F555" s="244" t="s">
        <v>1151</v>
      </c>
      <c r="G555" s="241">
        <f t="shared" si="8"/>
        <v>544</v>
      </c>
    </row>
    <row r="556" spans="2:7" x14ac:dyDescent="0.25">
      <c r="B556" s="242"/>
      <c r="C556" s="243"/>
      <c r="D556" s="243"/>
      <c r="E556" s="243">
        <v>30113</v>
      </c>
      <c r="F556" s="244" t="s">
        <v>1150</v>
      </c>
      <c r="G556" s="241">
        <f t="shared" si="8"/>
        <v>545</v>
      </c>
    </row>
    <row r="557" spans="2:7" x14ac:dyDescent="0.25">
      <c r="B557" s="242"/>
      <c r="C557" s="243"/>
      <c r="D557" s="243"/>
      <c r="E557" s="243">
        <v>30114</v>
      </c>
      <c r="F557" s="244" t="s">
        <v>1397</v>
      </c>
      <c r="G557" s="241">
        <f t="shared" si="8"/>
        <v>546</v>
      </c>
    </row>
    <row r="558" spans="2:7" x14ac:dyDescent="0.25">
      <c r="B558" s="242"/>
      <c r="C558" s="243">
        <v>302</v>
      </c>
      <c r="D558" s="243"/>
      <c r="E558" s="243"/>
      <c r="F558" s="244" t="s">
        <v>632</v>
      </c>
      <c r="G558" s="241">
        <f t="shared" si="8"/>
        <v>547</v>
      </c>
    </row>
    <row r="559" spans="2:7" x14ac:dyDescent="0.25">
      <c r="B559" s="242"/>
      <c r="C559" s="243"/>
      <c r="D559" s="243">
        <v>3021</v>
      </c>
      <c r="E559" s="243"/>
      <c r="F559" s="244" t="s">
        <v>1148</v>
      </c>
      <c r="G559" s="241">
        <f t="shared" si="8"/>
        <v>548</v>
      </c>
    </row>
    <row r="560" spans="2:7" x14ac:dyDescent="0.25">
      <c r="B560" s="242"/>
      <c r="C560" s="243"/>
      <c r="D560" s="243">
        <v>3022</v>
      </c>
      <c r="E560" s="243"/>
      <c r="F560" s="244" t="s">
        <v>1398</v>
      </c>
      <c r="G560" s="241">
        <f t="shared" si="8"/>
        <v>549</v>
      </c>
    </row>
    <row r="561" spans="2:7" x14ac:dyDescent="0.25">
      <c r="B561" s="242"/>
      <c r="C561" s="243"/>
      <c r="D561" s="243"/>
      <c r="E561" s="243">
        <v>30221</v>
      </c>
      <c r="F561" s="244" t="s">
        <v>1399</v>
      </c>
      <c r="G561" s="241">
        <f t="shared" si="8"/>
        <v>550</v>
      </c>
    </row>
    <row r="562" spans="2:7" x14ac:dyDescent="0.25">
      <c r="B562" s="242"/>
      <c r="C562" s="243"/>
      <c r="D562" s="243"/>
      <c r="E562" s="243">
        <v>30222</v>
      </c>
      <c r="F562" s="244" t="s">
        <v>1400</v>
      </c>
      <c r="G562" s="241">
        <f t="shared" si="8"/>
        <v>551</v>
      </c>
    </row>
    <row r="563" spans="2:7" x14ac:dyDescent="0.25">
      <c r="B563" s="242"/>
      <c r="C563" s="243"/>
      <c r="D563" s="243"/>
      <c r="E563" s="243">
        <v>30223</v>
      </c>
      <c r="F563" s="244" t="s">
        <v>1401</v>
      </c>
      <c r="G563" s="241">
        <f t="shared" si="8"/>
        <v>552</v>
      </c>
    </row>
    <row r="564" spans="2:7" x14ac:dyDescent="0.25">
      <c r="B564" s="242"/>
      <c r="C564" s="243"/>
      <c r="D564" s="243">
        <v>3023</v>
      </c>
      <c r="E564" s="243"/>
      <c r="F564" s="244" t="s">
        <v>1402</v>
      </c>
      <c r="G564" s="241">
        <f t="shared" si="8"/>
        <v>553</v>
      </c>
    </row>
    <row r="565" spans="2:7" x14ac:dyDescent="0.25">
      <c r="B565" s="242"/>
      <c r="C565" s="243"/>
      <c r="D565" s="243"/>
      <c r="E565" s="243">
        <v>30231</v>
      </c>
      <c r="F565" s="244" t="s">
        <v>1403</v>
      </c>
      <c r="G565" s="241">
        <f t="shared" si="8"/>
        <v>554</v>
      </c>
    </row>
    <row r="566" spans="2:7" x14ac:dyDescent="0.25">
      <c r="B566" s="242"/>
      <c r="C566" s="243"/>
      <c r="D566" s="243"/>
      <c r="E566" s="243">
        <v>30232</v>
      </c>
      <c r="F566" s="244" t="s">
        <v>1404</v>
      </c>
      <c r="G566" s="241">
        <f t="shared" si="8"/>
        <v>555</v>
      </c>
    </row>
    <row r="567" spans="2:7" x14ac:dyDescent="0.25">
      <c r="B567" s="242"/>
      <c r="C567" s="243"/>
      <c r="D567" s="243"/>
      <c r="E567" s="243">
        <v>30233</v>
      </c>
      <c r="F567" s="244" t="s">
        <v>1405</v>
      </c>
      <c r="G567" s="241">
        <f t="shared" si="8"/>
        <v>556</v>
      </c>
    </row>
    <row r="568" spans="2:7" x14ac:dyDescent="0.25">
      <c r="B568" s="242"/>
      <c r="C568" s="243"/>
      <c r="D568" s="243">
        <v>3024</v>
      </c>
      <c r="E568" s="243"/>
      <c r="F568" s="244" t="s">
        <v>1406</v>
      </c>
      <c r="G568" s="241">
        <f t="shared" si="8"/>
        <v>557</v>
      </c>
    </row>
    <row r="569" spans="2:7" x14ac:dyDescent="0.25">
      <c r="B569" s="242"/>
      <c r="C569" s="243"/>
      <c r="D569" s="243"/>
      <c r="E569" s="243">
        <v>30241</v>
      </c>
      <c r="F569" s="244" t="s">
        <v>1407</v>
      </c>
      <c r="G569" s="241">
        <f t="shared" si="8"/>
        <v>558</v>
      </c>
    </row>
    <row r="570" spans="2:7" x14ac:dyDescent="0.25">
      <c r="B570" s="242"/>
      <c r="C570" s="243"/>
      <c r="D570" s="243"/>
      <c r="E570" s="243">
        <v>30242</v>
      </c>
      <c r="F570" s="244" t="s">
        <v>1408</v>
      </c>
      <c r="G570" s="241">
        <f t="shared" si="8"/>
        <v>559</v>
      </c>
    </row>
    <row r="571" spans="2:7" x14ac:dyDescent="0.25">
      <c r="B571" s="242"/>
      <c r="C571" s="243"/>
      <c r="D571" s="243"/>
      <c r="E571" s="243">
        <v>30243</v>
      </c>
      <c r="F571" s="244" t="s">
        <v>1409</v>
      </c>
      <c r="G571" s="241">
        <f t="shared" si="8"/>
        <v>560</v>
      </c>
    </row>
    <row r="572" spans="2:7" x14ac:dyDescent="0.25">
      <c r="B572" s="242"/>
      <c r="C572" s="243"/>
      <c r="D572" s="243">
        <v>3025</v>
      </c>
      <c r="E572" s="243"/>
      <c r="F572" s="244" t="s">
        <v>1410</v>
      </c>
      <c r="G572" s="241">
        <f t="shared" si="8"/>
        <v>561</v>
      </c>
    </row>
    <row r="573" spans="2:7" x14ac:dyDescent="0.25">
      <c r="B573" s="242"/>
      <c r="C573" s="243"/>
      <c r="D573" s="243"/>
      <c r="E573" s="243">
        <v>30251</v>
      </c>
      <c r="F573" s="244" t="s">
        <v>1411</v>
      </c>
      <c r="G573" s="241">
        <f t="shared" si="8"/>
        <v>562</v>
      </c>
    </row>
    <row r="574" spans="2:7" x14ac:dyDescent="0.25">
      <c r="B574" s="242"/>
      <c r="C574" s="243"/>
      <c r="D574" s="243"/>
      <c r="E574" s="243">
        <v>30252</v>
      </c>
      <c r="F574" s="244" t="s">
        <v>1412</v>
      </c>
      <c r="G574" s="241">
        <f t="shared" si="8"/>
        <v>563</v>
      </c>
    </row>
    <row r="575" spans="2:7" x14ac:dyDescent="0.25">
      <c r="B575" s="242"/>
      <c r="C575" s="243"/>
      <c r="D575" s="243">
        <v>3026</v>
      </c>
      <c r="E575" s="243"/>
      <c r="F575" s="244" t="s">
        <v>1413</v>
      </c>
      <c r="G575" s="241">
        <f t="shared" si="8"/>
        <v>564</v>
      </c>
    </row>
    <row r="576" spans="2:7" x14ac:dyDescent="0.25">
      <c r="B576" s="242"/>
      <c r="C576" s="243"/>
      <c r="D576" s="243"/>
      <c r="E576" s="243">
        <v>30261</v>
      </c>
      <c r="F576" s="244" t="s">
        <v>1414</v>
      </c>
      <c r="G576" s="241">
        <f t="shared" si="8"/>
        <v>565</v>
      </c>
    </row>
    <row r="577" spans="2:7" x14ac:dyDescent="0.25">
      <c r="B577" s="242"/>
      <c r="C577" s="243"/>
      <c r="D577" s="243"/>
      <c r="E577" s="243">
        <v>30262</v>
      </c>
      <c r="F577" s="244" t="s">
        <v>1415</v>
      </c>
      <c r="G577" s="241">
        <f t="shared" si="8"/>
        <v>566</v>
      </c>
    </row>
    <row r="578" spans="2:7" x14ac:dyDescent="0.25">
      <c r="B578" s="242"/>
      <c r="C578" s="243"/>
      <c r="D578" s="243">
        <v>3027</v>
      </c>
      <c r="E578" s="243"/>
      <c r="F578" s="244" t="s">
        <v>1416</v>
      </c>
      <c r="G578" s="241">
        <f t="shared" si="8"/>
        <v>567</v>
      </c>
    </row>
    <row r="579" spans="2:7" x14ac:dyDescent="0.25">
      <c r="B579" s="242"/>
      <c r="C579" s="243"/>
      <c r="D579" s="243"/>
      <c r="E579" s="243">
        <v>30271</v>
      </c>
      <c r="F579" s="244" t="s">
        <v>1417</v>
      </c>
      <c r="G579" s="241">
        <f t="shared" si="8"/>
        <v>568</v>
      </c>
    </row>
    <row r="580" spans="2:7" x14ac:dyDescent="0.25">
      <c r="B580" s="242"/>
      <c r="C580" s="243"/>
      <c r="D580" s="243"/>
      <c r="E580" s="243">
        <v>30272</v>
      </c>
      <c r="F580" s="244" t="s">
        <v>1418</v>
      </c>
      <c r="G580" s="241">
        <f t="shared" si="8"/>
        <v>569</v>
      </c>
    </row>
    <row r="581" spans="2:7" x14ac:dyDescent="0.25">
      <c r="B581" s="242"/>
      <c r="C581" s="243"/>
      <c r="D581" s="243"/>
      <c r="E581" s="243">
        <v>30273</v>
      </c>
      <c r="F581" s="244" t="s">
        <v>1419</v>
      </c>
      <c r="G581" s="241">
        <f t="shared" si="8"/>
        <v>570</v>
      </c>
    </row>
    <row r="582" spans="2:7" x14ac:dyDescent="0.25">
      <c r="B582" s="242"/>
      <c r="C582" s="243"/>
      <c r="D582" s="243">
        <v>3028</v>
      </c>
      <c r="E582" s="243"/>
      <c r="F582" s="244" t="s">
        <v>1146</v>
      </c>
      <c r="G582" s="241">
        <f t="shared" si="8"/>
        <v>571</v>
      </c>
    </row>
    <row r="583" spans="2:7" x14ac:dyDescent="0.25">
      <c r="B583" s="242"/>
      <c r="C583" s="243"/>
      <c r="D583" s="243"/>
      <c r="E583" s="243">
        <v>30281</v>
      </c>
      <c r="F583" s="244" t="s">
        <v>1420</v>
      </c>
      <c r="G583" s="241">
        <f t="shared" si="8"/>
        <v>572</v>
      </c>
    </row>
    <row r="584" spans="2:7" x14ac:dyDescent="0.25">
      <c r="B584" s="242"/>
      <c r="C584" s="243"/>
      <c r="D584" s="243"/>
      <c r="E584" s="243">
        <v>30282</v>
      </c>
      <c r="F584" s="244" t="s">
        <v>1421</v>
      </c>
      <c r="G584" s="241">
        <f t="shared" si="8"/>
        <v>573</v>
      </c>
    </row>
    <row r="585" spans="2:7" x14ac:dyDescent="0.25">
      <c r="B585" s="242"/>
      <c r="C585" s="243">
        <v>308</v>
      </c>
      <c r="D585" s="243"/>
      <c r="E585" s="243"/>
      <c r="F585" s="244" t="s">
        <v>1422</v>
      </c>
      <c r="G585" s="241">
        <f t="shared" si="8"/>
        <v>574</v>
      </c>
    </row>
    <row r="586" spans="2:7" x14ac:dyDescent="0.25">
      <c r="B586" s="242"/>
      <c r="C586" s="243"/>
      <c r="D586" s="243">
        <v>3081</v>
      </c>
      <c r="E586" s="243"/>
      <c r="F586" s="244" t="s">
        <v>1423</v>
      </c>
      <c r="G586" s="241">
        <f t="shared" si="8"/>
        <v>575</v>
      </c>
    </row>
    <row r="587" spans="2:7" x14ac:dyDescent="0.25">
      <c r="B587" s="242"/>
      <c r="C587" s="243"/>
      <c r="D587" s="243">
        <v>3082</v>
      </c>
      <c r="E587" s="243"/>
      <c r="F587" s="244" t="s">
        <v>1424</v>
      </c>
      <c r="G587" s="241">
        <f t="shared" si="8"/>
        <v>576</v>
      </c>
    </row>
    <row r="588" spans="2:7" x14ac:dyDescent="0.25">
      <c r="B588" s="242"/>
      <c r="C588" s="243"/>
      <c r="D588" s="243">
        <v>3089</v>
      </c>
      <c r="E588" s="243"/>
      <c r="F588" s="244" t="s">
        <v>1065</v>
      </c>
      <c r="G588" s="241">
        <f t="shared" si="8"/>
        <v>577</v>
      </c>
    </row>
    <row r="589" spans="2:7" x14ac:dyDescent="0.25">
      <c r="B589" s="242">
        <v>31</v>
      </c>
      <c r="C589" s="243"/>
      <c r="D589" s="243"/>
      <c r="E589" s="243"/>
      <c r="F589" s="244" t="s">
        <v>1144</v>
      </c>
      <c r="G589" s="241">
        <f t="shared" ref="G589:G652" si="9">G588+1</f>
        <v>578</v>
      </c>
    </row>
    <row r="590" spans="2:7" x14ac:dyDescent="0.25">
      <c r="B590" s="242"/>
      <c r="C590" s="243">
        <v>311</v>
      </c>
      <c r="D590" s="243"/>
      <c r="E590" s="243"/>
      <c r="F590" s="244" t="s">
        <v>658</v>
      </c>
      <c r="G590" s="241">
        <f t="shared" si="9"/>
        <v>579</v>
      </c>
    </row>
    <row r="591" spans="2:7" x14ac:dyDescent="0.25">
      <c r="B591" s="242"/>
      <c r="C591" s="243"/>
      <c r="D591" s="243">
        <v>3111</v>
      </c>
      <c r="E591" s="243"/>
      <c r="F591" s="244" t="s">
        <v>1143</v>
      </c>
      <c r="G591" s="241">
        <f t="shared" si="9"/>
        <v>580</v>
      </c>
    </row>
    <row r="592" spans="2:7" x14ac:dyDescent="0.25">
      <c r="B592" s="242"/>
      <c r="C592" s="243"/>
      <c r="D592" s="243"/>
      <c r="E592" s="243">
        <v>31111</v>
      </c>
      <c r="F592" s="244" t="s">
        <v>1084</v>
      </c>
      <c r="G592" s="241">
        <f t="shared" si="9"/>
        <v>581</v>
      </c>
    </row>
    <row r="593" spans="2:7" x14ac:dyDescent="0.25">
      <c r="B593" s="242"/>
      <c r="C593" s="243"/>
      <c r="D593" s="243"/>
      <c r="E593" s="243">
        <v>31112</v>
      </c>
      <c r="F593" s="244" t="s">
        <v>1083</v>
      </c>
      <c r="G593" s="241">
        <f t="shared" si="9"/>
        <v>582</v>
      </c>
    </row>
    <row r="594" spans="2:7" x14ac:dyDescent="0.25">
      <c r="B594" s="242"/>
      <c r="C594" s="243"/>
      <c r="D594" s="243"/>
      <c r="E594" s="243">
        <v>31113</v>
      </c>
      <c r="F594" s="244" t="s">
        <v>1096</v>
      </c>
      <c r="G594" s="241">
        <f t="shared" si="9"/>
        <v>583</v>
      </c>
    </row>
    <row r="595" spans="2:7" x14ac:dyDescent="0.25">
      <c r="B595" s="242"/>
      <c r="C595" s="243"/>
      <c r="D595" s="243">
        <v>3112</v>
      </c>
      <c r="E595" s="243"/>
      <c r="F595" s="244" t="s">
        <v>1142</v>
      </c>
      <c r="G595" s="241">
        <f t="shared" si="9"/>
        <v>584</v>
      </c>
    </row>
    <row r="596" spans="2:7" x14ac:dyDescent="0.25">
      <c r="B596" s="242"/>
      <c r="C596" s="243"/>
      <c r="D596" s="243"/>
      <c r="E596" s="243">
        <v>31121</v>
      </c>
      <c r="F596" s="244" t="s">
        <v>1084</v>
      </c>
      <c r="G596" s="241">
        <f t="shared" si="9"/>
        <v>585</v>
      </c>
    </row>
    <row r="597" spans="2:7" x14ac:dyDescent="0.25">
      <c r="B597" s="242"/>
      <c r="C597" s="243"/>
      <c r="D597" s="243"/>
      <c r="E597" s="243">
        <v>31122</v>
      </c>
      <c r="F597" s="244" t="s">
        <v>1083</v>
      </c>
      <c r="G597" s="241">
        <f t="shared" si="9"/>
        <v>586</v>
      </c>
    </row>
    <row r="598" spans="2:7" x14ac:dyDescent="0.25">
      <c r="B598" s="242"/>
      <c r="C598" s="243"/>
      <c r="D598" s="243"/>
      <c r="E598" s="243">
        <v>31123</v>
      </c>
      <c r="F598" s="244" t="s">
        <v>1096</v>
      </c>
      <c r="G598" s="241">
        <f t="shared" si="9"/>
        <v>587</v>
      </c>
    </row>
    <row r="599" spans="2:7" x14ac:dyDescent="0.25">
      <c r="B599" s="242"/>
      <c r="C599" s="243">
        <v>312</v>
      </c>
      <c r="D599" s="243"/>
      <c r="E599" s="243"/>
      <c r="F599" s="244" t="s">
        <v>657</v>
      </c>
      <c r="G599" s="241">
        <f t="shared" si="9"/>
        <v>588</v>
      </c>
    </row>
    <row r="600" spans="2:7" x14ac:dyDescent="0.25">
      <c r="B600" s="242"/>
      <c r="C600" s="243"/>
      <c r="D600" s="243">
        <v>3121</v>
      </c>
      <c r="E600" s="243"/>
      <c r="F600" s="244" t="s">
        <v>657</v>
      </c>
      <c r="G600" s="241">
        <f t="shared" si="9"/>
        <v>589</v>
      </c>
    </row>
    <row r="601" spans="2:7" x14ac:dyDescent="0.25">
      <c r="B601" s="242"/>
      <c r="C601" s="243"/>
      <c r="D601" s="243"/>
      <c r="E601" s="243">
        <v>31211</v>
      </c>
      <c r="F601" s="244" t="s">
        <v>1084</v>
      </c>
      <c r="G601" s="241">
        <f t="shared" si="9"/>
        <v>590</v>
      </c>
    </row>
    <row r="602" spans="2:7" x14ac:dyDescent="0.25">
      <c r="B602" s="242"/>
      <c r="C602" s="243"/>
      <c r="D602" s="243"/>
      <c r="E602" s="243">
        <v>31212</v>
      </c>
      <c r="F602" s="244" t="s">
        <v>1083</v>
      </c>
      <c r="G602" s="241">
        <f t="shared" si="9"/>
        <v>591</v>
      </c>
    </row>
    <row r="603" spans="2:7" x14ac:dyDescent="0.25">
      <c r="B603" s="242"/>
      <c r="C603" s="243"/>
      <c r="D603" s="243"/>
      <c r="E603" s="243">
        <v>31213</v>
      </c>
      <c r="F603" s="244" t="s">
        <v>1096</v>
      </c>
      <c r="G603" s="241">
        <f t="shared" si="9"/>
        <v>592</v>
      </c>
    </row>
    <row r="604" spans="2:7" x14ac:dyDescent="0.25">
      <c r="B604" s="242"/>
      <c r="C604" s="243"/>
      <c r="D604" s="243"/>
      <c r="E604" s="243">
        <v>31214</v>
      </c>
      <c r="F604" s="244" t="s">
        <v>1111</v>
      </c>
      <c r="G604" s="241">
        <f t="shared" si="9"/>
        <v>593</v>
      </c>
    </row>
    <row r="605" spans="2:7" x14ac:dyDescent="0.25">
      <c r="B605" s="242"/>
      <c r="C605" s="243"/>
      <c r="D605" s="243">
        <v>3199</v>
      </c>
      <c r="E605" s="243"/>
      <c r="F605" s="244" t="s">
        <v>1065</v>
      </c>
      <c r="G605" s="241">
        <f t="shared" si="9"/>
        <v>594</v>
      </c>
    </row>
    <row r="606" spans="2:7" x14ac:dyDescent="0.25">
      <c r="B606" s="242">
        <v>32</v>
      </c>
      <c r="C606" s="243"/>
      <c r="D606" s="243"/>
      <c r="E606" s="243"/>
      <c r="F606" s="244" t="s">
        <v>1141</v>
      </c>
      <c r="G606" s="241">
        <f t="shared" si="9"/>
        <v>595</v>
      </c>
    </row>
    <row r="607" spans="2:7" x14ac:dyDescent="0.25">
      <c r="B607" s="242"/>
      <c r="C607" s="243">
        <v>321</v>
      </c>
      <c r="D607" s="243"/>
      <c r="E607" s="243"/>
      <c r="F607" s="244" t="s">
        <v>641</v>
      </c>
      <c r="G607" s="241">
        <f t="shared" si="9"/>
        <v>596</v>
      </c>
    </row>
    <row r="608" spans="2:7" x14ac:dyDescent="0.25">
      <c r="B608" s="242"/>
      <c r="C608" s="243"/>
      <c r="D608" s="243">
        <v>3211</v>
      </c>
      <c r="E608" s="243"/>
      <c r="F608" s="244" t="s">
        <v>1140</v>
      </c>
      <c r="G608" s="241">
        <f t="shared" si="9"/>
        <v>597</v>
      </c>
    </row>
    <row r="609" spans="2:7" x14ac:dyDescent="0.25">
      <c r="B609" s="242"/>
      <c r="C609" s="243"/>
      <c r="D609" s="243">
        <v>3212</v>
      </c>
      <c r="E609" s="243"/>
      <c r="F609" s="244" t="s">
        <v>1061</v>
      </c>
      <c r="G609" s="241">
        <f t="shared" si="9"/>
        <v>598</v>
      </c>
    </row>
    <row r="610" spans="2:7" x14ac:dyDescent="0.25">
      <c r="B610" s="242"/>
      <c r="C610" s="243">
        <v>322</v>
      </c>
      <c r="D610" s="243"/>
      <c r="E610" s="243"/>
      <c r="F610" s="244" t="s">
        <v>432</v>
      </c>
      <c r="G610" s="241">
        <f t="shared" si="9"/>
        <v>599</v>
      </c>
    </row>
    <row r="611" spans="2:7" x14ac:dyDescent="0.25">
      <c r="B611" s="242"/>
      <c r="C611" s="243"/>
      <c r="D611" s="243">
        <v>3221</v>
      </c>
      <c r="E611" s="243"/>
      <c r="F611" s="244" t="s">
        <v>1139</v>
      </c>
      <c r="G611" s="241">
        <f t="shared" si="9"/>
        <v>600</v>
      </c>
    </row>
    <row r="612" spans="2:7" x14ac:dyDescent="0.25">
      <c r="B612" s="242"/>
      <c r="C612" s="243"/>
      <c r="D612" s="243">
        <v>3222</v>
      </c>
      <c r="E612" s="243"/>
      <c r="F612" s="244" t="s">
        <v>1060</v>
      </c>
      <c r="G612" s="241">
        <f t="shared" si="9"/>
        <v>601</v>
      </c>
    </row>
    <row r="613" spans="2:7" x14ac:dyDescent="0.25">
      <c r="B613" s="242"/>
      <c r="C613" s="243"/>
      <c r="D613" s="243">
        <v>3223</v>
      </c>
      <c r="E613" s="243"/>
      <c r="F613" s="244" t="s">
        <v>1059</v>
      </c>
      <c r="G613" s="241">
        <f t="shared" si="9"/>
        <v>602</v>
      </c>
    </row>
    <row r="614" spans="2:7" x14ac:dyDescent="0.25">
      <c r="B614" s="242"/>
      <c r="C614" s="243"/>
      <c r="D614" s="243">
        <v>3224</v>
      </c>
      <c r="E614" s="243"/>
      <c r="F614" s="244" t="s">
        <v>1058</v>
      </c>
      <c r="G614" s="241">
        <f t="shared" si="9"/>
        <v>603</v>
      </c>
    </row>
    <row r="615" spans="2:7" x14ac:dyDescent="0.25">
      <c r="B615" s="242"/>
      <c r="C615" s="243"/>
      <c r="D615" s="243">
        <v>3225</v>
      </c>
      <c r="E615" s="243"/>
      <c r="F615" s="244" t="s">
        <v>1138</v>
      </c>
      <c r="G615" s="241">
        <f t="shared" si="9"/>
        <v>604</v>
      </c>
    </row>
    <row r="616" spans="2:7" x14ac:dyDescent="0.25">
      <c r="B616" s="242"/>
      <c r="C616" s="243"/>
      <c r="D616" s="243">
        <v>3226</v>
      </c>
      <c r="E616" s="243"/>
      <c r="F616" s="244" t="s">
        <v>1057</v>
      </c>
      <c r="G616" s="241">
        <f t="shared" si="9"/>
        <v>605</v>
      </c>
    </row>
    <row r="617" spans="2:7" x14ac:dyDescent="0.25">
      <c r="B617" s="242"/>
      <c r="C617" s="243"/>
      <c r="D617" s="243">
        <v>3227</v>
      </c>
      <c r="E617" s="243"/>
      <c r="F617" s="244" t="s">
        <v>1137</v>
      </c>
      <c r="G617" s="241">
        <f t="shared" si="9"/>
        <v>606</v>
      </c>
    </row>
    <row r="618" spans="2:7" x14ac:dyDescent="0.25">
      <c r="B618" s="242"/>
      <c r="C618" s="243"/>
      <c r="D618" s="243">
        <v>3229</v>
      </c>
      <c r="E618" s="243"/>
      <c r="F618" s="244" t="s">
        <v>1065</v>
      </c>
      <c r="G618" s="241">
        <f t="shared" si="9"/>
        <v>607</v>
      </c>
    </row>
    <row r="619" spans="2:7" x14ac:dyDescent="0.25">
      <c r="B619" s="242">
        <v>33</v>
      </c>
      <c r="C619" s="243"/>
      <c r="D619" s="243"/>
      <c r="E619" s="243"/>
      <c r="F619" s="244" t="s">
        <v>1136</v>
      </c>
      <c r="G619" s="241">
        <f t="shared" si="9"/>
        <v>608</v>
      </c>
    </row>
    <row r="620" spans="2:7" x14ac:dyDescent="0.25">
      <c r="B620" s="242"/>
      <c r="C620" s="243">
        <v>331</v>
      </c>
      <c r="D620" s="243"/>
      <c r="E620" s="243"/>
      <c r="F620" s="244" t="s">
        <v>658</v>
      </c>
      <c r="G620" s="241">
        <f t="shared" si="9"/>
        <v>609</v>
      </c>
    </row>
    <row r="621" spans="2:7" x14ac:dyDescent="0.25">
      <c r="B621" s="242"/>
      <c r="C621" s="243"/>
      <c r="D621" s="243">
        <v>3311</v>
      </c>
      <c r="E621" s="243"/>
      <c r="F621" s="244" t="s">
        <v>658</v>
      </c>
      <c r="G621" s="241">
        <f t="shared" si="9"/>
        <v>610</v>
      </c>
    </row>
    <row r="622" spans="2:7" x14ac:dyDescent="0.25">
      <c r="B622" s="242"/>
      <c r="C622" s="243"/>
      <c r="D622" s="243"/>
      <c r="E622" s="243">
        <v>33111</v>
      </c>
      <c r="F622" s="244" t="s">
        <v>1083</v>
      </c>
      <c r="G622" s="241">
        <f t="shared" si="9"/>
        <v>611</v>
      </c>
    </row>
    <row r="623" spans="2:7" x14ac:dyDescent="0.25">
      <c r="B623" s="242"/>
      <c r="C623" s="243"/>
      <c r="D623" s="243"/>
      <c r="E623" s="243">
        <v>33112</v>
      </c>
      <c r="F623" s="244" t="s">
        <v>1096</v>
      </c>
      <c r="G623" s="241">
        <f t="shared" si="9"/>
        <v>612</v>
      </c>
    </row>
    <row r="624" spans="2:7" x14ac:dyDescent="0.25">
      <c r="B624" s="242"/>
      <c r="C624" s="243">
        <v>332</v>
      </c>
      <c r="D624" s="243"/>
      <c r="E624" s="243"/>
      <c r="F624" s="244" t="s">
        <v>657</v>
      </c>
      <c r="G624" s="241">
        <f t="shared" si="9"/>
        <v>613</v>
      </c>
    </row>
    <row r="625" spans="2:7" x14ac:dyDescent="0.25">
      <c r="B625" s="242"/>
      <c r="C625" s="243"/>
      <c r="D625" s="243">
        <v>3321</v>
      </c>
      <c r="E625" s="243"/>
      <c r="F625" s="244" t="s">
        <v>1135</v>
      </c>
      <c r="G625" s="241">
        <f t="shared" si="9"/>
        <v>614</v>
      </c>
    </row>
    <row r="626" spans="2:7" x14ac:dyDescent="0.25">
      <c r="B626" s="242"/>
      <c r="C626" s="243"/>
      <c r="D626" s="243"/>
      <c r="E626" s="243">
        <v>33211</v>
      </c>
      <c r="F626" s="244" t="s">
        <v>1425</v>
      </c>
      <c r="G626" s="241">
        <f t="shared" si="9"/>
        <v>615</v>
      </c>
    </row>
    <row r="627" spans="2:7" x14ac:dyDescent="0.25">
      <c r="B627" s="242"/>
      <c r="C627" s="243"/>
      <c r="D627" s="243"/>
      <c r="E627" s="243">
        <v>33212</v>
      </c>
      <c r="F627" s="244" t="s">
        <v>1096</v>
      </c>
      <c r="G627" s="241">
        <f t="shared" si="9"/>
        <v>616</v>
      </c>
    </row>
    <row r="628" spans="2:7" x14ac:dyDescent="0.25">
      <c r="B628" s="242"/>
      <c r="C628" s="243"/>
      <c r="D628" s="243"/>
      <c r="E628" s="243">
        <v>33213</v>
      </c>
      <c r="F628" s="244" t="s">
        <v>1109</v>
      </c>
      <c r="G628" s="241">
        <f t="shared" si="9"/>
        <v>617</v>
      </c>
    </row>
    <row r="629" spans="2:7" x14ac:dyDescent="0.25">
      <c r="B629" s="242"/>
      <c r="C629" s="243"/>
      <c r="D629" s="243">
        <v>3322</v>
      </c>
      <c r="E629" s="243"/>
      <c r="F629" s="244" t="s">
        <v>1134</v>
      </c>
      <c r="G629" s="241">
        <f t="shared" si="9"/>
        <v>618</v>
      </c>
    </row>
    <row r="630" spans="2:7" x14ac:dyDescent="0.25">
      <c r="B630" s="242"/>
      <c r="C630" s="243"/>
      <c r="D630" s="243"/>
      <c r="E630" s="243">
        <v>33221</v>
      </c>
      <c r="F630" s="244" t="s">
        <v>1425</v>
      </c>
      <c r="G630" s="241">
        <f t="shared" si="9"/>
        <v>619</v>
      </c>
    </row>
    <row r="631" spans="2:7" x14ac:dyDescent="0.25">
      <c r="B631" s="242"/>
      <c r="C631" s="243"/>
      <c r="D631" s="243"/>
      <c r="E631" s="243">
        <v>33222</v>
      </c>
      <c r="F631" s="244" t="s">
        <v>1096</v>
      </c>
      <c r="G631" s="241">
        <f t="shared" si="9"/>
        <v>620</v>
      </c>
    </row>
    <row r="632" spans="2:7" x14ac:dyDescent="0.25">
      <c r="B632" s="242"/>
      <c r="C632" s="243"/>
      <c r="D632" s="243"/>
      <c r="E632" s="243">
        <v>33223</v>
      </c>
      <c r="F632" s="244" t="s">
        <v>1133</v>
      </c>
      <c r="G632" s="241">
        <f t="shared" si="9"/>
        <v>621</v>
      </c>
    </row>
    <row r="633" spans="2:7" x14ac:dyDescent="0.25">
      <c r="B633" s="242"/>
      <c r="C633" s="243"/>
      <c r="D633" s="243">
        <v>3323</v>
      </c>
      <c r="E633" s="243"/>
      <c r="F633" s="244" t="s">
        <v>1132</v>
      </c>
      <c r="G633" s="241">
        <f t="shared" si="9"/>
        <v>622</v>
      </c>
    </row>
    <row r="634" spans="2:7" x14ac:dyDescent="0.25">
      <c r="B634" s="242"/>
      <c r="C634" s="243"/>
      <c r="D634" s="243"/>
      <c r="E634" s="243">
        <v>33231</v>
      </c>
      <c r="F634" s="244" t="s">
        <v>1425</v>
      </c>
      <c r="G634" s="241">
        <f t="shared" si="9"/>
        <v>623</v>
      </c>
    </row>
    <row r="635" spans="2:7" x14ac:dyDescent="0.25">
      <c r="B635" s="242"/>
      <c r="C635" s="243"/>
      <c r="D635" s="243"/>
      <c r="E635" s="243">
        <v>33232</v>
      </c>
      <c r="F635" s="244" t="s">
        <v>1096</v>
      </c>
      <c r="G635" s="241">
        <f t="shared" si="9"/>
        <v>624</v>
      </c>
    </row>
    <row r="636" spans="2:7" x14ac:dyDescent="0.25">
      <c r="B636" s="242"/>
      <c r="C636" s="243"/>
      <c r="D636" s="243"/>
      <c r="E636" s="243">
        <v>33233</v>
      </c>
      <c r="F636" s="244" t="s">
        <v>1131</v>
      </c>
      <c r="G636" s="241">
        <f t="shared" si="9"/>
        <v>625</v>
      </c>
    </row>
    <row r="637" spans="2:7" x14ac:dyDescent="0.25">
      <c r="B637" s="242"/>
      <c r="C637" s="243"/>
      <c r="D637" s="243">
        <v>3324</v>
      </c>
      <c r="E637" s="243"/>
      <c r="F637" s="244" t="s">
        <v>1130</v>
      </c>
      <c r="G637" s="241">
        <f t="shared" si="9"/>
        <v>626</v>
      </c>
    </row>
    <row r="638" spans="2:7" x14ac:dyDescent="0.25">
      <c r="B638" s="242"/>
      <c r="C638" s="243"/>
      <c r="D638" s="243"/>
      <c r="E638" s="243">
        <v>33241</v>
      </c>
      <c r="F638" s="244" t="s">
        <v>1425</v>
      </c>
      <c r="G638" s="241">
        <f t="shared" si="9"/>
        <v>627</v>
      </c>
    </row>
    <row r="639" spans="2:7" x14ac:dyDescent="0.25">
      <c r="B639" s="242"/>
      <c r="C639" s="243"/>
      <c r="D639" s="243"/>
      <c r="E639" s="243">
        <v>33242</v>
      </c>
      <c r="F639" s="244" t="s">
        <v>1096</v>
      </c>
      <c r="G639" s="241">
        <f t="shared" si="9"/>
        <v>628</v>
      </c>
    </row>
    <row r="640" spans="2:7" x14ac:dyDescent="0.25">
      <c r="B640" s="242"/>
      <c r="C640" s="243"/>
      <c r="D640" s="243"/>
      <c r="E640" s="243">
        <v>33243</v>
      </c>
      <c r="F640" s="244" t="s">
        <v>1129</v>
      </c>
      <c r="G640" s="241">
        <f t="shared" si="9"/>
        <v>629</v>
      </c>
    </row>
    <row r="641" spans="2:7" x14ac:dyDescent="0.25">
      <c r="B641" s="242"/>
      <c r="C641" s="243">
        <v>333</v>
      </c>
      <c r="D641" s="243"/>
      <c r="E641" s="243"/>
      <c r="F641" s="244" t="s">
        <v>656</v>
      </c>
      <c r="G641" s="241">
        <f t="shared" si="9"/>
        <v>630</v>
      </c>
    </row>
    <row r="642" spans="2:7" x14ac:dyDescent="0.25">
      <c r="B642" s="242"/>
      <c r="C642" s="243"/>
      <c r="D642" s="243">
        <v>3331</v>
      </c>
      <c r="E642" s="243"/>
      <c r="F642" s="244" t="s">
        <v>656</v>
      </c>
      <c r="G642" s="241">
        <f t="shared" si="9"/>
        <v>631</v>
      </c>
    </row>
    <row r="643" spans="2:7" x14ac:dyDescent="0.25">
      <c r="B643" s="242"/>
      <c r="C643" s="243"/>
      <c r="D643" s="243"/>
      <c r="E643" s="243">
        <v>33311</v>
      </c>
      <c r="F643" s="244" t="s">
        <v>1425</v>
      </c>
      <c r="G643" s="241">
        <f t="shared" si="9"/>
        <v>632</v>
      </c>
    </row>
    <row r="644" spans="2:7" x14ac:dyDescent="0.25">
      <c r="B644" s="242"/>
      <c r="C644" s="243"/>
      <c r="D644" s="243"/>
      <c r="E644" s="243">
        <v>33312</v>
      </c>
      <c r="F644" s="244" t="s">
        <v>1096</v>
      </c>
      <c r="G644" s="241">
        <f t="shared" si="9"/>
        <v>633</v>
      </c>
    </row>
    <row r="645" spans="2:7" x14ac:dyDescent="0.25">
      <c r="B645" s="242"/>
      <c r="C645" s="243"/>
      <c r="D645" s="243"/>
      <c r="E645" s="243">
        <v>33313</v>
      </c>
      <c r="F645" s="244" t="s">
        <v>1108</v>
      </c>
      <c r="G645" s="241">
        <f t="shared" si="9"/>
        <v>634</v>
      </c>
    </row>
    <row r="646" spans="2:7" x14ac:dyDescent="0.25">
      <c r="B646" s="242"/>
      <c r="C646" s="243">
        <v>334</v>
      </c>
      <c r="D646" s="243"/>
      <c r="E646" s="243"/>
      <c r="F646" s="244" t="s">
        <v>1055</v>
      </c>
      <c r="G646" s="241">
        <f t="shared" si="9"/>
        <v>635</v>
      </c>
    </row>
    <row r="647" spans="2:7" x14ac:dyDescent="0.25">
      <c r="B647" s="242"/>
      <c r="C647" s="243"/>
      <c r="D647" s="243">
        <v>3341</v>
      </c>
      <c r="E647" s="243"/>
      <c r="F647" s="244" t="s">
        <v>1128</v>
      </c>
      <c r="G647" s="241">
        <f t="shared" si="9"/>
        <v>636</v>
      </c>
    </row>
    <row r="648" spans="2:7" x14ac:dyDescent="0.25">
      <c r="B648" s="242"/>
      <c r="C648" s="243"/>
      <c r="D648" s="243"/>
      <c r="E648" s="243">
        <v>33411</v>
      </c>
      <c r="F648" s="244" t="s">
        <v>1083</v>
      </c>
      <c r="G648" s="241">
        <f t="shared" si="9"/>
        <v>637</v>
      </c>
    </row>
    <row r="649" spans="2:7" x14ac:dyDescent="0.25">
      <c r="B649" s="242"/>
      <c r="C649" s="243"/>
      <c r="D649" s="243"/>
      <c r="E649" s="243">
        <v>33412</v>
      </c>
      <c r="F649" s="244" t="s">
        <v>1096</v>
      </c>
      <c r="G649" s="241">
        <f t="shared" si="9"/>
        <v>638</v>
      </c>
    </row>
    <row r="650" spans="2:7" x14ac:dyDescent="0.25">
      <c r="B650" s="242"/>
      <c r="C650" s="243"/>
      <c r="D650" s="243">
        <v>3342</v>
      </c>
      <c r="E650" s="243"/>
      <c r="F650" s="244" t="s">
        <v>1127</v>
      </c>
      <c r="G650" s="241">
        <f t="shared" si="9"/>
        <v>639</v>
      </c>
    </row>
    <row r="651" spans="2:7" x14ac:dyDescent="0.25">
      <c r="B651" s="242"/>
      <c r="C651" s="243"/>
      <c r="D651" s="243"/>
      <c r="E651" s="243">
        <v>33421</v>
      </c>
      <c r="F651" s="244" t="s">
        <v>1083</v>
      </c>
      <c r="G651" s="241">
        <f t="shared" si="9"/>
        <v>640</v>
      </c>
    </row>
    <row r="652" spans="2:7" x14ac:dyDescent="0.25">
      <c r="B652" s="242"/>
      <c r="C652" s="243"/>
      <c r="D652" s="243"/>
      <c r="E652" s="243">
        <v>33422</v>
      </c>
      <c r="F652" s="244" t="s">
        <v>1096</v>
      </c>
      <c r="G652" s="241">
        <f t="shared" si="9"/>
        <v>641</v>
      </c>
    </row>
    <row r="653" spans="2:7" x14ac:dyDescent="0.25">
      <c r="B653" s="242"/>
      <c r="C653" s="243">
        <v>335</v>
      </c>
      <c r="D653" s="243"/>
      <c r="E653" s="243"/>
      <c r="F653" s="244" t="s">
        <v>688</v>
      </c>
      <c r="G653" s="241">
        <f t="shared" ref="G653:G716" si="10">G652+1</f>
        <v>642</v>
      </c>
    </row>
    <row r="654" spans="2:7" x14ac:dyDescent="0.25">
      <c r="B654" s="242"/>
      <c r="C654" s="243"/>
      <c r="D654" s="243">
        <v>3351</v>
      </c>
      <c r="E654" s="243"/>
      <c r="F654" s="244" t="s">
        <v>1126</v>
      </c>
      <c r="G654" s="241">
        <f t="shared" si="10"/>
        <v>643</v>
      </c>
    </row>
    <row r="655" spans="2:7" x14ac:dyDescent="0.25">
      <c r="B655" s="242"/>
      <c r="C655" s="243"/>
      <c r="D655" s="243"/>
      <c r="E655" s="243">
        <v>33511</v>
      </c>
      <c r="F655" s="244" t="s">
        <v>1083</v>
      </c>
      <c r="G655" s="241">
        <f t="shared" si="10"/>
        <v>644</v>
      </c>
    </row>
    <row r="656" spans="2:7" x14ac:dyDescent="0.25">
      <c r="B656" s="242"/>
      <c r="C656" s="243"/>
      <c r="D656" s="243"/>
      <c r="E656" s="243">
        <v>33512</v>
      </c>
      <c r="F656" s="244" t="s">
        <v>1096</v>
      </c>
      <c r="G656" s="241">
        <f t="shared" si="10"/>
        <v>645</v>
      </c>
    </row>
    <row r="657" spans="2:7" x14ac:dyDescent="0.25">
      <c r="B657" s="242"/>
      <c r="C657" s="243"/>
      <c r="D657" s="243">
        <v>3352</v>
      </c>
      <c r="E657" s="243"/>
      <c r="F657" s="244" t="s">
        <v>1125</v>
      </c>
      <c r="G657" s="241">
        <f t="shared" si="10"/>
        <v>646</v>
      </c>
    </row>
    <row r="658" spans="2:7" x14ac:dyDescent="0.25">
      <c r="B658" s="242"/>
      <c r="C658" s="243"/>
      <c r="D658" s="243"/>
      <c r="E658" s="243">
        <v>33521</v>
      </c>
      <c r="F658" s="244" t="s">
        <v>1083</v>
      </c>
      <c r="G658" s="241">
        <f t="shared" si="10"/>
        <v>647</v>
      </c>
    </row>
    <row r="659" spans="2:7" x14ac:dyDescent="0.25">
      <c r="B659" s="242"/>
      <c r="C659" s="243"/>
      <c r="D659" s="243"/>
      <c r="E659" s="243">
        <v>33522</v>
      </c>
      <c r="F659" s="244" t="s">
        <v>1096</v>
      </c>
      <c r="G659" s="241">
        <f t="shared" si="10"/>
        <v>648</v>
      </c>
    </row>
    <row r="660" spans="2:7" x14ac:dyDescent="0.25">
      <c r="B660" s="242"/>
      <c r="C660" s="243">
        <v>336</v>
      </c>
      <c r="D660" s="243"/>
      <c r="E660" s="243"/>
      <c r="F660" s="244" t="s">
        <v>654</v>
      </c>
      <c r="G660" s="241">
        <f t="shared" si="10"/>
        <v>649</v>
      </c>
    </row>
    <row r="661" spans="2:7" x14ac:dyDescent="0.25">
      <c r="B661" s="242"/>
      <c r="C661" s="243"/>
      <c r="D661" s="243">
        <v>3361</v>
      </c>
      <c r="E661" s="243"/>
      <c r="F661" s="244" t="s">
        <v>1426</v>
      </c>
      <c r="G661" s="241">
        <f t="shared" si="10"/>
        <v>650</v>
      </c>
    </row>
    <row r="662" spans="2:7" x14ac:dyDescent="0.25">
      <c r="B662" s="242"/>
      <c r="C662" s="243"/>
      <c r="D662" s="243"/>
      <c r="E662" s="243">
        <v>33611</v>
      </c>
      <c r="F662" s="244" t="s">
        <v>1083</v>
      </c>
      <c r="G662" s="241">
        <f t="shared" si="10"/>
        <v>651</v>
      </c>
    </row>
    <row r="663" spans="2:7" x14ac:dyDescent="0.25">
      <c r="B663" s="242"/>
      <c r="C663" s="243"/>
      <c r="D663" s="243"/>
      <c r="E663" s="243">
        <v>33612</v>
      </c>
      <c r="F663" s="244" t="s">
        <v>1096</v>
      </c>
      <c r="G663" s="241">
        <f t="shared" si="10"/>
        <v>652</v>
      </c>
    </row>
    <row r="664" spans="2:7" x14ac:dyDescent="0.25">
      <c r="B664" s="242"/>
      <c r="C664" s="243"/>
      <c r="D664" s="243">
        <v>3362</v>
      </c>
      <c r="E664" s="243"/>
      <c r="F664" s="244" t="s">
        <v>687</v>
      </c>
      <c r="G664" s="241">
        <f t="shared" si="10"/>
        <v>653</v>
      </c>
    </row>
    <row r="665" spans="2:7" x14ac:dyDescent="0.25">
      <c r="B665" s="242"/>
      <c r="C665" s="243"/>
      <c r="D665" s="243"/>
      <c r="E665" s="243">
        <v>33621</v>
      </c>
      <c r="F665" s="244" t="s">
        <v>1083</v>
      </c>
      <c r="G665" s="241">
        <f t="shared" si="10"/>
        <v>654</v>
      </c>
    </row>
    <row r="666" spans="2:7" x14ac:dyDescent="0.25">
      <c r="B666" s="242"/>
      <c r="C666" s="243"/>
      <c r="D666" s="243"/>
      <c r="E666" s="243">
        <v>33622</v>
      </c>
      <c r="F666" s="244" t="s">
        <v>1096</v>
      </c>
      <c r="G666" s="241">
        <f t="shared" si="10"/>
        <v>655</v>
      </c>
    </row>
    <row r="667" spans="2:7" x14ac:dyDescent="0.25">
      <c r="B667" s="242"/>
      <c r="C667" s="243"/>
      <c r="D667" s="243">
        <v>3363</v>
      </c>
      <c r="E667" s="243"/>
      <c r="F667" s="244" t="s">
        <v>686</v>
      </c>
      <c r="G667" s="241">
        <f t="shared" si="10"/>
        <v>656</v>
      </c>
    </row>
    <row r="668" spans="2:7" x14ac:dyDescent="0.25">
      <c r="B668" s="242"/>
      <c r="C668" s="243"/>
      <c r="D668" s="243"/>
      <c r="E668" s="243">
        <v>33631</v>
      </c>
      <c r="F668" s="244" t="s">
        <v>1083</v>
      </c>
      <c r="G668" s="241">
        <f t="shared" si="10"/>
        <v>657</v>
      </c>
    </row>
    <row r="669" spans="2:7" x14ac:dyDescent="0.25">
      <c r="B669" s="242"/>
      <c r="C669" s="243"/>
      <c r="D669" s="243"/>
      <c r="E669" s="243">
        <v>33632</v>
      </c>
      <c r="F669" s="244" t="s">
        <v>1096</v>
      </c>
      <c r="G669" s="241">
        <f t="shared" si="10"/>
        <v>658</v>
      </c>
    </row>
    <row r="670" spans="2:7" x14ac:dyDescent="0.25">
      <c r="B670" s="242"/>
      <c r="C670" s="243"/>
      <c r="D670" s="243">
        <v>3369</v>
      </c>
      <c r="E670" s="243"/>
      <c r="F670" s="244" t="s">
        <v>685</v>
      </c>
      <c r="G670" s="241">
        <f t="shared" si="10"/>
        <v>659</v>
      </c>
    </row>
    <row r="671" spans="2:7" x14ac:dyDescent="0.25">
      <c r="B671" s="242"/>
      <c r="C671" s="243"/>
      <c r="D671" s="243"/>
      <c r="E671" s="243">
        <v>33691</v>
      </c>
      <c r="F671" s="244" t="s">
        <v>1083</v>
      </c>
      <c r="G671" s="241">
        <f t="shared" si="10"/>
        <v>660</v>
      </c>
    </row>
    <row r="672" spans="2:7" x14ac:dyDescent="0.25">
      <c r="B672" s="242"/>
      <c r="C672" s="243"/>
      <c r="D672" s="243"/>
      <c r="E672" s="243">
        <v>33692</v>
      </c>
      <c r="F672" s="244" t="s">
        <v>1096</v>
      </c>
      <c r="G672" s="241">
        <f t="shared" si="10"/>
        <v>661</v>
      </c>
    </row>
    <row r="673" spans="2:7" x14ac:dyDescent="0.25">
      <c r="B673" s="242"/>
      <c r="C673" s="243">
        <v>337</v>
      </c>
      <c r="D673" s="243"/>
      <c r="E673" s="243"/>
      <c r="F673" s="244" t="s">
        <v>753</v>
      </c>
      <c r="G673" s="241">
        <f t="shared" si="10"/>
        <v>662</v>
      </c>
    </row>
    <row r="674" spans="2:7" x14ac:dyDescent="0.25">
      <c r="B674" s="242"/>
      <c r="C674" s="243"/>
      <c r="D674" s="243">
        <v>3371</v>
      </c>
      <c r="E674" s="243"/>
      <c r="F674" s="244" t="s">
        <v>1124</v>
      </c>
      <c r="G674" s="241">
        <f t="shared" si="10"/>
        <v>663</v>
      </c>
    </row>
    <row r="675" spans="2:7" x14ac:dyDescent="0.25">
      <c r="B675" s="242"/>
      <c r="C675" s="243"/>
      <c r="D675" s="243"/>
      <c r="E675" s="243">
        <v>33711</v>
      </c>
      <c r="F675" s="244" t="s">
        <v>1083</v>
      </c>
      <c r="G675" s="241">
        <f t="shared" si="10"/>
        <v>664</v>
      </c>
    </row>
    <row r="676" spans="2:7" x14ac:dyDescent="0.25">
      <c r="B676" s="242"/>
      <c r="C676" s="243"/>
      <c r="D676" s="243"/>
      <c r="E676" s="243">
        <v>33712</v>
      </c>
      <c r="F676" s="244" t="s">
        <v>1096</v>
      </c>
      <c r="G676" s="241">
        <f t="shared" si="10"/>
        <v>665</v>
      </c>
    </row>
    <row r="677" spans="2:7" x14ac:dyDescent="0.25">
      <c r="B677" s="242"/>
      <c r="C677" s="243"/>
      <c r="D677" s="243">
        <v>3372</v>
      </c>
      <c r="E677" s="243"/>
      <c r="F677" s="244" t="s">
        <v>1123</v>
      </c>
      <c r="G677" s="241">
        <f t="shared" si="10"/>
        <v>666</v>
      </c>
    </row>
    <row r="678" spans="2:7" x14ac:dyDescent="0.25">
      <c r="B678" s="242"/>
      <c r="C678" s="243"/>
      <c r="D678" s="243"/>
      <c r="E678" s="243">
        <v>33721</v>
      </c>
      <c r="F678" s="244" t="s">
        <v>1083</v>
      </c>
      <c r="G678" s="241">
        <f t="shared" si="10"/>
        <v>667</v>
      </c>
    </row>
    <row r="679" spans="2:7" x14ac:dyDescent="0.25">
      <c r="B679" s="242"/>
      <c r="C679" s="243"/>
      <c r="D679" s="243"/>
      <c r="E679" s="243">
        <v>33722</v>
      </c>
      <c r="F679" s="244" t="s">
        <v>1096</v>
      </c>
      <c r="G679" s="241">
        <f t="shared" si="10"/>
        <v>668</v>
      </c>
    </row>
    <row r="680" spans="2:7" x14ac:dyDescent="0.25">
      <c r="B680" s="242"/>
      <c r="C680" s="243">
        <v>338</v>
      </c>
      <c r="D680" s="243"/>
      <c r="E680" s="243"/>
      <c r="F680" s="244" t="s">
        <v>1122</v>
      </c>
      <c r="G680" s="241">
        <f t="shared" si="10"/>
        <v>669</v>
      </c>
    </row>
    <row r="681" spans="2:7" x14ac:dyDescent="0.25">
      <c r="B681" s="242"/>
      <c r="C681" s="243"/>
      <c r="D681" s="243">
        <v>3381</v>
      </c>
      <c r="E681" s="243"/>
      <c r="F681" s="244" t="s">
        <v>1121</v>
      </c>
      <c r="G681" s="241">
        <f t="shared" si="10"/>
        <v>670</v>
      </c>
    </row>
    <row r="682" spans="2:7" x14ac:dyDescent="0.25">
      <c r="B682" s="242"/>
      <c r="C682" s="243"/>
      <c r="D682" s="243">
        <v>3382</v>
      </c>
      <c r="E682" s="243"/>
      <c r="F682" s="244" t="s">
        <v>1120</v>
      </c>
      <c r="G682" s="241">
        <f t="shared" si="10"/>
        <v>671</v>
      </c>
    </row>
    <row r="683" spans="2:7" x14ac:dyDescent="0.25">
      <c r="B683" s="242"/>
      <c r="C683" s="243"/>
      <c r="D683" s="243">
        <v>3383</v>
      </c>
      <c r="E683" s="243"/>
      <c r="F683" s="244" t="s">
        <v>1119</v>
      </c>
      <c r="G683" s="241">
        <f t="shared" si="10"/>
        <v>672</v>
      </c>
    </row>
    <row r="684" spans="2:7" x14ac:dyDescent="0.25">
      <c r="B684" s="242"/>
      <c r="C684" s="243"/>
      <c r="D684" s="243">
        <v>3386</v>
      </c>
      <c r="E684" s="243"/>
      <c r="F684" s="244" t="s">
        <v>1118</v>
      </c>
      <c r="G684" s="241">
        <f t="shared" si="10"/>
        <v>673</v>
      </c>
    </row>
    <row r="685" spans="2:7" x14ac:dyDescent="0.25">
      <c r="B685" s="242"/>
      <c r="C685" s="243"/>
      <c r="D685" s="243">
        <v>3387</v>
      </c>
      <c r="E685" s="243"/>
      <c r="F685" s="244" t="s">
        <v>1117</v>
      </c>
      <c r="G685" s="241">
        <f t="shared" si="10"/>
        <v>674</v>
      </c>
    </row>
    <row r="686" spans="2:7" x14ac:dyDescent="0.25">
      <c r="B686" s="242"/>
      <c r="C686" s="243">
        <v>339</v>
      </c>
      <c r="D686" s="243"/>
      <c r="E686" s="243"/>
      <c r="F686" s="244" t="s">
        <v>1116</v>
      </c>
      <c r="G686" s="241">
        <f t="shared" si="10"/>
        <v>675</v>
      </c>
    </row>
    <row r="687" spans="2:7" x14ac:dyDescent="0.25">
      <c r="B687" s="242"/>
      <c r="C687" s="243"/>
      <c r="D687" s="243">
        <v>3391</v>
      </c>
      <c r="E687" s="243"/>
      <c r="F687" s="244" t="s">
        <v>1115</v>
      </c>
      <c r="G687" s="241">
        <f t="shared" si="10"/>
        <v>676</v>
      </c>
    </row>
    <row r="688" spans="2:7" x14ac:dyDescent="0.25">
      <c r="B688" s="242"/>
      <c r="C688" s="243"/>
      <c r="D688" s="243">
        <v>3392</v>
      </c>
      <c r="E688" s="243"/>
      <c r="F688" s="244" t="s">
        <v>1114</v>
      </c>
      <c r="G688" s="241">
        <f t="shared" si="10"/>
        <v>677</v>
      </c>
    </row>
    <row r="689" spans="2:7" x14ac:dyDescent="0.25">
      <c r="B689" s="242"/>
      <c r="C689" s="243"/>
      <c r="D689" s="243">
        <v>3393</v>
      </c>
      <c r="E689" s="243"/>
      <c r="F689" s="244" t="s">
        <v>1113</v>
      </c>
      <c r="G689" s="241">
        <f t="shared" si="10"/>
        <v>678</v>
      </c>
    </row>
    <row r="690" spans="2:7" x14ac:dyDescent="0.25">
      <c r="B690" s="242"/>
      <c r="C690" s="243"/>
      <c r="D690" s="243">
        <v>3394</v>
      </c>
      <c r="E690" s="243"/>
      <c r="F690" s="244" t="s">
        <v>1112</v>
      </c>
      <c r="G690" s="241">
        <f t="shared" si="10"/>
        <v>679</v>
      </c>
    </row>
    <row r="691" spans="2:7" x14ac:dyDescent="0.25">
      <c r="B691" s="242"/>
      <c r="C691" s="243"/>
      <c r="D691" s="243">
        <v>3397</v>
      </c>
      <c r="E691" s="243"/>
      <c r="F691" s="244" t="s">
        <v>1111</v>
      </c>
      <c r="G691" s="241">
        <f t="shared" si="10"/>
        <v>680</v>
      </c>
    </row>
    <row r="692" spans="2:7" x14ac:dyDescent="0.25">
      <c r="B692" s="242"/>
      <c r="C692" s="243"/>
      <c r="D692" s="243"/>
      <c r="E692" s="243">
        <v>33971</v>
      </c>
      <c r="F692" s="244" t="s">
        <v>1109</v>
      </c>
      <c r="G692" s="241">
        <f t="shared" si="10"/>
        <v>681</v>
      </c>
    </row>
    <row r="693" spans="2:7" x14ac:dyDescent="0.25">
      <c r="B693" s="242"/>
      <c r="C693" s="243"/>
      <c r="D693" s="243">
        <v>3398</v>
      </c>
      <c r="E693" s="243"/>
      <c r="F693" s="244" t="s">
        <v>1110</v>
      </c>
      <c r="G693" s="241">
        <f t="shared" si="10"/>
        <v>682</v>
      </c>
    </row>
    <row r="694" spans="2:7" x14ac:dyDescent="0.25">
      <c r="B694" s="242"/>
      <c r="C694" s="243"/>
      <c r="D694" s="243"/>
      <c r="E694" s="243">
        <v>33981</v>
      </c>
      <c r="F694" s="244" t="s">
        <v>1109</v>
      </c>
      <c r="G694" s="241">
        <f t="shared" si="10"/>
        <v>683</v>
      </c>
    </row>
    <row r="695" spans="2:7" x14ac:dyDescent="0.25">
      <c r="B695" s="242"/>
      <c r="C695" s="243"/>
      <c r="D695" s="243"/>
      <c r="E695" s="243">
        <v>33982</v>
      </c>
      <c r="F695" s="244" t="s">
        <v>1108</v>
      </c>
      <c r="G695" s="241">
        <f t="shared" si="10"/>
        <v>684</v>
      </c>
    </row>
    <row r="696" spans="2:7" x14ac:dyDescent="0.25">
      <c r="B696" s="242"/>
      <c r="C696" s="243"/>
      <c r="D696" s="243">
        <v>3399</v>
      </c>
      <c r="E696" s="243"/>
      <c r="F696" s="244" t="s">
        <v>1107</v>
      </c>
      <c r="G696" s="241">
        <f t="shared" si="10"/>
        <v>685</v>
      </c>
    </row>
    <row r="697" spans="2:7" x14ac:dyDescent="0.25">
      <c r="B697" s="242">
        <v>34</v>
      </c>
      <c r="C697" s="243"/>
      <c r="D697" s="243"/>
      <c r="E697" s="243"/>
      <c r="F697" s="244" t="s">
        <v>1106</v>
      </c>
      <c r="G697" s="241">
        <f t="shared" si="10"/>
        <v>686</v>
      </c>
    </row>
    <row r="698" spans="2:7" x14ac:dyDescent="0.25">
      <c r="B698" s="242"/>
      <c r="C698" s="243">
        <v>341</v>
      </c>
      <c r="D698" s="243"/>
      <c r="E698" s="243"/>
      <c r="F698" s="244" t="s">
        <v>751</v>
      </c>
      <c r="G698" s="241">
        <f t="shared" si="10"/>
        <v>687</v>
      </c>
    </row>
    <row r="699" spans="2:7" x14ac:dyDescent="0.25">
      <c r="B699" s="242"/>
      <c r="C699" s="243"/>
      <c r="D699" s="243">
        <v>3411</v>
      </c>
      <c r="E699" s="243"/>
      <c r="F699" s="244" t="s">
        <v>1105</v>
      </c>
      <c r="G699" s="241">
        <f t="shared" si="10"/>
        <v>688</v>
      </c>
    </row>
    <row r="700" spans="2:7" x14ac:dyDescent="0.25">
      <c r="B700" s="242"/>
      <c r="C700" s="243"/>
      <c r="D700" s="243"/>
      <c r="E700" s="243">
        <v>34111</v>
      </c>
      <c r="F700" s="244" t="s">
        <v>1083</v>
      </c>
      <c r="G700" s="241">
        <f t="shared" si="10"/>
        <v>689</v>
      </c>
    </row>
    <row r="701" spans="2:7" x14ac:dyDescent="0.25">
      <c r="B701" s="242"/>
      <c r="C701" s="243"/>
      <c r="D701" s="243"/>
      <c r="E701" s="243">
        <v>34112</v>
      </c>
      <c r="F701" s="244" t="s">
        <v>1096</v>
      </c>
      <c r="G701" s="241">
        <f t="shared" si="10"/>
        <v>690</v>
      </c>
    </row>
    <row r="702" spans="2:7" x14ac:dyDescent="0.25">
      <c r="B702" s="242"/>
      <c r="C702" s="243"/>
      <c r="D702" s="243">
        <v>3412</v>
      </c>
      <c r="E702" s="243"/>
      <c r="F702" s="244" t="s">
        <v>803</v>
      </c>
      <c r="G702" s="241">
        <f t="shared" si="10"/>
        <v>691</v>
      </c>
    </row>
    <row r="703" spans="2:7" x14ac:dyDescent="0.25">
      <c r="B703" s="242"/>
      <c r="C703" s="243"/>
      <c r="D703" s="243"/>
      <c r="E703" s="243">
        <v>34121</v>
      </c>
      <c r="F703" s="244" t="s">
        <v>1083</v>
      </c>
      <c r="G703" s="241">
        <f t="shared" si="10"/>
        <v>692</v>
      </c>
    </row>
    <row r="704" spans="2:7" x14ac:dyDescent="0.25">
      <c r="B704" s="242"/>
      <c r="C704" s="243"/>
      <c r="D704" s="243"/>
      <c r="E704" s="243">
        <v>34122</v>
      </c>
      <c r="F704" s="244" t="s">
        <v>1096</v>
      </c>
      <c r="G704" s="241">
        <f t="shared" si="10"/>
        <v>693</v>
      </c>
    </row>
    <row r="705" spans="2:7" x14ac:dyDescent="0.25">
      <c r="B705" s="242"/>
      <c r="C705" s="243"/>
      <c r="D705" s="243">
        <v>3419</v>
      </c>
      <c r="E705" s="243"/>
      <c r="F705" s="244" t="s">
        <v>1104</v>
      </c>
      <c r="G705" s="241">
        <f t="shared" si="10"/>
        <v>694</v>
      </c>
    </row>
    <row r="706" spans="2:7" x14ac:dyDescent="0.25">
      <c r="B706" s="242"/>
      <c r="C706" s="243"/>
      <c r="D706" s="243"/>
      <c r="E706" s="243">
        <v>34191</v>
      </c>
      <c r="F706" s="244" t="s">
        <v>1083</v>
      </c>
      <c r="G706" s="241">
        <f t="shared" si="10"/>
        <v>695</v>
      </c>
    </row>
    <row r="707" spans="2:7" x14ac:dyDescent="0.25">
      <c r="B707" s="242"/>
      <c r="C707" s="243"/>
      <c r="D707" s="243"/>
      <c r="E707" s="243">
        <v>34192</v>
      </c>
      <c r="F707" s="244" t="s">
        <v>1096</v>
      </c>
      <c r="G707" s="241">
        <f t="shared" si="10"/>
        <v>696</v>
      </c>
    </row>
    <row r="708" spans="2:7" x14ac:dyDescent="0.25">
      <c r="B708" s="242"/>
      <c r="C708" s="243">
        <v>342</v>
      </c>
      <c r="D708" s="243"/>
      <c r="E708" s="243"/>
      <c r="F708" s="244" t="s">
        <v>750</v>
      </c>
      <c r="G708" s="241">
        <f t="shared" si="10"/>
        <v>697</v>
      </c>
    </row>
    <row r="709" spans="2:7" x14ac:dyDescent="0.25">
      <c r="B709" s="242"/>
      <c r="C709" s="243"/>
      <c r="D709" s="243">
        <v>3421</v>
      </c>
      <c r="E709" s="243"/>
      <c r="F709" s="244" t="s">
        <v>1103</v>
      </c>
      <c r="G709" s="241">
        <f t="shared" si="10"/>
        <v>698</v>
      </c>
    </row>
    <row r="710" spans="2:7" x14ac:dyDescent="0.25">
      <c r="B710" s="242"/>
      <c r="C710" s="243"/>
      <c r="D710" s="243"/>
      <c r="E710" s="243">
        <v>34211</v>
      </c>
      <c r="F710" s="244" t="s">
        <v>1083</v>
      </c>
      <c r="G710" s="241">
        <f t="shared" si="10"/>
        <v>699</v>
      </c>
    </row>
    <row r="711" spans="2:7" x14ac:dyDescent="0.25">
      <c r="B711" s="242"/>
      <c r="C711" s="243"/>
      <c r="D711" s="243"/>
      <c r="E711" s="243">
        <v>34212</v>
      </c>
      <c r="F711" s="244" t="s">
        <v>1096</v>
      </c>
      <c r="G711" s="241">
        <f t="shared" si="10"/>
        <v>700</v>
      </c>
    </row>
    <row r="712" spans="2:7" x14ac:dyDescent="0.25">
      <c r="B712" s="242"/>
      <c r="C712" s="243"/>
      <c r="D712" s="243">
        <v>3422</v>
      </c>
      <c r="E712" s="243"/>
      <c r="F712" s="244" t="s">
        <v>1102</v>
      </c>
      <c r="G712" s="241">
        <f t="shared" si="10"/>
        <v>701</v>
      </c>
    </row>
    <row r="713" spans="2:7" x14ac:dyDescent="0.25">
      <c r="B713" s="242"/>
      <c r="C713" s="243"/>
      <c r="D713" s="243"/>
      <c r="E713" s="243">
        <v>34221</v>
      </c>
      <c r="F713" s="244" t="s">
        <v>1083</v>
      </c>
      <c r="G713" s="241">
        <f t="shared" si="10"/>
        <v>702</v>
      </c>
    </row>
    <row r="714" spans="2:7" x14ac:dyDescent="0.25">
      <c r="B714" s="242"/>
      <c r="C714" s="243"/>
      <c r="D714" s="243"/>
      <c r="E714" s="243">
        <v>34222</v>
      </c>
      <c r="F714" s="244" t="s">
        <v>1096</v>
      </c>
      <c r="G714" s="241">
        <f t="shared" si="10"/>
        <v>703</v>
      </c>
    </row>
    <row r="715" spans="2:7" x14ac:dyDescent="0.25">
      <c r="B715" s="242"/>
      <c r="C715" s="243">
        <v>343</v>
      </c>
      <c r="D715" s="243"/>
      <c r="E715" s="243"/>
      <c r="F715" s="244" t="s">
        <v>684</v>
      </c>
      <c r="G715" s="241">
        <f t="shared" si="10"/>
        <v>704</v>
      </c>
    </row>
    <row r="716" spans="2:7" x14ac:dyDescent="0.25">
      <c r="B716" s="242"/>
      <c r="C716" s="243"/>
      <c r="D716" s="243">
        <v>3431</v>
      </c>
      <c r="E716" s="243"/>
      <c r="F716" s="244" t="s">
        <v>1101</v>
      </c>
      <c r="G716" s="241">
        <f t="shared" si="10"/>
        <v>705</v>
      </c>
    </row>
    <row r="717" spans="2:7" x14ac:dyDescent="0.25">
      <c r="B717" s="242"/>
      <c r="C717" s="243"/>
      <c r="D717" s="243"/>
      <c r="E717" s="243">
        <v>34311</v>
      </c>
      <c r="F717" s="244" t="s">
        <v>1083</v>
      </c>
      <c r="G717" s="241">
        <f t="shared" ref="G717:G780" si="11">G716+1</f>
        <v>706</v>
      </c>
    </row>
    <row r="718" spans="2:7" x14ac:dyDescent="0.25">
      <c r="B718" s="242"/>
      <c r="C718" s="243"/>
      <c r="D718" s="243"/>
      <c r="E718" s="243">
        <v>34312</v>
      </c>
      <c r="F718" s="244" t="s">
        <v>1096</v>
      </c>
      <c r="G718" s="241">
        <f t="shared" si="11"/>
        <v>707</v>
      </c>
    </row>
    <row r="719" spans="2:7" x14ac:dyDescent="0.25">
      <c r="B719" s="242"/>
      <c r="C719" s="243">
        <v>344</v>
      </c>
      <c r="D719" s="243"/>
      <c r="E719" s="243"/>
      <c r="F719" s="244" t="s">
        <v>683</v>
      </c>
      <c r="G719" s="241">
        <f t="shared" si="11"/>
        <v>708</v>
      </c>
    </row>
    <row r="720" spans="2:7" x14ac:dyDescent="0.25">
      <c r="B720" s="242"/>
      <c r="C720" s="243"/>
      <c r="D720" s="243">
        <v>3441</v>
      </c>
      <c r="E720" s="243"/>
      <c r="F720" s="244" t="s">
        <v>1100</v>
      </c>
      <c r="G720" s="241">
        <f t="shared" si="11"/>
        <v>709</v>
      </c>
    </row>
    <row r="721" spans="2:7" x14ac:dyDescent="0.25">
      <c r="B721" s="242"/>
      <c r="C721" s="243"/>
      <c r="D721" s="243"/>
      <c r="E721" s="243">
        <v>34411</v>
      </c>
      <c r="F721" s="244" t="s">
        <v>1083</v>
      </c>
      <c r="G721" s="241">
        <f t="shared" si="11"/>
        <v>710</v>
      </c>
    </row>
    <row r="722" spans="2:7" x14ac:dyDescent="0.25">
      <c r="B722" s="242"/>
      <c r="C722" s="243"/>
      <c r="D722" s="243"/>
      <c r="E722" s="243">
        <v>34412</v>
      </c>
      <c r="F722" s="244" t="s">
        <v>1096</v>
      </c>
      <c r="G722" s="241">
        <f t="shared" si="11"/>
        <v>711</v>
      </c>
    </row>
    <row r="723" spans="2:7" x14ac:dyDescent="0.25">
      <c r="B723" s="242"/>
      <c r="C723" s="243"/>
      <c r="D723" s="243"/>
      <c r="E723" s="243">
        <v>34413</v>
      </c>
      <c r="F723" s="244" t="s">
        <v>1427</v>
      </c>
      <c r="G723" s="241">
        <f t="shared" si="11"/>
        <v>712</v>
      </c>
    </row>
    <row r="724" spans="2:7" x14ac:dyDescent="0.25">
      <c r="B724" s="242"/>
      <c r="C724" s="243"/>
      <c r="D724" s="243">
        <v>3442</v>
      </c>
      <c r="E724" s="243"/>
      <c r="F724" s="244" t="s">
        <v>1099</v>
      </c>
      <c r="G724" s="241">
        <f t="shared" si="11"/>
        <v>713</v>
      </c>
    </row>
    <row r="725" spans="2:7" x14ac:dyDescent="0.25">
      <c r="B725" s="242"/>
      <c r="C725" s="243"/>
      <c r="D725" s="243"/>
      <c r="E725" s="243">
        <v>34421</v>
      </c>
      <c r="F725" s="244" t="s">
        <v>1083</v>
      </c>
      <c r="G725" s="241">
        <f t="shared" si="11"/>
        <v>714</v>
      </c>
    </row>
    <row r="726" spans="2:7" x14ac:dyDescent="0.25">
      <c r="B726" s="242"/>
      <c r="C726" s="243"/>
      <c r="D726" s="243"/>
      <c r="E726" s="243">
        <v>34422</v>
      </c>
      <c r="F726" s="244" t="s">
        <v>1096</v>
      </c>
      <c r="G726" s="241">
        <f t="shared" si="11"/>
        <v>715</v>
      </c>
    </row>
    <row r="727" spans="2:7" x14ac:dyDescent="0.25">
      <c r="B727" s="242"/>
      <c r="C727" s="243"/>
      <c r="D727" s="243"/>
      <c r="E727" s="243">
        <v>34423</v>
      </c>
      <c r="F727" s="244" t="s">
        <v>1427</v>
      </c>
      <c r="G727" s="241">
        <f t="shared" si="11"/>
        <v>716</v>
      </c>
    </row>
    <row r="728" spans="2:7" x14ac:dyDescent="0.25">
      <c r="B728" s="242"/>
      <c r="C728" s="243">
        <v>345</v>
      </c>
      <c r="D728" s="243"/>
      <c r="E728" s="243"/>
      <c r="F728" s="244" t="s">
        <v>682</v>
      </c>
      <c r="G728" s="241">
        <f t="shared" si="11"/>
        <v>717</v>
      </c>
    </row>
    <row r="729" spans="2:7" x14ac:dyDescent="0.25">
      <c r="B729" s="242"/>
      <c r="C729" s="243"/>
      <c r="D729" s="243">
        <v>3451</v>
      </c>
      <c r="E729" s="243"/>
      <c r="F729" s="244" t="s">
        <v>1098</v>
      </c>
      <c r="G729" s="241">
        <f t="shared" si="11"/>
        <v>718</v>
      </c>
    </row>
    <row r="730" spans="2:7" x14ac:dyDescent="0.25">
      <c r="B730" s="242"/>
      <c r="C730" s="243"/>
      <c r="D730" s="243"/>
      <c r="E730" s="243">
        <v>34511</v>
      </c>
      <c r="F730" s="244" t="s">
        <v>1083</v>
      </c>
      <c r="G730" s="241">
        <f t="shared" si="11"/>
        <v>719</v>
      </c>
    </row>
    <row r="731" spans="2:7" x14ac:dyDescent="0.25">
      <c r="B731" s="242"/>
      <c r="C731" s="243"/>
      <c r="D731" s="243"/>
      <c r="E731" s="243">
        <v>34512</v>
      </c>
      <c r="F731" s="244" t="s">
        <v>1096</v>
      </c>
      <c r="G731" s="241">
        <f t="shared" si="11"/>
        <v>720</v>
      </c>
    </row>
    <row r="732" spans="2:7" x14ac:dyDescent="0.25">
      <c r="B732" s="242"/>
      <c r="C732" s="243"/>
      <c r="D732" s="243">
        <v>3452</v>
      </c>
      <c r="E732" s="243"/>
      <c r="F732" s="244" t="s">
        <v>1097</v>
      </c>
      <c r="G732" s="241">
        <f t="shared" si="11"/>
        <v>721</v>
      </c>
    </row>
    <row r="733" spans="2:7" x14ac:dyDescent="0.25">
      <c r="B733" s="242"/>
      <c r="C733" s="243"/>
      <c r="D733" s="243"/>
      <c r="E733" s="243">
        <v>34521</v>
      </c>
      <c r="F733" s="244" t="s">
        <v>1083</v>
      </c>
      <c r="G733" s="241">
        <f t="shared" si="11"/>
        <v>722</v>
      </c>
    </row>
    <row r="734" spans="2:7" x14ac:dyDescent="0.25">
      <c r="B734" s="242"/>
      <c r="C734" s="243"/>
      <c r="D734" s="243"/>
      <c r="E734" s="243">
        <v>34522</v>
      </c>
      <c r="F734" s="244" t="s">
        <v>1096</v>
      </c>
      <c r="G734" s="241">
        <f t="shared" si="11"/>
        <v>723</v>
      </c>
    </row>
    <row r="735" spans="2:7" x14ac:dyDescent="0.25">
      <c r="B735" s="242"/>
      <c r="C735" s="243">
        <v>346</v>
      </c>
      <c r="D735" s="243"/>
      <c r="E735" s="243"/>
      <c r="F735" s="244" t="s">
        <v>1095</v>
      </c>
      <c r="G735" s="241">
        <f t="shared" si="11"/>
        <v>724</v>
      </c>
    </row>
    <row r="736" spans="2:7" x14ac:dyDescent="0.25">
      <c r="B736" s="242"/>
      <c r="C736" s="243"/>
      <c r="D736" s="243">
        <v>3461</v>
      </c>
      <c r="E736" s="243"/>
      <c r="F736" s="244" t="s">
        <v>1094</v>
      </c>
      <c r="G736" s="241">
        <f t="shared" si="11"/>
        <v>725</v>
      </c>
    </row>
    <row r="737" spans="2:7" x14ac:dyDescent="0.25">
      <c r="B737" s="242"/>
      <c r="C737" s="243"/>
      <c r="D737" s="243"/>
      <c r="E737" s="243">
        <v>34611</v>
      </c>
      <c r="F737" s="244" t="s">
        <v>1083</v>
      </c>
      <c r="G737" s="241">
        <f t="shared" si="11"/>
        <v>726</v>
      </c>
    </row>
    <row r="738" spans="2:7" x14ac:dyDescent="0.25">
      <c r="B738" s="242"/>
      <c r="C738" s="243"/>
      <c r="D738" s="243"/>
      <c r="E738" s="243">
        <v>34612</v>
      </c>
      <c r="F738" s="244" t="s">
        <v>1096</v>
      </c>
      <c r="G738" s="241">
        <f t="shared" si="11"/>
        <v>727</v>
      </c>
    </row>
    <row r="739" spans="2:7" x14ac:dyDescent="0.25">
      <c r="B739" s="242"/>
      <c r="C739" s="243"/>
      <c r="D739" s="243">
        <v>3462</v>
      </c>
      <c r="E739" s="243"/>
      <c r="F739" s="244" t="s">
        <v>1093</v>
      </c>
      <c r="G739" s="241">
        <f t="shared" si="11"/>
        <v>728</v>
      </c>
    </row>
    <row r="740" spans="2:7" x14ac:dyDescent="0.25">
      <c r="B740" s="242"/>
      <c r="C740" s="243"/>
      <c r="D740" s="243"/>
      <c r="E740" s="243">
        <v>34621</v>
      </c>
      <c r="F740" s="244" t="s">
        <v>1083</v>
      </c>
      <c r="G740" s="241">
        <f t="shared" si="11"/>
        <v>729</v>
      </c>
    </row>
    <row r="741" spans="2:7" x14ac:dyDescent="0.25">
      <c r="B741" s="242"/>
      <c r="C741" s="243"/>
      <c r="D741" s="243"/>
      <c r="E741" s="243">
        <v>34622</v>
      </c>
      <c r="F741" s="244" t="s">
        <v>1096</v>
      </c>
      <c r="G741" s="241">
        <f t="shared" si="11"/>
        <v>730</v>
      </c>
    </row>
    <row r="742" spans="2:7" x14ac:dyDescent="0.25">
      <c r="B742" s="242"/>
      <c r="C742" s="243"/>
      <c r="D742" s="243">
        <v>3463</v>
      </c>
      <c r="E742" s="243"/>
      <c r="F742" s="244" t="s">
        <v>1092</v>
      </c>
      <c r="G742" s="241">
        <f t="shared" si="11"/>
        <v>731</v>
      </c>
    </row>
    <row r="743" spans="2:7" x14ac:dyDescent="0.25">
      <c r="B743" s="242"/>
      <c r="C743" s="243"/>
      <c r="D743" s="243"/>
      <c r="E743" s="243">
        <v>34631</v>
      </c>
      <c r="F743" s="244" t="s">
        <v>1083</v>
      </c>
      <c r="G743" s="241">
        <f t="shared" si="11"/>
        <v>732</v>
      </c>
    </row>
    <row r="744" spans="2:7" x14ac:dyDescent="0.25">
      <c r="B744" s="242"/>
      <c r="C744" s="243"/>
      <c r="D744" s="243"/>
      <c r="E744" s="243">
        <v>34632</v>
      </c>
      <c r="F744" s="244" t="s">
        <v>1096</v>
      </c>
      <c r="G744" s="241">
        <f t="shared" si="11"/>
        <v>733</v>
      </c>
    </row>
    <row r="745" spans="2:7" x14ac:dyDescent="0.25">
      <c r="B745" s="242"/>
      <c r="C745" s="243"/>
      <c r="D745" s="243">
        <v>3469</v>
      </c>
      <c r="E745" s="243"/>
      <c r="F745" s="244" t="s">
        <v>1091</v>
      </c>
      <c r="G745" s="241">
        <f t="shared" si="11"/>
        <v>734</v>
      </c>
    </row>
    <row r="746" spans="2:7" x14ac:dyDescent="0.25">
      <c r="B746" s="242"/>
      <c r="C746" s="243"/>
      <c r="D746" s="243"/>
      <c r="E746" s="243">
        <v>34691</v>
      </c>
      <c r="F746" s="244" t="s">
        <v>1083</v>
      </c>
      <c r="G746" s="241">
        <f t="shared" si="11"/>
        <v>735</v>
      </c>
    </row>
    <row r="747" spans="2:7" x14ac:dyDescent="0.25">
      <c r="B747" s="242"/>
      <c r="C747" s="243"/>
      <c r="D747" s="243"/>
      <c r="E747" s="243">
        <v>34692</v>
      </c>
      <c r="F747" s="244" t="s">
        <v>1096</v>
      </c>
      <c r="G747" s="241">
        <f t="shared" si="11"/>
        <v>736</v>
      </c>
    </row>
    <row r="748" spans="2:7" x14ac:dyDescent="0.25">
      <c r="B748" s="242"/>
      <c r="C748" s="243">
        <v>347</v>
      </c>
      <c r="D748" s="243"/>
      <c r="E748" s="243"/>
      <c r="F748" s="244" t="s">
        <v>1090</v>
      </c>
      <c r="G748" s="241">
        <f t="shared" si="11"/>
        <v>737</v>
      </c>
    </row>
    <row r="749" spans="2:7" x14ac:dyDescent="0.25">
      <c r="B749" s="242"/>
      <c r="C749" s="243"/>
      <c r="D749" s="243">
        <v>3471</v>
      </c>
      <c r="E749" s="243"/>
      <c r="F749" s="244" t="s">
        <v>1090</v>
      </c>
      <c r="G749" s="241">
        <f t="shared" si="11"/>
        <v>738</v>
      </c>
    </row>
    <row r="750" spans="2:7" x14ac:dyDescent="0.25">
      <c r="B750" s="242"/>
      <c r="C750" s="243">
        <v>349</v>
      </c>
      <c r="D750" s="243"/>
      <c r="E750" s="243"/>
      <c r="F750" s="244" t="s">
        <v>749</v>
      </c>
      <c r="G750" s="241">
        <f t="shared" si="11"/>
        <v>739</v>
      </c>
    </row>
    <row r="751" spans="2:7" x14ac:dyDescent="0.25">
      <c r="B751" s="242"/>
      <c r="C751" s="243"/>
      <c r="D751" s="243">
        <v>3491</v>
      </c>
      <c r="E751" s="243"/>
      <c r="F751" s="244" t="s">
        <v>749</v>
      </c>
      <c r="G751" s="241">
        <f t="shared" si="11"/>
        <v>740</v>
      </c>
    </row>
    <row r="752" spans="2:7" x14ac:dyDescent="0.25">
      <c r="B752" s="242"/>
      <c r="C752" s="243"/>
      <c r="D752" s="243"/>
      <c r="E752" s="243">
        <v>34911</v>
      </c>
      <c r="F752" s="244" t="s">
        <v>1083</v>
      </c>
      <c r="G752" s="241">
        <f t="shared" si="11"/>
        <v>741</v>
      </c>
    </row>
    <row r="753" spans="2:7" x14ac:dyDescent="0.25">
      <c r="B753" s="242"/>
      <c r="C753" s="243"/>
      <c r="D753" s="243"/>
      <c r="E753" s="243">
        <v>34912</v>
      </c>
      <c r="F753" s="244" t="s">
        <v>1096</v>
      </c>
      <c r="G753" s="241">
        <f t="shared" si="11"/>
        <v>742</v>
      </c>
    </row>
    <row r="754" spans="2:7" x14ac:dyDescent="0.25">
      <c r="B754" s="242"/>
      <c r="C754" s="243"/>
      <c r="D754" s="243">
        <v>3499</v>
      </c>
      <c r="E754" s="243"/>
      <c r="F754" s="244" t="s">
        <v>1065</v>
      </c>
      <c r="G754" s="241">
        <f t="shared" si="11"/>
        <v>743</v>
      </c>
    </row>
    <row r="755" spans="2:7" x14ac:dyDescent="0.25">
      <c r="B755" s="242">
        <v>35</v>
      </c>
      <c r="C755" s="243"/>
      <c r="D755" s="243"/>
      <c r="E755" s="243"/>
      <c r="F755" s="244" t="s">
        <v>1089</v>
      </c>
      <c r="G755" s="241">
        <f t="shared" si="11"/>
        <v>744</v>
      </c>
    </row>
    <row r="756" spans="2:7" x14ac:dyDescent="0.25">
      <c r="B756" s="242"/>
      <c r="C756" s="243">
        <v>351</v>
      </c>
      <c r="D756" s="243"/>
      <c r="E756" s="243"/>
      <c r="F756" s="244" t="s">
        <v>1079</v>
      </c>
      <c r="G756" s="241">
        <f t="shared" si="11"/>
        <v>745</v>
      </c>
    </row>
    <row r="757" spans="2:7" x14ac:dyDescent="0.25">
      <c r="B757" s="242"/>
      <c r="C757" s="243"/>
      <c r="D757" s="243">
        <v>3511</v>
      </c>
      <c r="E757" s="243"/>
      <c r="F757" s="244" t="s">
        <v>1088</v>
      </c>
      <c r="G757" s="241">
        <f t="shared" si="11"/>
        <v>746</v>
      </c>
    </row>
    <row r="758" spans="2:7" x14ac:dyDescent="0.25">
      <c r="B758" s="242"/>
      <c r="C758" s="243"/>
      <c r="D758" s="243"/>
      <c r="E758" s="243">
        <v>35111</v>
      </c>
      <c r="F758" s="244" t="s">
        <v>1084</v>
      </c>
      <c r="G758" s="241">
        <f t="shared" si="11"/>
        <v>747</v>
      </c>
    </row>
    <row r="759" spans="2:7" x14ac:dyDescent="0.25">
      <c r="B759" s="242"/>
      <c r="C759" s="243"/>
      <c r="D759" s="243"/>
      <c r="E759" s="243">
        <v>35112</v>
      </c>
      <c r="F759" s="244" t="s">
        <v>1083</v>
      </c>
      <c r="G759" s="241">
        <f t="shared" si="11"/>
        <v>748</v>
      </c>
    </row>
    <row r="760" spans="2:7" x14ac:dyDescent="0.25">
      <c r="B760" s="242"/>
      <c r="C760" s="243"/>
      <c r="D760" s="243"/>
      <c r="E760" s="243">
        <v>35113</v>
      </c>
      <c r="F760" s="244" t="s">
        <v>1427</v>
      </c>
      <c r="G760" s="241">
        <f t="shared" si="11"/>
        <v>749</v>
      </c>
    </row>
    <row r="761" spans="2:7" x14ac:dyDescent="0.25">
      <c r="B761" s="242"/>
      <c r="C761" s="243"/>
      <c r="D761" s="243">
        <v>3512</v>
      </c>
      <c r="E761" s="243"/>
      <c r="F761" s="244" t="s">
        <v>1087</v>
      </c>
      <c r="G761" s="241">
        <f t="shared" si="11"/>
        <v>750</v>
      </c>
    </row>
    <row r="762" spans="2:7" x14ac:dyDescent="0.25">
      <c r="B762" s="242"/>
      <c r="C762" s="243"/>
      <c r="D762" s="243"/>
      <c r="E762" s="243">
        <v>35121</v>
      </c>
      <c r="F762" s="244" t="s">
        <v>1084</v>
      </c>
      <c r="G762" s="241">
        <f t="shared" si="11"/>
        <v>751</v>
      </c>
    </row>
    <row r="763" spans="2:7" x14ac:dyDescent="0.25">
      <c r="B763" s="242"/>
      <c r="C763" s="243"/>
      <c r="D763" s="243"/>
      <c r="E763" s="243">
        <v>35122</v>
      </c>
      <c r="F763" s="244" t="s">
        <v>1083</v>
      </c>
      <c r="G763" s="241">
        <f t="shared" si="11"/>
        <v>752</v>
      </c>
    </row>
    <row r="764" spans="2:7" x14ac:dyDescent="0.25">
      <c r="B764" s="242"/>
      <c r="C764" s="243"/>
      <c r="D764" s="243"/>
      <c r="E764" s="243">
        <v>35123</v>
      </c>
      <c r="F764" s="244" t="s">
        <v>1427</v>
      </c>
      <c r="G764" s="241">
        <f t="shared" si="11"/>
        <v>753</v>
      </c>
    </row>
    <row r="765" spans="2:7" x14ac:dyDescent="0.25">
      <c r="B765" s="242"/>
      <c r="C765" s="243">
        <v>352</v>
      </c>
      <c r="D765" s="243"/>
      <c r="E765" s="243"/>
      <c r="F765" s="244" t="s">
        <v>1078</v>
      </c>
      <c r="G765" s="241">
        <f t="shared" si="11"/>
        <v>754</v>
      </c>
    </row>
    <row r="766" spans="2:7" x14ac:dyDescent="0.25">
      <c r="B766" s="242"/>
      <c r="C766" s="243"/>
      <c r="D766" s="243">
        <v>3521</v>
      </c>
      <c r="E766" s="243"/>
      <c r="F766" s="244" t="s">
        <v>1086</v>
      </c>
      <c r="G766" s="241">
        <f t="shared" si="11"/>
        <v>755</v>
      </c>
    </row>
    <row r="767" spans="2:7" x14ac:dyDescent="0.25">
      <c r="B767" s="242"/>
      <c r="C767" s="243"/>
      <c r="D767" s="243"/>
      <c r="E767" s="243">
        <v>35211</v>
      </c>
      <c r="F767" s="244" t="s">
        <v>1084</v>
      </c>
      <c r="G767" s="241">
        <f t="shared" si="11"/>
        <v>756</v>
      </c>
    </row>
    <row r="768" spans="2:7" x14ac:dyDescent="0.25">
      <c r="B768" s="242"/>
      <c r="C768" s="243"/>
      <c r="D768" s="243"/>
      <c r="E768" s="243">
        <v>35212</v>
      </c>
      <c r="F768" s="244" t="s">
        <v>1083</v>
      </c>
      <c r="G768" s="241">
        <f t="shared" si="11"/>
        <v>757</v>
      </c>
    </row>
    <row r="769" spans="2:7" x14ac:dyDescent="0.25">
      <c r="B769" s="242"/>
      <c r="C769" s="243"/>
      <c r="D769" s="243"/>
      <c r="E769" s="243">
        <v>35213</v>
      </c>
      <c r="F769" s="244" t="s">
        <v>1427</v>
      </c>
      <c r="G769" s="241">
        <f t="shared" si="11"/>
        <v>758</v>
      </c>
    </row>
    <row r="770" spans="2:7" x14ac:dyDescent="0.25">
      <c r="B770" s="242"/>
      <c r="C770" s="243"/>
      <c r="D770" s="243">
        <v>3522</v>
      </c>
      <c r="E770" s="243"/>
      <c r="F770" s="244" t="s">
        <v>1085</v>
      </c>
      <c r="G770" s="241">
        <f t="shared" si="11"/>
        <v>759</v>
      </c>
    </row>
    <row r="771" spans="2:7" x14ac:dyDescent="0.25">
      <c r="B771" s="242"/>
      <c r="C771" s="243"/>
      <c r="D771" s="243"/>
      <c r="E771" s="243">
        <v>35221</v>
      </c>
      <c r="F771" s="244" t="s">
        <v>1084</v>
      </c>
      <c r="G771" s="241">
        <f t="shared" si="11"/>
        <v>760</v>
      </c>
    </row>
    <row r="772" spans="2:7" x14ac:dyDescent="0.25">
      <c r="B772" s="242"/>
      <c r="C772" s="243"/>
      <c r="D772" s="243"/>
      <c r="E772" s="243">
        <v>35222</v>
      </c>
      <c r="F772" s="244" t="s">
        <v>1083</v>
      </c>
      <c r="G772" s="241">
        <f t="shared" si="11"/>
        <v>761</v>
      </c>
    </row>
    <row r="773" spans="2:7" x14ac:dyDescent="0.25">
      <c r="B773" s="242"/>
      <c r="C773" s="243"/>
      <c r="D773" s="243"/>
      <c r="E773" s="243">
        <v>35223</v>
      </c>
      <c r="F773" s="244" t="s">
        <v>1427</v>
      </c>
      <c r="G773" s="241">
        <f t="shared" si="11"/>
        <v>762</v>
      </c>
    </row>
    <row r="774" spans="2:7" x14ac:dyDescent="0.25">
      <c r="B774" s="242"/>
      <c r="C774" s="243">
        <v>359</v>
      </c>
      <c r="D774" s="243"/>
      <c r="E774" s="243"/>
      <c r="F774" s="244" t="s">
        <v>1082</v>
      </c>
      <c r="G774" s="241">
        <f t="shared" si="11"/>
        <v>763</v>
      </c>
    </row>
    <row r="775" spans="2:7" x14ac:dyDescent="0.25">
      <c r="B775" s="242"/>
      <c r="C775" s="243"/>
      <c r="D775" s="243">
        <v>3599</v>
      </c>
      <c r="E775" s="243"/>
      <c r="F775" s="244" t="s">
        <v>1065</v>
      </c>
      <c r="G775" s="241">
        <f t="shared" si="11"/>
        <v>764</v>
      </c>
    </row>
    <row r="776" spans="2:7" x14ac:dyDescent="0.25">
      <c r="B776" s="242">
        <v>36</v>
      </c>
      <c r="C776" s="243"/>
      <c r="D776" s="243"/>
      <c r="E776" s="243"/>
      <c r="F776" s="244" t="s">
        <v>1081</v>
      </c>
      <c r="G776" s="241">
        <f t="shared" si="11"/>
        <v>765</v>
      </c>
    </row>
    <row r="777" spans="2:7" x14ac:dyDescent="0.25">
      <c r="B777" s="242"/>
      <c r="C777" s="243">
        <v>361</v>
      </c>
      <c r="D777" s="243"/>
      <c r="E777" s="243"/>
      <c r="F777" s="244" t="s">
        <v>755</v>
      </c>
      <c r="G777" s="241">
        <f t="shared" si="11"/>
        <v>766</v>
      </c>
    </row>
    <row r="778" spans="2:7" x14ac:dyDescent="0.25">
      <c r="B778" s="242"/>
      <c r="C778" s="243"/>
      <c r="D778" s="243">
        <v>3611</v>
      </c>
      <c r="E778" s="243"/>
      <c r="F778" s="244" t="s">
        <v>658</v>
      </c>
      <c r="G778" s="241">
        <f t="shared" si="11"/>
        <v>767</v>
      </c>
    </row>
    <row r="779" spans="2:7" x14ac:dyDescent="0.25">
      <c r="B779" s="242"/>
      <c r="C779" s="243"/>
      <c r="D779" s="243">
        <v>3612</v>
      </c>
      <c r="E779" s="243"/>
      <c r="F779" s="244" t="s">
        <v>657</v>
      </c>
      <c r="G779" s="241">
        <f t="shared" si="11"/>
        <v>768</v>
      </c>
    </row>
    <row r="780" spans="2:7" x14ac:dyDescent="0.25">
      <c r="B780" s="242"/>
      <c r="C780" s="243"/>
      <c r="D780" s="243"/>
      <c r="E780" s="243">
        <v>36121</v>
      </c>
      <c r="F780" s="244" t="s">
        <v>1428</v>
      </c>
      <c r="G780" s="241">
        <f t="shared" si="11"/>
        <v>769</v>
      </c>
    </row>
    <row r="781" spans="2:7" x14ac:dyDescent="0.25">
      <c r="B781" s="242"/>
      <c r="C781" s="243"/>
      <c r="D781" s="243"/>
      <c r="E781" s="243">
        <v>36122</v>
      </c>
      <c r="F781" s="244" t="s">
        <v>770</v>
      </c>
      <c r="G781" s="241">
        <f t="shared" ref="G781:G844" si="12">G780+1</f>
        <v>770</v>
      </c>
    </row>
    <row r="782" spans="2:7" x14ac:dyDescent="0.25">
      <c r="B782" s="242"/>
      <c r="C782" s="243">
        <v>363</v>
      </c>
      <c r="D782" s="243"/>
      <c r="E782" s="243"/>
      <c r="F782" s="244" t="s">
        <v>754</v>
      </c>
      <c r="G782" s="241">
        <f t="shared" si="12"/>
        <v>771</v>
      </c>
    </row>
    <row r="783" spans="2:7" x14ac:dyDescent="0.25">
      <c r="B783" s="242"/>
      <c r="C783" s="243"/>
      <c r="D783" s="243">
        <v>3631</v>
      </c>
      <c r="E783" s="243"/>
      <c r="F783" s="244" t="s">
        <v>658</v>
      </c>
      <c r="G783" s="241">
        <f t="shared" si="12"/>
        <v>772</v>
      </c>
    </row>
    <row r="784" spans="2:7" x14ac:dyDescent="0.25">
      <c r="B784" s="242"/>
      <c r="C784" s="243"/>
      <c r="D784" s="243">
        <v>3632</v>
      </c>
      <c r="E784" s="243"/>
      <c r="F784" s="244" t="s">
        <v>657</v>
      </c>
      <c r="G784" s="241">
        <f t="shared" si="12"/>
        <v>773</v>
      </c>
    </row>
    <row r="785" spans="2:7" x14ac:dyDescent="0.25">
      <c r="B785" s="242"/>
      <c r="C785" s="243"/>
      <c r="D785" s="243"/>
      <c r="E785" s="243">
        <v>36321</v>
      </c>
      <c r="F785" s="244" t="s">
        <v>1429</v>
      </c>
      <c r="G785" s="241">
        <f t="shared" si="12"/>
        <v>774</v>
      </c>
    </row>
    <row r="786" spans="2:7" x14ac:dyDescent="0.25">
      <c r="B786" s="242"/>
      <c r="C786" s="243"/>
      <c r="D786" s="243"/>
      <c r="E786" s="243">
        <v>36322</v>
      </c>
      <c r="F786" s="244" t="s">
        <v>770</v>
      </c>
      <c r="G786" s="241">
        <f t="shared" si="12"/>
        <v>775</v>
      </c>
    </row>
    <row r="787" spans="2:7" x14ac:dyDescent="0.25">
      <c r="B787" s="242"/>
      <c r="C787" s="243"/>
      <c r="D787" s="243">
        <v>3633</v>
      </c>
      <c r="E787" s="243"/>
      <c r="F787" s="244" t="s">
        <v>656</v>
      </c>
      <c r="G787" s="241">
        <f t="shared" si="12"/>
        <v>776</v>
      </c>
    </row>
    <row r="788" spans="2:7" x14ac:dyDescent="0.25">
      <c r="B788" s="242"/>
      <c r="C788" s="243"/>
      <c r="D788" s="243"/>
      <c r="E788" s="243">
        <v>36331</v>
      </c>
      <c r="F788" s="244" t="s">
        <v>1336</v>
      </c>
      <c r="G788" s="241">
        <f t="shared" si="12"/>
        <v>777</v>
      </c>
    </row>
    <row r="789" spans="2:7" x14ac:dyDescent="0.25">
      <c r="B789" s="242"/>
      <c r="C789" s="243"/>
      <c r="D789" s="243"/>
      <c r="E789" s="243">
        <v>36332</v>
      </c>
      <c r="F789" s="244" t="s">
        <v>1080</v>
      </c>
      <c r="G789" s="241">
        <f t="shared" si="12"/>
        <v>778</v>
      </c>
    </row>
    <row r="790" spans="2:7" x14ac:dyDescent="0.25">
      <c r="B790" s="242"/>
      <c r="C790" s="243"/>
      <c r="D790" s="243">
        <v>3634</v>
      </c>
      <c r="E790" s="243"/>
      <c r="F790" s="244" t="s">
        <v>1055</v>
      </c>
      <c r="G790" s="241">
        <f t="shared" si="12"/>
        <v>779</v>
      </c>
    </row>
    <row r="791" spans="2:7" x14ac:dyDescent="0.25">
      <c r="B791" s="242"/>
      <c r="C791" s="243"/>
      <c r="D791" s="243">
        <v>3635</v>
      </c>
      <c r="E791" s="243"/>
      <c r="F791" s="244" t="s">
        <v>688</v>
      </c>
      <c r="G791" s="241">
        <f t="shared" si="12"/>
        <v>780</v>
      </c>
    </row>
    <row r="792" spans="2:7" x14ac:dyDescent="0.25">
      <c r="B792" s="242"/>
      <c r="C792" s="243"/>
      <c r="D792" s="243">
        <v>3636</v>
      </c>
      <c r="E792" s="243"/>
      <c r="F792" s="244" t="s">
        <v>654</v>
      </c>
      <c r="G792" s="241">
        <f t="shared" si="12"/>
        <v>781</v>
      </c>
    </row>
    <row r="793" spans="2:7" x14ac:dyDescent="0.25">
      <c r="B793" s="242"/>
      <c r="C793" s="243"/>
      <c r="D793" s="243">
        <v>3637</v>
      </c>
      <c r="E793" s="243"/>
      <c r="F793" s="244" t="s">
        <v>753</v>
      </c>
      <c r="G793" s="241">
        <f t="shared" si="12"/>
        <v>782</v>
      </c>
    </row>
    <row r="794" spans="2:7" x14ac:dyDescent="0.25">
      <c r="B794" s="242"/>
      <c r="C794" s="243">
        <v>364</v>
      </c>
      <c r="D794" s="243"/>
      <c r="E794" s="243"/>
      <c r="F794" s="244" t="s">
        <v>752</v>
      </c>
      <c r="G794" s="241">
        <f t="shared" si="12"/>
        <v>783</v>
      </c>
    </row>
    <row r="795" spans="2:7" x14ac:dyDescent="0.25">
      <c r="B795" s="242"/>
      <c r="C795" s="243"/>
      <c r="D795" s="243">
        <v>3641</v>
      </c>
      <c r="E795" s="243"/>
      <c r="F795" s="244" t="s">
        <v>751</v>
      </c>
      <c r="G795" s="241">
        <f t="shared" si="12"/>
        <v>784</v>
      </c>
    </row>
    <row r="796" spans="2:7" x14ac:dyDescent="0.25">
      <c r="B796" s="242"/>
      <c r="C796" s="243"/>
      <c r="D796" s="243">
        <v>3642</v>
      </c>
      <c r="E796" s="243"/>
      <c r="F796" s="244" t="s">
        <v>750</v>
      </c>
      <c r="G796" s="241">
        <f t="shared" si="12"/>
        <v>785</v>
      </c>
    </row>
    <row r="797" spans="2:7" x14ac:dyDescent="0.25">
      <c r="B797" s="242"/>
      <c r="C797" s="243"/>
      <c r="D797" s="243">
        <v>3643</v>
      </c>
      <c r="E797" s="243"/>
      <c r="F797" s="244" t="s">
        <v>684</v>
      </c>
      <c r="G797" s="241">
        <f t="shared" si="12"/>
        <v>786</v>
      </c>
    </row>
    <row r="798" spans="2:7" x14ac:dyDescent="0.25">
      <c r="B798" s="242"/>
      <c r="C798" s="243"/>
      <c r="D798" s="243">
        <v>3644</v>
      </c>
      <c r="E798" s="243"/>
      <c r="F798" s="244" t="s">
        <v>683</v>
      </c>
      <c r="G798" s="241">
        <f t="shared" si="12"/>
        <v>787</v>
      </c>
    </row>
    <row r="799" spans="2:7" x14ac:dyDescent="0.25">
      <c r="B799" s="242"/>
      <c r="C799" s="243"/>
      <c r="D799" s="243"/>
      <c r="E799" s="243">
        <v>36441</v>
      </c>
      <c r="F799" s="244" t="s">
        <v>1380</v>
      </c>
      <c r="G799" s="241">
        <f t="shared" si="12"/>
        <v>788</v>
      </c>
    </row>
    <row r="800" spans="2:7" x14ac:dyDescent="0.25">
      <c r="B800" s="242"/>
      <c r="C800" s="243"/>
      <c r="D800" s="243"/>
      <c r="E800" s="243">
        <v>36442</v>
      </c>
      <c r="F800" s="244" t="s">
        <v>1430</v>
      </c>
      <c r="G800" s="241">
        <f t="shared" si="12"/>
        <v>789</v>
      </c>
    </row>
    <row r="801" spans="2:7" x14ac:dyDescent="0.25">
      <c r="B801" s="242"/>
      <c r="C801" s="243"/>
      <c r="D801" s="243">
        <v>3645</v>
      </c>
      <c r="E801" s="243"/>
      <c r="F801" s="244" t="s">
        <v>682</v>
      </c>
      <c r="G801" s="241">
        <f t="shared" si="12"/>
        <v>790</v>
      </c>
    </row>
    <row r="802" spans="2:7" x14ac:dyDescent="0.25">
      <c r="B802" s="242"/>
      <c r="C802" s="243"/>
      <c r="D802" s="243">
        <v>3547</v>
      </c>
      <c r="E802" s="243"/>
      <c r="F802" s="244" t="s">
        <v>1090</v>
      </c>
      <c r="G802" s="241">
        <f t="shared" si="12"/>
        <v>791</v>
      </c>
    </row>
    <row r="803" spans="2:7" x14ac:dyDescent="0.25">
      <c r="B803" s="242"/>
      <c r="C803" s="243"/>
      <c r="D803" s="243">
        <v>3649</v>
      </c>
      <c r="E803" s="243"/>
      <c r="F803" s="244" t="s">
        <v>749</v>
      </c>
      <c r="G803" s="241">
        <f t="shared" si="12"/>
        <v>792</v>
      </c>
    </row>
    <row r="804" spans="2:7" x14ac:dyDescent="0.25">
      <c r="B804" s="242"/>
      <c r="C804" s="243">
        <v>365</v>
      </c>
      <c r="D804" s="243"/>
      <c r="E804" s="243"/>
      <c r="F804" s="244" t="s">
        <v>1431</v>
      </c>
      <c r="G804" s="241">
        <f t="shared" si="12"/>
        <v>793</v>
      </c>
    </row>
    <row r="805" spans="2:7" x14ac:dyDescent="0.25">
      <c r="B805" s="242"/>
      <c r="C805" s="243"/>
      <c r="D805" s="243">
        <v>3651</v>
      </c>
      <c r="E805" s="243"/>
      <c r="F805" s="244" t="s">
        <v>1079</v>
      </c>
      <c r="G805" s="241">
        <f t="shared" si="12"/>
        <v>794</v>
      </c>
    </row>
    <row r="806" spans="2:7" x14ac:dyDescent="0.25">
      <c r="B806" s="242"/>
      <c r="C806" s="243"/>
      <c r="D806" s="243"/>
      <c r="E806" s="243">
        <v>36511</v>
      </c>
      <c r="F806" s="244" t="s">
        <v>1052</v>
      </c>
      <c r="G806" s="241">
        <f t="shared" si="12"/>
        <v>795</v>
      </c>
    </row>
    <row r="807" spans="2:7" x14ac:dyDescent="0.25">
      <c r="B807" s="242"/>
      <c r="C807" s="243"/>
      <c r="D807" s="243"/>
      <c r="E807" s="243">
        <v>36512</v>
      </c>
      <c r="F807" s="244" t="s">
        <v>1051</v>
      </c>
      <c r="G807" s="241">
        <f t="shared" si="12"/>
        <v>796</v>
      </c>
    </row>
    <row r="808" spans="2:7" x14ac:dyDescent="0.25">
      <c r="B808" s="242"/>
      <c r="C808" s="243"/>
      <c r="D808" s="243">
        <v>3652</v>
      </c>
      <c r="E808" s="243"/>
      <c r="F808" s="244" t="s">
        <v>1078</v>
      </c>
      <c r="G808" s="241">
        <f t="shared" si="12"/>
        <v>797</v>
      </c>
    </row>
    <row r="809" spans="2:7" x14ac:dyDescent="0.25">
      <c r="B809" s="242"/>
      <c r="C809" s="243"/>
      <c r="D809" s="243"/>
      <c r="E809" s="243">
        <v>36521</v>
      </c>
      <c r="F809" s="244" t="s">
        <v>1077</v>
      </c>
      <c r="G809" s="241">
        <f t="shared" si="12"/>
        <v>798</v>
      </c>
    </row>
    <row r="810" spans="2:7" x14ac:dyDescent="0.25">
      <c r="B810" s="242"/>
      <c r="C810" s="243"/>
      <c r="D810" s="243"/>
      <c r="E810" s="243">
        <v>36522</v>
      </c>
      <c r="F810" s="244" t="s">
        <v>1076</v>
      </c>
      <c r="G810" s="241">
        <f t="shared" si="12"/>
        <v>799</v>
      </c>
    </row>
    <row r="811" spans="2:7" x14ac:dyDescent="0.25">
      <c r="B811" s="242"/>
      <c r="C811" s="243">
        <v>366</v>
      </c>
      <c r="D811" s="243"/>
      <c r="E811" s="243"/>
      <c r="F811" s="244" t="s">
        <v>1145</v>
      </c>
      <c r="G811" s="241">
        <f t="shared" si="12"/>
        <v>800</v>
      </c>
    </row>
    <row r="812" spans="2:7" x14ac:dyDescent="0.25">
      <c r="B812" s="242"/>
      <c r="C812" s="243"/>
      <c r="D812" s="243">
        <v>3661</v>
      </c>
      <c r="E812" s="243"/>
      <c r="F812" s="244" t="s">
        <v>1432</v>
      </c>
      <c r="G812" s="241">
        <f t="shared" si="12"/>
        <v>801</v>
      </c>
    </row>
    <row r="813" spans="2:7" x14ac:dyDescent="0.25">
      <c r="B813" s="242"/>
      <c r="C813" s="243"/>
      <c r="D813" s="243">
        <v>3662</v>
      </c>
      <c r="E813" s="243"/>
      <c r="F813" s="244" t="s">
        <v>1433</v>
      </c>
      <c r="G813" s="241">
        <f t="shared" si="12"/>
        <v>802</v>
      </c>
    </row>
    <row r="814" spans="2:7" x14ac:dyDescent="0.25">
      <c r="B814" s="242">
        <v>37</v>
      </c>
      <c r="C814" s="243"/>
      <c r="D814" s="243"/>
      <c r="E814" s="243"/>
      <c r="F814" s="244" t="s">
        <v>1075</v>
      </c>
      <c r="G814" s="241">
        <f t="shared" si="12"/>
        <v>803</v>
      </c>
    </row>
    <row r="815" spans="2:7" x14ac:dyDescent="0.25">
      <c r="B815" s="242"/>
      <c r="C815" s="243">
        <v>371</v>
      </c>
      <c r="D815" s="243"/>
      <c r="E815" s="243"/>
      <c r="F815" s="244" t="s">
        <v>929</v>
      </c>
      <c r="G815" s="241">
        <f t="shared" si="12"/>
        <v>804</v>
      </c>
    </row>
    <row r="816" spans="2:7" x14ac:dyDescent="0.25">
      <c r="B816" s="242"/>
      <c r="C816" s="243"/>
      <c r="D816" s="243">
        <v>3711</v>
      </c>
      <c r="E816" s="243"/>
      <c r="F816" s="244" t="s">
        <v>1434</v>
      </c>
      <c r="G816" s="241">
        <f t="shared" si="12"/>
        <v>805</v>
      </c>
    </row>
    <row r="817" spans="2:7" x14ac:dyDescent="0.25">
      <c r="B817" s="242"/>
      <c r="C817" s="243"/>
      <c r="D817" s="243">
        <v>3712</v>
      </c>
      <c r="E817" s="243"/>
      <c r="F817" s="244" t="s">
        <v>1435</v>
      </c>
      <c r="G817" s="241">
        <f t="shared" si="12"/>
        <v>806</v>
      </c>
    </row>
    <row r="818" spans="2:7" x14ac:dyDescent="0.25">
      <c r="B818" s="242"/>
      <c r="C818" s="243">
        <v>372</v>
      </c>
      <c r="D818" s="243"/>
      <c r="E818" s="243"/>
      <c r="F818" s="244" t="s">
        <v>926</v>
      </c>
      <c r="G818" s="241">
        <f t="shared" si="12"/>
        <v>807</v>
      </c>
    </row>
    <row r="819" spans="2:7" x14ac:dyDescent="0.25">
      <c r="B819" s="242"/>
      <c r="C819" s="243"/>
      <c r="D819" s="243">
        <v>3721</v>
      </c>
      <c r="E819" s="243"/>
      <c r="F819" s="244" t="s">
        <v>925</v>
      </c>
      <c r="G819" s="241">
        <f t="shared" si="12"/>
        <v>808</v>
      </c>
    </row>
    <row r="820" spans="2:7" x14ac:dyDescent="0.25">
      <c r="B820" s="242"/>
      <c r="C820" s="243"/>
      <c r="D820" s="243">
        <v>3722</v>
      </c>
      <c r="E820" s="243"/>
      <c r="F820" s="244" t="s">
        <v>924</v>
      </c>
      <c r="G820" s="241">
        <f t="shared" si="12"/>
        <v>809</v>
      </c>
    </row>
    <row r="821" spans="2:7" x14ac:dyDescent="0.25">
      <c r="B821" s="242"/>
      <c r="C821" s="243">
        <v>373</v>
      </c>
      <c r="D821" s="243"/>
      <c r="E821" s="243"/>
      <c r="F821" s="244" t="s">
        <v>923</v>
      </c>
      <c r="G821" s="241">
        <f t="shared" si="12"/>
        <v>810</v>
      </c>
    </row>
    <row r="822" spans="2:7" x14ac:dyDescent="0.25">
      <c r="B822" s="242"/>
      <c r="C822" s="243"/>
      <c r="D822" s="243">
        <v>3731</v>
      </c>
      <c r="E822" s="243"/>
      <c r="F822" s="244" t="s">
        <v>922</v>
      </c>
      <c r="G822" s="241">
        <f t="shared" si="12"/>
        <v>811</v>
      </c>
    </row>
    <row r="823" spans="2:7" x14ac:dyDescent="0.25">
      <c r="B823" s="242"/>
      <c r="C823" s="243"/>
      <c r="D823" s="243">
        <v>3732</v>
      </c>
      <c r="E823" s="243"/>
      <c r="F823" s="244" t="s">
        <v>921</v>
      </c>
      <c r="G823" s="241">
        <f t="shared" si="12"/>
        <v>812</v>
      </c>
    </row>
    <row r="824" spans="2:7" x14ac:dyDescent="0.25">
      <c r="B824" s="242">
        <v>38</v>
      </c>
      <c r="C824" s="243"/>
      <c r="D824" s="243"/>
      <c r="E824" s="243"/>
      <c r="F824" s="244" t="s">
        <v>1074</v>
      </c>
      <c r="G824" s="241">
        <f t="shared" si="12"/>
        <v>813</v>
      </c>
    </row>
    <row r="825" spans="2:7" x14ac:dyDescent="0.25">
      <c r="B825" s="242"/>
      <c r="C825" s="243">
        <v>381</v>
      </c>
      <c r="D825" s="243"/>
      <c r="E825" s="243"/>
      <c r="F825" s="244" t="s">
        <v>1073</v>
      </c>
      <c r="G825" s="241">
        <f t="shared" si="12"/>
        <v>814</v>
      </c>
    </row>
    <row r="826" spans="2:7" x14ac:dyDescent="0.25">
      <c r="B826" s="242"/>
      <c r="C826" s="243"/>
      <c r="D826" s="243">
        <v>3811</v>
      </c>
      <c r="E826" s="243"/>
      <c r="F826" s="244" t="s">
        <v>1072</v>
      </c>
      <c r="G826" s="241">
        <f t="shared" si="12"/>
        <v>815</v>
      </c>
    </row>
    <row r="827" spans="2:7" x14ac:dyDescent="0.25">
      <c r="B827" s="242"/>
      <c r="C827" s="243"/>
      <c r="D827" s="243">
        <v>3812</v>
      </c>
      <c r="E827" s="243"/>
      <c r="F827" s="244" t="s">
        <v>1071</v>
      </c>
      <c r="G827" s="241">
        <f t="shared" si="12"/>
        <v>816</v>
      </c>
    </row>
    <row r="828" spans="2:7" x14ac:dyDescent="0.25">
      <c r="B828" s="242"/>
      <c r="C828" s="243"/>
      <c r="D828" s="243">
        <v>3813</v>
      </c>
      <c r="E828" s="243"/>
      <c r="F828" s="244" t="s">
        <v>1070</v>
      </c>
      <c r="G828" s="241">
        <f t="shared" si="12"/>
        <v>817</v>
      </c>
    </row>
    <row r="829" spans="2:7" x14ac:dyDescent="0.25">
      <c r="B829" s="242"/>
      <c r="C829" s="243">
        <v>382</v>
      </c>
      <c r="D829" s="243"/>
      <c r="E829" s="243"/>
      <c r="F829" s="244" t="s">
        <v>1069</v>
      </c>
      <c r="G829" s="241">
        <f t="shared" si="12"/>
        <v>818</v>
      </c>
    </row>
    <row r="830" spans="2:7" x14ac:dyDescent="0.25">
      <c r="B830" s="242"/>
      <c r="C830" s="243"/>
      <c r="D830" s="243">
        <v>3821</v>
      </c>
      <c r="E830" s="243"/>
      <c r="F830" s="244" t="s">
        <v>1068</v>
      </c>
      <c r="G830" s="241">
        <f t="shared" si="12"/>
        <v>819</v>
      </c>
    </row>
    <row r="831" spans="2:7" x14ac:dyDescent="0.25">
      <c r="B831" s="242"/>
      <c r="C831" s="243"/>
      <c r="D831" s="243">
        <v>3822</v>
      </c>
      <c r="E831" s="243"/>
      <c r="F831" s="244" t="s">
        <v>1067</v>
      </c>
      <c r="G831" s="241">
        <f t="shared" si="12"/>
        <v>820</v>
      </c>
    </row>
    <row r="832" spans="2:7" x14ac:dyDescent="0.25">
      <c r="B832" s="242"/>
      <c r="C832" s="243"/>
      <c r="D832" s="243">
        <v>3823</v>
      </c>
      <c r="E832" s="243"/>
      <c r="F832" s="244" t="s">
        <v>1066</v>
      </c>
      <c r="G832" s="241">
        <f t="shared" si="12"/>
        <v>821</v>
      </c>
    </row>
    <row r="833" spans="2:7" x14ac:dyDescent="0.25">
      <c r="B833" s="242"/>
      <c r="C833" s="243">
        <v>389</v>
      </c>
      <c r="D833" s="243"/>
      <c r="E833" s="243"/>
      <c r="F833" s="244" t="s">
        <v>367</v>
      </c>
      <c r="G833" s="241">
        <f t="shared" si="12"/>
        <v>822</v>
      </c>
    </row>
    <row r="834" spans="2:7" x14ac:dyDescent="0.25">
      <c r="B834" s="242"/>
      <c r="C834" s="243"/>
      <c r="D834" s="243">
        <v>3899</v>
      </c>
      <c r="E834" s="243"/>
      <c r="F834" s="244" t="s">
        <v>1065</v>
      </c>
      <c r="G834" s="241">
        <f t="shared" si="12"/>
        <v>823</v>
      </c>
    </row>
    <row r="835" spans="2:7" x14ac:dyDescent="0.25">
      <c r="B835" s="242">
        <v>39</v>
      </c>
      <c r="C835" s="243"/>
      <c r="D835" s="243"/>
      <c r="E835" s="243"/>
      <c r="F835" s="244" t="s">
        <v>1064</v>
      </c>
      <c r="G835" s="241">
        <f t="shared" si="12"/>
        <v>824</v>
      </c>
    </row>
    <row r="836" spans="2:7" x14ac:dyDescent="0.25">
      <c r="B836" s="242"/>
      <c r="C836" s="243">
        <v>391</v>
      </c>
      <c r="D836" s="243"/>
      <c r="E836" s="243"/>
      <c r="F836" s="244" t="s">
        <v>1063</v>
      </c>
      <c r="G836" s="241">
        <f t="shared" si="12"/>
        <v>825</v>
      </c>
    </row>
    <row r="837" spans="2:7" x14ac:dyDescent="0.25">
      <c r="B837" s="242"/>
      <c r="C837" s="243"/>
      <c r="D837" s="243">
        <v>3911</v>
      </c>
      <c r="E837" s="243"/>
      <c r="F837" s="244" t="s">
        <v>641</v>
      </c>
      <c r="G837" s="241">
        <f t="shared" si="12"/>
        <v>826</v>
      </c>
    </row>
    <row r="838" spans="2:7" x14ac:dyDescent="0.25">
      <c r="B838" s="242"/>
      <c r="C838" s="243"/>
      <c r="D838" s="243"/>
      <c r="E838" s="243">
        <v>39111</v>
      </c>
      <c r="F838" s="244" t="s">
        <v>1062</v>
      </c>
      <c r="G838" s="241">
        <f t="shared" si="12"/>
        <v>827</v>
      </c>
    </row>
    <row r="839" spans="2:7" x14ac:dyDescent="0.25">
      <c r="B839" s="242"/>
      <c r="C839" s="243"/>
      <c r="D839" s="243"/>
      <c r="E839" s="243">
        <v>39112</v>
      </c>
      <c r="F839" s="244" t="s">
        <v>771</v>
      </c>
      <c r="G839" s="241">
        <f t="shared" si="12"/>
        <v>828</v>
      </c>
    </row>
    <row r="840" spans="2:7" x14ac:dyDescent="0.25">
      <c r="B840" s="242"/>
      <c r="C840" s="243"/>
      <c r="D840" s="243"/>
      <c r="E840" s="243">
        <v>39113</v>
      </c>
      <c r="F840" s="244" t="s">
        <v>770</v>
      </c>
      <c r="G840" s="241">
        <f t="shared" si="12"/>
        <v>829</v>
      </c>
    </row>
    <row r="841" spans="2:7" x14ac:dyDescent="0.25">
      <c r="B841" s="242"/>
      <c r="C841" s="243"/>
      <c r="D841" s="243">
        <v>3912</v>
      </c>
      <c r="E841" s="243"/>
      <c r="F841" s="244" t="s">
        <v>648</v>
      </c>
      <c r="G841" s="241">
        <f t="shared" si="12"/>
        <v>830</v>
      </c>
    </row>
    <row r="842" spans="2:7" x14ac:dyDescent="0.25">
      <c r="B842" s="242"/>
      <c r="C842" s="243"/>
      <c r="D842" s="243"/>
      <c r="E842" s="243">
        <v>39121</v>
      </c>
      <c r="F842" s="244" t="s">
        <v>1061</v>
      </c>
      <c r="G842" s="241">
        <f t="shared" si="12"/>
        <v>831</v>
      </c>
    </row>
    <row r="843" spans="2:7" x14ac:dyDescent="0.25">
      <c r="B843" s="242"/>
      <c r="C843" s="243"/>
      <c r="D843" s="243"/>
      <c r="E843" s="243">
        <v>39122</v>
      </c>
      <c r="F843" s="244" t="s">
        <v>1060</v>
      </c>
      <c r="G843" s="241">
        <f t="shared" si="12"/>
        <v>832</v>
      </c>
    </row>
    <row r="844" spans="2:7" x14ac:dyDescent="0.25">
      <c r="B844" s="242"/>
      <c r="C844" s="243"/>
      <c r="D844" s="243"/>
      <c r="E844" s="243">
        <v>39123</v>
      </c>
      <c r="F844" s="244" t="s">
        <v>1059</v>
      </c>
      <c r="G844" s="241">
        <f t="shared" si="12"/>
        <v>833</v>
      </c>
    </row>
    <row r="845" spans="2:7" x14ac:dyDescent="0.25">
      <c r="B845" s="242"/>
      <c r="C845" s="243"/>
      <c r="D845" s="243"/>
      <c r="E845" s="243">
        <v>39124</v>
      </c>
      <c r="F845" s="244" t="s">
        <v>1058</v>
      </c>
      <c r="G845" s="241">
        <f t="shared" ref="G845:G908" si="13">G844+1</f>
        <v>834</v>
      </c>
    </row>
    <row r="846" spans="2:7" x14ac:dyDescent="0.25">
      <c r="B846" s="242"/>
      <c r="C846" s="243"/>
      <c r="D846" s="243"/>
      <c r="E846" s="243">
        <v>39126</v>
      </c>
      <c r="F846" s="244" t="s">
        <v>1057</v>
      </c>
      <c r="G846" s="241">
        <f t="shared" si="13"/>
        <v>835</v>
      </c>
    </row>
    <row r="847" spans="2:7" x14ac:dyDescent="0.25">
      <c r="B847" s="242"/>
      <c r="C847" s="243"/>
      <c r="D847" s="243">
        <v>3913</v>
      </c>
      <c r="E847" s="243"/>
      <c r="F847" s="244" t="s">
        <v>1056</v>
      </c>
      <c r="G847" s="241">
        <f t="shared" si="13"/>
        <v>836</v>
      </c>
    </row>
    <row r="848" spans="2:7" x14ac:dyDescent="0.25">
      <c r="B848" s="242"/>
      <c r="C848" s="243"/>
      <c r="D848" s="243"/>
      <c r="E848" s="243">
        <v>39131</v>
      </c>
      <c r="F848" s="244" t="s">
        <v>657</v>
      </c>
      <c r="G848" s="241">
        <f t="shared" si="13"/>
        <v>837</v>
      </c>
    </row>
    <row r="849" spans="2:7" x14ac:dyDescent="0.25">
      <c r="B849" s="242"/>
      <c r="C849" s="243"/>
      <c r="D849" s="243"/>
      <c r="E849" s="243">
        <v>39132</v>
      </c>
      <c r="F849" s="244" t="s">
        <v>656</v>
      </c>
      <c r="G849" s="241">
        <f t="shared" si="13"/>
        <v>838</v>
      </c>
    </row>
    <row r="850" spans="2:7" x14ac:dyDescent="0.25">
      <c r="B850" s="242"/>
      <c r="C850" s="243"/>
      <c r="D850" s="243"/>
      <c r="E850" s="243">
        <v>39133</v>
      </c>
      <c r="F850" s="244" t="s">
        <v>1055</v>
      </c>
      <c r="G850" s="241">
        <f t="shared" si="13"/>
        <v>839</v>
      </c>
    </row>
    <row r="851" spans="2:7" x14ac:dyDescent="0.25">
      <c r="B851" s="242"/>
      <c r="C851" s="243"/>
      <c r="D851" s="243"/>
      <c r="E851" s="243">
        <v>39134</v>
      </c>
      <c r="F851" s="244" t="s">
        <v>688</v>
      </c>
      <c r="G851" s="241">
        <f t="shared" si="13"/>
        <v>840</v>
      </c>
    </row>
    <row r="852" spans="2:7" x14ac:dyDescent="0.25">
      <c r="B852" s="242"/>
      <c r="C852" s="243"/>
      <c r="D852" s="243"/>
      <c r="E852" s="243">
        <v>39135</v>
      </c>
      <c r="F852" s="244" t="s">
        <v>654</v>
      </c>
      <c r="G852" s="241">
        <f t="shared" si="13"/>
        <v>841</v>
      </c>
    </row>
    <row r="853" spans="2:7" x14ac:dyDescent="0.25">
      <c r="B853" s="242"/>
      <c r="C853" s="243"/>
      <c r="D853" s="243"/>
      <c r="E853" s="243">
        <v>39136</v>
      </c>
      <c r="F853" s="244" t="s">
        <v>753</v>
      </c>
      <c r="G853" s="241">
        <f t="shared" si="13"/>
        <v>842</v>
      </c>
    </row>
    <row r="854" spans="2:7" x14ac:dyDescent="0.25">
      <c r="B854" s="242"/>
      <c r="C854" s="243"/>
      <c r="D854" s="243">
        <v>3914</v>
      </c>
      <c r="E854" s="243"/>
      <c r="F854" s="244" t="s">
        <v>1054</v>
      </c>
      <c r="G854" s="241">
        <f t="shared" si="13"/>
        <v>843</v>
      </c>
    </row>
    <row r="855" spans="2:7" x14ac:dyDescent="0.25">
      <c r="B855" s="242"/>
      <c r="C855" s="243"/>
      <c r="D855" s="243"/>
      <c r="E855" s="243">
        <v>39141</v>
      </c>
      <c r="F855" s="244" t="s">
        <v>657</v>
      </c>
      <c r="G855" s="241">
        <f t="shared" si="13"/>
        <v>844</v>
      </c>
    </row>
    <row r="856" spans="2:7" x14ac:dyDescent="0.25">
      <c r="B856" s="242"/>
      <c r="C856" s="243"/>
      <c r="D856" s="243"/>
      <c r="E856" s="243">
        <v>39142</v>
      </c>
      <c r="F856" s="244" t="s">
        <v>656</v>
      </c>
      <c r="G856" s="241">
        <f t="shared" si="13"/>
        <v>845</v>
      </c>
    </row>
    <row r="857" spans="2:7" x14ac:dyDescent="0.25">
      <c r="B857" s="242"/>
      <c r="C857" s="243"/>
      <c r="D857" s="243"/>
      <c r="E857" s="243">
        <v>39143</v>
      </c>
      <c r="F857" s="244" t="s">
        <v>655</v>
      </c>
      <c r="G857" s="241">
        <f t="shared" si="13"/>
        <v>846</v>
      </c>
    </row>
    <row r="858" spans="2:7" x14ac:dyDescent="0.25">
      <c r="B858" s="242"/>
      <c r="C858" s="243"/>
      <c r="D858" s="243"/>
      <c r="E858" s="243">
        <v>39144</v>
      </c>
      <c r="F858" s="244" t="s">
        <v>688</v>
      </c>
      <c r="G858" s="241">
        <f t="shared" si="13"/>
        <v>847</v>
      </c>
    </row>
    <row r="859" spans="2:7" x14ac:dyDescent="0.25">
      <c r="B859" s="242"/>
      <c r="C859" s="243"/>
      <c r="D859" s="243"/>
      <c r="E859" s="243">
        <v>39145</v>
      </c>
      <c r="F859" s="244" t="s">
        <v>654</v>
      </c>
      <c r="G859" s="241">
        <f t="shared" si="13"/>
        <v>848</v>
      </c>
    </row>
    <row r="860" spans="2:7" x14ac:dyDescent="0.25">
      <c r="B860" s="242"/>
      <c r="C860" s="243"/>
      <c r="D860" s="243"/>
      <c r="E860" s="243">
        <v>39146</v>
      </c>
      <c r="F860" s="244" t="s">
        <v>753</v>
      </c>
      <c r="G860" s="241">
        <f t="shared" si="13"/>
        <v>849</v>
      </c>
    </row>
    <row r="861" spans="2:7" x14ac:dyDescent="0.25">
      <c r="B861" s="242"/>
      <c r="C861" s="243"/>
      <c r="D861" s="243">
        <v>3915</v>
      </c>
      <c r="E861" s="243"/>
      <c r="F861" s="244" t="s">
        <v>1053</v>
      </c>
      <c r="G861" s="241">
        <f t="shared" si="13"/>
        <v>850</v>
      </c>
    </row>
    <row r="862" spans="2:7" x14ac:dyDescent="0.25">
      <c r="B862" s="242"/>
      <c r="C862" s="243"/>
      <c r="D862" s="243"/>
      <c r="E862" s="243">
        <v>39151</v>
      </c>
      <c r="F862" s="244" t="s">
        <v>657</v>
      </c>
      <c r="G862" s="241">
        <f t="shared" si="13"/>
        <v>851</v>
      </c>
    </row>
    <row r="863" spans="2:7" x14ac:dyDescent="0.25">
      <c r="B863" s="242"/>
      <c r="C863" s="243"/>
      <c r="D863" s="243"/>
      <c r="E863" s="243">
        <v>39152</v>
      </c>
      <c r="F863" s="244" t="s">
        <v>656</v>
      </c>
      <c r="G863" s="241">
        <f t="shared" si="13"/>
        <v>852</v>
      </c>
    </row>
    <row r="864" spans="2:7" x14ac:dyDescent="0.25">
      <c r="B864" s="242"/>
      <c r="C864" s="243"/>
      <c r="D864" s="243">
        <v>3916</v>
      </c>
      <c r="E864" s="243"/>
      <c r="F864" s="244" t="s">
        <v>1052</v>
      </c>
      <c r="G864" s="241">
        <f t="shared" si="13"/>
        <v>853</v>
      </c>
    </row>
    <row r="865" spans="2:7" x14ac:dyDescent="0.25">
      <c r="B865" s="242"/>
      <c r="C865" s="243"/>
      <c r="D865" s="243"/>
      <c r="E865" s="243">
        <v>39161</v>
      </c>
      <c r="F865" s="244" t="s">
        <v>673</v>
      </c>
      <c r="G865" s="241">
        <f t="shared" si="13"/>
        <v>854</v>
      </c>
    </row>
    <row r="866" spans="2:7" x14ac:dyDescent="0.25">
      <c r="B866" s="242"/>
      <c r="C866" s="243"/>
      <c r="D866" s="243"/>
      <c r="E866" s="243">
        <v>39162</v>
      </c>
      <c r="F866" s="244" t="s">
        <v>672</v>
      </c>
      <c r="G866" s="241">
        <f t="shared" si="13"/>
        <v>855</v>
      </c>
    </row>
    <row r="867" spans="2:7" x14ac:dyDescent="0.25">
      <c r="B867" s="242"/>
      <c r="C867" s="243"/>
      <c r="D867" s="243">
        <v>3917</v>
      </c>
      <c r="E867" s="243"/>
      <c r="F867" s="244" t="s">
        <v>1051</v>
      </c>
      <c r="G867" s="241">
        <f t="shared" si="13"/>
        <v>856</v>
      </c>
    </row>
    <row r="868" spans="2:7" x14ac:dyDescent="0.25">
      <c r="B868" s="242"/>
      <c r="C868" s="243"/>
      <c r="D868" s="243"/>
      <c r="E868" s="243">
        <v>39171</v>
      </c>
      <c r="F868" s="244" t="s">
        <v>673</v>
      </c>
      <c r="G868" s="241">
        <f t="shared" si="13"/>
        <v>857</v>
      </c>
    </row>
    <row r="869" spans="2:7" x14ac:dyDescent="0.25">
      <c r="B869" s="242"/>
      <c r="C869" s="243"/>
      <c r="D869" s="243"/>
      <c r="E869" s="243">
        <v>39172</v>
      </c>
      <c r="F869" s="244" t="s">
        <v>672</v>
      </c>
      <c r="G869" s="241">
        <f t="shared" si="13"/>
        <v>858</v>
      </c>
    </row>
    <row r="870" spans="2:7" x14ac:dyDescent="0.25">
      <c r="B870" s="242"/>
      <c r="C870" s="243">
        <v>392</v>
      </c>
      <c r="D870" s="243"/>
      <c r="E870" s="243"/>
      <c r="F870" s="244" t="s">
        <v>1050</v>
      </c>
      <c r="G870" s="241">
        <f t="shared" si="13"/>
        <v>859</v>
      </c>
    </row>
    <row r="871" spans="2:7" x14ac:dyDescent="0.25">
      <c r="B871" s="242"/>
      <c r="C871" s="243"/>
      <c r="D871" s="243">
        <v>3921</v>
      </c>
      <c r="E871" s="243"/>
      <c r="F871" s="244" t="s">
        <v>1049</v>
      </c>
      <c r="G871" s="241">
        <f t="shared" si="13"/>
        <v>860</v>
      </c>
    </row>
    <row r="872" spans="2:7" x14ac:dyDescent="0.25">
      <c r="B872" s="242"/>
      <c r="C872" s="243"/>
      <c r="D872" s="243"/>
      <c r="E872" s="243">
        <v>39211</v>
      </c>
      <c r="F872" s="244" t="s">
        <v>751</v>
      </c>
      <c r="G872" s="241">
        <f t="shared" si="13"/>
        <v>861</v>
      </c>
    </row>
    <row r="873" spans="2:7" x14ac:dyDescent="0.25">
      <c r="B873" s="242"/>
      <c r="C873" s="243"/>
      <c r="D873" s="243"/>
      <c r="E873" s="243">
        <v>39212</v>
      </c>
      <c r="F873" s="244" t="s">
        <v>750</v>
      </c>
      <c r="G873" s="241">
        <f t="shared" si="13"/>
        <v>862</v>
      </c>
    </row>
    <row r="874" spans="2:7" x14ac:dyDescent="0.25">
      <c r="B874" s="242"/>
      <c r="C874" s="243"/>
      <c r="D874" s="243"/>
      <c r="E874" s="243">
        <v>39213</v>
      </c>
      <c r="F874" s="244" t="s">
        <v>684</v>
      </c>
      <c r="G874" s="241">
        <f t="shared" si="13"/>
        <v>863</v>
      </c>
    </row>
    <row r="875" spans="2:7" x14ac:dyDescent="0.25">
      <c r="B875" s="242"/>
      <c r="C875" s="243"/>
      <c r="D875" s="243"/>
      <c r="E875" s="243">
        <v>39214</v>
      </c>
      <c r="F875" s="244" t="s">
        <v>683</v>
      </c>
      <c r="G875" s="241">
        <f t="shared" si="13"/>
        <v>864</v>
      </c>
    </row>
    <row r="876" spans="2:7" x14ac:dyDescent="0.25">
      <c r="B876" s="242"/>
      <c r="C876" s="243"/>
      <c r="D876" s="243"/>
      <c r="E876" s="243">
        <v>39215</v>
      </c>
      <c r="F876" s="244" t="s">
        <v>682</v>
      </c>
      <c r="G876" s="241">
        <f t="shared" si="13"/>
        <v>865</v>
      </c>
    </row>
    <row r="877" spans="2:7" x14ac:dyDescent="0.25">
      <c r="B877" s="242"/>
      <c r="C877" s="243"/>
      <c r="D877" s="243"/>
      <c r="E877" s="243">
        <v>39219</v>
      </c>
      <c r="F877" s="244" t="s">
        <v>749</v>
      </c>
      <c r="G877" s="241">
        <f t="shared" si="13"/>
        <v>866</v>
      </c>
    </row>
    <row r="878" spans="2:7" x14ac:dyDescent="0.25">
      <c r="B878" s="242"/>
      <c r="C878" s="243"/>
      <c r="D878" s="243">
        <v>3922</v>
      </c>
      <c r="E878" s="243"/>
      <c r="F878" s="244" t="s">
        <v>1048</v>
      </c>
      <c r="G878" s="241">
        <f t="shared" si="13"/>
        <v>867</v>
      </c>
    </row>
    <row r="879" spans="2:7" x14ac:dyDescent="0.25">
      <c r="B879" s="242"/>
      <c r="C879" s="243"/>
      <c r="D879" s="243"/>
      <c r="E879" s="243">
        <v>39221</v>
      </c>
      <c r="F879" s="244" t="s">
        <v>751</v>
      </c>
      <c r="G879" s="241">
        <f t="shared" si="13"/>
        <v>868</v>
      </c>
    </row>
    <row r="880" spans="2:7" x14ac:dyDescent="0.25">
      <c r="B880" s="242"/>
      <c r="C880" s="243"/>
      <c r="D880" s="243"/>
      <c r="E880" s="243">
        <v>39222</v>
      </c>
      <c r="F880" s="244" t="s">
        <v>750</v>
      </c>
      <c r="G880" s="241">
        <f t="shared" si="13"/>
        <v>869</v>
      </c>
    </row>
    <row r="881" spans="2:7" x14ac:dyDescent="0.25">
      <c r="B881" s="242"/>
      <c r="C881" s="243"/>
      <c r="D881" s="243"/>
      <c r="E881" s="243">
        <v>39223</v>
      </c>
      <c r="F881" s="244" t="s">
        <v>684</v>
      </c>
      <c r="G881" s="241">
        <f t="shared" si="13"/>
        <v>870</v>
      </c>
    </row>
    <row r="882" spans="2:7" x14ac:dyDescent="0.25">
      <c r="B882" s="242"/>
      <c r="C882" s="243"/>
      <c r="D882" s="243"/>
      <c r="E882" s="243">
        <v>39224</v>
      </c>
      <c r="F882" s="244" t="s">
        <v>683</v>
      </c>
      <c r="G882" s="241">
        <f t="shared" si="13"/>
        <v>871</v>
      </c>
    </row>
    <row r="883" spans="2:7" x14ac:dyDescent="0.25">
      <c r="B883" s="242"/>
      <c r="C883" s="243"/>
      <c r="D883" s="243"/>
      <c r="E883" s="243">
        <v>39225</v>
      </c>
      <c r="F883" s="244" t="s">
        <v>682</v>
      </c>
      <c r="G883" s="241">
        <f t="shared" si="13"/>
        <v>872</v>
      </c>
    </row>
    <row r="884" spans="2:7" x14ac:dyDescent="0.25">
      <c r="B884" s="242"/>
      <c r="C884" s="243"/>
      <c r="D884" s="243"/>
      <c r="E884" s="243">
        <v>39229</v>
      </c>
      <c r="F884" s="244" t="s">
        <v>749</v>
      </c>
      <c r="G884" s="241">
        <f t="shared" si="13"/>
        <v>873</v>
      </c>
    </row>
    <row r="885" spans="2:7" x14ac:dyDescent="0.25">
      <c r="B885" s="242"/>
      <c r="C885" s="243"/>
      <c r="D885" s="243">
        <v>3923</v>
      </c>
      <c r="E885" s="243"/>
      <c r="F885" s="244" t="s">
        <v>1436</v>
      </c>
      <c r="G885" s="241">
        <f t="shared" si="13"/>
        <v>874</v>
      </c>
    </row>
    <row r="886" spans="2:7" x14ac:dyDescent="0.25">
      <c r="B886" s="242"/>
      <c r="C886" s="243"/>
      <c r="D886" s="243"/>
      <c r="E886" s="243">
        <v>39234</v>
      </c>
      <c r="F886" s="244" t="s">
        <v>683</v>
      </c>
      <c r="G886" s="241">
        <f t="shared" si="13"/>
        <v>875</v>
      </c>
    </row>
    <row r="887" spans="2:7" x14ac:dyDescent="0.25">
      <c r="B887" s="242"/>
      <c r="C887" s="243">
        <v>393</v>
      </c>
      <c r="D887" s="243"/>
      <c r="E887" s="243"/>
      <c r="F887" s="244" t="s">
        <v>1047</v>
      </c>
      <c r="G887" s="241">
        <f t="shared" si="13"/>
        <v>876</v>
      </c>
    </row>
    <row r="888" spans="2:7" x14ac:dyDescent="0.25">
      <c r="B888" s="242"/>
      <c r="C888" s="243"/>
      <c r="D888" s="243">
        <v>3931</v>
      </c>
      <c r="E888" s="243"/>
      <c r="F888" s="244" t="s">
        <v>1046</v>
      </c>
      <c r="G888" s="241">
        <f t="shared" si="13"/>
        <v>877</v>
      </c>
    </row>
    <row r="889" spans="2:7" x14ac:dyDescent="0.25">
      <c r="B889" s="242">
        <v>40</v>
      </c>
      <c r="C889" s="243"/>
      <c r="D889" s="243"/>
      <c r="E889" s="243"/>
      <c r="F889" s="244" t="s">
        <v>1437</v>
      </c>
      <c r="G889" s="241">
        <f t="shared" si="13"/>
        <v>878</v>
      </c>
    </row>
    <row r="890" spans="2:7" x14ac:dyDescent="0.25">
      <c r="B890" s="242"/>
      <c r="C890" s="243">
        <v>401</v>
      </c>
      <c r="D890" s="243"/>
      <c r="E890" s="243"/>
      <c r="F890" s="244" t="s">
        <v>1045</v>
      </c>
      <c r="G890" s="241">
        <f t="shared" si="13"/>
        <v>879</v>
      </c>
    </row>
    <row r="891" spans="2:7" x14ac:dyDescent="0.25">
      <c r="B891" s="242"/>
      <c r="C891" s="243"/>
      <c r="D891" s="243">
        <v>4011</v>
      </c>
      <c r="E891" s="243"/>
      <c r="F891" s="244" t="s">
        <v>810</v>
      </c>
      <c r="G891" s="241">
        <f t="shared" si="13"/>
        <v>880</v>
      </c>
    </row>
    <row r="892" spans="2:7" x14ac:dyDescent="0.25">
      <c r="B892" s="242"/>
      <c r="C892" s="243"/>
      <c r="D892" s="243"/>
      <c r="E892" s="243">
        <v>40111</v>
      </c>
      <c r="F892" s="244" t="s">
        <v>1044</v>
      </c>
      <c r="G892" s="241">
        <f t="shared" si="13"/>
        <v>881</v>
      </c>
    </row>
    <row r="893" spans="2:7" x14ac:dyDescent="0.25">
      <c r="B893" s="242"/>
      <c r="C893" s="243"/>
      <c r="D893" s="243"/>
      <c r="E893" s="243">
        <v>40112</v>
      </c>
      <c r="F893" s="244" t="s">
        <v>1043</v>
      </c>
      <c r="G893" s="241">
        <f t="shared" si="13"/>
        <v>882</v>
      </c>
    </row>
    <row r="894" spans="2:7" x14ac:dyDescent="0.25">
      <c r="B894" s="242"/>
      <c r="C894" s="243"/>
      <c r="D894" s="243"/>
      <c r="E894" s="243">
        <v>40113</v>
      </c>
      <c r="F894" s="244" t="s">
        <v>1042</v>
      </c>
      <c r="G894" s="241">
        <f t="shared" si="13"/>
        <v>883</v>
      </c>
    </row>
    <row r="895" spans="2:7" x14ac:dyDescent="0.25">
      <c r="B895" s="242"/>
      <c r="C895" s="243"/>
      <c r="D895" s="243"/>
      <c r="E895" s="243">
        <v>40114</v>
      </c>
      <c r="F895" s="244" t="s">
        <v>1041</v>
      </c>
      <c r="G895" s="241">
        <f t="shared" si="13"/>
        <v>884</v>
      </c>
    </row>
    <row r="896" spans="2:7" x14ac:dyDescent="0.25">
      <c r="B896" s="242"/>
      <c r="C896" s="243"/>
      <c r="D896" s="243">
        <v>4012</v>
      </c>
      <c r="E896" s="243"/>
      <c r="F896" s="244" t="s">
        <v>1040</v>
      </c>
      <c r="G896" s="241">
        <f t="shared" si="13"/>
        <v>885</v>
      </c>
    </row>
    <row r="897" spans="2:7" x14ac:dyDescent="0.25">
      <c r="B897" s="242"/>
      <c r="C897" s="243"/>
      <c r="D897" s="243">
        <v>4015</v>
      </c>
      <c r="E897" s="243"/>
      <c r="F897" s="244" t="s">
        <v>597</v>
      </c>
      <c r="G897" s="241">
        <f t="shared" si="13"/>
        <v>886</v>
      </c>
    </row>
    <row r="898" spans="2:7" x14ac:dyDescent="0.25">
      <c r="B898" s="242"/>
      <c r="C898" s="243"/>
      <c r="D898" s="243"/>
      <c r="E898" s="243">
        <v>40151</v>
      </c>
      <c r="F898" s="244" t="s">
        <v>808</v>
      </c>
      <c r="G898" s="241">
        <f t="shared" si="13"/>
        <v>887</v>
      </c>
    </row>
    <row r="899" spans="2:7" x14ac:dyDescent="0.25">
      <c r="B899" s="242"/>
      <c r="C899" s="243"/>
      <c r="D899" s="243"/>
      <c r="E899" s="243">
        <v>40152</v>
      </c>
      <c r="F899" s="244" t="s">
        <v>807</v>
      </c>
      <c r="G899" s="241">
        <f t="shared" si="13"/>
        <v>888</v>
      </c>
    </row>
    <row r="900" spans="2:7" x14ac:dyDescent="0.25">
      <c r="B900" s="242"/>
      <c r="C900" s="243"/>
      <c r="D900" s="243">
        <v>4017</v>
      </c>
      <c r="E900" s="243"/>
      <c r="F900" s="244" t="s">
        <v>1039</v>
      </c>
      <c r="G900" s="241">
        <f t="shared" si="13"/>
        <v>889</v>
      </c>
    </row>
    <row r="901" spans="2:7" x14ac:dyDescent="0.25">
      <c r="B901" s="242"/>
      <c r="C901" s="243"/>
      <c r="D901" s="243"/>
      <c r="E901" s="243">
        <v>40171</v>
      </c>
      <c r="F901" s="244" t="s">
        <v>1038</v>
      </c>
      <c r="G901" s="241">
        <f t="shared" si="13"/>
        <v>890</v>
      </c>
    </row>
    <row r="902" spans="2:7" x14ac:dyDescent="0.25">
      <c r="B902" s="242"/>
      <c r="C902" s="243"/>
      <c r="D902" s="243"/>
      <c r="E902" s="243">
        <v>40172</v>
      </c>
      <c r="F902" s="244" t="s">
        <v>1037</v>
      </c>
      <c r="G902" s="241">
        <f t="shared" si="13"/>
        <v>891</v>
      </c>
    </row>
    <row r="903" spans="2:7" x14ac:dyDescent="0.25">
      <c r="B903" s="242"/>
      <c r="C903" s="243"/>
      <c r="D903" s="243"/>
      <c r="E903" s="243">
        <v>40173</v>
      </c>
      <c r="F903" s="244" t="s">
        <v>1036</v>
      </c>
      <c r="G903" s="241">
        <f t="shared" si="13"/>
        <v>892</v>
      </c>
    </row>
    <row r="904" spans="2:7" x14ac:dyDescent="0.25">
      <c r="B904" s="242"/>
      <c r="C904" s="243"/>
      <c r="D904" s="243"/>
      <c r="E904" s="243">
        <v>40174</v>
      </c>
      <c r="F904" s="244" t="s">
        <v>1035</v>
      </c>
      <c r="G904" s="241">
        <f t="shared" si="13"/>
        <v>893</v>
      </c>
    </row>
    <row r="905" spans="2:7" x14ac:dyDescent="0.25">
      <c r="B905" s="242"/>
      <c r="C905" s="243"/>
      <c r="D905" s="243"/>
      <c r="E905" s="243">
        <v>40175</v>
      </c>
      <c r="F905" s="244" t="s">
        <v>1438</v>
      </c>
      <c r="G905" s="241">
        <f t="shared" si="13"/>
        <v>894</v>
      </c>
    </row>
    <row r="906" spans="2:7" x14ac:dyDescent="0.25">
      <c r="B906" s="242"/>
      <c r="C906" s="243"/>
      <c r="D906" s="243">
        <v>4018</v>
      </c>
      <c r="E906" s="243"/>
      <c r="F906" s="244" t="s">
        <v>1439</v>
      </c>
      <c r="G906" s="241">
        <f t="shared" si="13"/>
        <v>895</v>
      </c>
    </row>
    <row r="907" spans="2:7" x14ac:dyDescent="0.25">
      <c r="B907" s="242"/>
      <c r="C907" s="243"/>
      <c r="D907" s="243"/>
      <c r="E907" s="243">
        <v>40181</v>
      </c>
      <c r="F907" s="244" t="s">
        <v>544</v>
      </c>
      <c r="G907" s="241">
        <f t="shared" si="13"/>
        <v>896</v>
      </c>
    </row>
    <row r="908" spans="2:7" x14ac:dyDescent="0.25">
      <c r="B908" s="242"/>
      <c r="C908" s="243"/>
      <c r="D908" s="243"/>
      <c r="E908" s="243">
        <v>40182</v>
      </c>
      <c r="F908" s="244" t="s">
        <v>1033</v>
      </c>
      <c r="G908" s="241">
        <f t="shared" si="13"/>
        <v>897</v>
      </c>
    </row>
    <row r="909" spans="2:7" x14ac:dyDescent="0.25">
      <c r="B909" s="242"/>
      <c r="C909" s="243"/>
      <c r="D909" s="243"/>
      <c r="E909" s="243">
        <v>40183</v>
      </c>
      <c r="F909" s="244" t="s">
        <v>1032</v>
      </c>
      <c r="G909" s="241">
        <f t="shared" ref="G909:G972" si="14">G908+1</f>
        <v>898</v>
      </c>
    </row>
    <row r="910" spans="2:7" x14ac:dyDescent="0.25">
      <c r="B910" s="242"/>
      <c r="C910" s="243"/>
      <c r="D910" s="243"/>
      <c r="E910" s="243">
        <v>40184</v>
      </c>
      <c r="F910" s="244" t="s">
        <v>659</v>
      </c>
      <c r="G910" s="241">
        <f t="shared" si="14"/>
        <v>899</v>
      </c>
    </row>
    <row r="911" spans="2:7" x14ac:dyDescent="0.25">
      <c r="B911" s="242"/>
      <c r="C911" s="243"/>
      <c r="D911" s="243"/>
      <c r="E911" s="243">
        <v>40185</v>
      </c>
      <c r="F911" s="244" t="s">
        <v>1031</v>
      </c>
      <c r="G911" s="241">
        <f t="shared" si="14"/>
        <v>900</v>
      </c>
    </row>
    <row r="912" spans="2:7" x14ac:dyDescent="0.25">
      <c r="B912" s="242"/>
      <c r="C912" s="243"/>
      <c r="D912" s="243"/>
      <c r="E912" s="243">
        <v>40186</v>
      </c>
      <c r="F912" s="244" t="s">
        <v>1440</v>
      </c>
      <c r="G912" s="241">
        <f t="shared" si="14"/>
        <v>901</v>
      </c>
    </row>
    <row r="913" spans="2:7" x14ac:dyDescent="0.25">
      <c r="B913" s="242"/>
      <c r="C913" s="243"/>
      <c r="D913" s="243"/>
      <c r="E913" s="243">
        <v>40189</v>
      </c>
      <c r="F913" s="244" t="s">
        <v>1034</v>
      </c>
      <c r="G913" s="241">
        <f t="shared" si="14"/>
        <v>902</v>
      </c>
    </row>
    <row r="914" spans="2:7" x14ac:dyDescent="0.25">
      <c r="B914" s="242"/>
      <c r="C914" s="243">
        <v>402</v>
      </c>
      <c r="D914" s="243"/>
      <c r="E914" s="243"/>
      <c r="F914" s="244" t="s">
        <v>1030</v>
      </c>
      <c r="G914" s="241">
        <f t="shared" si="14"/>
        <v>903</v>
      </c>
    </row>
    <row r="915" spans="2:7" x14ac:dyDescent="0.25">
      <c r="B915" s="242"/>
      <c r="C915" s="243"/>
      <c r="D915" s="243">
        <v>4021</v>
      </c>
      <c r="E915" s="243"/>
      <c r="F915" s="244" t="s">
        <v>1030</v>
      </c>
      <c r="G915" s="241">
        <f t="shared" si="14"/>
        <v>904</v>
      </c>
    </row>
    <row r="916" spans="2:7" x14ac:dyDescent="0.25">
      <c r="B916" s="242"/>
      <c r="C916" s="243">
        <v>403</v>
      </c>
      <c r="D916" s="243"/>
      <c r="E916" s="243"/>
      <c r="F916" s="244" t="s">
        <v>1029</v>
      </c>
      <c r="G916" s="241">
        <f t="shared" si="14"/>
        <v>905</v>
      </c>
    </row>
    <row r="917" spans="2:7" x14ac:dyDescent="0.25">
      <c r="B917" s="242"/>
      <c r="C917" s="243"/>
      <c r="D917" s="243">
        <v>4031</v>
      </c>
      <c r="E917" s="243"/>
      <c r="F917" s="244" t="s">
        <v>1028</v>
      </c>
      <c r="G917" s="241">
        <f t="shared" si="14"/>
        <v>906</v>
      </c>
    </row>
    <row r="918" spans="2:7" x14ac:dyDescent="0.25">
      <c r="B918" s="242"/>
      <c r="C918" s="243"/>
      <c r="D918" s="243">
        <v>4032</v>
      </c>
      <c r="E918" s="243"/>
      <c r="F918" s="244" t="s">
        <v>1027</v>
      </c>
      <c r="G918" s="241">
        <f t="shared" si="14"/>
        <v>907</v>
      </c>
    </row>
    <row r="919" spans="2:7" x14ac:dyDescent="0.25">
      <c r="B919" s="242"/>
      <c r="C919" s="243"/>
      <c r="D919" s="243">
        <v>4033</v>
      </c>
      <c r="E919" s="243"/>
      <c r="F919" s="244" t="s">
        <v>1026</v>
      </c>
      <c r="G919" s="241">
        <f t="shared" si="14"/>
        <v>908</v>
      </c>
    </row>
    <row r="920" spans="2:7" x14ac:dyDescent="0.25">
      <c r="B920" s="242"/>
      <c r="C920" s="243"/>
      <c r="D920" s="243">
        <v>4034</v>
      </c>
      <c r="E920" s="243"/>
      <c r="F920" s="244" t="s">
        <v>1025</v>
      </c>
      <c r="G920" s="241">
        <f t="shared" si="14"/>
        <v>909</v>
      </c>
    </row>
    <row r="921" spans="2:7" x14ac:dyDescent="0.25">
      <c r="B921" s="242"/>
      <c r="C921" s="243"/>
      <c r="D921" s="243">
        <v>4039</v>
      </c>
      <c r="E921" s="243"/>
      <c r="F921" s="244" t="s">
        <v>1024</v>
      </c>
      <c r="G921" s="241">
        <f t="shared" si="14"/>
        <v>910</v>
      </c>
    </row>
    <row r="922" spans="2:7" x14ac:dyDescent="0.25">
      <c r="B922" s="242"/>
      <c r="C922" s="243">
        <v>404</v>
      </c>
      <c r="D922" s="243"/>
      <c r="E922" s="243"/>
      <c r="F922" s="244" t="s">
        <v>30</v>
      </c>
      <c r="G922" s="241">
        <f t="shared" si="14"/>
        <v>911</v>
      </c>
    </row>
    <row r="923" spans="2:7" x14ac:dyDescent="0.25">
      <c r="B923" s="242"/>
      <c r="C923" s="243"/>
      <c r="D923" s="243">
        <v>4041</v>
      </c>
      <c r="E923" s="243"/>
      <c r="F923" s="244" t="s">
        <v>30</v>
      </c>
      <c r="G923" s="241">
        <f t="shared" si="14"/>
        <v>912</v>
      </c>
    </row>
    <row r="924" spans="2:7" x14ac:dyDescent="0.25">
      <c r="B924" s="242"/>
      <c r="C924" s="243">
        <v>405</v>
      </c>
      <c r="D924" s="243"/>
      <c r="E924" s="243"/>
      <c r="F924" s="244" t="s">
        <v>1023</v>
      </c>
      <c r="G924" s="241">
        <f t="shared" si="14"/>
        <v>913</v>
      </c>
    </row>
    <row r="925" spans="2:7" x14ac:dyDescent="0.25">
      <c r="B925" s="242"/>
      <c r="C925" s="243"/>
      <c r="D925" s="243">
        <v>4051</v>
      </c>
      <c r="E925" s="243"/>
      <c r="F925" s="244" t="s">
        <v>1023</v>
      </c>
      <c r="G925" s="241">
        <f t="shared" si="14"/>
        <v>914</v>
      </c>
    </row>
    <row r="926" spans="2:7" x14ac:dyDescent="0.25">
      <c r="B926" s="242"/>
      <c r="C926" s="243">
        <v>406</v>
      </c>
      <c r="D926" s="243"/>
      <c r="E926" s="243"/>
      <c r="F926" s="244" t="s">
        <v>1022</v>
      </c>
      <c r="G926" s="241">
        <f t="shared" si="14"/>
        <v>915</v>
      </c>
    </row>
    <row r="927" spans="2:7" x14ac:dyDescent="0.25">
      <c r="B927" s="242"/>
      <c r="C927" s="243"/>
      <c r="D927" s="243">
        <v>4061</v>
      </c>
      <c r="E927" s="243"/>
      <c r="F927" s="244" t="s">
        <v>568</v>
      </c>
      <c r="G927" s="241">
        <f t="shared" si="14"/>
        <v>916</v>
      </c>
    </row>
    <row r="928" spans="2:7" x14ac:dyDescent="0.25">
      <c r="B928" s="242"/>
      <c r="C928" s="243"/>
      <c r="D928" s="243"/>
      <c r="E928" s="243">
        <v>40611</v>
      </c>
      <c r="F928" s="244" t="s">
        <v>1021</v>
      </c>
      <c r="G928" s="241">
        <f t="shared" si="14"/>
        <v>917</v>
      </c>
    </row>
    <row r="929" spans="2:7" x14ac:dyDescent="0.25">
      <c r="B929" s="242"/>
      <c r="C929" s="243"/>
      <c r="D929" s="243"/>
      <c r="E929" s="243">
        <v>40612</v>
      </c>
      <c r="F929" s="244" t="s">
        <v>1020</v>
      </c>
      <c r="G929" s="241">
        <f t="shared" si="14"/>
        <v>918</v>
      </c>
    </row>
    <row r="930" spans="2:7" x14ac:dyDescent="0.25">
      <c r="B930" s="242"/>
      <c r="C930" s="243"/>
      <c r="D930" s="243"/>
      <c r="E930" s="243">
        <v>40613</v>
      </c>
      <c r="F930" s="244" t="s">
        <v>1019</v>
      </c>
      <c r="G930" s="241">
        <f t="shared" si="14"/>
        <v>919</v>
      </c>
    </row>
    <row r="931" spans="2:7" x14ac:dyDescent="0.25">
      <c r="B931" s="242"/>
      <c r="C931" s="243"/>
      <c r="D931" s="243"/>
      <c r="E931" s="243">
        <v>40614</v>
      </c>
      <c r="F931" s="244" t="s">
        <v>1018</v>
      </c>
      <c r="G931" s="241">
        <f t="shared" si="14"/>
        <v>920</v>
      </c>
    </row>
    <row r="932" spans="2:7" x14ac:dyDescent="0.25">
      <c r="B932" s="242"/>
      <c r="C932" s="243"/>
      <c r="D932" s="243"/>
      <c r="E932" s="243">
        <v>40615</v>
      </c>
      <c r="F932" s="244" t="s">
        <v>1017</v>
      </c>
      <c r="G932" s="241">
        <f t="shared" si="14"/>
        <v>921</v>
      </c>
    </row>
    <row r="933" spans="2:7" x14ac:dyDescent="0.25">
      <c r="B933" s="242"/>
      <c r="C933" s="243"/>
      <c r="D933" s="243"/>
      <c r="E933" s="243">
        <v>40616</v>
      </c>
      <c r="F933" s="244" t="s">
        <v>1016</v>
      </c>
      <c r="G933" s="241">
        <f t="shared" si="14"/>
        <v>922</v>
      </c>
    </row>
    <row r="934" spans="2:7" x14ac:dyDescent="0.25">
      <c r="B934" s="242"/>
      <c r="C934" s="243"/>
      <c r="D934" s="243">
        <v>4062</v>
      </c>
      <c r="E934" s="243"/>
      <c r="F934" s="244" t="s">
        <v>1015</v>
      </c>
      <c r="G934" s="241">
        <f t="shared" si="14"/>
        <v>923</v>
      </c>
    </row>
    <row r="935" spans="2:7" x14ac:dyDescent="0.25">
      <c r="B935" s="242"/>
      <c r="C935" s="243"/>
      <c r="D935" s="243">
        <v>4063</v>
      </c>
      <c r="E935" s="243"/>
      <c r="F935" s="244" t="s">
        <v>1014</v>
      </c>
      <c r="G935" s="241">
        <f t="shared" si="14"/>
        <v>924</v>
      </c>
    </row>
    <row r="936" spans="2:7" x14ac:dyDescent="0.25">
      <c r="B936" s="242"/>
      <c r="C936" s="243"/>
      <c r="D936" s="243"/>
      <c r="E936" s="243">
        <v>40631</v>
      </c>
      <c r="F936" s="244" t="s">
        <v>1013</v>
      </c>
      <c r="G936" s="241">
        <f t="shared" si="14"/>
        <v>925</v>
      </c>
    </row>
    <row r="937" spans="2:7" x14ac:dyDescent="0.25">
      <c r="B937" s="242"/>
      <c r="C937" s="243"/>
      <c r="D937" s="243"/>
      <c r="E937" s="243">
        <v>40632</v>
      </c>
      <c r="F937" s="244" t="s">
        <v>1012</v>
      </c>
      <c r="G937" s="241">
        <f t="shared" si="14"/>
        <v>926</v>
      </c>
    </row>
    <row r="938" spans="2:7" x14ac:dyDescent="0.25">
      <c r="B938" s="242"/>
      <c r="C938" s="243"/>
      <c r="D938" s="243"/>
      <c r="E938" s="243">
        <v>40633</v>
      </c>
      <c r="F938" s="244" t="s">
        <v>1011</v>
      </c>
      <c r="G938" s="241">
        <f t="shared" si="14"/>
        <v>927</v>
      </c>
    </row>
    <row r="939" spans="2:7" x14ac:dyDescent="0.25">
      <c r="B939" s="242"/>
      <c r="C939" s="243"/>
      <c r="D939" s="243"/>
      <c r="E939" s="243">
        <v>40634</v>
      </c>
      <c r="F939" s="244" t="s">
        <v>1010</v>
      </c>
      <c r="G939" s="241">
        <f t="shared" si="14"/>
        <v>928</v>
      </c>
    </row>
    <row r="940" spans="2:7" x14ac:dyDescent="0.25">
      <c r="B940" s="242"/>
      <c r="C940" s="243"/>
      <c r="D940" s="243"/>
      <c r="E940" s="243">
        <v>40635</v>
      </c>
      <c r="F940" s="244" t="s">
        <v>1009</v>
      </c>
      <c r="G940" s="241">
        <f t="shared" si="14"/>
        <v>929</v>
      </c>
    </row>
    <row r="941" spans="2:7" x14ac:dyDescent="0.25">
      <c r="B941" s="242"/>
      <c r="C941" s="243">
        <v>407</v>
      </c>
      <c r="D941" s="243"/>
      <c r="E941" s="243"/>
      <c r="F941" s="244" t="s">
        <v>1008</v>
      </c>
      <c r="G941" s="241">
        <f t="shared" si="14"/>
        <v>930</v>
      </c>
    </row>
    <row r="942" spans="2:7" x14ac:dyDescent="0.25">
      <c r="B942" s="242"/>
      <c r="C942" s="243"/>
      <c r="D942" s="243">
        <v>4071</v>
      </c>
      <c r="E942" s="243"/>
      <c r="F942" s="244" t="s">
        <v>1441</v>
      </c>
      <c r="G942" s="241">
        <f t="shared" si="14"/>
        <v>931</v>
      </c>
    </row>
    <row r="943" spans="2:7" x14ac:dyDescent="0.25">
      <c r="B943" s="242"/>
      <c r="C943" s="243"/>
      <c r="D943" s="243">
        <v>4072</v>
      </c>
      <c r="E943" s="243"/>
      <c r="F943" s="244" t="s">
        <v>1007</v>
      </c>
      <c r="G943" s="241">
        <f t="shared" si="14"/>
        <v>932</v>
      </c>
    </row>
    <row r="944" spans="2:7" x14ac:dyDescent="0.25">
      <c r="B944" s="242"/>
      <c r="C944" s="243"/>
      <c r="D944" s="243">
        <v>4073</v>
      </c>
      <c r="E944" s="243"/>
      <c r="F944" s="244" t="s">
        <v>1006</v>
      </c>
      <c r="G944" s="241">
        <f t="shared" si="14"/>
        <v>933</v>
      </c>
    </row>
    <row r="945" spans="2:7" x14ac:dyDescent="0.25">
      <c r="B945" s="242"/>
      <c r="C945" s="243"/>
      <c r="D945" s="243">
        <v>4074</v>
      </c>
      <c r="E945" s="243"/>
      <c r="F945" s="244" t="s">
        <v>1005</v>
      </c>
      <c r="G945" s="241">
        <f t="shared" si="14"/>
        <v>934</v>
      </c>
    </row>
    <row r="946" spans="2:7" x14ac:dyDescent="0.25">
      <c r="B946" s="242"/>
      <c r="C946" s="243">
        <v>408</v>
      </c>
      <c r="D946" s="243"/>
      <c r="E946" s="243"/>
      <c r="F946" s="244" t="s">
        <v>1004</v>
      </c>
      <c r="G946" s="241">
        <f t="shared" si="14"/>
        <v>935</v>
      </c>
    </row>
    <row r="947" spans="2:7" x14ac:dyDescent="0.25">
      <c r="B947" s="242"/>
      <c r="C947" s="243"/>
      <c r="D947" s="243">
        <v>4081</v>
      </c>
      <c r="E947" s="243"/>
      <c r="F947" s="244" t="s">
        <v>1003</v>
      </c>
      <c r="G947" s="241">
        <f t="shared" si="14"/>
        <v>936</v>
      </c>
    </row>
    <row r="948" spans="2:7" x14ac:dyDescent="0.25">
      <c r="B948" s="242"/>
      <c r="C948" s="243"/>
      <c r="D948" s="243">
        <v>4082</v>
      </c>
      <c r="E948" s="243"/>
      <c r="F948" s="244" t="s">
        <v>1002</v>
      </c>
      <c r="G948" s="241">
        <f t="shared" si="14"/>
        <v>937</v>
      </c>
    </row>
    <row r="949" spans="2:7" x14ac:dyDescent="0.25">
      <c r="B949" s="242"/>
      <c r="C949" s="243">
        <v>409</v>
      </c>
      <c r="D949" s="243"/>
      <c r="E949" s="243"/>
      <c r="F949" s="244" t="s">
        <v>1001</v>
      </c>
      <c r="G949" s="241">
        <f t="shared" si="14"/>
        <v>938</v>
      </c>
    </row>
    <row r="950" spans="2:7" x14ac:dyDescent="0.25">
      <c r="B950" s="242"/>
      <c r="C950" s="243"/>
      <c r="D950" s="243">
        <v>4091</v>
      </c>
      <c r="E950" s="243"/>
      <c r="F950" s="244" t="s">
        <v>1001</v>
      </c>
      <c r="G950" s="241">
        <f t="shared" si="14"/>
        <v>939</v>
      </c>
    </row>
    <row r="951" spans="2:7" x14ac:dyDescent="0.25">
      <c r="B951" s="242">
        <v>41</v>
      </c>
      <c r="C951" s="243"/>
      <c r="D951" s="243"/>
      <c r="E951" s="243"/>
      <c r="F951" s="244" t="s">
        <v>1000</v>
      </c>
      <c r="G951" s="241">
        <f t="shared" si="14"/>
        <v>940</v>
      </c>
    </row>
    <row r="952" spans="2:7" x14ac:dyDescent="0.25">
      <c r="B952" s="242"/>
      <c r="C952" s="243">
        <v>411</v>
      </c>
      <c r="D952" s="243"/>
      <c r="E952" s="243"/>
      <c r="F952" s="244" t="s">
        <v>999</v>
      </c>
      <c r="G952" s="241">
        <f t="shared" si="14"/>
        <v>941</v>
      </c>
    </row>
    <row r="953" spans="2:7" x14ac:dyDescent="0.25">
      <c r="B953" s="242"/>
      <c r="C953" s="243"/>
      <c r="D953" s="243">
        <v>4111</v>
      </c>
      <c r="E953" s="243"/>
      <c r="F953" s="244" t="s">
        <v>998</v>
      </c>
      <c r="G953" s="241">
        <f t="shared" si="14"/>
        <v>942</v>
      </c>
    </row>
    <row r="954" spans="2:7" x14ac:dyDescent="0.25">
      <c r="B954" s="242"/>
      <c r="C954" s="243"/>
      <c r="D954" s="243">
        <v>4112</v>
      </c>
      <c r="E954" s="243"/>
      <c r="F954" s="244" t="s">
        <v>997</v>
      </c>
      <c r="G954" s="241">
        <f t="shared" si="14"/>
        <v>943</v>
      </c>
    </row>
    <row r="955" spans="2:7" x14ac:dyDescent="0.25">
      <c r="B955" s="242"/>
      <c r="C955" s="243"/>
      <c r="D955" s="243">
        <v>4113</v>
      </c>
      <c r="E955" s="243"/>
      <c r="F955" s="244" t="s">
        <v>996</v>
      </c>
      <c r="G955" s="241">
        <f t="shared" si="14"/>
        <v>944</v>
      </c>
    </row>
    <row r="956" spans="2:7" x14ac:dyDescent="0.25">
      <c r="B956" s="242"/>
      <c r="C956" s="243"/>
      <c r="D956" s="243">
        <v>4114</v>
      </c>
      <c r="E956" s="243"/>
      <c r="F956" s="244" t="s">
        <v>995</v>
      </c>
      <c r="G956" s="241">
        <f t="shared" si="14"/>
        <v>945</v>
      </c>
    </row>
    <row r="957" spans="2:7" x14ac:dyDescent="0.25">
      <c r="B957" s="242"/>
      <c r="C957" s="243"/>
      <c r="D957" s="243">
        <v>4115</v>
      </c>
      <c r="E957" s="243"/>
      <c r="F957" s="244" t="s">
        <v>994</v>
      </c>
      <c r="G957" s="241">
        <f t="shared" si="14"/>
        <v>946</v>
      </c>
    </row>
    <row r="958" spans="2:7" x14ac:dyDescent="0.25">
      <c r="B958" s="242"/>
      <c r="C958" s="243">
        <v>413</v>
      </c>
      <c r="D958" s="243"/>
      <c r="E958" s="243"/>
      <c r="F958" s="244" t="s">
        <v>1442</v>
      </c>
      <c r="G958" s="241">
        <f t="shared" si="14"/>
        <v>947</v>
      </c>
    </row>
    <row r="959" spans="2:7" x14ac:dyDescent="0.25">
      <c r="B959" s="242"/>
      <c r="C959" s="243"/>
      <c r="D959" s="243">
        <v>4131</v>
      </c>
      <c r="E959" s="243"/>
      <c r="F959" s="244" t="s">
        <v>1442</v>
      </c>
      <c r="G959" s="241">
        <f t="shared" si="14"/>
        <v>948</v>
      </c>
    </row>
    <row r="960" spans="2:7" x14ac:dyDescent="0.25">
      <c r="B960" s="242"/>
      <c r="C960" s="243">
        <v>415</v>
      </c>
      <c r="D960" s="243"/>
      <c r="E960" s="243"/>
      <c r="F960" s="244" t="s">
        <v>993</v>
      </c>
      <c r="G960" s="241">
        <f t="shared" si="14"/>
        <v>949</v>
      </c>
    </row>
    <row r="961" spans="2:7" x14ac:dyDescent="0.25">
      <c r="B961" s="242"/>
      <c r="C961" s="243"/>
      <c r="D961" s="243">
        <v>4151</v>
      </c>
      <c r="E961" s="243"/>
      <c r="F961" s="244" t="s">
        <v>556</v>
      </c>
      <c r="G961" s="241">
        <f t="shared" si="14"/>
        <v>950</v>
      </c>
    </row>
    <row r="962" spans="2:7" x14ac:dyDescent="0.25">
      <c r="B962" s="242"/>
      <c r="C962" s="243"/>
      <c r="D962" s="243">
        <v>4152</v>
      </c>
      <c r="E962" s="243"/>
      <c r="F962" s="244" t="s">
        <v>992</v>
      </c>
      <c r="G962" s="241">
        <f t="shared" si="14"/>
        <v>951</v>
      </c>
    </row>
    <row r="963" spans="2:7" x14ac:dyDescent="0.25">
      <c r="B963" s="242"/>
      <c r="C963" s="243"/>
      <c r="D963" s="243">
        <v>4153</v>
      </c>
      <c r="E963" s="243"/>
      <c r="F963" s="244" t="s">
        <v>845</v>
      </c>
      <c r="G963" s="241">
        <f t="shared" si="14"/>
        <v>952</v>
      </c>
    </row>
    <row r="964" spans="2:7" x14ac:dyDescent="0.25">
      <c r="B964" s="242"/>
      <c r="C964" s="243">
        <v>419</v>
      </c>
      <c r="D964" s="243"/>
      <c r="E964" s="243"/>
      <c r="F964" s="244" t="s">
        <v>991</v>
      </c>
      <c r="G964" s="241">
        <f t="shared" si="14"/>
        <v>953</v>
      </c>
    </row>
    <row r="965" spans="2:7" x14ac:dyDescent="0.25">
      <c r="B965" s="242"/>
      <c r="C965" s="243"/>
      <c r="D965" s="243">
        <v>4191</v>
      </c>
      <c r="E965" s="243"/>
      <c r="F965" s="244" t="s">
        <v>991</v>
      </c>
      <c r="G965" s="241">
        <f t="shared" si="14"/>
        <v>954</v>
      </c>
    </row>
    <row r="966" spans="2:7" x14ac:dyDescent="0.25">
      <c r="B966" s="242">
        <v>42</v>
      </c>
      <c r="C966" s="243"/>
      <c r="D966" s="243"/>
      <c r="E966" s="243"/>
      <c r="F966" s="244" t="s">
        <v>990</v>
      </c>
      <c r="G966" s="241">
        <f t="shared" si="14"/>
        <v>955</v>
      </c>
    </row>
    <row r="967" spans="2:7" x14ac:dyDescent="0.25">
      <c r="B967" s="242"/>
      <c r="C967" s="243">
        <v>421</v>
      </c>
      <c r="D967" s="243"/>
      <c r="E967" s="243"/>
      <c r="F967" s="244" t="s">
        <v>986</v>
      </c>
      <c r="G967" s="241">
        <f t="shared" si="14"/>
        <v>956</v>
      </c>
    </row>
    <row r="968" spans="2:7" x14ac:dyDescent="0.25">
      <c r="B968" s="242"/>
      <c r="C968" s="243"/>
      <c r="D968" s="243">
        <v>4211</v>
      </c>
      <c r="E968" s="243"/>
      <c r="F968" s="244" t="s">
        <v>985</v>
      </c>
      <c r="G968" s="241">
        <f t="shared" si="14"/>
        <v>957</v>
      </c>
    </row>
    <row r="969" spans="2:7" x14ac:dyDescent="0.25">
      <c r="B969" s="242"/>
      <c r="C969" s="243"/>
      <c r="D969" s="243">
        <v>4212</v>
      </c>
      <c r="E969" s="243"/>
      <c r="F969" s="244" t="s">
        <v>984</v>
      </c>
      <c r="G969" s="241">
        <f t="shared" si="14"/>
        <v>958</v>
      </c>
    </row>
    <row r="970" spans="2:7" x14ac:dyDescent="0.25">
      <c r="B970" s="242"/>
      <c r="C970" s="243">
        <v>422</v>
      </c>
      <c r="D970" s="243"/>
      <c r="E970" s="243"/>
      <c r="F970" s="244" t="s">
        <v>989</v>
      </c>
      <c r="G970" s="241">
        <f t="shared" si="14"/>
        <v>959</v>
      </c>
    </row>
    <row r="971" spans="2:7" x14ac:dyDescent="0.25">
      <c r="B971" s="242"/>
      <c r="C971" s="243"/>
      <c r="D971" s="243">
        <v>4221</v>
      </c>
      <c r="E971" s="243"/>
      <c r="F971" s="244" t="s">
        <v>989</v>
      </c>
      <c r="G971" s="241">
        <f t="shared" si="14"/>
        <v>960</v>
      </c>
    </row>
    <row r="972" spans="2:7" x14ac:dyDescent="0.25">
      <c r="B972" s="242"/>
      <c r="C972" s="243">
        <v>423</v>
      </c>
      <c r="D972" s="243"/>
      <c r="E972" s="243"/>
      <c r="F972" s="244" t="s">
        <v>982</v>
      </c>
      <c r="G972" s="241">
        <f t="shared" si="14"/>
        <v>961</v>
      </c>
    </row>
    <row r="973" spans="2:7" x14ac:dyDescent="0.25">
      <c r="B973" s="242"/>
      <c r="C973" s="243"/>
      <c r="D973" s="243">
        <v>4231</v>
      </c>
      <c r="E973" s="243"/>
      <c r="F973" s="244" t="s">
        <v>982</v>
      </c>
      <c r="G973" s="241">
        <f t="shared" ref="G973:G1036" si="15">G972+1</f>
        <v>962</v>
      </c>
    </row>
    <row r="974" spans="2:7" x14ac:dyDescent="0.25">
      <c r="B974" s="242"/>
      <c r="C974" s="243">
        <v>424</v>
      </c>
      <c r="D974" s="243"/>
      <c r="E974" s="243"/>
      <c r="F974" s="244" t="s">
        <v>988</v>
      </c>
      <c r="G974" s="241">
        <f t="shared" si="15"/>
        <v>963</v>
      </c>
    </row>
    <row r="975" spans="2:7" x14ac:dyDescent="0.25">
      <c r="B975" s="242"/>
      <c r="C975" s="243"/>
      <c r="D975" s="243">
        <v>4241</v>
      </c>
      <c r="E975" s="243"/>
      <c r="F975" s="244" t="s">
        <v>988</v>
      </c>
      <c r="G975" s="241">
        <f t="shared" si="15"/>
        <v>964</v>
      </c>
    </row>
    <row r="976" spans="2:7" x14ac:dyDescent="0.25">
      <c r="B976" s="242"/>
      <c r="C976" s="243">
        <v>429</v>
      </c>
      <c r="D976" s="243"/>
      <c r="E976" s="243"/>
      <c r="F976" s="244" t="s">
        <v>981</v>
      </c>
      <c r="G976" s="241">
        <f t="shared" si="15"/>
        <v>965</v>
      </c>
    </row>
    <row r="977" spans="2:7" x14ac:dyDescent="0.25">
      <c r="B977" s="242"/>
      <c r="C977" s="243"/>
      <c r="D977" s="243">
        <v>4291</v>
      </c>
      <c r="E977" s="243"/>
      <c r="F977" s="244" t="s">
        <v>981</v>
      </c>
      <c r="G977" s="241">
        <f t="shared" si="15"/>
        <v>966</v>
      </c>
    </row>
    <row r="978" spans="2:7" x14ac:dyDescent="0.25">
      <c r="B978" s="242">
        <v>43</v>
      </c>
      <c r="C978" s="243"/>
      <c r="D978" s="243"/>
      <c r="E978" s="243"/>
      <c r="F978" s="244" t="s">
        <v>987</v>
      </c>
      <c r="G978" s="241">
        <f t="shared" si="15"/>
        <v>967</v>
      </c>
    </row>
    <row r="979" spans="2:7" x14ac:dyDescent="0.25">
      <c r="B979" s="242"/>
      <c r="C979" s="243">
        <v>431</v>
      </c>
      <c r="D979" s="243"/>
      <c r="E979" s="243"/>
      <c r="F979" s="244" t="s">
        <v>986</v>
      </c>
      <c r="G979" s="241">
        <f t="shared" si="15"/>
        <v>968</v>
      </c>
    </row>
    <row r="980" spans="2:7" x14ac:dyDescent="0.25">
      <c r="B980" s="242"/>
      <c r="C980" s="243"/>
      <c r="D980" s="243">
        <v>4311</v>
      </c>
      <c r="E980" s="243"/>
      <c r="F980" s="244" t="s">
        <v>985</v>
      </c>
      <c r="G980" s="241">
        <f t="shared" si="15"/>
        <v>969</v>
      </c>
    </row>
    <row r="981" spans="2:7" x14ac:dyDescent="0.25">
      <c r="B981" s="242"/>
      <c r="C981" s="243"/>
      <c r="D981" s="243"/>
      <c r="E981" s="243">
        <v>43111</v>
      </c>
      <c r="F981" s="244" t="s">
        <v>1443</v>
      </c>
      <c r="G981" s="241">
        <f t="shared" si="15"/>
        <v>970</v>
      </c>
    </row>
    <row r="982" spans="2:7" x14ac:dyDescent="0.25">
      <c r="B982" s="242"/>
      <c r="C982" s="243"/>
      <c r="D982" s="243"/>
      <c r="E982" s="243">
        <v>43112</v>
      </c>
      <c r="F982" s="244" t="s">
        <v>1444</v>
      </c>
      <c r="G982" s="241">
        <f t="shared" si="15"/>
        <v>971</v>
      </c>
    </row>
    <row r="983" spans="2:7" x14ac:dyDescent="0.25">
      <c r="B983" s="242"/>
      <c r="C983" s="243"/>
      <c r="D983" s="243"/>
      <c r="E983" s="243">
        <v>43113</v>
      </c>
      <c r="F983" s="244" t="s">
        <v>1445</v>
      </c>
      <c r="G983" s="241">
        <f t="shared" si="15"/>
        <v>972</v>
      </c>
    </row>
    <row r="984" spans="2:7" x14ac:dyDescent="0.25">
      <c r="B984" s="242"/>
      <c r="C984" s="243"/>
      <c r="D984" s="243"/>
      <c r="E984" s="243">
        <v>43114</v>
      </c>
      <c r="F984" s="244" t="s">
        <v>1446</v>
      </c>
      <c r="G984" s="241">
        <f t="shared" si="15"/>
        <v>973</v>
      </c>
    </row>
    <row r="985" spans="2:7" x14ac:dyDescent="0.25">
      <c r="B985" s="242"/>
      <c r="C985" s="243"/>
      <c r="D985" s="243"/>
      <c r="E985" s="243">
        <v>43115</v>
      </c>
      <c r="F985" s="244" t="s">
        <v>1447</v>
      </c>
      <c r="G985" s="241">
        <f t="shared" si="15"/>
        <v>974</v>
      </c>
    </row>
    <row r="986" spans="2:7" x14ac:dyDescent="0.25">
      <c r="B986" s="242"/>
      <c r="C986" s="243"/>
      <c r="D986" s="243">
        <v>4312</v>
      </c>
      <c r="E986" s="243"/>
      <c r="F986" s="244" t="s">
        <v>984</v>
      </c>
      <c r="G986" s="241">
        <f t="shared" si="15"/>
        <v>975</v>
      </c>
    </row>
    <row r="987" spans="2:7" x14ac:dyDescent="0.25">
      <c r="B987" s="242"/>
      <c r="C987" s="243"/>
      <c r="D987" s="243"/>
      <c r="E987" s="243">
        <v>43121</v>
      </c>
      <c r="F987" s="244" t="s">
        <v>1448</v>
      </c>
      <c r="G987" s="241">
        <f t="shared" si="15"/>
        <v>976</v>
      </c>
    </row>
    <row r="988" spans="2:7" x14ac:dyDescent="0.25">
      <c r="B988" s="242"/>
      <c r="C988" s="243"/>
      <c r="D988" s="243"/>
      <c r="E988" s="243">
        <v>43122</v>
      </c>
      <c r="F988" s="244" t="s">
        <v>1449</v>
      </c>
      <c r="G988" s="241">
        <f t="shared" si="15"/>
        <v>977</v>
      </c>
    </row>
    <row r="989" spans="2:7" x14ac:dyDescent="0.25">
      <c r="B989" s="242"/>
      <c r="C989" s="243"/>
      <c r="D989" s="243"/>
      <c r="E989" s="243">
        <v>43123</v>
      </c>
      <c r="F989" s="244" t="s">
        <v>1450</v>
      </c>
      <c r="G989" s="241">
        <f t="shared" si="15"/>
        <v>978</v>
      </c>
    </row>
    <row r="990" spans="2:7" x14ac:dyDescent="0.25">
      <c r="B990" s="242"/>
      <c r="C990" s="243"/>
      <c r="D990" s="243"/>
      <c r="E990" s="243">
        <v>43124</v>
      </c>
      <c r="F990" s="244" t="s">
        <v>1451</v>
      </c>
      <c r="G990" s="241">
        <f t="shared" si="15"/>
        <v>979</v>
      </c>
    </row>
    <row r="991" spans="2:7" x14ac:dyDescent="0.25">
      <c r="B991" s="242"/>
      <c r="C991" s="243"/>
      <c r="D991" s="243"/>
      <c r="E991" s="243">
        <v>43125</v>
      </c>
      <c r="F991" s="244" t="s">
        <v>1452</v>
      </c>
      <c r="G991" s="241">
        <f t="shared" si="15"/>
        <v>980</v>
      </c>
    </row>
    <row r="992" spans="2:7" x14ac:dyDescent="0.25">
      <c r="B992" s="242"/>
      <c r="C992" s="243">
        <v>432</v>
      </c>
      <c r="D992" s="243"/>
      <c r="E992" s="243"/>
      <c r="F992" s="244" t="s">
        <v>983</v>
      </c>
      <c r="G992" s="241">
        <f t="shared" si="15"/>
        <v>981</v>
      </c>
    </row>
    <row r="993" spans="2:7" x14ac:dyDescent="0.25">
      <c r="B993" s="242"/>
      <c r="C993" s="243"/>
      <c r="D993" s="243">
        <v>4321</v>
      </c>
      <c r="E993" s="243"/>
      <c r="F993" s="244" t="s">
        <v>983</v>
      </c>
      <c r="G993" s="241">
        <f t="shared" si="15"/>
        <v>982</v>
      </c>
    </row>
    <row r="994" spans="2:7" x14ac:dyDescent="0.25">
      <c r="B994" s="242"/>
      <c r="C994" s="243"/>
      <c r="D994" s="243"/>
      <c r="E994" s="243">
        <v>43211</v>
      </c>
      <c r="F994" s="244" t="s">
        <v>1453</v>
      </c>
      <c r="G994" s="241">
        <f t="shared" si="15"/>
        <v>983</v>
      </c>
    </row>
    <row r="995" spans="2:7" x14ac:dyDescent="0.25">
      <c r="B995" s="242"/>
      <c r="C995" s="243"/>
      <c r="D995" s="243"/>
      <c r="E995" s="243">
        <v>43212</v>
      </c>
      <c r="F995" s="244" t="s">
        <v>1454</v>
      </c>
      <c r="G995" s="241">
        <f t="shared" si="15"/>
        <v>984</v>
      </c>
    </row>
    <row r="996" spans="2:7" x14ac:dyDescent="0.25">
      <c r="B996" s="242"/>
      <c r="C996" s="243"/>
      <c r="D996" s="243"/>
      <c r="E996" s="243">
        <v>43213</v>
      </c>
      <c r="F996" s="244" t="s">
        <v>1455</v>
      </c>
      <c r="G996" s="241">
        <f t="shared" si="15"/>
        <v>985</v>
      </c>
    </row>
    <row r="997" spans="2:7" x14ac:dyDescent="0.25">
      <c r="B997" s="242"/>
      <c r="C997" s="243"/>
      <c r="D997" s="243"/>
      <c r="E997" s="243">
        <v>43214</v>
      </c>
      <c r="F997" s="244" t="s">
        <v>1456</v>
      </c>
      <c r="G997" s="241">
        <f t="shared" si="15"/>
        <v>986</v>
      </c>
    </row>
    <row r="998" spans="2:7" x14ac:dyDescent="0.25">
      <c r="B998" s="242"/>
      <c r="C998" s="243"/>
      <c r="D998" s="243"/>
      <c r="E998" s="243">
        <v>43215</v>
      </c>
      <c r="F998" s="244" t="s">
        <v>1457</v>
      </c>
      <c r="G998" s="241">
        <f t="shared" si="15"/>
        <v>987</v>
      </c>
    </row>
    <row r="999" spans="2:7" x14ac:dyDescent="0.25">
      <c r="B999" s="242"/>
      <c r="C999" s="243">
        <v>433</v>
      </c>
      <c r="D999" s="243"/>
      <c r="E999" s="243"/>
      <c r="F999" s="244" t="s">
        <v>982</v>
      </c>
      <c r="G999" s="241">
        <f t="shared" si="15"/>
        <v>988</v>
      </c>
    </row>
    <row r="1000" spans="2:7" x14ac:dyDescent="0.25">
      <c r="B1000" s="242"/>
      <c r="C1000" s="243"/>
      <c r="D1000" s="243">
        <v>4331</v>
      </c>
      <c r="E1000" s="243"/>
      <c r="F1000" s="244" t="s">
        <v>982</v>
      </c>
      <c r="G1000" s="241">
        <f t="shared" si="15"/>
        <v>989</v>
      </c>
    </row>
    <row r="1001" spans="2:7" x14ac:dyDescent="0.25">
      <c r="B1001" s="242"/>
      <c r="C1001" s="243"/>
      <c r="D1001" s="243"/>
      <c r="E1001" s="243">
        <v>43311</v>
      </c>
      <c r="F1001" s="244" t="s">
        <v>1458</v>
      </c>
      <c r="G1001" s="241">
        <f t="shared" si="15"/>
        <v>990</v>
      </c>
    </row>
    <row r="1002" spans="2:7" x14ac:dyDescent="0.25">
      <c r="B1002" s="242"/>
      <c r="C1002" s="243"/>
      <c r="D1002" s="243"/>
      <c r="E1002" s="243">
        <v>43312</v>
      </c>
      <c r="F1002" s="244" t="s">
        <v>1459</v>
      </c>
      <c r="G1002" s="241">
        <f t="shared" si="15"/>
        <v>991</v>
      </c>
    </row>
    <row r="1003" spans="2:7" x14ac:dyDescent="0.25">
      <c r="B1003" s="242"/>
      <c r="C1003" s="243"/>
      <c r="D1003" s="243"/>
      <c r="E1003" s="243">
        <v>43313</v>
      </c>
      <c r="F1003" s="244" t="s">
        <v>1460</v>
      </c>
      <c r="G1003" s="241">
        <f t="shared" si="15"/>
        <v>992</v>
      </c>
    </row>
    <row r="1004" spans="2:7" x14ac:dyDescent="0.25">
      <c r="B1004" s="242"/>
      <c r="C1004" s="243"/>
      <c r="D1004" s="243"/>
      <c r="E1004" s="243">
        <v>43314</v>
      </c>
      <c r="F1004" s="244" t="s">
        <v>1461</v>
      </c>
      <c r="G1004" s="241">
        <f t="shared" si="15"/>
        <v>993</v>
      </c>
    </row>
    <row r="1005" spans="2:7" x14ac:dyDescent="0.25">
      <c r="B1005" s="242"/>
      <c r="C1005" s="243"/>
      <c r="D1005" s="243"/>
      <c r="E1005" s="243">
        <v>43315</v>
      </c>
      <c r="F1005" s="244" t="s">
        <v>1462</v>
      </c>
      <c r="G1005" s="241">
        <f t="shared" si="15"/>
        <v>994</v>
      </c>
    </row>
    <row r="1006" spans="2:7" x14ac:dyDescent="0.25">
      <c r="B1006" s="242"/>
      <c r="C1006" s="243">
        <v>434</v>
      </c>
      <c r="D1006" s="243"/>
      <c r="E1006" s="243"/>
      <c r="F1006" s="244" t="s">
        <v>988</v>
      </c>
      <c r="G1006" s="241">
        <f t="shared" si="15"/>
        <v>995</v>
      </c>
    </row>
    <row r="1007" spans="2:7" x14ac:dyDescent="0.25">
      <c r="B1007" s="242"/>
      <c r="C1007" s="243"/>
      <c r="D1007" s="243">
        <v>4341</v>
      </c>
      <c r="E1007" s="243"/>
      <c r="F1007" s="244" t="s">
        <v>988</v>
      </c>
      <c r="G1007" s="241">
        <f t="shared" si="15"/>
        <v>996</v>
      </c>
    </row>
    <row r="1008" spans="2:7" x14ac:dyDescent="0.25">
      <c r="B1008" s="242"/>
      <c r="C1008" s="243"/>
      <c r="D1008" s="243"/>
      <c r="E1008" s="243">
        <v>43411</v>
      </c>
      <c r="F1008" s="244" t="s">
        <v>1463</v>
      </c>
      <c r="G1008" s="241">
        <f t="shared" si="15"/>
        <v>997</v>
      </c>
    </row>
    <row r="1009" spans="2:7" x14ac:dyDescent="0.25">
      <c r="B1009" s="242"/>
      <c r="C1009" s="243"/>
      <c r="D1009" s="243"/>
      <c r="E1009" s="243">
        <v>43412</v>
      </c>
      <c r="F1009" s="244" t="s">
        <v>1464</v>
      </c>
      <c r="G1009" s="241">
        <f t="shared" si="15"/>
        <v>998</v>
      </c>
    </row>
    <row r="1010" spans="2:7" x14ac:dyDescent="0.25">
      <c r="B1010" s="242"/>
      <c r="C1010" s="243"/>
      <c r="D1010" s="243"/>
      <c r="E1010" s="243">
        <v>43413</v>
      </c>
      <c r="F1010" s="244" t="s">
        <v>1465</v>
      </c>
      <c r="G1010" s="241">
        <f t="shared" si="15"/>
        <v>999</v>
      </c>
    </row>
    <row r="1011" spans="2:7" x14ac:dyDescent="0.25">
      <c r="B1011" s="242"/>
      <c r="C1011" s="243"/>
      <c r="D1011" s="243"/>
      <c r="E1011" s="243">
        <v>43414</v>
      </c>
      <c r="F1011" s="244" t="s">
        <v>1466</v>
      </c>
      <c r="G1011" s="241">
        <f t="shared" si="15"/>
        <v>1000</v>
      </c>
    </row>
    <row r="1012" spans="2:7" x14ac:dyDescent="0.25">
      <c r="B1012" s="242"/>
      <c r="C1012" s="243"/>
      <c r="D1012" s="243"/>
      <c r="E1012" s="243">
        <v>43415</v>
      </c>
      <c r="F1012" s="244" t="s">
        <v>1467</v>
      </c>
      <c r="G1012" s="241">
        <f t="shared" si="15"/>
        <v>1001</v>
      </c>
    </row>
    <row r="1013" spans="2:7" x14ac:dyDescent="0.25">
      <c r="B1013" s="242">
        <v>44</v>
      </c>
      <c r="C1013" s="243"/>
      <c r="D1013" s="243"/>
      <c r="E1013" s="243"/>
      <c r="F1013" s="244" t="s">
        <v>1468</v>
      </c>
      <c r="G1013" s="241">
        <f t="shared" si="15"/>
        <v>1002</v>
      </c>
    </row>
    <row r="1014" spans="2:7" x14ac:dyDescent="0.25">
      <c r="B1014" s="242"/>
      <c r="C1014" s="243">
        <v>441</v>
      </c>
      <c r="D1014" s="243"/>
      <c r="E1014" s="243"/>
      <c r="F1014" s="244" t="s">
        <v>980</v>
      </c>
      <c r="G1014" s="241">
        <f t="shared" si="15"/>
        <v>1003</v>
      </c>
    </row>
    <row r="1015" spans="2:7" x14ac:dyDescent="0.25">
      <c r="B1015" s="242"/>
      <c r="C1015" s="243"/>
      <c r="D1015" s="243">
        <v>4411</v>
      </c>
      <c r="E1015" s="243"/>
      <c r="F1015" s="244" t="s">
        <v>961</v>
      </c>
      <c r="G1015" s="241">
        <f t="shared" si="15"/>
        <v>1004</v>
      </c>
    </row>
    <row r="1016" spans="2:7" x14ac:dyDescent="0.25">
      <c r="B1016" s="242"/>
      <c r="C1016" s="243"/>
      <c r="D1016" s="243">
        <v>4412</v>
      </c>
      <c r="E1016" s="243"/>
      <c r="F1016" s="244" t="s">
        <v>631</v>
      </c>
      <c r="G1016" s="241">
        <f t="shared" si="15"/>
        <v>1005</v>
      </c>
    </row>
    <row r="1017" spans="2:7" x14ac:dyDescent="0.25">
      <c r="B1017" s="242"/>
      <c r="C1017" s="243"/>
      <c r="D1017" s="243">
        <v>4419</v>
      </c>
      <c r="E1017" s="243"/>
      <c r="F1017" s="244" t="s">
        <v>46</v>
      </c>
      <c r="G1017" s="241">
        <f t="shared" si="15"/>
        <v>1006</v>
      </c>
    </row>
    <row r="1018" spans="2:7" x14ac:dyDescent="0.25">
      <c r="B1018" s="242"/>
      <c r="C1018" s="243">
        <v>442</v>
      </c>
      <c r="D1018" s="243"/>
      <c r="E1018" s="243"/>
      <c r="F1018" s="244" t="s">
        <v>979</v>
      </c>
      <c r="G1018" s="241">
        <f t="shared" si="15"/>
        <v>1007</v>
      </c>
    </row>
    <row r="1019" spans="2:7" x14ac:dyDescent="0.25">
      <c r="B1019" s="242"/>
      <c r="C1019" s="243"/>
      <c r="D1019" s="243">
        <v>4421</v>
      </c>
      <c r="E1019" s="243"/>
      <c r="F1019" s="244" t="s">
        <v>978</v>
      </c>
      <c r="G1019" s="241">
        <f t="shared" si="15"/>
        <v>1008</v>
      </c>
    </row>
    <row r="1020" spans="2:7" x14ac:dyDescent="0.25">
      <c r="B1020" s="242"/>
      <c r="C1020" s="243"/>
      <c r="D1020" s="243">
        <v>4429</v>
      </c>
      <c r="E1020" s="243"/>
      <c r="F1020" s="244" t="s">
        <v>46</v>
      </c>
      <c r="G1020" s="241">
        <f t="shared" si="15"/>
        <v>1009</v>
      </c>
    </row>
    <row r="1021" spans="2:7" x14ac:dyDescent="0.25">
      <c r="B1021" s="242"/>
      <c r="C1021" s="243">
        <v>443</v>
      </c>
      <c r="D1021" s="243"/>
      <c r="E1021" s="243"/>
      <c r="F1021" s="244" t="s">
        <v>852</v>
      </c>
      <c r="G1021" s="241">
        <f t="shared" si="15"/>
        <v>1010</v>
      </c>
    </row>
    <row r="1022" spans="2:7" x14ac:dyDescent="0.25">
      <c r="B1022" s="242"/>
      <c r="C1022" s="243"/>
      <c r="D1022" s="243">
        <v>4431</v>
      </c>
      <c r="E1022" s="243"/>
      <c r="F1022" s="244" t="s">
        <v>852</v>
      </c>
      <c r="G1022" s="241">
        <f t="shared" si="15"/>
        <v>1011</v>
      </c>
    </row>
    <row r="1023" spans="2:7" x14ac:dyDescent="0.25">
      <c r="B1023" s="242">
        <v>45</v>
      </c>
      <c r="C1023" s="243"/>
      <c r="D1023" s="243"/>
      <c r="E1023" s="243"/>
      <c r="F1023" s="244" t="s">
        <v>977</v>
      </c>
      <c r="G1023" s="241">
        <f t="shared" si="15"/>
        <v>1012</v>
      </c>
    </row>
    <row r="1024" spans="2:7" x14ac:dyDescent="0.25">
      <c r="B1024" s="242"/>
      <c r="C1024" s="243">
        <v>451</v>
      </c>
      <c r="D1024" s="243"/>
      <c r="E1024" s="243"/>
      <c r="F1024" s="244" t="s">
        <v>790</v>
      </c>
      <c r="G1024" s="241">
        <f t="shared" si="15"/>
        <v>1013</v>
      </c>
    </row>
    <row r="1025" spans="2:7" x14ac:dyDescent="0.25">
      <c r="B1025" s="242"/>
      <c r="C1025" s="243"/>
      <c r="D1025" s="243">
        <v>4511</v>
      </c>
      <c r="E1025" s="243"/>
      <c r="F1025" s="244" t="s">
        <v>789</v>
      </c>
      <c r="G1025" s="241">
        <f t="shared" si="15"/>
        <v>1014</v>
      </c>
    </row>
    <row r="1026" spans="2:7" x14ac:dyDescent="0.25">
      <c r="B1026" s="242"/>
      <c r="C1026" s="243"/>
      <c r="D1026" s="243">
        <v>4512</v>
      </c>
      <c r="E1026" s="243"/>
      <c r="F1026" s="244" t="s">
        <v>788</v>
      </c>
      <c r="G1026" s="241">
        <f t="shared" si="15"/>
        <v>1015</v>
      </c>
    </row>
    <row r="1027" spans="2:7" x14ac:dyDescent="0.25">
      <c r="B1027" s="242"/>
      <c r="C1027" s="243">
        <v>452</v>
      </c>
      <c r="D1027" s="243"/>
      <c r="E1027" s="243"/>
      <c r="F1027" s="244" t="s">
        <v>787</v>
      </c>
      <c r="G1027" s="241">
        <f t="shared" si="15"/>
        <v>1016</v>
      </c>
    </row>
    <row r="1028" spans="2:7" x14ac:dyDescent="0.25">
      <c r="B1028" s="242"/>
      <c r="C1028" s="243"/>
      <c r="D1028" s="243">
        <v>4521</v>
      </c>
      <c r="E1028" s="243"/>
      <c r="F1028" s="244" t="s">
        <v>787</v>
      </c>
      <c r="G1028" s="241">
        <f t="shared" si="15"/>
        <v>1017</v>
      </c>
    </row>
    <row r="1029" spans="2:7" x14ac:dyDescent="0.25">
      <c r="B1029" s="242"/>
      <c r="C1029" s="243">
        <v>453</v>
      </c>
      <c r="D1029" s="243"/>
      <c r="E1029" s="243"/>
      <c r="F1029" s="244" t="s">
        <v>784</v>
      </c>
      <c r="G1029" s="241">
        <f t="shared" si="15"/>
        <v>1018</v>
      </c>
    </row>
    <row r="1030" spans="2:7" x14ac:dyDescent="0.25">
      <c r="B1030" s="242"/>
      <c r="C1030" s="243"/>
      <c r="D1030" s="243">
        <v>4531</v>
      </c>
      <c r="E1030" s="243"/>
      <c r="F1030" s="244" t="s">
        <v>1469</v>
      </c>
      <c r="G1030" s="241">
        <f t="shared" si="15"/>
        <v>1019</v>
      </c>
    </row>
    <row r="1031" spans="2:7" x14ac:dyDescent="0.25">
      <c r="B1031" s="242"/>
      <c r="C1031" s="243"/>
      <c r="D1031" s="243">
        <v>4532</v>
      </c>
      <c r="E1031" s="243"/>
      <c r="F1031" s="244" t="s">
        <v>1470</v>
      </c>
      <c r="G1031" s="241">
        <f t="shared" si="15"/>
        <v>1020</v>
      </c>
    </row>
    <row r="1032" spans="2:7" x14ac:dyDescent="0.25">
      <c r="B1032" s="242"/>
      <c r="C1032" s="243"/>
      <c r="D1032" s="243">
        <v>4533</v>
      </c>
      <c r="E1032" s="243"/>
      <c r="F1032" s="244" t="s">
        <v>974</v>
      </c>
      <c r="G1032" s="241">
        <f t="shared" si="15"/>
        <v>1021</v>
      </c>
    </row>
    <row r="1033" spans="2:7" x14ac:dyDescent="0.25">
      <c r="B1033" s="242"/>
      <c r="C1033" s="243"/>
      <c r="D1033" s="243">
        <v>4539</v>
      </c>
      <c r="E1033" s="243"/>
      <c r="F1033" s="244" t="s">
        <v>1471</v>
      </c>
      <c r="G1033" s="241">
        <f t="shared" si="15"/>
        <v>1022</v>
      </c>
    </row>
    <row r="1034" spans="2:7" x14ac:dyDescent="0.25">
      <c r="B1034" s="242"/>
      <c r="C1034" s="243">
        <v>454</v>
      </c>
      <c r="D1034" s="243"/>
      <c r="E1034" s="243"/>
      <c r="F1034" s="244" t="s">
        <v>786</v>
      </c>
      <c r="G1034" s="241">
        <f t="shared" si="15"/>
        <v>1023</v>
      </c>
    </row>
    <row r="1035" spans="2:7" x14ac:dyDescent="0.25">
      <c r="B1035" s="242"/>
      <c r="C1035" s="243"/>
      <c r="D1035" s="243">
        <v>4541</v>
      </c>
      <c r="E1035" s="243"/>
      <c r="F1035" s="244" t="s">
        <v>975</v>
      </c>
      <c r="G1035" s="241">
        <f t="shared" si="15"/>
        <v>1024</v>
      </c>
    </row>
    <row r="1036" spans="2:7" x14ac:dyDescent="0.25">
      <c r="B1036" s="242"/>
      <c r="C1036" s="243"/>
      <c r="D1036" s="243">
        <v>4542</v>
      </c>
      <c r="E1036" s="243"/>
      <c r="F1036" s="244" t="s">
        <v>974</v>
      </c>
      <c r="G1036" s="241">
        <f t="shared" si="15"/>
        <v>1025</v>
      </c>
    </row>
    <row r="1037" spans="2:7" x14ac:dyDescent="0.25">
      <c r="B1037" s="242"/>
      <c r="C1037" s="243"/>
      <c r="D1037" s="243">
        <v>4543</v>
      </c>
      <c r="E1037" s="243"/>
      <c r="F1037" s="244" t="s">
        <v>973</v>
      </c>
      <c r="G1037" s="241">
        <f t="shared" ref="G1037:G1100" si="16">G1036+1</f>
        <v>1026</v>
      </c>
    </row>
    <row r="1038" spans="2:7" x14ac:dyDescent="0.25">
      <c r="B1038" s="242"/>
      <c r="C1038" s="243"/>
      <c r="D1038" s="243">
        <v>4544</v>
      </c>
      <c r="E1038" s="243"/>
      <c r="F1038" s="244" t="s">
        <v>972</v>
      </c>
      <c r="G1038" s="241">
        <f t="shared" si="16"/>
        <v>1027</v>
      </c>
    </row>
    <row r="1039" spans="2:7" x14ac:dyDescent="0.25">
      <c r="B1039" s="242"/>
      <c r="C1039" s="243"/>
      <c r="D1039" s="243">
        <v>4545</v>
      </c>
      <c r="E1039" s="243"/>
      <c r="F1039" s="244" t="s">
        <v>971</v>
      </c>
      <c r="G1039" s="241">
        <f t="shared" si="16"/>
        <v>1028</v>
      </c>
    </row>
    <row r="1040" spans="2:7" x14ac:dyDescent="0.25">
      <c r="B1040" s="242"/>
      <c r="C1040" s="243"/>
      <c r="D1040" s="243">
        <v>4549</v>
      </c>
      <c r="E1040" s="243"/>
      <c r="F1040" s="244" t="s">
        <v>970</v>
      </c>
      <c r="G1040" s="241">
        <f t="shared" si="16"/>
        <v>1029</v>
      </c>
    </row>
    <row r="1041" spans="2:7" x14ac:dyDescent="0.25">
      <c r="B1041" s="242"/>
      <c r="C1041" s="243">
        <v>455</v>
      </c>
      <c r="D1041" s="243"/>
      <c r="E1041" s="243"/>
      <c r="F1041" s="244" t="s">
        <v>976</v>
      </c>
      <c r="G1041" s="241">
        <f t="shared" si="16"/>
        <v>1030</v>
      </c>
    </row>
    <row r="1042" spans="2:7" x14ac:dyDescent="0.25">
      <c r="B1042" s="242"/>
      <c r="C1042" s="243"/>
      <c r="D1042" s="243">
        <v>4551</v>
      </c>
      <c r="E1042" s="243"/>
      <c r="F1042" s="244" t="s">
        <v>790</v>
      </c>
      <c r="G1042" s="241">
        <f t="shared" si="16"/>
        <v>1031</v>
      </c>
    </row>
    <row r="1043" spans="2:7" x14ac:dyDescent="0.25">
      <c r="B1043" s="242"/>
      <c r="C1043" s="243"/>
      <c r="D1043" s="243"/>
      <c r="E1043" s="243">
        <v>45511</v>
      </c>
      <c r="F1043" s="244" t="s">
        <v>789</v>
      </c>
      <c r="G1043" s="241">
        <f t="shared" si="16"/>
        <v>1032</v>
      </c>
    </row>
    <row r="1044" spans="2:7" x14ac:dyDescent="0.25">
      <c r="B1044" s="242"/>
      <c r="C1044" s="243"/>
      <c r="D1044" s="243"/>
      <c r="E1044" s="243">
        <v>45512</v>
      </c>
      <c r="F1044" s="244" t="s">
        <v>788</v>
      </c>
      <c r="G1044" s="241">
        <f t="shared" si="16"/>
        <v>1033</v>
      </c>
    </row>
    <row r="1045" spans="2:7" x14ac:dyDescent="0.25">
      <c r="B1045" s="242"/>
      <c r="C1045" s="243"/>
      <c r="D1045" s="243">
        <v>4552</v>
      </c>
      <c r="E1045" s="243"/>
      <c r="F1045" s="244" t="s">
        <v>787</v>
      </c>
      <c r="G1045" s="241">
        <f t="shared" si="16"/>
        <v>1034</v>
      </c>
    </row>
    <row r="1046" spans="2:7" x14ac:dyDescent="0.25">
      <c r="B1046" s="242"/>
      <c r="C1046" s="243"/>
      <c r="D1046" s="243">
        <v>4553</v>
      </c>
      <c r="E1046" s="243"/>
      <c r="F1046" s="244" t="s">
        <v>784</v>
      </c>
      <c r="G1046" s="241">
        <f t="shared" si="16"/>
        <v>1035</v>
      </c>
    </row>
    <row r="1047" spans="2:7" x14ac:dyDescent="0.25">
      <c r="B1047" s="242"/>
      <c r="C1047" s="243"/>
      <c r="D1047" s="243"/>
      <c r="E1047" s="243">
        <v>45531</v>
      </c>
      <c r="F1047" s="244" t="s">
        <v>1469</v>
      </c>
      <c r="G1047" s="241">
        <f t="shared" si="16"/>
        <v>1036</v>
      </c>
    </row>
    <row r="1048" spans="2:7" x14ac:dyDescent="0.25">
      <c r="B1048" s="242"/>
      <c r="C1048" s="243"/>
      <c r="D1048" s="243"/>
      <c r="E1048" s="243">
        <v>45532</v>
      </c>
      <c r="F1048" s="244" t="s">
        <v>1470</v>
      </c>
      <c r="G1048" s="241">
        <f t="shared" si="16"/>
        <v>1037</v>
      </c>
    </row>
    <row r="1049" spans="2:7" x14ac:dyDescent="0.25">
      <c r="B1049" s="242"/>
      <c r="C1049" s="243"/>
      <c r="D1049" s="243"/>
      <c r="E1049" s="243">
        <v>45533</v>
      </c>
      <c r="F1049" s="244" t="s">
        <v>974</v>
      </c>
      <c r="G1049" s="241">
        <f t="shared" si="16"/>
        <v>1038</v>
      </c>
    </row>
    <row r="1050" spans="2:7" x14ac:dyDescent="0.25">
      <c r="B1050" s="242"/>
      <c r="C1050" s="243"/>
      <c r="D1050" s="243"/>
      <c r="E1050" s="243">
        <v>45539</v>
      </c>
      <c r="F1050" s="244" t="s">
        <v>1471</v>
      </c>
      <c r="G1050" s="241">
        <f t="shared" si="16"/>
        <v>1039</v>
      </c>
    </row>
    <row r="1051" spans="2:7" x14ac:dyDescent="0.25">
      <c r="B1051" s="242"/>
      <c r="C1051" s="243"/>
      <c r="D1051" s="243">
        <v>4554</v>
      </c>
      <c r="E1051" s="243"/>
      <c r="F1051" s="244" t="s">
        <v>786</v>
      </c>
      <c r="G1051" s="241">
        <f t="shared" si="16"/>
        <v>1040</v>
      </c>
    </row>
    <row r="1052" spans="2:7" x14ac:dyDescent="0.25">
      <c r="B1052" s="242"/>
      <c r="C1052" s="243"/>
      <c r="D1052" s="243"/>
      <c r="E1052" s="243">
        <v>45541</v>
      </c>
      <c r="F1052" s="244" t="s">
        <v>975</v>
      </c>
      <c r="G1052" s="241">
        <f t="shared" si="16"/>
        <v>1041</v>
      </c>
    </row>
    <row r="1053" spans="2:7" x14ac:dyDescent="0.25">
      <c r="B1053" s="242"/>
      <c r="C1053" s="243"/>
      <c r="D1053" s="243"/>
      <c r="E1053" s="243">
        <v>45542</v>
      </c>
      <c r="F1053" s="244" t="s">
        <v>974</v>
      </c>
      <c r="G1053" s="241">
        <f t="shared" si="16"/>
        <v>1042</v>
      </c>
    </row>
    <row r="1054" spans="2:7" x14ac:dyDescent="0.25">
      <c r="B1054" s="242"/>
      <c r="C1054" s="243"/>
      <c r="D1054" s="243"/>
      <c r="E1054" s="243">
        <v>45543</v>
      </c>
      <c r="F1054" s="244" t="s">
        <v>973</v>
      </c>
      <c r="G1054" s="241">
        <f t="shared" si="16"/>
        <v>1043</v>
      </c>
    </row>
    <row r="1055" spans="2:7" x14ac:dyDescent="0.25">
      <c r="B1055" s="242"/>
      <c r="C1055" s="243"/>
      <c r="D1055" s="243"/>
      <c r="E1055" s="243">
        <v>45544</v>
      </c>
      <c r="F1055" s="244" t="s">
        <v>972</v>
      </c>
      <c r="G1055" s="241">
        <f t="shared" si="16"/>
        <v>1044</v>
      </c>
    </row>
    <row r="1056" spans="2:7" x14ac:dyDescent="0.25">
      <c r="B1056" s="242"/>
      <c r="C1056" s="243"/>
      <c r="D1056" s="243"/>
      <c r="E1056" s="243">
        <v>45545</v>
      </c>
      <c r="F1056" s="244" t="s">
        <v>971</v>
      </c>
      <c r="G1056" s="241">
        <f t="shared" si="16"/>
        <v>1045</v>
      </c>
    </row>
    <row r="1057" spans="2:7" x14ac:dyDescent="0.25">
      <c r="B1057" s="242"/>
      <c r="C1057" s="243"/>
      <c r="D1057" s="243"/>
      <c r="E1057" s="243">
        <v>45549</v>
      </c>
      <c r="F1057" s="244" t="s">
        <v>1471</v>
      </c>
      <c r="G1057" s="241">
        <f t="shared" si="16"/>
        <v>1046</v>
      </c>
    </row>
    <row r="1058" spans="2:7" x14ac:dyDescent="0.25">
      <c r="B1058" s="242"/>
      <c r="C1058" s="243">
        <v>456</v>
      </c>
      <c r="D1058" s="243"/>
      <c r="E1058" s="243"/>
      <c r="F1058" s="244" t="s">
        <v>969</v>
      </c>
      <c r="G1058" s="241">
        <f t="shared" si="16"/>
        <v>1047</v>
      </c>
    </row>
    <row r="1059" spans="2:7" x14ac:dyDescent="0.25">
      <c r="B1059" s="242"/>
      <c r="C1059" s="243"/>
      <c r="D1059" s="243">
        <v>4561</v>
      </c>
      <c r="E1059" s="243"/>
      <c r="F1059" s="244" t="s">
        <v>969</v>
      </c>
      <c r="G1059" s="241">
        <f t="shared" si="16"/>
        <v>1048</v>
      </c>
    </row>
    <row r="1060" spans="2:7" x14ac:dyDescent="0.25">
      <c r="B1060" s="242">
        <v>46</v>
      </c>
      <c r="C1060" s="243"/>
      <c r="D1060" s="243"/>
      <c r="E1060" s="243"/>
      <c r="F1060" s="244" t="s">
        <v>968</v>
      </c>
      <c r="G1060" s="241">
        <f t="shared" si="16"/>
        <v>1049</v>
      </c>
    </row>
    <row r="1061" spans="2:7" x14ac:dyDescent="0.25">
      <c r="B1061" s="242"/>
      <c r="C1061" s="243">
        <v>461</v>
      </c>
      <c r="D1061" s="243"/>
      <c r="E1061" s="243"/>
      <c r="F1061" s="244" t="s">
        <v>967</v>
      </c>
      <c r="G1061" s="241">
        <f t="shared" si="16"/>
        <v>1050</v>
      </c>
    </row>
    <row r="1062" spans="2:7" x14ac:dyDescent="0.25">
      <c r="B1062" s="242"/>
      <c r="C1062" s="243"/>
      <c r="D1062" s="243">
        <v>4611</v>
      </c>
      <c r="E1062" s="243"/>
      <c r="F1062" s="244" t="s">
        <v>967</v>
      </c>
      <c r="G1062" s="241">
        <f t="shared" si="16"/>
        <v>1051</v>
      </c>
    </row>
    <row r="1063" spans="2:7" x14ac:dyDescent="0.25">
      <c r="B1063" s="242"/>
      <c r="C1063" s="243">
        <v>464</v>
      </c>
      <c r="D1063" s="243"/>
      <c r="E1063" s="243"/>
      <c r="F1063" s="244" t="s">
        <v>1472</v>
      </c>
      <c r="G1063" s="241">
        <f t="shared" si="16"/>
        <v>1052</v>
      </c>
    </row>
    <row r="1064" spans="2:7" x14ac:dyDescent="0.25">
      <c r="B1064" s="242"/>
      <c r="C1064" s="243"/>
      <c r="D1064" s="243">
        <v>4641</v>
      </c>
      <c r="E1064" s="243"/>
      <c r="F1064" s="244" t="s">
        <v>1473</v>
      </c>
      <c r="G1064" s="241">
        <f t="shared" si="16"/>
        <v>1053</v>
      </c>
    </row>
    <row r="1065" spans="2:7" x14ac:dyDescent="0.25">
      <c r="B1065" s="242"/>
      <c r="C1065" s="243"/>
      <c r="D1065" s="243">
        <v>4642</v>
      </c>
      <c r="E1065" s="243"/>
      <c r="F1065" s="244" t="s">
        <v>1474</v>
      </c>
      <c r="G1065" s="241">
        <f t="shared" si="16"/>
        <v>1054</v>
      </c>
    </row>
    <row r="1066" spans="2:7" x14ac:dyDescent="0.25">
      <c r="B1066" s="242"/>
      <c r="C1066" s="243"/>
      <c r="D1066" s="243"/>
      <c r="E1066" s="243">
        <v>46421</v>
      </c>
      <c r="F1066" s="244" t="s">
        <v>966</v>
      </c>
      <c r="G1066" s="241">
        <f t="shared" si="16"/>
        <v>1055</v>
      </c>
    </row>
    <row r="1067" spans="2:7" x14ac:dyDescent="0.25">
      <c r="B1067" s="242"/>
      <c r="C1067" s="243"/>
      <c r="D1067" s="243"/>
      <c r="E1067" s="243">
        <v>46422</v>
      </c>
      <c r="F1067" s="244" t="s">
        <v>965</v>
      </c>
      <c r="G1067" s="241">
        <f t="shared" si="16"/>
        <v>1056</v>
      </c>
    </row>
    <row r="1068" spans="2:7" x14ac:dyDescent="0.25">
      <c r="B1068" s="242"/>
      <c r="C1068" s="243">
        <v>465</v>
      </c>
      <c r="D1068" s="243"/>
      <c r="E1068" s="243"/>
      <c r="F1068" s="244" t="s">
        <v>964</v>
      </c>
      <c r="G1068" s="241">
        <f t="shared" si="16"/>
        <v>1057</v>
      </c>
    </row>
    <row r="1069" spans="2:7" x14ac:dyDescent="0.25">
      <c r="B1069" s="242"/>
      <c r="C1069" s="243"/>
      <c r="D1069" s="243">
        <v>4651</v>
      </c>
      <c r="E1069" s="243"/>
      <c r="F1069" s="244" t="s">
        <v>1475</v>
      </c>
      <c r="G1069" s="241">
        <f t="shared" si="16"/>
        <v>1058</v>
      </c>
    </row>
    <row r="1070" spans="2:7" x14ac:dyDescent="0.25">
      <c r="B1070" s="242"/>
      <c r="C1070" s="243"/>
      <c r="D1070" s="243">
        <v>4652</v>
      </c>
      <c r="E1070" s="243"/>
      <c r="F1070" s="244" t="s">
        <v>641</v>
      </c>
      <c r="G1070" s="241">
        <f t="shared" si="16"/>
        <v>1059</v>
      </c>
    </row>
    <row r="1071" spans="2:7" x14ac:dyDescent="0.25">
      <c r="B1071" s="242"/>
      <c r="C1071" s="243"/>
      <c r="D1071" s="243">
        <v>4653</v>
      </c>
      <c r="E1071" s="243"/>
      <c r="F1071" s="244" t="s">
        <v>648</v>
      </c>
      <c r="G1071" s="241">
        <f t="shared" si="16"/>
        <v>1060</v>
      </c>
    </row>
    <row r="1072" spans="2:7" x14ac:dyDescent="0.25">
      <c r="B1072" s="242"/>
      <c r="C1072" s="243"/>
      <c r="D1072" s="243">
        <v>4654</v>
      </c>
      <c r="E1072" s="243"/>
      <c r="F1072" s="244" t="s">
        <v>432</v>
      </c>
      <c r="G1072" s="241">
        <f t="shared" si="16"/>
        <v>1061</v>
      </c>
    </row>
    <row r="1073" spans="2:7" x14ac:dyDescent="0.25">
      <c r="B1073" s="242"/>
      <c r="C1073" s="243"/>
      <c r="D1073" s="243">
        <v>4655</v>
      </c>
      <c r="E1073" s="243"/>
      <c r="F1073" s="244" t="s">
        <v>521</v>
      </c>
      <c r="G1073" s="241">
        <f t="shared" si="16"/>
        <v>1062</v>
      </c>
    </row>
    <row r="1074" spans="2:7" x14ac:dyDescent="0.25">
      <c r="B1074" s="242"/>
      <c r="C1074" s="243"/>
      <c r="D1074" s="243">
        <v>4656</v>
      </c>
      <c r="E1074" s="243"/>
      <c r="F1074" s="244" t="s">
        <v>520</v>
      </c>
      <c r="G1074" s="241">
        <f t="shared" si="16"/>
        <v>1063</v>
      </c>
    </row>
    <row r="1075" spans="2:7" x14ac:dyDescent="0.25">
      <c r="B1075" s="242"/>
      <c r="C1075" s="243">
        <v>467</v>
      </c>
      <c r="D1075" s="243"/>
      <c r="E1075" s="243"/>
      <c r="F1075" s="244" t="s">
        <v>963</v>
      </c>
      <c r="G1075" s="241">
        <f t="shared" si="16"/>
        <v>1064</v>
      </c>
    </row>
    <row r="1076" spans="2:7" x14ac:dyDescent="0.25">
      <c r="B1076" s="242"/>
      <c r="C1076" s="243"/>
      <c r="D1076" s="243">
        <v>4671</v>
      </c>
      <c r="E1076" s="243"/>
      <c r="F1076" s="244" t="s">
        <v>963</v>
      </c>
      <c r="G1076" s="241">
        <f t="shared" si="16"/>
        <v>1065</v>
      </c>
    </row>
    <row r="1077" spans="2:7" x14ac:dyDescent="0.25">
      <c r="B1077" s="242"/>
      <c r="C1077" s="243">
        <v>469</v>
      </c>
      <c r="D1077" s="243"/>
      <c r="E1077" s="243"/>
      <c r="F1077" s="244" t="s">
        <v>937</v>
      </c>
      <c r="G1077" s="241">
        <f t="shared" si="16"/>
        <v>1066</v>
      </c>
    </row>
    <row r="1078" spans="2:7" x14ac:dyDescent="0.25">
      <c r="B1078" s="242"/>
      <c r="C1078" s="243"/>
      <c r="D1078" s="243">
        <v>4691</v>
      </c>
      <c r="E1078" s="243"/>
      <c r="F1078" s="244" t="s">
        <v>320</v>
      </c>
      <c r="G1078" s="241">
        <f t="shared" si="16"/>
        <v>1067</v>
      </c>
    </row>
    <row r="1079" spans="2:7" x14ac:dyDescent="0.25">
      <c r="B1079" s="242"/>
      <c r="C1079" s="243"/>
      <c r="D1079" s="243">
        <v>4692</v>
      </c>
      <c r="E1079" s="243"/>
      <c r="F1079" s="244" t="s">
        <v>1476</v>
      </c>
      <c r="G1079" s="241">
        <f t="shared" si="16"/>
        <v>1068</v>
      </c>
    </row>
    <row r="1080" spans="2:7" x14ac:dyDescent="0.25">
      <c r="B1080" s="242"/>
      <c r="C1080" s="243"/>
      <c r="D1080" s="243">
        <v>4699</v>
      </c>
      <c r="E1080" s="243"/>
      <c r="F1080" s="244" t="s">
        <v>937</v>
      </c>
      <c r="G1080" s="241">
        <f t="shared" si="16"/>
        <v>1069</v>
      </c>
    </row>
    <row r="1081" spans="2:7" x14ac:dyDescent="0.25">
      <c r="B1081" s="242">
        <v>47</v>
      </c>
      <c r="C1081" s="243"/>
      <c r="D1081" s="243"/>
      <c r="E1081" s="243"/>
      <c r="F1081" s="244" t="s">
        <v>962</v>
      </c>
      <c r="G1081" s="241">
        <f t="shared" si="16"/>
        <v>1070</v>
      </c>
    </row>
    <row r="1082" spans="2:7" x14ac:dyDescent="0.25">
      <c r="B1082" s="242"/>
      <c r="C1082" s="243">
        <v>471</v>
      </c>
      <c r="D1082" s="243"/>
      <c r="E1082" s="243"/>
      <c r="F1082" s="244" t="s">
        <v>961</v>
      </c>
      <c r="G1082" s="241">
        <f t="shared" si="16"/>
        <v>1071</v>
      </c>
    </row>
    <row r="1083" spans="2:7" x14ac:dyDescent="0.25">
      <c r="B1083" s="242"/>
      <c r="C1083" s="243"/>
      <c r="D1083" s="243">
        <v>4711</v>
      </c>
      <c r="E1083" s="243"/>
      <c r="F1083" s="244" t="s">
        <v>960</v>
      </c>
      <c r="G1083" s="241">
        <f t="shared" si="16"/>
        <v>1072</v>
      </c>
    </row>
    <row r="1084" spans="2:7" x14ac:dyDescent="0.25">
      <c r="B1084" s="242"/>
      <c r="C1084" s="243"/>
      <c r="D1084" s="243">
        <v>4712</v>
      </c>
      <c r="E1084" s="243"/>
      <c r="F1084" s="244" t="s">
        <v>959</v>
      </c>
      <c r="G1084" s="241">
        <f t="shared" si="16"/>
        <v>1073</v>
      </c>
    </row>
    <row r="1085" spans="2:7" x14ac:dyDescent="0.25">
      <c r="B1085" s="242"/>
      <c r="C1085" s="243"/>
      <c r="D1085" s="243">
        <v>4713</v>
      </c>
      <c r="E1085" s="243"/>
      <c r="F1085" s="244" t="s">
        <v>958</v>
      </c>
      <c r="G1085" s="241">
        <f t="shared" si="16"/>
        <v>1074</v>
      </c>
    </row>
    <row r="1086" spans="2:7" x14ac:dyDescent="0.25">
      <c r="B1086" s="242"/>
      <c r="C1086" s="243"/>
      <c r="D1086" s="243">
        <v>4714</v>
      </c>
      <c r="E1086" s="243"/>
      <c r="F1086" s="244" t="s">
        <v>957</v>
      </c>
      <c r="G1086" s="241">
        <f t="shared" si="16"/>
        <v>1075</v>
      </c>
    </row>
    <row r="1087" spans="2:7" x14ac:dyDescent="0.25">
      <c r="B1087" s="242"/>
      <c r="C1087" s="243"/>
      <c r="D1087" s="243">
        <v>4715</v>
      </c>
      <c r="E1087" s="243"/>
      <c r="F1087" s="244" t="s">
        <v>1477</v>
      </c>
      <c r="G1087" s="241">
        <f t="shared" si="16"/>
        <v>1076</v>
      </c>
    </row>
    <row r="1088" spans="2:7" x14ac:dyDescent="0.25">
      <c r="B1088" s="242"/>
      <c r="C1088" s="243">
        <v>472</v>
      </c>
      <c r="D1088" s="243"/>
      <c r="E1088" s="243"/>
      <c r="F1088" s="244" t="s">
        <v>956</v>
      </c>
      <c r="G1088" s="241">
        <f t="shared" si="16"/>
        <v>1077</v>
      </c>
    </row>
    <row r="1089" spans="2:7" x14ac:dyDescent="0.25">
      <c r="B1089" s="242"/>
      <c r="C1089" s="243"/>
      <c r="D1089" s="243">
        <v>4721</v>
      </c>
      <c r="E1089" s="243"/>
      <c r="F1089" s="244" t="s">
        <v>955</v>
      </c>
      <c r="G1089" s="241">
        <f t="shared" si="16"/>
        <v>1078</v>
      </c>
    </row>
    <row r="1090" spans="2:7" x14ac:dyDescent="0.25">
      <c r="B1090" s="242"/>
      <c r="C1090" s="243"/>
      <c r="D1090" s="243">
        <v>4722</v>
      </c>
      <c r="E1090" s="243"/>
      <c r="F1090" s="244" t="s">
        <v>954</v>
      </c>
      <c r="G1090" s="241">
        <f t="shared" si="16"/>
        <v>1079</v>
      </c>
    </row>
    <row r="1091" spans="2:7" x14ac:dyDescent="0.25">
      <c r="B1091" s="242"/>
      <c r="C1091" s="243"/>
      <c r="D1091" s="243">
        <v>4723</v>
      </c>
      <c r="E1091" s="243"/>
      <c r="F1091" s="244" t="s">
        <v>953</v>
      </c>
      <c r="G1091" s="241">
        <f t="shared" si="16"/>
        <v>1080</v>
      </c>
    </row>
    <row r="1092" spans="2:7" x14ac:dyDescent="0.25">
      <c r="B1092" s="242"/>
      <c r="C1092" s="243"/>
      <c r="D1092" s="243">
        <v>4724</v>
      </c>
      <c r="E1092" s="243"/>
      <c r="F1092" s="244" t="s">
        <v>952</v>
      </c>
      <c r="G1092" s="241">
        <f t="shared" si="16"/>
        <v>1081</v>
      </c>
    </row>
    <row r="1093" spans="2:7" x14ac:dyDescent="0.25">
      <c r="B1093" s="242"/>
      <c r="C1093" s="243"/>
      <c r="D1093" s="243">
        <v>4725</v>
      </c>
      <c r="E1093" s="243"/>
      <c r="F1093" s="244" t="s">
        <v>1478</v>
      </c>
      <c r="G1093" s="241">
        <f t="shared" si="16"/>
        <v>1082</v>
      </c>
    </row>
    <row r="1094" spans="2:7" x14ac:dyDescent="0.25">
      <c r="B1094" s="242"/>
      <c r="C1094" s="243">
        <v>473</v>
      </c>
      <c r="D1094" s="243"/>
      <c r="E1094" s="243"/>
      <c r="F1094" s="244" t="s">
        <v>951</v>
      </c>
      <c r="G1094" s="241">
        <f t="shared" si="16"/>
        <v>1083</v>
      </c>
    </row>
    <row r="1095" spans="2:7" x14ac:dyDescent="0.25">
      <c r="B1095" s="242"/>
      <c r="C1095" s="243"/>
      <c r="D1095" s="243">
        <v>4731</v>
      </c>
      <c r="E1095" s="243"/>
      <c r="F1095" s="244" t="s">
        <v>950</v>
      </c>
      <c r="G1095" s="241">
        <f t="shared" si="16"/>
        <v>1084</v>
      </c>
    </row>
    <row r="1096" spans="2:7" x14ac:dyDescent="0.25">
      <c r="B1096" s="242"/>
      <c r="C1096" s="243"/>
      <c r="D1096" s="243">
        <v>4732</v>
      </c>
      <c r="E1096" s="243"/>
      <c r="F1096" s="244" t="s">
        <v>949</v>
      </c>
      <c r="G1096" s="241">
        <f t="shared" si="16"/>
        <v>1085</v>
      </c>
    </row>
    <row r="1097" spans="2:7" x14ac:dyDescent="0.25">
      <c r="B1097" s="242"/>
      <c r="C1097" s="243"/>
      <c r="D1097" s="243">
        <v>4733</v>
      </c>
      <c r="E1097" s="243"/>
      <c r="F1097" s="244" t="s">
        <v>948</v>
      </c>
      <c r="G1097" s="241">
        <f t="shared" si="16"/>
        <v>1086</v>
      </c>
    </row>
    <row r="1098" spans="2:7" x14ac:dyDescent="0.25">
      <c r="B1098" s="242"/>
      <c r="C1098" s="243"/>
      <c r="D1098" s="243">
        <v>4734</v>
      </c>
      <c r="E1098" s="243"/>
      <c r="F1098" s="244" t="s">
        <v>947</v>
      </c>
      <c r="G1098" s="241">
        <f t="shared" si="16"/>
        <v>1087</v>
      </c>
    </row>
    <row r="1099" spans="2:7" x14ac:dyDescent="0.25">
      <c r="B1099" s="242"/>
      <c r="C1099" s="243"/>
      <c r="D1099" s="243">
        <v>4735</v>
      </c>
      <c r="E1099" s="243"/>
      <c r="F1099" s="244" t="s">
        <v>1479</v>
      </c>
      <c r="G1099" s="241">
        <f t="shared" si="16"/>
        <v>1088</v>
      </c>
    </row>
    <row r="1100" spans="2:7" x14ac:dyDescent="0.25">
      <c r="B1100" s="242"/>
      <c r="C1100" s="243">
        <v>474</v>
      </c>
      <c r="D1100" s="243"/>
      <c r="E1100" s="243"/>
      <c r="F1100" s="244" t="s">
        <v>659</v>
      </c>
      <c r="G1100" s="241">
        <f t="shared" si="16"/>
        <v>1089</v>
      </c>
    </row>
    <row r="1101" spans="2:7" x14ac:dyDescent="0.25">
      <c r="B1101" s="242"/>
      <c r="C1101" s="243"/>
      <c r="D1101" s="243">
        <v>4741</v>
      </c>
      <c r="E1101" s="243"/>
      <c r="F1101" s="244" t="s">
        <v>946</v>
      </c>
      <c r="G1101" s="241">
        <f t="shared" ref="G1101:G1164" si="17">G1100+1</f>
        <v>1090</v>
      </c>
    </row>
    <row r="1102" spans="2:7" x14ac:dyDescent="0.25">
      <c r="B1102" s="242"/>
      <c r="C1102" s="243"/>
      <c r="D1102" s="243">
        <v>4742</v>
      </c>
      <c r="E1102" s="243"/>
      <c r="F1102" s="244" t="s">
        <v>945</v>
      </c>
      <c r="G1102" s="241">
        <f t="shared" si="17"/>
        <v>1091</v>
      </c>
    </row>
    <row r="1103" spans="2:7" x14ac:dyDescent="0.25">
      <c r="B1103" s="242"/>
      <c r="C1103" s="243"/>
      <c r="D1103" s="243">
        <v>4743</v>
      </c>
      <c r="E1103" s="243"/>
      <c r="F1103" s="244" t="s">
        <v>944</v>
      </c>
      <c r="G1103" s="241">
        <f t="shared" si="17"/>
        <v>1092</v>
      </c>
    </row>
    <row r="1104" spans="2:7" x14ac:dyDescent="0.25">
      <c r="B1104" s="242"/>
      <c r="C1104" s="243"/>
      <c r="D1104" s="243">
        <v>4744</v>
      </c>
      <c r="E1104" s="243"/>
      <c r="F1104" s="244" t="s">
        <v>943</v>
      </c>
      <c r="G1104" s="241">
        <f t="shared" si="17"/>
        <v>1093</v>
      </c>
    </row>
    <row r="1105" spans="2:7" x14ac:dyDescent="0.25">
      <c r="B1105" s="242"/>
      <c r="C1105" s="243"/>
      <c r="D1105" s="243">
        <v>4745</v>
      </c>
      <c r="E1105" s="243"/>
      <c r="F1105" s="244" t="s">
        <v>1316</v>
      </c>
      <c r="G1105" s="241">
        <f t="shared" si="17"/>
        <v>1094</v>
      </c>
    </row>
    <row r="1106" spans="2:7" x14ac:dyDescent="0.25">
      <c r="B1106" s="242"/>
      <c r="C1106" s="243">
        <v>475</v>
      </c>
      <c r="D1106" s="243"/>
      <c r="E1106" s="243"/>
      <c r="F1106" s="244" t="s">
        <v>631</v>
      </c>
      <c r="G1106" s="241">
        <f t="shared" si="17"/>
        <v>1095</v>
      </c>
    </row>
    <row r="1107" spans="2:7" x14ac:dyDescent="0.25">
      <c r="B1107" s="242"/>
      <c r="C1107" s="243"/>
      <c r="D1107" s="243">
        <v>4751</v>
      </c>
      <c r="E1107" s="243"/>
      <c r="F1107" s="244" t="s">
        <v>942</v>
      </c>
      <c r="G1107" s="241">
        <f t="shared" si="17"/>
        <v>1096</v>
      </c>
    </row>
    <row r="1108" spans="2:7" x14ac:dyDescent="0.25">
      <c r="B1108" s="242"/>
      <c r="C1108" s="243"/>
      <c r="D1108" s="243">
        <v>4752</v>
      </c>
      <c r="E1108" s="243"/>
      <c r="F1108" s="244" t="s">
        <v>941</v>
      </c>
      <c r="G1108" s="241">
        <f t="shared" si="17"/>
        <v>1097</v>
      </c>
    </row>
    <row r="1109" spans="2:7" x14ac:dyDescent="0.25">
      <c r="B1109" s="242"/>
      <c r="C1109" s="243"/>
      <c r="D1109" s="243">
        <v>4753</v>
      </c>
      <c r="E1109" s="243"/>
      <c r="F1109" s="244" t="s">
        <v>940</v>
      </c>
      <c r="G1109" s="241">
        <f t="shared" si="17"/>
        <v>1098</v>
      </c>
    </row>
    <row r="1110" spans="2:7" x14ac:dyDescent="0.25">
      <c r="B1110" s="242"/>
      <c r="C1110" s="243"/>
      <c r="D1110" s="243">
        <v>4754</v>
      </c>
      <c r="E1110" s="243"/>
      <c r="F1110" s="244" t="s">
        <v>939</v>
      </c>
      <c r="G1110" s="241">
        <f t="shared" si="17"/>
        <v>1099</v>
      </c>
    </row>
    <row r="1111" spans="2:7" x14ac:dyDescent="0.25">
      <c r="B1111" s="242"/>
      <c r="C1111" s="243"/>
      <c r="D1111" s="243">
        <v>4755</v>
      </c>
      <c r="E1111" s="243"/>
      <c r="F1111" s="244" t="s">
        <v>1317</v>
      </c>
      <c r="G1111" s="241">
        <f t="shared" si="17"/>
        <v>1100</v>
      </c>
    </row>
    <row r="1112" spans="2:7" x14ac:dyDescent="0.25">
      <c r="B1112" s="242"/>
      <c r="C1112" s="243">
        <v>477</v>
      </c>
      <c r="D1112" s="243"/>
      <c r="E1112" s="243"/>
      <c r="F1112" s="244" t="s">
        <v>938</v>
      </c>
      <c r="G1112" s="241">
        <f t="shared" si="17"/>
        <v>1101</v>
      </c>
    </row>
    <row r="1113" spans="2:7" x14ac:dyDescent="0.25">
      <c r="B1113" s="242"/>
      <c r="C1113" s="243"/>
      <c r="D1113" s="243">
        <v>4771</v>
      </c>
      <c r="E1113" s="243"/>
      <c r="F1113" s="244" t="s">
        <v>1475</v>
      </c>
      <c r="G1113" s="241">
        <f t="shared" si="17"/>
        <v>1102</v>
      </c>
    </row>
    <row r="1114" spans="2:7" x14ac:dyDescent="0.25">
      <c r="B1114" s="242"/>
      <c r="C1114" s="243"/>
      <c r="D1114" s="243"/>
      <c r="E1114" s="243">
        <v>47711</v>
      </c>
      <c r="F1114" s="244" t="s">
        <v>1480</v>
      </c>
      <c r="G1114" s="241">
        <f t="shared" si="17"/>
        <v>1103</v>
      </c>
    </row>
    <row r="1115" spans="2:7" x14ac:dyDescent="0.25">
      <c r="B1115" s="242"/>
      <c r="C1115" s="243"/>
      <c r="D1115" s="243"/>
      <c r="E1115" s="243">
        <v>47712</v>
      </c>
      <c r="F1115" s="244" t="s">
        <v>1481</v>
      </c>
      <c r="G1115" s="241">
        <f t="shared" si="17"/>
        <v>1104</v>
      </c>
    </row>
    <row r="1116" spans="2:7" x14ac:dyDescent="0.25">
      <c r="B1116" s="242"/>
      <c r="C1116" s="243"/>
      <c r="D1116" s="243"/>
      <c r="E1116" s="243">
        <v>47713</v>
      </c>
      <c r="F1116" s="244" t="s">
        <v>1482</v>
      </c>
      <c r="G1116" s="241">
        <f t="shared" si="17"/>
        <v>1105</v>
      </c>
    </row>
    <row r="1117" spans="2:7" x14ac:dyDescent="0.25">
      <c r="B1117" s="242"/>
      <c r="C1117" s="243"/>
      <c r="D1117" s="243"/>
      <c r="E1117" s="243">
        <v>47714</v>
      </c>
      <c r="F1117" s="244" t="s">
        <v>1483</v>
      </c>
      <c r="G1117" s="241">
        <f t="shared" si="17"/>
        <v>1106</v>
      </c>
    </row>
    <row r="1118" spans="2:7" x14ac:dyDescent="0.25">
      <c r="B1118" s="242"/>
      <c r="C1118" s="243"/>
      <c r="D1118" s="243"/>
      <c r="E1118" s="243">
        <v>47715</v>
      </c>
      <c r="F1118" s="244" t="s">
        <v>1484</v>
      </c>
      <c r="G1118" s="241">
        <f t="shared" si="17"/>
        <v>1107</v>
      </c>
    </row>
    <row r="1119" spans="2:7" x14ac:dyDescent="0.25">
      <c r="B1119" s="242"/>
      <c r="C1119" s="243"/>
      <c r="D1119" s="243">
        <v>4772</v>
      </c>
      <c r="E1119" s="243"/>
      <c r="F1119" s="244" t="s">
        <v>641</v>
      </c>
      <c r="G1119" s="241">
        <f t="shared" si="17"/>
        <v>1108</v>
      </c>
    </row>
    <row r="1120" spans="2:7" x14ac:dyDescent="0.25">
      <c r="B1120" s="242"/>
      <c r="C1120" s="243"/>
      <c r="D1120" s="243"/>
      <c r="E1120" s="243">
        <v>47721</v>
      </c>
      <c r="F1120" s="244" t="s">
        <v>1485</v>
      </c>
      <c r="G1120" s="241">
        <f t="shared" si="17"/>
        <v>1109</v>
      </c>
    </row>
    <row r="1121" spans="2:7" x14ac:dyDescent="0.25">
      <c r="B1121" s="242"/>
      <c r="C1121" s="243"/>
      <c r="D1121" s="243"/>
      <c r="E1121" s="243">
        <v>47722</v>
      </c>
      <c r="F1121" s="244" t="s">
        <v>1486</v>
      </c>
      <c r="G1121" s="241">
        <f t="shared" si="17"/>
        <v>1110</v>
      </c>
    </row>
    <row r="1122" spans="2:7" x14ac:dyDescent="0.25">
      <c r="B1122" s="242"/>
      <c r="C1122" s="243"/>
      <c r="D1122" s="243"/>
      <c r="E1122" s="243">
        <v>47723</v>
      </c>
      <c r="F1122" s="244" t="s">
        <v>1487</v>
      </c>
      <c r="G1122" s="241">
        <f t="shared" si="17"/>
        <v>1111</v>
      </c>
    </row>
    <row r="1123" spans="2:7" x14ac:dyDescent="0.25">
      <c r="B1123" s="242"/>
      <c r="C1123" s="243"/>
      <c r="D1123" s="243"/>
      <c r="E1123" s="243">
        <v>47724</v>
      </c>
      <c r="F1123" s="244" t="s">
        <v>1488</v>
      </c>
      <c r="G1123" s="241">
        <f t="shared" si="17"/>
        <v>1112</v>
      </c>
    </row>
    <row r="1124" spans="2:7" x14ac:dyDescent="0.25">
      <c r="B1124" s="242"/>
      <c r="C1124" s="243"/>
      <c r="D1124" s="243"/>
      <c r="E1124" s="243">
        <v>47725</v>
      </c>
      <c r="F1124" s="244" t="s">
        <v>1489</v>
      </c>
      <c r="G1124" s="241">
        <f t="shared" si="17"/>
        <v>1113</v>
      </c>
    </row>
    <row r="1125" spans="2:7" x14ac:dyDescent="0.25">
      <c r="B1125" s="242"/>
      <c r="C1125" s="243"/>
      <c r="D1125" s="243">
        <v>4773</v>
      </c>
      <c r="E1125" s="243"/>
      <c r="F1125" s="244" t="s">
        <v>648</v>
      </c>
      <c r="G1125" s="241">
        <f t="shared" si="17"/>
        <v>1114</v>
      </c>
    </row>
    <row r="1126" spans="2:7" x14ac:dyDescent="0.25">
      <c r="B1126" s="242"/>
      <c r="C1126" s="243"/>
      <c r="D1126" s="243"/>
      <c r="E1126" s="243">
        <v>47731</v>
      </c>
      <c r="F1126" s="244" t="s">
        <v>1490</v>
      </c>
      <c r="G1126" s="241">
        <f t="shared" si="17"/>
        <v>1115</v>
      </c>
    </row>
    <row r="1127" spans="2:7" x14ac:dyDescent="0.25">
      <c r="B1127" s="242"/>
      <c r="C1127" s="243"/>
      <c r="D1127" s="243"/>
      <c r="E1127" s="243">
        <v>47732</v>
      </c>
      <c r="F1127" s="244" t="s">
        <v>1491</v>
      </c>
      <c r="G1127" s="241">
        <f t="shared" si="17"/>
        <v>1116</v>
      </c>
    </row>
    <row r="1128" spans="2:7" x14ac:dyDescent="0.25">
      <c r="B1128" s="242"/>
      <c r="C1128" s="243"/>
      <c r="D1128" s="243"/>
      <c r="E1128" s="243">
        <v>47733</v>
      </c>
      <c r="F1128" s="244" t="s">
        <v>1492</v>
      </c>
      <c r="G1128" s="241">
        <f t="shared" si="17"/>
        <v>1117</v>
      </c>
    </row>
    <row r="1129" spans="2:7" x14ac:dyDescent="0.25">
      <c r="B1129" s="242"/>
      <c r="C1129" s="243"/>
      <c r="D1129" s="243"/>
      <c r="E1129" s="243">
        <v>47734</v>
      </c>
      <c r="F1129" s="244" t="s">
        <v>1493</v>
      </c>
      <c r="G1129" s="241">
        <f t="shared" si="17"/>
        <v>1118</v>
      </c>
    </row>
    <row r="1130" spans="2:7" x14ac:dyDescent="0.25">
      <c r="B1130" s="242"/>
      <c r="C1130" s="243"/>
      <c r="D1130" s="243"/>
      <c r="E1130" s="243">
        <v>47735</v>
      </c>
      <c r="F1130" s="244" t="s">
        <v>1494</v>
      </c>
      <c r="G1130" s="241">
        <f t="shared" si="17"/>
        <v>1119</v>
      </c>
    </row>
    <row r="1131" spans="2:7" x14ac:dyDescent="0.25">
      <c r="B1131" s="242"/>
      <c r="C1131" s="243"/>
      <c r="D1131" s="243">
        <v>4774</v>
      </c>
      <c r="E1131" s="243"/>
      <c r="F1131" s="244" t="s">
        <v>432</v>
      </c>
      <c r="G1131" s="241">
        <f t="shared" si="17"/>
        <v>1120</v>
      </c>
    </row>
    <row r="1132" spans="2:7" x14ac:dyDescent="0.25">
      <c r="B1132" s="242"/>
      <c r="C1132" s="243"/>
      <c r="D1132" s="243"/>
      <c r="E1132" s="243">
        <v>47741</v>
      </c>
      <c r="F1132" s="244" t="s">
        <v>1495</v>
      </c>
      <c r="G1132" s="241">
        <f t="shared" si="17"/>
        <v>1121</v>
      </c>
    </row>
    <row r="1133" spans="2:7" x14ac:dyDescent="0.25">
      <c r="B1133" s="242"/>
      <c r="C1133" s="243"/>
      <c r="D1133" s="243"/>
      <c r="E1133" s="243">
        <v>47742</v>
      </c>
      <c r="F1133" s="244" t="s">
        <v>1496</v>
      </c>
      <c r="G1133" s="241">
        <f t="shared" si="17"/>
        <v>1122</v>
      </c>
    </row>
    <row r="1134" spans="2:7" x14ac:dyDescent="0.25">
      <c r="B1134" s="242"/>
      <c r="C1134" s="243"/>
      <c r="D1134" s="243"/>
      <c r="E1134" s="243">
        <v>47743</v>
      </c>
      <c r="F1134" s="244" t="s">
        <v>1497</v>
      </c>
      <c r="G1134" s="241">
        <f t="shared" si="17"/>
        <v>1123</v>
      </c>
    </row>
    <row r="1135" spans="2:7" x14ac:dyDescent="0.25">
      <c r="B1135" s="242"/>
      <c r="C1135" s="243"/>
      <c r="D1135" s="243"/>
      <c r="E1135" s="243">
        <v>47744</v>
      </c>
      <c r="F1135" s="244" t="s">
        <v>1498</v>
      </c>
      <c r="G1135" s="241">
        <f t="shared" si="17"/>
        <v>1124</v>
      </c>
    </row>
    <row r="1136" spans="2:7" x14ac:dyDescent="0.25">
      <c r="B1136" s="242"/>
      <c r="C1136" s="243"/>
      <c r="D1136" s="243"/>
      <c r="E1136" s="243">
        <v>47745</v>
      </c>
      <c r="F1136" s="244" t="s">
        <v>1499</v>
      </c>
      <c r="G1136" s="241">
        <f t="shared" si="17"/>
        <v>1125</v>
      </c>
    </row>
    <row r="1137" spans="2:7" x14ac:dyDescent="0.25">
      <c r="B1137" s="242"/>
      <c r="C1137" s="243"/>
      <c r="D1137" s="243">
        <v>4775</v>
      </c>
      <c r="E1137" s="243"/>
      <c r="F1137" s="244" t="s">
        <v>521</v>
      </c>
      <c r="G1137" s="241">
        <f t="shared" si="17"/>
        <v>1126</v>
      </c>
    </row>
    <row r="1138" spans="2:7" x14ac:dyDescent="0.25">
      <c r="B1138" s="242"/>
      <c r="C1138" s="243"/>
      <c r="D1138" s="243"/>
      <c r="E1138" s="243">
        <v>47751</v>
      </c>
      <c r="F1138" s="244" t="s">
        <v>1500</v>
      </c>
      <c r="G1138" s="241">
        <f t="shared" si="17"/>
        <v>1127</v>
      </c>
    </row>
    <row r="1139" spans="2:7" x14ac:dyDescent="0.25">
      <c r="B1139" s="242"/>
      <c r="C1139" s="243"/>
      <c r="D1139" s="243"/>
      <c r="E1139" s="243">
        <v>47752</v>
      </c>
      <c r="F1139" s="244" t="s">
        <v>1501</v>
      </c>
      <c r="G1139" s="241">
        <f t="shared" si="17"/>
        <v>1128</v>
      </c>
    </row>
    <row r="1140" spans="2:7" x14ac:dyDescent="0.25">
      <c r="B1140" s="242"/>
      <c r="C1140" s="243"/>
      <c r="D1140" s="243"/>
      <c r="E1140" s="243">
        <v>47753</v>
      </c>
      <c r="F1140" s="244" t="s">
        <v>1502</v>
      </c>
      <c r="G1140" s="241">
        <f t="shared" si="17"/>
        <v>1129</v>
      </c>
    </row>
    <row r="1141" spans="2:7" x14ac:dyDescent="0.25">
      <c r="B1141" s="242"/>
      <c r="C1141" s="243"/>
      <c r="D1141" s="243"/>
      <c r="E1141" s="243">
        <v>47754</v>
      </c>
      <c r="F1141" s="244" t="s">
        <v>1503</v>
      </c>
      <c r="G1141" s="241">
        <f t="shared" si="17"/>
        <v>1130</v>
      </c>
    </row>
    <row r="1142" spans="2:7" x14ac:dyDescent="0.25">
      <c r="B1142" s="242"/>
      <c r="C1142" s="243"/>
      <c r="D1142" s="243"/>
      <c r="E1142" s="243">
        <v>47755</v>
      </c>
      <c r="F1142" s="244" t="s">
        <v>1504</v>
      </c>
      <c r="G1142" s="241">
        <f t="shared" si="17"/>
        <v>1131</v>
      </c>
    </row>
    <row r="1143" spans="2:7" x14ac:dyDescent="0.25">
      <c r="B1143" s="242"/>
      <c r="C1143" s="243"/>
      <c r="D1143" s="243">
        <v>4776</v>
      </c>
      <c r="E1143" s="243"/>
      <c r="F1143" s="244" t="s">
        <v>520</v>
      </c>
      <c r="G1143" s="241">
        <f t="shared" si="17"/>
        <v>1132</v>
      </c>
    </row>
    <row r="1144" spans="2:7" x14ac:dyDescent="0.25">
      <c r="B1144" s="242"/>
      <c r="C1144" s="243"/>
      <c r="D1144" s="243"/>
      <c r="E1144" s="243">
        <v>47761</v>
      </c>
      <c r="F1144" s="244" t="s">
        <v>1505</v>
      </c>
      <c r="G1144" s="241">
        <f t="shared" si="17"/>
        <v>1133</v>
      </c>
    </row>
    <row r="1145" spans="2:7" x14ac:dyDescent="0.25">
      <c r="B1145" s="242"/>
      <c r="C1145" s="243"/>
      <c r="D1145" s="243"/>
      <c r="E1145" s="243">
        <v>47762</v>
      </c>
      <c r="F1145" s="244" t="s">
        <v>1506</v>
      </c>
      <c r="G1145" s="241">
        <f t="shared" si="17"/>
        <v>1134</v>
      </c>
    </row>
    <row r="1146" spans="2:7" x14ac:dyDescent="0.25">
      <c r="B1146" s="242"/>
      <c r="C1146" s="243"/>
      <c r="D1146" s="243"/>
      <c r="E1146" s="243">
        <v>47763</v>
      </c>
      <c r="F1146" s="244" t="s">
        <v>1507</v>
      </c>
      <c r="G1146" s="241">
        <f t="shared" si="17"/>
        <v>1135</v>
      </c>
    </row>
    <row r="1147" spans="2:7" x14ac:dyDescent="0.25">
      <c r="B1147" s="242"/>
      <c r="C1147" s="243"/>
      <c r="D1147" s="243"/>
      <c r="E1147" s="243">
        <v>47764</v>
      </c>
      <c r="F1147" s="244" t="s">
        <v>1508</v>
      </c>
      <c r="G1147" s="241">
        <f t="shared" si="17"/>
        <v>1136</v>
      </c>
    </row>
    <row r="1148" spans="2:7" x14ac:dyDescent="0.25">
      <c r="B1148" s="242"/>
      <c r="C1148" s="243"/>
      <c r="D1148" s="243"/>
      <c r="E1148" s="243">
        <v>47765</v>
      </c>
      <c r="F1148" s="244" t="s">
        <v>1509</v>
      </c>
      <c r="G1148" s="241">
        <f t="shared" si="17"/>
        <v>1137</v>
      </c>
    </row>
    <row r="1149" spans="2:7" x14ac:dyDescent="0.25">
      <c r="B1149" s="242"/>
      <c r="C1149" s="243">
        <v>479</v>
      </c>
      <c r="D1149" s="243"/>
      <c r="E1149" s="243"/>
      <c r="F1149" s="244" t="s">
        <v>937</v>
      </c>
      <c r="G1149" s="241">
        <f t="shared" si="17"/>
        <v>1138</v>
      </c>
    </row>
    <row r="1150" spans="2:7" x14ac:dyDescent="0.25">
      <c r="B1150" s="242"/>
      <c r="C1150" s="243"/>
      <c r="D1150" s="243">
        <v>4791</v>
      </c>
      <c r="E1150" s="243"/>
      <c r="F1150" s="244" t="s">
        <v>937</v>
      </c>
      <c r="G1150" s="241">
        <f t="shared" si="17"/>
        <v>1139</v>
      </c>
    </row>
    <row r="1151" spans="2:7" x14ac:dyDescent="0.25">
      <c r="B1151" s="242"/>
      <c r="C1151" s="243"/>
      <c r="D1151" s="243"/>
      <c r="E1151" s="243">
        <v>47911</v>
      </c>
      <c r="F1151" s="244" t="s">
        <v>936</v>
      </c>
      <c r="G1151" s="241">
        <f t="shared" si="17"/>
        <v>1140</v>
      </c>
    </row>
    <row r="1152" spans="2:7" x14ac:dyDescent="0.25">
      <c r="B1152" s="242"/>
      <c r="C1152" s="243"/>
      <c r="D1152" s="243"/>
      <c r="E1152" s="243">
        <v>47912</v>
      </c>
      <c r="F1152" s="244" t="s">
        <v>935</v>
      </c>
      <c r="G1152" s="241">
        <f t="shared" si="17"/>
        <v>1141</v>
      </c>
    </row>
    <row r="1153" spans="2:7" x14ac:dyDescent="0.25">
      <c r="B1153" s="242"/>
      <c r="C1153" s="243"/>
      <c r="D1153" s="243"/>
      <c r="E1153" s="243">
        <v>47913</v>
      </c>
      <c r="F1153" s="244" t="s">
        <v>934</v>
      </c>
      <c r="G1153" s="241">
        <f t="shared" si="17"/>
        <v>1142</v>
      </c>
    </row>
    <row r="1154" spans="2:7" x14ac:dyDescent="0.25">
      <c r="B1154" s="242"/>
      <c r="C1154" s="243"/>
      <c r="D1154" s="243"/>
      <c r="E1154" s="243">
        <v>47914</v>
      </c>
      <c r="F1154" s="244" t="s">
        <v>933</v>
      </c>
      <c r="G1154" s="241">
        <f t="shared" si="17"/>
        <v>1143</v>
      </c>
    </row>
    <row r="1155" spans="2:7" x14ac:dyDescent="0.25">
      <c r="B1155" s="242"/>
      <c r="C1155" s="243"/>
      <c r="D1155" s="243"/>
      <c r="E1155" s="243">
        <v>47915</v>
      </c>
      <c r="F1155" s="244" t="s">
        <v>1510</v>
      </c>
      <c r="G1155" s="241">
        <f t="shared" si="17"/>
        <v>1144</v>
      </c>
    </row>
    <row r="1156" spans="2:7" x14ac:dyDescent="0.25">
      <c r="B1156" s="242">
        <v>48</v>
      </c>
      <c r="C1156" s="243"/>
      <c r="D1156" s="243"/>
      <c r="E1156" s="243"/>
      <c r="F1156" s="244" t="s">
        <v>932</v>
      </c>
      <c r="G1156" s="241">
        <f t="shared" si="17"/>
        <v>1145</v>
      </c>
    </row>
    <row r="1157" spans="2:7" x14ac:dyDescent="0.25">
      <c r="B1157" s="242"/>
      <c r="C1157" s="243">
        <v>481</v>
      </c>
      <c r="D1157" s="243"/>
      <c r="E1157" s="243"/>
      <c r="F1157" s="244" t="s">
        <v>746</v>
      </c>
      <c r="G1157" s="241">
        <f t="shared" si="17"/>
        <v>1146</v>
      </c>
    </row>
    <row r="1158" spans="2:7" x14ac:dyDescent="0.25">
      <c r="B1158" s="242"/>
      <c r="C1158" s="243"/>
      <c r="D1158" s="243">
        <v>4811</v>
      </c>
      <c r="E1158" s="243"/>
      <c r="F1158" s="244" t="s">
        <v>746</v>
      </c>
      <c r="G1158" s="241">
        <f t="shared" si="17"/>
        <v>1147</v>
      </c>
    </row>
    <row r="1159" spans="2:7" x14ac:dyDescent="0.25">
      <c r="B1159" s="242"/>
      <c r="C1159" s="243">
        <v>482</v>
      </c>
      <c r="D1159" s="243"/>
      <c r="E1159" s="243"/>
      <c r="F1159" s="244" t="s">
        <v>931</v>
      </c>
      <c r="G1159" s="241">
        <f t="shared" si="17"/>
        <v>1148</v>
      </c>
    </row>
    <row r="1160" spans="2:7" x14ac:dyDescent="0.25">
      <c r="B1160" s="242"/>
      <c r="C1160" s="243"/>
      <c r="D1160" s="243">
        <v>4821</v>
      </c>
      <c r="E1160" s="243"/>
      <c r="F1160" s="244" t="s">
        <v>931</v>
      </c>
      <c r="G1160" s="241">
        <f t="shared" si="17"/>
        <v>1149</v>
      </c>
    </row>
    <row r="1161" spans="2:7" x14ac:dyDescent="0.25">
      <c r="B1161" s="242"/>
      <c r="C1161" s="243">
        <v>483</v>
      </c>
      <c r="D1161" s="243"/>
      <c r="E1161" s="243"/>
      <c r="F1161" s="244" t="s">
        <v>740</v>
      </c>
      <c r="G1161" s="241">
        <f t="shared" si="17"/>
        <v>1150</v>
      </c>
    </row>
    <row r="1162" spans="2:7" x14ac:dyDescent="0.25">
      <c r="B1162" s="242"/>
      <c r="C1162" s="243"/>
      <c r="D1162" s="243">
        <v>4831</v>
      </c>
      <c r="E1162" s="243"/>
      <c r="F1162" s="244" t="s">
        <v>740</v>
      </c>
      <c r="G1162" s="241">
        <f t="shared" si="17"/>
        <v>1151</v>
      </c>
    </row>
    <row r="1163" spans="2:7" x14ac:dyDescent="0.25">
      <c r="B1163" s="242"/>
      <c r="C1163" s="243">
        <v>484</v>
      </c>
      <c r="D1163" s="243"/>
      <c r="E1163" s="243"/>
      <c r="F1163" s="244" t="s">
        <v>739</v>
      </c>
      <c r="G1163" s="241">
        <f t="shared" si="17"/>
        <v>1152</v>
      </c>
    </row>
    <row r="1164" spans="2:7" x14ac:dyDescent="0.25">
      <c r="B1164" s="242"/>
      <c r="C1164" s="243"/>
      <c r="D1164" s="243">
        <v>4841</v>
      </c>
      <c r="E1164" s="243"/>
      <c r="F1164" s="244" t="s">
        <v>739</v>
      </c>
      <c r="G1164" s="241">
        <f t="shared" si="17"/>
        <v>1153</v>
      </c>
    </row>
    <row r="1165" spans="2:7" x14ac:dyDescent="0.25">
      <c r="B1165" s="242"/>
      <c r="C1165" s="243">
        <v>485</v>
      </c>
      <c r="D1165" s="243"/>
      <c r="E1165" s="243"/>
      <c r="F1165" s="244" t="s">
        <v>738</v>
      </c>
      <c r="G1165" s="241">
        <f t="shared" ref="G1165:G1228" si="18">G1164+1</f>
        <v>1154</v>
      </c>
    </row>
    <row r="1166" spans="2:7" x14ac:dyDescent="0.25">
      <c r="B1166" s="242"/>
      <c r="C1166" s="243"/>
      <c r="D1166" s="243">
        <v>4851</v>
      </c>
      <c r="E1166" s="243"/>
      <c r="F1166" s="244" t="s">
        <v>738</v>
      </c>
      <c r="G1166" s="241">
        <f t="shared" si="18"/>
        <v>1155</v>
      </c>
    </row>
    <row r="1167" spans="2:7" x14ac:dyDescent="0.25">
      <c r="B1167" s="242"/>
      <c r="C1167" s="243">
        <v>486</v>
      </c>
      <c r="D1167" s="243"/>
      <c r="E1167" s="243"/>
      <c r="F1167" s="244" t="s">
        <v>1511</v>
      </c>
      <c r="G1167" s="241">
        <f t="shared" si="18"/>
        <v>1156</v>
      </c>
    </row>
    <row r="1168" spans="2:7" x14ac:dyDescent="0.25">
      <c r="B1168" s="242"/>
      <c r="C1168" s="243"/>
      <c r="D1168" s="243">
        <v>4861</v>
      </c>
      <c r="E1168" s="243"/>
      <c r="F1168" s="244" t="s">
        <v>1511</v>
      </c>
      <c r="G1168" s="241">
        <f t="shared" si="18"/>
        <v>1157</v>
      </c>
    </row>
    <row r="1169" spans="2:7" x14ac:dyDescent="0.25">
      <c r="B1169" s="242"/>
      <c r="C1169" s="243">
        <v>489</v>
      </c>
      <c r="D1169" s="243"/>
      <c r="E1169" s="243"/>
      <c r="F1169" s="244" t="s">
        <v>737</v>
      </c>
      <c r="G1169" s="241">
        <f t="shared" si="18"/>
        <v>1158</v>
      </c>
    </row>
    <row r="1170" spans="2:7" x14ac:dyDescent="0.25">
      <c r="B1170" s="242"/>
      <c r="C1170" s="243"/>
      <c r="D1170" s="243">
        <v>4891</v>
      </c>
      <c r="E1170" s="243"/>
      <c r="F1170" s="244" t="s">
        <v>737</v>
      </c>
      <c r="G1170" s="241">
        <f t="shared" si="18"/>
        <v>1159</v>
      </c>
    </row>
    <row r="1171" spans="2:7" x14ac:dyDescent="0.25">
      <c r="B1171" s="242">
        <v>49</v>
      </c>
      <c r="C1171" s="243"/>
      <c r="D1171" s="243"/>
      <c r="E1171" s="243"/>
      <c r="F1171" s="244" t="s">
        <v>930</v>
      </c>
      <c r="G1171" s="241">
        <f t="shared" si="18"/>
        <v>1160</v>
      </c>
    </row>
    <row r="1172" spans="2:7" x14ac:dyDescent="0.25">
      <c r="B1172" s="242"/>
      <c r="C1172" s="243">
        <v>491</v>
      </c>
      <c r="D1172" s="243"/>
      <c r="E1172" s="243"/>
      <c r="F1172" s="244" t="s">
        <v>929</v>
      </c>
      <c r="G1172" s="241">
        <f t="shared" si="18"/>
        <v>1161</v>
      </c>
    </row>
    <row r="1173" spans="2:7" x14ac:dyDescent="0.25">
      <c r="B1173" s="242"/>
      <c r="C1173" s="243"/>
      <c r="D1173" s="243">
        <v>4911</v>
      </c>
      <c r="E1173" s="243"/>
      <c r="F1173" s="244" t="s">
        <v>928</v>
      </c>
      <c r="G1173" s="241">
        <f t="shared" si="18"/>
        <v>1162</v>
      </c>
    </row>
    <row r="1174" spans="2:7" x14ac:dyDescent="0.25">
      <c r="B1174" s="242"/>
      <c r="C1174" s="243"/>
      <c r="D1174" s="243">
        <v>4912</v>
      </c>
      <c r="E1174" s="243"/>
      <c r="F1174" s="244" t="s">
        <v>927</v>
      </c>
      <c r="G1174" s="241">
        <f t="shared" si="18"/>
        <v>1163</v>
      </c>
    </row>
    <row r="1175" spans="2:7" x14ac:dyDescent="0.25">
      <c r="B1175" s="242"/>
      <c r="C1175" s="243">
        <v>492</v>
      </c>
      <c r="D1175" s="243"/>
      <c r="E1175" s="243"/>
      <c r="F1175" s="244" t="s">
        <v>926</v>
      </c>
      <c r="G1175" s="241">
        <f t="shared" si="18"/>
        <v>1164</v>
      </c>
    </row>
    <row r="1176" spans="2:7" x14ac:dyDescent="0.25">
      <c r="B1176" s="242"/>
      <c r="C1176" s="243"/>
      <c r="D1176" s="243">
        <v>4921</v>
      </c>
      <c r="E1176" s="243"/>
      <c r="F1176" s="244" t="s">
        <v>925</v>
      </c>
      <c r="G1176" s="241">
        <f t="shared" si="18"/>
        <v>1165</v>
      </c>
    </row>
    <row r="1177" spans="2:7" x14ac:dyDescent="0.25">
      <c r="B1177" s="242"/>
      <c r="C1177" s="243"/>
      <c r="D1177" s="243">
        <v>4922</v>
      </c>
      <c r="E1177" s="243"/>
      <c r="F1177" s="244" t="s">
        <v>924</v>
      </c>
      <c r="G1177" s="241">
        <f t="shared" si="18"/>
        <v>1166</v>
      </c>
    </row>
    <row r="1178" spans="2:7" x14ac:dyDescent="0.25">
      <c r="B1178" s="242"/>
      <c r="C1178" s="243">
        <v>493</v>
      </c>
      <c r="D1178" s="243"/>
      <c r="E1178" s="243"/>
      <c r="F1178" s="244" t="s">
        <v>923</v>
      </c>
      <c r="G1178" s="241">
        <f t="shared" si="18"/>
        <v>1167</v>
      </c>
    </row>
    <row r="1179" spans="2:7" x14ac:dyDescent="0.25">
      <c r="B1179" s="242"/>
      <c r="C1179" s="243"/>
      <c r="D1179" s="243">
        <v>4931</v>
      </c>
      <c r="E1179" s="243"/>
      <c r="F1179" s="244" t="s">
        <v>922</v>
      </c>
      <c r="G1179" s="241">
        <f t="shared" si="18"/>
        <v>1168</v>
      </c>
    </row>
    <row r="1180" spans="2:7" x14ac:dyDescent="0.25">
      <c r="B1180" s="242"/>
      <c r="C1180" s="243"/>
      <c r="D1180" s="243">
        <v>4932</v>
      </c>
      <c r="E1180" s="243"/>
      <c r="F1180" s="244" t="s">
        <v>921</v>
      </c>
      <c r="G1180" s="241">
        <f t="shared" si="18"/>
        <v>1169</v>
      </c>
    </row>
    <row r="1181" spans="2:7" x14ac:dyDescent="0.25">
      <c r="B1181" s="242"/>
      <c r="C1181" s="243">
        <v>494</v>
      </c>
      <c r="D1181" s="243"/>
      <c r="E1181" s="243"/>
      <c r="F1181" s="244" t="s">
        <v>1512</v>
      </c>
      <c r="G1181" s="241">
        <f t="shared" si="18"/>
        <v>1170</v>
      </c>
    </row>
    <row r="1182" spans="2:7" x14ac:dyDescent="0.25">
      <c r="B1182" s="242"/>
      <c r="C1182" s="243"/>
      <c r="D1182" s="243">
        <v>4941</v>
      </c>
      <c r="E1182" s="243"/>
      <c r="F1182" s="244" t="s">
        <v>1512</v>
      </c>
      <c r="G1182" s="241">
        <f t="shared" si="18"/>
        <v>1171</v>
      </c>
    </row>
    <row r="1183" spans="2:7" x14ac:dyDescent="0.25">
      <c r="B1183" s="242"/>
      <c r="C1183" s="243">
        <v>495</v>
      </c>
      <c r="D1183" s="243"/>
      <c r="E1183" s="243"/>
      <c r="F1183" s="244" t="s">
        <v>1513</v>
      </c>
      <c r="G1183" s="241">
        <f t="shared" si="18"/>
        <v>1172</v>
      </c>
    </row>
    <row r="1184" spans="2:7" x14ac:dyDescent="0.25">
      <c r="B1184" s="242"/>
      <c r="C1184" s="243"/>
      <c r="D1184" s="243">
        <v>4951</v>
      </c>
      <c r="E1184" s="243"/>
      <c r="F1184" s="244" t="s">
        <v>1513</v>
      </c>
      <c r="G1184" s="241">
        <f t="shared" si="18"/>
        <v>1173</v>
      </c>
    </row>
    <row r="1185" spans="2:7" x14ac:dyDescent="0.25">
      <c r="B1185" s="242"/>
      <c r="C1185" s="243">
        <v>496</v>
      </c>
      <c r="D1185" s="243"/>
      <c r="E1185" s="243"/>
      <c r="F1185" s="244" t="s">
        <v>340</v>
      </c>
      <c r="G1185" s="241">
        <f t="shared" si="18"/>
        <v>1174</v>
      </c>
    </row>
    <row r="1186" spans="2:7" x14ac:dyDescent="0.25">
      <c r="B1186" s="242"/>
      <c r="C1186" s="243"/>
      <c r="D1186" s="243">
        <v>4961</v>
      </c>
      <c r="E1186" s="243"/>
      <c r="F1186" s="244" t="s">
        <v>340</v>
      </c>
      <c r="G1186" s="241">
        <f t="shared" si="18"/>
        <v>1175</v>
      </c>
    </row>
    <row r="1187" spans="2:7" x14ac:dyDescent="0.25">
      <c r="B1187" s="242"/>
      <c r="C1187" s="243">
        <v>497</v>
      </c>
      <c r="D1187" s="243"/>
      <c r="E1187" s="243"/>
      <c r="F1187" s="244" t="s">
        <v>1514</v>
      </c>
      <c r="G1187" s="241">
        <f t="shared" si="18"/>
        <v>1176</v>
      </c>
    </row>
    <row r="1188" spans="2:7" x14ac:dyDescent="0.25">
      <c r="B1188" s="242"/>
      <c r="C1188" s="243"/>
      <c r="D1188" s="243">
        <v>4971</v>
      </c>
      <c r="E1188" s="243"/>
      <c r="F1188" s="244" t="s">
        <v>1514</v>
      </c>
      <c r="G1188" s="241">
        <f t="shared" si="18"/>
        <v>1177</v>
      </c>
    </row>
    <row r="1189" spans="2:7" x14ac:dyDescent="0.25">
      <c r="B1189" s="242">
        <v>50</v>
      </c>
      <c r="C1189" s="243"/>
      <c r="D1189" s="243"/>
      <c r="E1189" s="243"/>
      <c r="F1189" s="244" t="s">
        <v>397</v>
      </c>
      <c r="G1189" s="241">
        <f t="shared" si="18"/>
        <v>1178</v>
      </c>
    </row>
    <row r="1190" spans="2:7" x14ac:dyDescent="0.25">
      <c r="B1190" s="242"/>
      <c r="C1190" s="243">
        <v>501</v>
      </c>
      <c r="D1190" s="243"/>
      <c r="E1190" s="243"/>
      <c r="F1190" s="244" t="s">
        <v>920</v>
      </c>
      <c r="G1190" s="241">
        <f t="shared" si="18"/>
        <v>1179</v>
      </c>
    </row>
    <row r="1191" spans="2:7" x14ac:dyDescent="0.25">
      <c r="B1191" s="242"/>
      <c r="C1191" s="243"/>
      <c r="D1191" s="243">
        <v>5011</v>
      </c>
      <c r="E1191" s="243"/>
      <c r="F1191" s="244" t="s">
        <v>919</v>
      </c>
      <c r="G1191" s="241">
        <f t="shared" si="18"/>
        <v>1180</v>
      </c>
    </row>
    <row r="1192" spans="2:7" x14ac:dyDescent="0.25">
      <c r="B1192" s="242"/>
      <c r="C1192" s="243"/>
      <c r="D1192" s="243">
        <v>5012</v>
      </c>
      <c r="E1192" s="243"/>
      <c r="F1192" s="244" t="s">
        <v>918</v>
      </c>
      <c r="G1192" s="241">
        <f t="shared" si="18"/>
        <v>1181</v>
      </c>
    </row>
    <row r="1193" spans="2:7" x14ac:dyDescent="0.25">
      <c r="B1193" s="242"/>
      <c r="C1193" s="243">
        <v>502</v>
      </c>
      <c r="D1193" s="243"/>
      <c r="E1193" s="243"/>
      <c r="F1193" s="244" t="s">
        <v>917</v>
      </c>
      <c r="G1193" s="241">
        <f t="shared" si="18"/>
        <v>1182</v>
      </c>
    </row>
    <row r="1194" spans="2:7" x14ac:dyDescent="0.25">
      <c r="B1194" s="242"/>
      <c r="C1194" s="243"/>
      <c r="D1194" s="243">
        <v>5021</v>
      </c>
      <c r="E1194" s="243"/>
      <c r="F1194" s="244" t="s">
        <v>917</v>
      </c>
      <c r="G1194" s="241">
        <f t="shared" si="18"/>
        <v>1183</v>
      </c>
    </row>
    <row r="1195" spans="2:7" x14ac:dyDescent="0.25">
      <c r="B1195" s="242">
        <v>51</v>
      </c>
      <c r="C1195" s="243"/>
      <c r="D1195" s="243"/>
      <c r="E1195" s="243"/>
      <c r="F1195" s="244" t="s">
        <v>916</v>
      </c>
      <c r="G1195" s="241">
        <f t="shared" si="18"/>
        <v>1184</v>
      </c>
    </row>
    <row r="1196" spans="2:7" x14ac:dyDescent="0.25">
      <c r="B1196" s="242"/>
      <c r="C1196" s="243">
        <v>511</v>
      </c>
      <c r="D1196" s="243"/>
      <c r="E1196" s="243"/>
      <c r="F1196" s="244" t="s">
        <v>45</v>
      </c>
      <c r="G1196" s="241">
        <f t="shared" si="18"/>
        <v>1185</v>
      </c>
    </row>
    <row r="1197" spans="2:7" x14ac:dyDescent="0.25">
      <c r="B1197" s="242"/>
      <c r="C1197" s="243"/>
      <c r="D1197" s="243">
        <v>5111</v>
      </c>
      <c r="E1197" s="243"/>
      <c r="F1197" s="244" t="s">
        <v>45</v>
      </c>
      <c r="G1197" s="241">
        <f t="shared" si="18"/>
        <v>1186</v>
      </c>
    </row>
    <row r="1198" spans="2:7" x14ac:dyDescent="0.25">
      <c r="B1198" s="242"/>
      <c r="C1198" s="243">
        <v>512</v>
      </c>
      <c r="D1198" s="243"/>
      <c r="E1198" s="243"/>
      <c r="F1198" s="244" t="s">
        <v>915</v>
      </c>
      <c r="G1198" s="241">
        <f t="shared" si="18"/>
        <v>1187</v>
      </c>
    </row>
    <row r="1199" spans="2:7" x14ac:dyDescent="0.25">
      <c r="B1199" s="242"/>
      <c r="C1199" s="243"/>
      <c r="D1199" s="243">
        <v>5121</v>
      </c>
      <c r="E1199" s="243"/>
      <c r="F1199" s="244" t="s">
        <v>915</v>
      </c>
      <c r="G1199" s="241">
        <f t="shared" si="18"/>
        <v>1188</v>
      </c>
    </row>
    <row r="1200" spans="2:7" x14ac:dyDescent="0.25">
      <c r="B1200" s="242">
        <v>52</v>
      </c>
      <c r="C1200" s="243"/>
      <c r="D1200" s="243"/>
      <c r="E1200" s="243"/>
      <c r="F1200" s="244" t="s">
        <v>914</v>
      </c>
      <c r="G1200" s="241">
        <f t="shared" si="18"/>
        <v>1189</v>
      </c>
    </row>
    <row r="1201" spans="2:7" x14ac:dyDescent="0.25">
      <c r="B1201" s="242"/>
      <c r="C1201" s="243">
        <v>521</v>
      </c>
      <c r="D1201" s="243"/>
      <c r="E1201" s="243"/>
      <c r="F1201" s="244" t="s">
        <v>913</v>
      </c>
      <c r="G1201" s="241">
        <f t="shared" si="18"/>
        <v>1190</v>
      </c>
    </row>
    <row r="1202" spans="2:7" x14ac:dyDescent="0.25">
      <c r="B1202" s="242"/>
      <c r="C1202" s="243"/>
      <c r="D1202" s="243">
        <v>5211</v>
      </c>
      <c r="E1202" s="243"/>
      <c r="F1202" s="244" t="s">
        <v>913</v>
      </c>
      <c r="G1202" s="241">
        <f t="shared" si="18"/>
        <v>1191</v>
      </c>
    </row>
    <row r="1203" spans="2:7" x14ac:dyDescent="0.25">
      <c r="B1203" s="242"/>
      <c r="C1203" s="243">
        <v>522</v>
      </c>
      <c r="D1203" s="243"/>
      <c r="E1203" s="243"/>
      <c r="F1203" s="244" t="s">
        <v>912</v>
      </c>
      <c r="G1203" s="241">
        <f t="shared" si="18"/>
        <v>1192</v>
      </c>
    </row>
    <row r="1204" spans="2:7" x14ac:dyDescent="0.25">
      <c r="B1204" s="242"/>
      <c r="C1204" s="243"/>
      <c r="D1204" s="243">
        <v>5221</v>
      </c>
      <c r="E1204" s="243"/>
      <c r="F1204" s="244" t="s">
        <v>911</v>
      </c>
      <c r="G1204" s="241">
        <f t="shared" si="18"/>
        <v>1193</v>
      </c>
    </row>
    <row r="1205" spans="2:7" x14ac:dyDescent="0.25">
      <c r="B1205" s="242"/>
      <c r="C1205" s="243"/>
      <c r="D1205" s="243">
        <v>5222</v>
      </c>
      <c r="E1205" s="243"/>
      <c r="F1205" s="244" t="s">
        <v>910</v>
      </c>
      <c r="G1205" s="241">
        <f t="shared" si="18"/>
        <v>1194</v>
      </c>
    </row>
    <row r="1206" spans="2:7" x14ac:dyDescent="0.25">
      <c r="B1206" s="242"/>
      <c r="C1206" s="243"/>
      <c r="D1206" s="243">
        <v>5223</v>
      </c>
      <c r="E1206" s="243"/>
      <c r="F1206" s="244" t="s">
        <v>909</v>
      </c>
      <c r="G1206" s="241">
        <f t="shared" si="18"/>
        <v>1195</v>
      </c>
    </row>
    <row r="1207" spans="2:7" x14ac:dyDescent="0.25">
      <c r="B1207" s="242"/>
      <c r="C1207" s="243"/>
      <c r="D1207" s="243">
        <v>5224</v>
      </c>
      <c r="E1207" s="243"/>
      <c r="F1207" s="244" t="s">
        <v>908</v>
      </c>
      <c r="G1207" s="241">
        <f t="shared" si="18"/>
        <v>1196</v>
      </c>
    </row>
    <row r="1208" spans="2:7" x14ac:dyDescent="0.25">
      <c r="B1208" s="242"/>
      <c r="C1208" s="243">
        <v>523</v>
      </c>
      <c r="D1208" s="243"/>
      <c r="E1208" s="243"/>
      <c r="F1208" s="244" t="s">
        <v>907</v>
      </c>
      <c r="G1208" s="241">
        <f t="shared" si="18"/>
        <v>1197</v>
      </c>
    </row>
    <row r="1209" spans="2:7" x14ac:dyDescent="0.25">
      <c r="B1209" s="242"/>
      <c r="C1209" s="243"/>
      <c r="D1209" s="243">
        <v>5231</v>
      </c>
      <c r="E1209" s="243"/>
      <c r="F1209" s="244" t="s">
        <v>907</v>
      </c>
      <c r="G1209" s="241">
        <f t="shared" si="18"/>
        <v>1198</v>
      </c>
    </row>
    <row r="1210" spans="2:7" x14ac:dyDescent="0.25">
      <c r="B1210" s="242">
        <v>56</v>
      </c>
      <c r="C1210" s="243"/>
      <c r="D1210" s="243"/>
      <c r="E1210" s="243"/>
      <c r="F1210" s="244" t="s">
        <v>906</v>
      </c>
      <c r="G1210" s="241">
        <f t="shared" si="18"/>
        <v>1199</v>
      </c>
    </row>
    <row r="1211" spans="2:7" x14ac:dyDescent="0.25">
      <c r="B1211" s="242"/>
      <c r="C1211" s="243">
        <v>561</v>
      </c>
      <c r="D1211" s="243"/>
      <c r="E1211" s="243"/>
      <c r="F1211" s="244" t="s">
        <v>905</v>
      </c>
      <c r="G1211" s="241">
        <f t="shared" si="18"/>
        <v>1200</v>
      </c>
    </row>
    <row r="1212" spans="2:7" x14ac:dyDescent="0.25">
      <c r="B1212" s="242"/>
      <c r="C1212" s="243"/>
      <c r="D1212" s="243">
        <v>5611</v>
      </c>
      <c r="E1212" s="243"/>
      <c r="F1212" s="244" t="s">
        <v>905</v>
      </c>
      <c r="G1212" s="241">
        <f t="shared" si="18"/>
        <v>1201</v>
      </c>
    </row>
    <row r="1213" spans="2:7" x14ac:dyDescent="0.25">
      <c r="B1213" s="242"/>
      <c r="C1213" s="243">
        <v>562</v>
      </c>
      <c r="D1213" s="243"/>
      <c r="E1213" s="243"/>
      <c r="F1213" s="244" t="s">
        <v>904</v>
      </c>
      <c r="G1213" s="241">
        <f t="shared" si="18"/>
        <v>1202</v>
      </c>
    </row>
    <row r="1214" spans="2:7" x14ac:dyDescent="0.25">
      <c r="B1214" s="242"/>
      <c r="C1214" s="243"/>
      <c r="D1214" s="243">
        <v>5621</v>
      </c>
      <c r="E1214" s="243"/>
      <c r="F1214" s="244" t="s">
        <v>904</v>
      </c>
      <c r="G1214" s="241">
        <f t="shared" si="18"/>
        <v>1203</v>
      </c>
    </row>
    <row r="1215" spans="2:7" x14ac:dyDescent="0.25">
      <c r="B1215" s="242"/>
      <c r="C1215" s="243">
        <v>563</v>
      </c>
      <c r="D1215" s="243"/>
      <c r="E1215" s="243"/>
      <c r="F1215" s="244" t="s">
        <v>903</v>
      </c>
      <c r="G1215" s="241">
        <f t="shared" si="18"/>
        <v>1204</v>
      </c>
    </row>
    <row r="1216" spans="2:7" x14ac:dyDescent="0.25">
      <c r="B1216" s="242"/>
      <c r="C1216" s="243"/>
      <c r="D1216" s="243">
        <v>5631</v>
      </c>
      <c r="E1216" s="243"/>
      <c r="F1216" s="244" t="s">
        <v>902</v>
      </c>
      <c r="G1216" s="241">
        <f t="shared" si="18"/>
        <v>1205</v>
      </c>
    </row>
    <row r="1217" spans="2:7" x14ac:dyDescent="0.25">
      <c r="B1217" s="242"/>
      <c r="C1217" s="243"/>
      <c r="D1217" s="243">
        <v>5632</v>
      </c>
      <c r="E1217" s="243"/>
      <c r="F1217" s="244" t="s">
        <v>602</v>
      </c>
      <c r="G1217" s="241">
        <f t="shared" si="18"/>
        <v>1206</v>
      </c>
    </row>
    <row r="1218" spans="2:7" x14ac:dyDescent="0.25">
      <c r="B1218" s="242"/>
      <c r="C1218" s="243">
        <v>564</v>
      </c>
      <c r="D1218" s="243"/>
      <c r="E1218" s="243"/>
      <c r="F1218" s="244" t="s">
        <v>1515</v>
      </c>
      <c r="G1218" s="241">
        <f t="shared" si="18"/>
        <v>1207</v>
      </c>
    </row>
    <row r="1219" spans="2:7" x14ac:dyDescent="0.25">
      <c r="B1219" s="242"/>
      <c r="C1219" s="243"/>
      <c r="D1219" s="243">
        <v>5641</v>
      </c>
      <c r="E1219" s="243"/>
      <c r="F1219" s="244" t="s">
        <v>902</v>
      </c>
      <c r="G1219" s="241">
        <f t="shared" si="18"/>
        <v>1208</v>
      </c>
    </row>
    <row r="1220" spans="2:7" x14ac:dyDescent="0.25">
      <c r="B1220" s="242"/>
      <c r="C1220" s="243"/>
      <c r="D1220" s="243">
        <v>5642</v>
      </c>
      <c r="E1220" s="243"/>
      <c r="F1220" s="244" t="s">
        <v>602</v>
      </c>
      <c r="G1220" s="241">
        <f t="shared" si="18"/>
        <v>1209</v>
      </c>
    </row>
    <row r="1221" spans="2:7" x14ac:dyDescent="0.25">
      <c r="B1221" s="242">
        <v>57</v>
      </c>
      <c r="C1221" s="243"/>
      <c r="D1221" s="243"/>
      <c r="E1221" s="243"/>
      <c r="F1221" s="244" t="s">
        <v>901</v>
      </c>
      <c r="G1221" s="241">
        <f t="shared" si="18"/>
        <v>1210</v>
      </c>
    </row>
    <row r="1222" spans="2:7" x14ac:dyDescent="0.25">
      <c r="B1222" s="242"/>
      <c r="C1222" s="243">
        <v>571</v>
      </c>
      <c r="D1222" s="243"/>
      <c r="E1222" s="243"/>
      <c r="F1222" s="244" t="s">
        <v>900</v>
      </c>
      <c r="G1222" s="241">
        <f t="shared" si="18"/>
        <v>1211</v>
      </c>
    </row>
    <row r="1223" spans="2:7" x14ac:dyDescent="0.25">
      <c r="B1223" s="242"/>
      <c r="C1223" s="243"/>
      <c r="D1223" s="243">
        <v>5711</v>
      </c>
      <c r="E1223" s="243"/>
      <c r="F1223" s="244" t="s">
        <v>641</v>
      </c>
      <c r="G1223" s="241">
        <f t="shared" si="18"/>
        <v>1212</v>
      </c>
    </row>
    <row r="1224" spans="2:7" x14ac:dyDescent="0.25">
      <c r="B1224" s="242"/>
      <c r="C1224" s="243"/>
      <c r="D1224" s="243">
        <v>5712</v>
      </c>
      <c r="E1224" s="243"/>
      <c r="F1224" s="244" t="s">
        <v>899</v>
      </c>
      <c r="G1224" s="241">
        <f t="shared" si="18"/>
        <v>1213</v>
      </c>
    </row>
    <row r="1225" spans="2:7" x14ac:dyDescent="0.25">
      <c r="B1225" s="242"/>
      <c r="C1225" s="243"/>
      <c r="D1225" s="243">
        <v>5713</v>
      </c>
      <c r="E1225" s="243"/>
      <c r="F1225" s="244" t="s">
        <v>521</v>
      </c>
      <c r="G1225" s="241">
        <f t="shared" si="18"/>
        <v>1214</v>
      </c>
    </row>
    <row r="1226" spans="2:7" x14ac:dyDescent="0.25">
      <c r="B1226" s="242"/>
      <c r="C1226" s="243">
        <v>572</v>
      </c>
      <c r="D1226" s="243"/>
      <c r="E1226" s="243"/>
      <c r="F1226" s="244" t="s">
        <v>898</v>
      </c>
      <c r="G1226" s="241">
        <f t="shared" si="18"/>
        <v>1215</v>
      </c>
    </row>
    <row r="1227" spans="2:7" x14ac:dyDescent="0.25">
      <c r="B1227" s="242"/>
      <c r="C1227" s="243"/>
      <c r="D1227" s="243">
        <v>5721</v>
      </c>
      <c r="E1227" s="243"/>
      <c r="F1227" s="244" t="s">
        <v>898</v>
      </c>
      <c r="G1227" s="241">
        <f t="shared" si="18"/>
        <v>1216</v>
      </c>
    </row>
    <row r="1228" spans="2:7" x14ac:dyDescent="0.25">
      <c r="B1228" s="242"/>
      <c r="C1228" s="243">
        <v>573</v>
      </c>
      <c r="D1228" s="243"/>
      <c r="E1228" s="243"/>
      <c r="F1228" s="244" t="s">
        <v>897</v>
      </c>
      <c r="G1228" s="241">
        <f t="shared" si="18"/>
        <v>1217</v>
      </c>
    </row>
    <row r="1229" spans="2:7" x14ac:dyDescent="0.25">
      <c r="B1229" s="242"/>
      <c r="C1229" s="243"/>
      <c r="D1229" s="243">
        <v>5731</v>
      </c>
      <c r="E1229" s="243"/>
      <c r="F1229" s="244" t="s">
        <v>897</v>
      </c>
      <c r="G1229" s="241">
        <f t="shared" ref="G1229:G1292" si="19">G1228+1</f>
        <v>1218</v>
      </c>
    </row>
    <row r="1230" spans="2:7" x14ac:dyDescent="0.25">
      <c r="B1230" s="242">
        <v>58</v>
      </c>
      <c r="C1230" s="243"/>
      <c r="D1230" s="243"/>
      <c r="E1230" s="243"/>
      <c r="F1230" s="244" t="s">
        <v>896</v>
      </c>
      <c r="G1230" s="241">
        <f t="shared" si="19"/>
        <v>1219</v>
      </c>
    </row>
    <row r="1231" spans="2:7" x14ac:dyDescent="0.25">
      <c r="B1231" s="242"/>
      <c r="C1231" s="243">
        <v>581</v>
      </c>
      <c r="D1231" s="243"/>
      <c r="E1231" s="243"/>
      <c r="F1231" s="244" t="s">
        <v>895</v>
      </c>
      <c r="G1231" s="241">
        <f t="shared" si="19"/>
        <v>1220</v>
      </c>
    </row>
    <row r="1232" spans="2:7" x14ac:dyDescent="0.25">
      <c r="B1232" s="242"/>
      <c r="C1232" s="243"/>
      <c r="D1232" s="243">
        <v>5811</v>
      </c>
      <c r="E1232" s="243"/>
      <c r="F1232" s="244" t="s">
        <v>895</v>
      </c>
      <c r="G1232" s="241">
        <f t="shared" si="19"/>
        <v>1221</v>
      </c>
    </row>
    <row r="1233" spans="2:7" x14ac:dyDescent="0.25">
      <c r="B1233" s="242"/>
      <c r="C1233" s="243">
        <v>582</v>
      </c>
      <c r="D1233" s="243"/>
      <c r="E1233" s="243"/>
      <c r="F1233" s="244" t="s">
        <v>894</v>
      </c>
      <c r="G1233" s="241">
        <f t="shared" si="19"/>
        <v>1222</v>
      </c>
    </row>
    <row r="1234" spans="2:7" x14ac:dyDescent="0.25">
      <c r="B1234" s="242"/>
      <c r="C1234" s="243"/>
      <c r="D1234" s="243">
        <v>5821</v>
      </c>
      <c r="E1234" s="243"/>
      <c r="F1234" s="244" t="s">
        <v>894</v>
      </c>
      <c r="G1234" s="241">
        <f t="shared" si="19"/>
        <v>1223</v>
      </c>
    </row>
    <row r="1235" spans="2:7" x14ac:dyDescent="0.25">
      <c r="B1235" s="242"/>
      <c r="C1235" s="243">
        <v>583</v>
      </c>
      <c r="D1235" s="243"/>
      <c r="E1235" s="243"/>
      <c r="F1235" s="244" t="s">
        <v>893</v>
      </c>
      <c r="G1235" s="241">
        <f t="shared" si="19"/>
        <v>1224</v>
      </c>
    </row>
    <row r="1236" spans="2:7" x14ac:dyDescent="0.25">
      <c r="B1236" s="242"/>
      <c r="C1236" s="243"/>
      <c r="D1236" s="243">
        <v>5831</v>
      </c>
      <c r="E1236" s="243"/>
      <c r="F1236" s="244" t="s">
        <v>893</v>
      </c>
      <c r="G1236" s="241">
        <f t="shared" si="19"/>
        <v>1225</v>
      </c>
    </row>
    <row r="1237" spans="2:7" x14ac:dyDescent="0.25">
      <c r="B1237" s="242"/>
      <c r="C1237" s="243">
        <v>584</v>
      </c>
      <c r="D1237" s="243"/>
      <c r="E1237" s="243"/>
      <c r="F1237" s="244" t="s">
        <v>892</v>
      </c>
      <c r="G1237" s="241">
        <f t="shared" si="19"/>
        <v>1226</v>
      </c>
    </row>
    <row r="1238" spans="2:7" x14ac:dyDescent="0.25">
      <c r="B1238" s="242"/>
      <c r="C1238" s="243"/>
      <c r="D1238" s="243">
        <v>5841</v>
      </c>
      <c r="E1238" s="243"/>
      <c r="F1238" s="244" t="s">
        <v>892</v>
      </c>
      <c r="G1238" s="241">
        <f t="shared" si="19"/>
        <v>1227</v>
      </c>
    </row>
    <row r="1239" spans="2:7" x14ac:dyDescent="0.25">
      <c r="B1239" s="242"/>
      <c r="C1239" s="243">
        <v>585</v>
      </c>
      <c r="D1239" s="243"/>
      <c r="E1239" s="243"/>
      <c r="F1239" s="244" t="s">
        <v>891</v>
      </c>
      <c r="G1239" s="241">
        <f t="shared" si="19"/>
        <v>1228</v>
      </c>
    </row>
    <row r="1240" spans="2:7" x14ac:dyDescent="0.25">
      <c r="B1240" s="242"/>
      <c r="C1240" s="243"/>
      <c r="D1240" s="243">
        <v>5851</v>
      </c>
      <c r="E1240" s="243"/>
      <c r="F1240" s="244" t="s">
        <v>891</v>
      </c>
      <c r="G1240" s="241">
        <f t="shared" si="19"/>
        <v>1229</v>
      </c>
    </row>
    <row r="1241" spans="2:7" x14ac:dyDescent="0.25">
      <c r="B1241" s="242"/>
      <c r="C1241" s="243">
        <v>589</v>
      </c>
      <c r="D1241" s="243"/>
      <c r="E1241" s="243"/>
      <c r="F1241" s="244" t="s">
        <v>370</v>
      </c>
      <c r="G1241" s="241">
        <f t="shared" si="19"/>
        <v>1230</v>
      </c>
    </row>
    <row r="1242" spans="2:7" x14ac:dyDescent="0.25">
      <c r="B1242" s="242"/>
      <c r="C1242" s="243"/>
      <c r="D1242" s="243">
        <v>5891</v>
      </c>
      <c r="E1242" s="243"/>
      <c r="F1242" s="244" t="s">
        <v>370</v>
      </c>
      <c r="G1242" s="241">
        <f t="shared" si="19"/>
        <v>1231</v>
      </c>
    </row>
    <row r="1243" spans="2:7" x14ac:dyDescent="0.25">
      <c r="B1243" s="242">
        <v>59</v>
      </c>
      <c r="C1243" s="243"/>
      <c r="D1243" s="243"/>
      <c r="E1243" s="243"/>
      <c r="F1243" s="244" t="s">
        <v>890</v>
      </c>
      <c r="G1243" s="241">
        <f t="shared" si="19"/>
        <v>1232</v>
      </c>
    </row>
    <row r="1244" spans="2:7" x14ac:dyDescent="0.25">
      <c r="B1244" s="242"/>
      <c r="C1244" s="243">
        <v>591</v>
      </c>
      <c r="D1244" s="243"/>
      <c r="E1244" s="243"/>
      <c r="F1244" s="244" t="s">
        <v>889</v>
      </c>
      <c r="G1244" s="241">
        <f t="shared" si="19"/>
        <v>1233</v>
      </c>
    </row>
    <row r="1245" spans="2:7" x14ac:dyDescent="0.25">
      <c r="B1245" s="242"/>
      <c r="C1245" s="243"/>
      <c r="D1245" s="243">
        <v>5911</v>
      </c>
      <c r="E1245" s="243"/>
      <c r="F1245" s="244" t="s">
        <v>888</v>
      </c>
      <c r="G1245" s="241">
        <f t="shared" si="19"/>
        <v>1234</v>
      </c>
    </row>
    <row r="1246" spans="2:7" x14ac:dyDescent="0.25">
      <c r="B1246" s="242"/>
      <c r="C1246" s="243"/>
      <c r="D1246" s="243">
        <v>5912</v>
      </c>
      <c r="E1246" s="243"/>
      <c r="F1246" s="244" t="s">
        <v>887</v>
      </c>
      <c r="G1246" s="241">
        <f t="shared" si="19"/>
        <v>1235</v>
      </c>
    </row>
    <row r="1247" spans="2:7" x14ac:dyDescent="0.25">
      <c r="B1247" s="242"/>
      <c r="C1247" s="243">
        <v>592</v>
      </c>
      <c r="D1247" s="243"/>
      <c r="E1247" s="243"/>
      <c r="F1247" s="244" t="s">
        <v>886</v>
      </c>
      <c r="G1247" s="241">
        <f t="shared" si="19"/>
        <v>1236</v>
      </c>
    </row>
    <row r="1248" spans="2:7" x14ac:dyDescent="0.25">
      <c r="B1248" s="242"/>
      <c r="C1248" s="243"/>
      <c r="D1248" s="243">
        <v>5921</v>
      </c>
      <c r="E1248" s="243"/>
      <c r="F1248" s="244" t="s">
        <v>886</v>
      </c>
      <c r="G1248" s="241">
        <f t="shared" si="19"/>
        <v>1237</v>
      </c>
    </row>
    <row r="1249" spans="2:7" x14ac:dyDescent="0.25">
      <c r="B1249" s="242"/>
      <c r="C1249" s="243"/>
      <c r="D1249" s="243">
        <v>5922</v>
      </c>
      <c r="E1249" s="243"/>
      <c r="F1249" s="244" t="s">
        <v>885</v>
      </c>
      <c r="G1249" s="241">
        <f t="shared" si="19"/>
        <v>1238</v>
      </c>
    </row>
    <row r="1250" spans="2:7" x14ac:dyDescent="0.25">
      <c r="B1250" s="242">
        <v>60</v>
      </c>
      <c r="C1250" s="243"/>
      <c r="D1250" s="243"/>
      <c r="E1250" s="243"/>
      <c r="F1250" s="244" t="s">
        <v>391</v>
      </c>
      <c r="G1250" s="241">
        <f t="shared" si="19"/>
        <v>1239</v>
      </c>
    </row>
    <row r="1251" spans="2:7" x14ac:dyDescent="0.25">
      <c r="B1251" s="242"/>
      <c r="C1251" s="243">
        <v>601</v>
      </c>
      <c r="D1251" s="243"/>
      <c r="E1251" s="243"/>
      <c r="F1251" s="244" t="s">
        <v>644</v>
      </c>
      <c r="G1251" s="241">
        <f t="shared" si="19"/>
        <v>1240</v>
      </c>
    </row>
    <row r="1252" spans="2:7" x14ac:dyDescent="0.25">
      <c r="B1252" s="242"/>
      <c r="C1252" s="243"/>
      <c r="D1252" s="243">
        <v>6011</v>
      </c>
      <c r="E1252" s="243"/>
      <c r="F1252" s="244" t="s">
        <v>733</v>
      </c>
      <c r="G1252" s="241">
        <f t="shared" si="19"/>
        <v>1241</v>
      </c>
    </row>
    <row r="1253" spans="2:7" x14ac:dyDescent="0.25">
      <c r="B1253" s="242"/>
      <c r="C1253" s="243"/>
      <c r="D1253" s="243">
        <v>6012</v>
      </c>
      <c r="E1253" s="243"/>
      <c r="F1253" s="244" t="s">
        <v>732</v>
      </c>
      <c r="G1253" s="241">
        <f t="shared" si="19"/>
        <v>1242</v>
      </c>
    </row>
    <row r="1254" spans="2:7" x14ac:dyDescent="0.25">
      <c r="B1254" s="242"/>
      <c r="C1254" s="243"/>
      <c r="D1254" s="243">
        <v>6013</v>
      </c>
      <c r="E1254" s="243"/>
      <c r="F1254" s="244" t="s">
        <v>1516</v>
      </c>
      <c r="G1254" s="241">
        <f t="shared" si="19"/>
        <v>1243</v>
      </c>
    </row>
    <row r="1255" spans="2:7" x14ac:dyDescent="0.25">
      <c r="B1255" s="242"/>
      <c r="C1255" s="243"/>
      <c r="D1255" s="243">
        <v>6014</v>
      </c>
      <c r="E1255" s="243"/>
      <c r="F1255" s="244" t="s">
        <v>731</v>
      </c>
      <c r="G1255" s="241">
        <f t="shared" si="19"/>
        <v>1244</v>
      </c>
    </row>
    <row r="1256" spans="2:7" x14ac:dyDescent="0.25">
      <c r="B1256" s="242"/>
      <c r="C1256" s="243"/>
      <c r="D1256" s="243">
        <v>6018</v>
      </c>
      <c r="E1256" s="243"/>
      <c r="F1256" s="244" t="s">
        <v>884</v>
      </c>
      <c r="G1256" s="241">
        <f t="shared" si="19"/>
        <v>1245</v>
      </c>
    </row>
    <row r="1257" spans="2:7" x14ac:dyDescent="0.25">
      <c r="B1257" s="242"/>
      <c r="C1257" s="243">
        <v>602</v>
      </c>
      <c r="D1257" s="243"/>
      <c r="E1257" s="243"/>
      <c r="F1257" s="244" t="s">
        <v>594</v>
      </c>
      <c r="G1257" s="241">
        <f t="shared" si="19"/>
        <v>1246</v>
      </c>
    </row>
    <row r="1258" spans="2:7" x14ac:dyDescent="0.25">
      <c r="B1258" s="242"/>
      <c r="C1258" s="243"/>
      <c r="D1258" s="243">
        <v>6021</v>
      </c>
      <c r="E1258" s="243"/>
      <c r="F1258" s="244" t="s">
        <v>883</v>
      </c>
      <c r="G1258" s="241">
        <f t="shared" si="19"/>
        <v>1247</v>
      </c>
    </row>
    <row r="1259" spans="2:7" x14ac:dyDescent="0.25">
      <c r="B1259" s="242"/>
      <c r="C1259" s="243"/>
      <c r="D1259" s="243">
        <v>6022</v>
      </c>
      <c r="E1259" s="243"/>
      <c r="F1259" s="244" t="s">
        <v>882</v>
      </c>
      <c r="G1259" s="241">
        <f t="shared" si="19"/>
        <v>1248</v>
      </c>
    </row>
    <row r="1260" spans="2:7" x14ac:dyDescent="0.25">
      <c r="B1260" s="242"/>
      <c r="C1260" s="243"/>
      <c r="D1260" s="243">
        <v>6023</v>
      </c>
      <c r="E1260" s="243"/>
      <c r="F1260" s="244" t="s">
        <v>881</v>
      </c>
      <c r="G1260" s="241">
        <f t="shared" si="19"/>
        <v>1249</v>
      </c>
    </row>
    <row r="1261" spans="2:7" x14ac:dyDescent="0.25">
      <c r="B1261" s="242"/>
      <c r="C1261" s="243"/>
      <c r="D1261" s="243">
        <v>6024</v>
      </c>
      <c r="E1261" s="243"/>
      <c r="F1261" s="244" t="s">
        <v>880</v>
      </c>
      <c r="G1261" s="241">
        <f t="shared" si="19"/>
        <v>1250</v>
      </c>
    </row>
    <row r="1262" spans="2:7" x14ac:dyDescent="0.25">
      <c r="B1262" s="242"/>
      <c r="C1262" s="243">
        <v>603</v>
      </c>
      <c r="D1262" s="243"/>
      <c r="E1262" s="243"/>
      <c r="F1262" s="244" t="s">
        <v>864</v>
      </c>
      <c r="G1262" s="241">
        <f t="shared" si="19"/>
        <v>1251</v>
      </c>
    </row>
    <row r="1263" spans="2:7" x14ac:dyDescent="0.25">
      <c r="B1263" s="242"/>
      <c r="C1263" s="243"/>
      <c r="D1263" s="243">
        <v>6031</v>
      </c>
      <c r="E1263" s="243"/>
      <c r="F1263" s="244" t="s">
        <v>879</v>
      </c>
      <c r="G1263" s="241">
        <f t="shared" si="19"/>
        <v>1252</v>
      </c>
    </row>
    <row r="1264" spans="2:7" x14ac:dyDescent="0.25">
      <c r="B1264" s="242"/>
      <c r="C1264" s="243"/>
      <c r="D1264" s="243">
        <v>6032</v>
      </c>
      <c r="E1264" s="243"/>
      <c r="F1264" s="244" t="s">
        <v>878</v>
      </c>
      <c r="G1264" s="241">
        <f t="shared" si="19"/>
        <v>1253</v>
      </c>
    </row>
    <row r="1265" spans="2:7" x14ac:dyDescent="0.25">
      <c r="B1265" s="242"/>
      <c r="C1265" s="243"/>
      <c r="D1265" s="243">
        <v>6033</v>
      </c>
      <c r="E1265" s="243"/>
      <c r="F1265" s="244" t="s">
        <v>877</v>
      </c>
      <c r="G1265" s="241">
        <f t="shared" si="19"/>
        <v>1254</v>
      </c>
    </row>
    <row r="1266" spans="2:7" x14ac:dyDescent="0.25">
      <c r="B1266" s="242"/>
      <c r="C1266" s="243">
        <v>604</v>
      </c>
      <c r="D1266" s="243"/>
      <c r="E1266" s="243"/>
      <c r="F1266" s="244" t="s">
        <v>862</v>
      </c>
      <c r="G1266" s="241">
        <f t="shared" si="19"/>
        <v>1255</v>
      </c>
    </row>
    <row r="1267" spans="2:7" x14ac:dyDescent="0.25">
      <c r="B1267" s="242"/>
      <c r="C1267" s="243"/>
      <c r="D1267" s="243">
        <v>6041</v>
      </c>
      <c r="E1267" s="243"/>
      <c r="F1267" s="244" t="s">
        <v>876</v>
      </c>
      <c r="G1267" s="241">
        <f t="shared" si="19"/>
        <v>1256</v>
      </c>
    </row>
    <row r="1268" spans="2:7" x14ac:dyDescent="0.25">
      <c r="B1268" s="242"/>
      <c r="C1268" s="243"/>
      <c r="D1268" s="243">
        <v>6042</v>
      </c>
      <c r="E1268" s="243"/>
      <c r="F1268" s="244" t="s">
        <v>875</v>
      </c>
      <c r="G1268" s="241">
        <f t="shared" si="19"/>
        <v>1257</v>
      </c>
    </row>
    <row r="1269" spans="2:7" x14ac:dyDescent="0.25">
      <c r="B1269" s="242"/>
      <c r="C1269" s="243">
        <v>609</v>
      </c>
      <c r="D1269" s="243"/>
      <c r="E1269" s="243"/>
      <c r="F1269" s="244" t="s">
        <v>874</v>
      </c>
      <c r="G1269" s="241">
        <f t="shared" si="19"/>
        <v>1258</v>
      </c>
    </row>
    <row r="1270" spans="2:7" x14ac:dyDescent="0.25">
      <c r="B1270" s="242"/>
      <c r="C1270" s="243"/>
      <c r="D1270" s="243">
        <v>6091</v>
      </c>
      <c r="E1270" s="243"/>
      <c r="F1270" s="244" t="s">
        <v>873</v>
      </c>
      <c r="G1270" s="241">
        <f t="shared" si="19"/>
        <v>1259</v>
      </c>
    </row>
    <row r="1271" spans="2:7" x14ac:dyDescent="0.25">
      <c r="B1271" s="242"/>
      <c r="C1271" s="243"/>
      <c r="D1271" s="243"/>
      <c r="E1271" s="243">
        <v>60911</v>
      </c>
      <c r="F1271" s="244" t="s">
        <v>871</v>
      </c>
      <c r="G1271" s="241">
        <f t="shared" si="19"/>
        <v>1260</v>
      </c>
    </row>
    <row r="1272" spans="2:7" x14ac:dyDescent="0.25">
      <c r="B1272" s="242"/>
      <c r="C1272" s="243"/>
      <c r="D1272" s="243"/>
      <c r="E1272" s="243">
        <v>60912</v>
      </c>
      <c r="F1272" s="244" t="s">
        <v>570</v>
      </c>
      <c r="G1272" s="241">
        <f t="shared" si="19"/>
        <v>1261</v>
      </c>
    </row>
    <row r="1273" spans="2:7" x14ac:dyDescent="0.25">
      <c r="B1273" s="242"/>
      <c r="C1273" s="243"/>
      <c r="D1273" s="243"/>
      <c r="E1273" s="243">
        <v>60913</v>
      </c>
      <c r="F1273" s="244" t="s">
        <v>597</v>
      </c>
      <c r="G1273" s="241">
        <f t="shared" si="19"/>
        <v>1262</v>
      </c>
    </row>
    <row r="1274" spans="2:7" x14ac:dyDescent="0.25">
      <c r="B1274" s="242"/>
      <c r="C1274" s="243"/>
      <c r="D1274" s="243"/>
      <c r="E1274" s="243">
        <v>60914</v>
      </c>
      <c r="F1274" s="244" t="s">
        <v>578</v>
      </c>
      <c r="G1274" s="241">
        <f t="shared" si="19"/>
        <v>1263</v>
      </c>
    </row>
    <row r="1275" spans="2:7" x14ac:dyDescent="0.25">
      <c r="B1275" s="242"/>
      <c r="C1275" s="243"/>
      <c r="D1275" s="243"/>
      <c r="E1275" s="243">
        <v>60919</v>
      </c>
      <c r="F1275" s="244" t="s">
        <v>872</v>
      </c>
      <c r="G1275" s="241">
        <f t="shared" si="19"/>
        <v>1264</v>
      </c>
    </row>
    <row r="1276" spans="2:7" x14ac:dyDescent="0.25">
      <c r="B1276" s="242"/>
      <c r="C1276" s="243"/>
      <c r="D1276" s="243">
        <v>6092</v>
      </c>
      <c r="E1276" s="243"/>
      <c r="F1276" s="244" t="s">
        <v>1517</v>
      </c>
      <c r="G1276" s="241">
        <f t="shared" si="19"/>
        <v>1265</v>
      </c>
    </row>
    <row r="1277" spans="2:7" x14ac:dyDescent="0.25">
      <c r="B1277" s="242"/>
      <c r="C1277" s="243"/>
      <c r="D1277" s="243"/>
      <c r="E1277" s="243">
        <v>60921</v>
      </c>
      <c r="F1277" s="244" t="s">
        <v>871</v>
      </c>
      <c r="G1277" s="241">
        <f t="shared" si="19"/>
        <v>1266</v>
      </c>
    </row>
    <row r="1278" spans="2:7" x14ac:dyDescent="0.25">
      <c r="B1278" s="242"/>
      <c r="C1278" s="243"/>
      <c r="D1278" s="243"/>
      <c r="E1278" s="243">
        <v>60922</v>
      </c>
      <c r="F1278" s="244" t="s">
        <v>570</v>
      </c>
      <c r="G1278" s="241">
        <f t="shared" si="19"/>
        <v>1267</v>
      </c>
    </row>
    <row r="1279" spans="2:7" x14ac:dyDescent="0.25">
      <c r="B1279" s="242"/>
      <c r="C1279" s="243"/>
      <c r="D1279" s="243"/>
      <c r="E1279" s="243">
        <v>60923</v>
      </c>
      <c r="F1279" s="244" t="s">
        <v>597</v>
      </c>
      <c r="G1279" s="241">
        <f t="shared" si="19"/>
        <v>1268</v>
      </c>
    </row>
    <row r="1280" spans="2:7" x14ac:dyDescent="0.25">
      <c r="B1280" s="242"/>
      <c r="C1280" s="243"/>
      <c r="D1280" s="243"/>
      <c r="E1280" s="243">
        <v>60924</v>
      </c>
      <c r="F1280" s="244" t="s">
        <v>578</v>
      </c>
      <c r="G1280" s="241">
        <f t="shared" si="19"/>
        <v>1269</v>
      </c>
    </row>
    <row r="1281" spans="2:7" x14ac:dyDescent="0.25">
      <c r="B1281" s="242"/>
      <c r="C1281" s="243"/>
      <c r="D1281" s="243"/>
      <c r="E1281" s="243">
        <v>60925</v>
      </c>
      <c r="F1281" s="244" t="s">
        <v>1518</v>
      </c>
      <c r="G1281" s="241">
        <f t="shared" si="19"/>
        <v>1270</v>
      </c>
    </row>
    <row r="1282" spans="2:7" x14ac:dyDescent="0.25">
      <c r="B1282" s="242"/>
      <c r="C1282" s="243"/>
      <c r="D1282" s="243">
        <v>6093</v>
      </c>
      <c r="E1282" s="243"/>
      <c r="F1282" s="244" t="s">
        <v>1519</v>
      </c>
      <c r="G1282" s="241">
        <f t="shared" si="19"/>
        <v>1271</v>
      </c>
    </row>
    <row r="1283" spans="2:7" x14ac:dyDescent="0.25">
      <c r="B1283" s="242"/>
      <c r="C1283" s="243"/>
      <c r="D1283" s="243"/>
      <c r="E1283" s="243">
        <v>60931</v>
      </c>
      <c r="F1283" s="244" t="s">
        <v>871</v>
      </c>
      <c r="G1283" s="241">
        <f t="shared" si="19"/>
        <v>1272</v>
      </c>
    </row>
    <row r="1284" spans="2:7" x14ac:dyDescent="0.25">
      <c r="B1284" s="242"/>
      <c r="C1284" s="243"/>
      <c r="D1284" s="243"/>
      <c r="E1284" s="243">
        <v>60932</v>
      </c>
      <c r="F1284" s="244" t="s">
        <v>570</v>
      </c>
      <c r="G1284" s="241">
        <f t="shared" si="19"/>
        <v>1273</v>
      </c>
    </row>
    <row r="1285" spans="2:7" x14ac:dyDescent="0.25">
      <c r="B1285" s="242"/>
      <c r="C1285" s="243"/>
      <c r="D1285" s="243"/>
      <c r="E1285" s="243">
        <v>60933</v>
      </c>
      <c r="F1285" s="244" t="s">
        <v>597</v>
      </c>
      <c r="G1285" s="241">
        <f t="shared" si="19"/>
        <v>1274</v>
      </c>
    </row>
    <row r="1286" spans="2:7" x14ac:dyDescent="0.25">
      <c r="B1286" s="242"/>
      <c r="C1286" s="243"/>
      <c r="D1286" s="243"/>
      <c r="E1286" s="243">
        <v>60934</v>
      </c>
      <c r="F1286" s="244" t="s">
        <v>578</v>
      </c>
      <c r="G1286" s="241">
        <f t="shared" si="19"/>
        <v>1275</v>
      </c>
    </row>
    <row r="1287" spans="2:7" x14ac:dyDescent="0.25">
      <c r="B1287" s="242"/>
      <c r="C1287" s="243"/>
      <c r="D1287" s="243"/>
      <c r="E1287" s="243">
        <v>60935</v>
      </c>
      <c r="F1287" s="244" t="s">
        <v>1520</v>
      </c>
      <c r="G1287" s="241">
        <f t="shared" si="19"/>
        <v>1276</v>
      </c>
    </row>
    <row r="1288" spans="2:7" x14ac:dyDescent="0.25">
      <c r="B1288" s="242"/>
      <c r="C1288" s="243"/>
      <c r="D1288" s="243">
        <v>6094</v>
      </c>
      <c r="E1288" s="243"/>
      <c r="F1288" s="244" t="s">
        <v>1521</v>
      </c>
      <c r="G1288" s="241">
        <f t="shared" si="19"/>
        <v>1277</v>
      </c>
    </row>
    <row r="1289" spans="2:7" x14ac:dyDescent="0.25">
      <c r="B1289" s="242"/>
      <c r="C1289" s="243"/>
      <c r="D1289" s="243"/>
      <c r="E1289" s="243">
        <v>60941</v>
      </c>
      <c r="F1289" s="244" t="s">
        <v>871</v>
      </c>
      <c r="G1289" s="241">
        <f t="shared" si="19"/>
        <v>1278</v>
      </c>
    </row>
    <row r="1290" spans="2:7" x14ac:dyDescent="0.25">
      <c r="B1290" s="242"/>
      <c r="C1290" s="243"/>
      <c r="D1290" s="243"/>
      <c r="E1290" s="243">
        <v>60942</v>
      </c>
      <c r="F1290" s="244" t="s">
        <v>570</v>
      </c>
      <c r="G1290" s="241">
        <f t="shared" si="19"/>
        <v>1279</v>
      </c>
    </row>
    <row r="1291" spans="2:7" x14ac:dyDescent="0.25">
      <c r="B1291" s="242"/>
      <c r="C1291" s="243"/>
      <c r="D1291" s="243"/>
      <c r="E1291" s="243">
        <v>60943</v>
      </c>
      <c r="F1291" s="244" t="s">
        <v>597</v>
      </c>
      <c r="G1291" s="241">
        <f t="shared" si="19"/>
        <v>1280</v>
      </c>
    </row>
    <row r="1292" spans="2:7" x14ac:dyDescent="0.25">
      <c r="B1292" s="242"/>
      <c r="C1292" s="243"/>
      <c r="D1292" s="243"/>
      <c r="E1292" s="243">
        <v>60944</v>
      </c>
      <c r="F1292" s="244" t="s">
        <v>578</v>
      </c>
      <c r="G1292" s="241">
        <f t="shared" si="19"/>
        <v>1281</v>
      </c>
    </row>
    <row r="1293" spans="2:7" x14ac:dyDescent="0.25">
      <c r="B1293" s="242"/>
      <c r="C1293" s="243"/>
      <c r="D1293" s="243"/>
      <c r="E1293" s="243">
        <v>60945</v>
      </c>
      <c r="F1293" s="244" t="s">
        <v>1522</v>
      </c>
      <c r="G1293" s="241">
        <f t="shared" ref="G1293:G1356" si="20">G1292+1</f>
        <v>1282</v>
      </c>
    </row>
    <row r="1294" spans="2:7" x14ac:dyDescent="0.25">
      <c r="B1294" s="242"/>
      <c r="C1294" s="243"/>
      <c r="D1294" s="243">
        <v>6099</v>
      </c>
      <c r="E1294" s="243"/>
      <c r="F1294" s="244" t="s">
        <v>870</v>
      </c>
      <c r="G1294" s="241">
        <f t="shared" si="20"/>
        <v>1283</v>
      </c>
    </row>
    <row r="1295" spans="2:7" x14ac:dyDescent="0.25">
      <c r="B1295" s="242">
        <v>61</v>
      </c>
      <c r="C1295" s="243"/>
      <c r="D1295" s="243"/>
      <c r="E1295" s="243"/>
      <c r="F1295" s="244" t="s">
        <v>869</v>
      </c>
      <c r="G1295" s="241">
        <f t="shared" si="20"/>
        <v>1284</v>
      </c>
    </row>
    <row r="1296" spans="2:7" x14ac:dyDescent="0.25">
      <c r="B1296" s="242"/>
      <c r="C1296" s="243">
        <v>611</v>
      </c>
      <c r="D1296" s="243"/>
      <c r="E1296" s="243"/>
      <c r="F1296" s="244" t="s">
        <v>644</v>
      </c>
      <c r="G1296" s="241">
        <f t="shared" si="20"/>
        <v>1285</v>
      </c>
    </row>
    <row r="1297" spans="2:7" x14ac:dyDescent="0.25">
      <c r="B1297" s="242"/>
      <c r="C1297" s="243"/>
      <c r="D1297" s="243">
        <v>6111</v>
      </c>
      <c r="E1297" s="243"/>
      <c r="F1297" s="244" t="s">
        <v>717</v>
      </c>
      <c r="G1297" s="241">
        <f t="shared" si="20"/>
        <v>1286</v>
      </c>
    </row>
    <row r="1298" spans="2:7" x14ac:dyDescent="0.25">
      <c r="B1298" s="242"/>
      <c r="C1298" s="243"/>
      <c r="D1298" s="243">
        <v>6112</v>
      </c>
      <c r="E1298" s="243"/>
      <c r="F1298" s="244" t="s">
        <v>716</v>
      </c>
      <c r="G1298" s="241">
        <f t="shared" si="20"/>
        <v>1287</v>
      </c>
    </row>
    <row r="1299" spans="2:7" x14ac:dyDescent="0.25">
      <c r="B1299" s="242"/>
      <c r="C1299" s="243"/>
      <c r="D1299" s="243">
        <v>6113</v>
      </c>
      <c r="E1299" s="243"/>
      <c r="F1299" s="244" t="s">
        <v>1331</v>
      </c>
      <c r="G1299" s="241">
        <f t="shared" si="20"/>
        <v>1288</v>
      </c>
    </row>
    <row r="1300" spans="2:7" x14ac:dyDescent="0.25">
      <c r="B1300" s="242"/>
      <c r="C1300" s="243"/>
      <c r="D1300" s="243">
        <v>6114</v>
      </c>
      <c r="E1300" s="243"/>
      <c r="F1300" s="244" t="s">
        <v>715</v>
      </c>
      <c r="G1300" s="241">
        <f t="shared" si="20"/>
        <v>1289</v>
      </c>
    </row>
    <row r="1301" spans="2:7" x14ac:dyDescent="0.25">
      <c r="B1301" s="242"/>
      <c r="C1301" s="243"/>
      <c r="D1301" s="243">
        <v>6118</v>
      </c>
      <c r="E1301" s="243"/>
      <c r="F1301" s="244" t="s">
        <v>736</v>
      </c>
      <c r="G1301" s="241">
        <f t="shared" si="20"/>
        <v>1290</v>
      </c>
    </row>
    <row r="1302" spans="2:7" x14ac:dyDescent="0.25">
      <c r="B1302" s="242"/>
      <c r="C1302" s="243">
        <v>612</v>
      </c>
      <c r="D1302" s="243"/>
      <c r="E1302" s="243"/>
      <c r="F1302" s="244" t="s">
        <v>594</v>
      </c>
      <c r="G1302" s="241">
        <f t="shared" si="20"/>
        <v>1291</v>
      </c>
    </row>
    <row r="1303" spans="2:7" x14ac:dyDescent="0.25">
      <c r="B1303" s="242"/>
      <c r="C1303" s="243"/>
      <c r="D1303" s="243">
        <v>6121</v>
      </c>
      <c r="E1303" s="243"/>
      <c r="F1303" s="244" t="s">
        <v>868</v>
      </c>
      <c r="G1303" s="241">
        <f t="shared" si="20"/>
        <v>1292</v>
      </c>
    </row>
    <row r="1304" spans="2:7" x14ac:dyDescent="0.25">
      <c r="B1304" s="242"/>
      <c r="C1304" s="243"/>
      <c r="D1304" s="243">
        <v>6122</v>
      </c>
      <c r="E1304" s="243"/>
      <c r="F1304" s="244" t="s">
        <v>867</v>
      </c>
      <c r="G1304" s="241">
        <f t="shared" si="20"/>
        <v>1293</v>
      </c>
    </row>
    <row r="1305" spans="2:7" x14ac:dyDescent="0.25">
      <c r="B1305" s="242"/>
      <c r="C1305" s="243"/>
      <c r="D1305" s="243">
        <v>6123</v>
      </c>
      <c r="E1305" s="243"/>
      <c r="F1305" s="244" t="s">
        <v>866</v>
      </c>
      <c r="G1305" s="241">
        <f t="shared" si="20"/>
        <v>1294</v>
      </c>
    </row>
    <row r="1306" spans="2:7" x14ac:dyDescent="0.25">
      <c r="B1306" s="242"/>
      <c r="C1306" s="243"/>
      <c r="D1306" s="243">
        <v>6124</v>
      </c>
      <c r="E1306" s="243"/>
      <c r="F1306" s="244" t="s">
        <v>865</v>
      </c>
      <c r="G1306" s="241">
        <f t="shared" si="20"/>
        <v>1295</v>
      </c>
    </row>
    <row r="1307" spans="2:7" x14ac:dyDescent="0.25">
      <c r="B1307" s="242"/>
      <c r="C1307" s="243">
        <v>613</v>
      </c>
      <c r="D1307" s="243"/>
      <c r="E1307" s="243"/>
      <c r="F1307" s="244" t="s">
        <v>864</v>
      </c>
      <c r="G1307" s="241">
        <f t="shared" si="20"/>
        <v>1296</v>
      </c>
    </row>
    <row r="1308" spans="2:7" x14ac:dyDescent="0.25">
      <c r="B1308" s="242"/>
      <c r="C1308" s="243"/>
      <c r="D1308" s="243">
        <v>6131</v>
      </c>
      <c r="E1308" s="243"/>
      <c r="F1308" s="244" t="s">
        <v>593</v>
      </c>
      <c r="G1308" s="241">
        <f t="shared" si="20"/>
        <v>1297</v>
      </c>
    </row>
    <row r="1309" spans="2:7" x14ac:dyDescent="0.25">
      <c r="B1309" s="242"/>
      <c r="C1309" s="243"/>
      <c r="D1309" s="243">
        <v>6132</v>
      </c>
      <c r="E1309" s="243"/>
      <c r="F1309" s="244" t="s">
        <v>532</v>
      </c>
      <c r="G1309" s="241">
        <f t="shared" si="20"/>
        <v>1298</v>
      </c>
    </row>
    <row r="1310" spans="2:7" x14ac:dyDescent="0.25">
      <c r="B1310" s="242"/>
      <c r="C1310" s="243"/>
      <c r="D1310" s="243">
        <v>6133</v>
      </c>
      <c r="E1310" s="243"/>
      <c r="F1310" s="244" t="s">
        <v>863</v>
      </c>
      <c r="G1310" s="241">
        <f t="shared" si="20"/>
        <v>1299</v>
      </c>
    </row>
    <row r="1311" spans="2:7" x14ac:dyDescent="0.25">
      <c r="B1311" s="242"/>
      <c r="C1311" s="243">
        <v>614</v>
      </c>
      <c r="D1311" s="243"/>
      <c r="E1311" s="243"/>
      <c r="F1311" s="244" t="s">
        <v>862</v>
      </c>
      <c r="G1311" s="241">
        <f t="shared" si="20"/>
        <v>1300</v>
      </c>
    </row>
    <row r="1312" spans="2:7" x14ac:dyDescent="0.25">
      <c r="B1312" s="242"/>
      <c r="C1312" s="243"/>
      <c r="D1312" s="243">
        <v>6141</v>
      </c>
      <c r="E1312" s="243"/>
      <c r="F1312" s="244" t="s">
        <v>592</v>
      </c>
      <c r="G1312" s="241">
        <f t="shared" si="20"/>
        <v>1301</v>
      </c>
    </row>
    <row r="1313" spans="2:7" x14ac:dyDescent="0.25">
      <c r="B1313" s="242"/>
      <c r="C1313" s="243"/>
      <c r="D1313" s="243">
        <v>6142</v>
      </c>
      <c r="E1313" s="243"/>
      <c r="F1313" s="244" t="s">
        <v>591</v>
      </c>
      <c r="G1313" s="241">
        <f t="shared" si="20"/>
        <v>1302</v>
      </c>
    </row>
    <row r="1314" spans="2:7" x14ac:dyDescent="0.25">
      <c r="B1314" s="242">
        <v>62</v>
      </c>
      <c r="C1314" s="243"/>
      <c r="D1314" s="243"/>
      <c r="E1314" s="243"/>
      <c r="F1314" s="244" t="s">
        <v>861</v>
      </c>
      <c r="G1314" s="241">
        <f t="shared" si="20"/>
        <v>1303</v>
      </c>
    </row>
    <row r="1315" spans="2:7" x14ac:dyDescent="0.25">
      <c r="B1315" s="242"/>
      <c r="C1315" s="243">
        <v>621</v>
      </c>
      <c r="D1315" s="243"/>
      <c r="E1315" s="243"/>
      <c r="F1315" s="244" t="s">
        <v>860</v>
      </c>
      <c r="G1315" s="241">
        <f t="shared" si="20"/>
        <v>1304</v>
      </c>
    </row>
    <row r="1316" spans="2:7" x14ac:dyDescent="0.25">
      <c r="B1316" s="242"/>
      <c r="C1316" s="243"/>
      <c r="D1316" s="243">
        <v>6211</v>
      </c>
      <c r="E1316" s="243"/>
      <c r="F1316" s="244" t="s">
        <v>859</v>
      </c>
      <c r="G1316" s="241">
        <f t="shared" si="20"/>
        <v>1305</v>
      </c>
    </row>
    <row r="1317" spans="2:7" x14ac:dyDescent="0.25">
      <c r="B1317" s="242"/>
      <c r="C1317" s="243"/>
      <c r="D1317" s="243">
        <v>6212</v>
      </c>
      <c r="E1317" s="243"/>
      <c r="F1317" s="244" t="s">
        <v>578</v>
      </c>
      <c r="G1317" s="241">
        <f t="shared" si="20"/>
        <v>1306</v>
      </c>
    </row>
    <row r="1318" spans="2:7" x14ac:dyDescent="0.25">
      <c r="B1318" s="242"/>
      <c r="C1318" s="243"/>
      <c r="D1318" s="243">
        <v>6213</v>
      </c>
      <c r="E1318" s="243"/>
      <c r="F1318" s="244" t="s">
        <v>858</v>
      </c>
      <c r="G1318" s="241">
        <f t="shared" si="20"/>
        <v>1307</v>
      </c>
    </row>
    <row r="1319" spans="2:7" x14ac:dyDescent="0.25">
      <c r="B1319" s="242"/>
      <c r="C1319" s="243"/>
      <c r="D1319" s="243">
        <v>6214</v>
      </c>
      <c r="E1319" s="243"/>
      <c r="F1319" s="244" t="s">
        <v>857</v>
      </c>
      <c r="G1319" s="241">
        <f t="shared" si="20"/>
        <v>1308</v>
      </c>
    </row>
    <row r="1320" spans="2:7" x14ac:dyDescent="0.25">
      <c r="B1320" s="242"/>
      <c r="C1320" s="243"/>
      <c r="D1320" s="243">
        <v>6215</v>
      </c>
      <c r="E1320" s="243"/>
      <c r="F1320" s="244" t="s">
        <v>579</v>
      </c>
      <c r="G1320" s="241">
        <f t="shared" si="20"/>
        <v>1309</v>
      </c>
    </row>
    <row r="1321" spans="2:7" x14ac:dyDescent="0.25">
      <c r="B1321" s="242"/>
      <c r="C1321" s="243">
        <v>622</v>
      </c>
      <c r="D1321" s="243"/>
      <c r="E1321" s="243"/>
      <c r="F1321" s="244" t="s">
        <v>856</v>
      </c>
      <c r="G1321" s="241">
        <f t="shared" si="20"/>
        <v>1310</v>
      </c>
    </row>
    <row r="1322" spans="2:7" x14ac:dyDescent="0.25">
      <c r="B1322" s="242"/>
      <c r="C1322" s="243"/>
      <c r="D1322" s="243">
        <v>6221</v>
      </c>
      <c r="E1322" s="243"/>
      <c r="F1322" s="244" t="s">
        <v>856</v>
      </c>
      <c r="G1322" s="241">
        <f t="shared" si="20"/>
        <v>1311</v>
      </c>
    </row>
    <row r="1323" spans="2:7" x14ac:dyDescent="0.25">
      <c r="B1323" s="242"/>
      <c r="C1323" s="243">
        <v>623</v>
      </c>
      <c r="D1323" s="243"/>
      <c r="E1323" s="243"/>
      <c r="F1323" s="244" t="s">
        <v>855</v>
      </c>
      <c r="G1323" s="241">
        <f t="shared" si="20"/>
        <v>1312</v>
      </c>
    </row>
    <row r="1324" spans="2:7" x14ac:dyDescent="0.25">
      <c r="B1324" s="242"/>
      <c r="C1324" s="243"/>
      <c r="D1324" s="243">
        <v>6231</v>
      </c>
      <c r="E1324" s="243"/>
      <c r="F1324" s="244" t="s">
        <v>855</v>
      </c>
      <c r="G1324" s="241">
        <f t="shared" si="20"/>
        <v>1313</v>
      </c>
    </row>
    <row r="1325" spans="2:7" x14ac:dyDescent="0.25">
      <c r="B1325" s="242"/>
      <c r="C1325" s="243">
        <v>624</v>
      </c>
      <c r="D1325" s="243"/>
      <c r="E1325" s="243"/>
      <c r="F1325" s="244" t="s">
        <v>854</v>
      </c>
      <c r="G1325" s="241">
        <f t="shared" si="20"/>
        <v>1314</v>
      </c>
    </row>
    <row r="1326" spans="2:7" x14ac:dyDescent="0.25">
      <c r="B1326" s="242"/>
      <c r="C1326" s="243"/>
      <c r="D1326" s="243">
        <v>6241</v>
      </c>
      <c r="E1326" s="243"/>
      <c r="F1326" s="244" t="s">
        <v>854</v>
      </c>
      <c r="G1326" s="241">
        <f t="shared" si="20"/>
        <v>1315</v>
      </c>
    </row>
    <row r="1327" spans="2:7" x14ac:dyDescent="0.25">
      <c r="B1327" s="242"/>
      <c r="C1327" s="243">
        <v>625</v>
      </c>
      <c r="D1327" s="243"/>
      <c r="E1327" s="243"/>
      <c r="F1327" s="244" t="s">
        <v>853</v>
      </c>
      <c r="G1327" s="241">
        <f t="shared" si="20"/>
        <v>1316</v>
      </c>
    </row>
    <row r="1328" spans="2:7" x14ac:dyDescent="0.25">
      <c r="B1328" s="242"/>
      <c r="C1328" s="243"/>
      <c r="D1328" s="243">
        <v>6251</v>
      </c>
      <c r="E1328" s="243"/>
      <c r="F1328" s="244" t="s">
        <v>853</v>
      </c>
      <c r="G1328" s="241">
        <f t="shared" si="20"/>
        <v>1317</v>
      </c>
    </row>
    <row r="1329" spans="2:7" x14ac:dyDescent="0.25">
      <c r="B1329" s="242"/>
      <c r="C1329" s="243">
        <v>626</v>
      </c>
      <c r="D1329" s="243"/>
      <c r="E1329" s="243"/>
      <c r="F1329" s="244" t="s">
        <v>852</v>
      </c>
      <c r="G1329" s="241">
        <f t="shared" si="20"/>
        <v>1318</v>
      </c>
    </row>
    <row r="1330" spans="2:7" x14ac:dyDescent="0.25">
      <c r="B1330" s="242"/>
      <c r="C1330" s="243"/>
      <c r="D1330" s="243">
        <v>6261</v>
      </c>
      <c r="E1330" s="243"/>
      <c r="F1330" s="244" t="s">
        <v>852</v>
      </c>
      <c r="G1330" s="241">
        <f t="shared" si="20"/>
        <v>1319</v>
      </c>
    </row>
    <row r="1331" spans="2:7" x14ac:dyDescent="0.25">
      <c r="B1331" s="242"/>
      <c r="C1331" s="243">
        <v>627</v>
      </c>
      <c r="D1331" s="243"/>
      <c r="E1331" s="243"/>
      <c r="F1331" s="244" t="s">
        <v>1523</v>
      </c>
      <c r="G1331" s="241">
        <f t="shared" si="20"/>
        <v>1320</v>
      </c>
    </row>
    <row r="1332" spans="2:7" x14ac:dyDescent="0.25">
      <c r="B1332" s="242"/>
      <c r="C1332" s="243"/>
      <c r="D1332" s="243">
        <v>6271</v>
      </c>
      <c r="E1332" s="243"/>
      <c r="F1332" s="244" t="s">
        <v>851</v>
      </c>
      <c r="G1332" s="241">
        <f t="shared" si="20"/>
        <v>1321</v>
      </c>
    </row>
    <row r="1333" spans="2:7" x14ac:dyDescent="0.25">
      <c r="B1333" s="242"/>
      <c r="C1333" s="243"/>
      <c r="D1333" s="243">
        <v>6272</v>
      </c>
      <c r="E1333" s="243"/>
      <c r="F1333" s="244" t="s">
        <v>850</v>
      </c>
      <c r="G1333" s="241">
        <f t="shared" si="20"/>
        <v>1322</v>
      </c>
    </row>
    <row r="1334" spans="2:7" x14ac:dyDescent="0.25">
      <c r="B1334" s="242"/>
      <c r="C1334" s="243"/>
      <c r="D1334" s="243">
        <v>6273</v>
      </c>
      <c r="E1334" s="243"/>
      <c r="F1334" s="244" t="s">
        <v>1524</v>
      </c>
      <c r="G1334" s="241">
        <f t="shared" si="20"/>
        <v>1323</v>
      </c>
    </row>
    <row r="1335" spans="2:7" x14ac:dyDescent="0.25">
      <c r="B1335" s="242"/>
      <c r="C1335" s="243"/>
      <c r="D1335" s="243">
        <v>6274</v>
      </c>
      <c r="E1335" s="243"/>
      <c r="F1335" s="244" t="s">
        <v>576</v>
      </c>
      <c r="G1335" s="241">
        <f t="shared" si="20"/>
        <v>1324</v>
      </c>
    </row>
    <row r="1336" spans="2:7" x14ac:dyDescent="0.25">
      <c r="B1336" s="242"/>
      <c r="C1336" s="243"/>
      <c r="D1336" s="243">
        <v>6275</v>
      </c>
      <c r="E1336" s="243"/>
      <c r="F1336" s="244" t="s">
        <v>849</v>
      </c>
      <c r="G1336" s="241">
        <f t="shared" si="20"/>
        <v>1325</v>
      </c>
    </row>
    <row r="1337" spans="2:7" x14ac:dyDescent="0.25">
      <c r="B1337" s="242"/>
      <c r="C1337" s="243"/>
      <c r="D1337" s="243">
        <v>6276</v>
      </c>
      <c r="E1337" s="243"/>
      <c r="F1337" s="244" t="s">
        <v>848</v>
      </c>
      <c r="G1337" s="241">
        <f t="shared" si="20"/>
        <v>1326</v>
      </c>
    </row>
    <row r="1338" spans="2:7" x14ac:dyDescent="0.25">
      <c r="B1338" s="242"/>
      <c r="C1338" s="243"/>
      <c r="D1338" s="243">
        <v>6277</v>
      </c>
      <c r="E1338" s="243"/>
      <c r="F1338" s="244" t="s">
        <v>1525</v>
      </c>
      <c r="G1338" s="241">
        <f t="shared" si="20"/>
        <v>1327</v>
      </c>
    </row>
    <row r="1339" spans="2:7" x14ac:dyDescent="0.25">
      <c r="B1339" s="242"/>
      <c r="C1339" s="243">
        <v>628</v>
      </c>
      <c r="D1339" s="243"/>
      <c r="E1339" s="243"/>
      <c r="F1339" s="244" t="s">
        <v>1526</v>
      </c>
      <c r="G1339" s="241">
        <f t="shared" si="20"/>
        <v>1328</v>
      </c>
    </row>
    <row r="1340" spans="2:7" x14ac:dyDescent="0.25">
      <c r="B1340" s="242"/>
      <c r="C1340" s="243"/>
      <c r="D1340" s="243">
        <v>6281</v>
      </c>
      <c r="E1340" s="243"/>
      <c r="F1340" s="244" t="s">
        <v>1526</v>
      </c>
      <c r="G1340" s="241">
        <f t="shared" si="20"/>
        <v>1329</v>
      </c>
    </row>
    <row r="1341" spans="2:7" x14ac:dyDescent="0.25">
      <c r="B1341" s="242"/>
      <c r="C1341" s="243">
        <v>629</v>
      </c>
      <c r="D1341" s="243"/>
      <c r="E1341" s="243"/>
      <c r="F1341" s="244" t="s">
        <v>847</v>
      </c>
      <c r="G1341" s="241">
        <f t="shared" si="20"/>
        <v>1330</v>
      </c>
    </row>
    <row r="1342" spans="2:7" x14ac:dyDescent="0.25">
      <c r="B1342" s="242"/>
      <c r="C1342" s="243"/>
      <c r="D1342" s="243">
        <v>6291</v>
      </c>
      <c r="E1342" s="243"/>
      <c r="F1342" s="244" t="s">
        <v>846</v>
      </c>
      <c r="G1342" s="241">
        <f t="shared" si="20"/>
        <v>1331</v>
      </c>
    </row>
    <row r="1343" spans="2:7" x14ac:dyDescent="0.25">
      <c r="B1343" s="242"/>
      <c r="C1343" s="243"/>
      <c r="D1343" s="243">
        <v>6292</v>
      </c>
      <c r="E1343" s="243"/>
      <c r="F1343" s="244" t="s">
        <v>845</v>
      </c>
      <c r="G1343" s="241">
        <f t="shared" si="20"/>
        <v>1332</v>
      </c>
    </row>
    <row r="1344" spans="2:7" x14ac:dyDescent="0.25">
      <c r="B1344" s="242"/>
      <c r="C1344" s="243"/>
      <c r="D1344" s="243">
        <v>6293</v>
      </c>
      <c r="E1344" s="243"/>
      <c r="F1344" s="244" t="s">
        <v>844</v>
      </c>
      <c r="G1344" s="241">
        <f t="shared" si="20"/>
        <v>1333</v>
      </c>
    </row>
    <row r="1345" spans="2:7" x14ac:dyDescent="0.25">
      <c r="B1345" s="242">
        <v>63</v>
      </c>
      <c r="C1345" s="243"/>
      <c r="D1345" s="243"/>
      <c r="E1345" s="243"/>
      <c r="F1345" s="244" t="s">
        <v>843</v>
      </c>
      <c r="G1345" s="241">
        <f t="shared" si="20"/>
        <v>1334</v>
      </c>
    </row>
    <row r="1346" spans="2:7" x14ac:dyDescent="0.25">
      <c r="B1346" s="242"/>
      <c r="C1346" s="243">
        <v>631</v>
      </c>
      <c r="D1346" s="243"/>
      <c r="E1346" s="243"/>
      <c r="F1346" s="244" t="s">
        <v>842</v>
      </c>
      <c r="G1346" s="241">
        <f t="shared" si="20"/>
        <v>1335</v>
      </c>
    </row>
    <row r="1347" spans="2:7" x14ac:dyDescent="0.25">
      <c r="B1347" s="242"/>
      <c r="C1347" s="243"/>
      <c r="D1347" s="243">
        <v>6311</v>
      </c>
      <c r="E1347" s="243"/>
      <c r="F1347" s="244" t="s">
        <v>841</v>
      </c>
      <c r="G1347" s="241">
        <f t="shared" si="20"/>
        <v>1336</v>
      </c>
    </row>
    <row r="1348" spans="2:7" x14ac:dyDescent="0.25">
      <c r="B1348" s="242"/>
      <c r="C1348" s="243"/>
      <c r="D1348" s="243"/>
      <c r="E1348" s="243">
        <v>63111</v>
      </c>
      <c r="F1348" s="244" t="s">
        <v>840</v>
      </c>
      <c r="G1348" s="241">
        <f t="shared" si="20"/>
        <v>1337</v>
      </c>
    </row>
    <row r="1349" spans="2:7" x14ac:dyDescent="0.25">
      <c r="B1349" s="242"/>
      <c r="C1349" s="243"/>
      <c r="D1349" s="243"/>
      <c r="E1349" s="243">
        <v>63112</v>
      </c>
      <c r="F1349" s="244" t="s">
        <v>839</v>
      </c>
      <c r="G1349" s="241">
        <f t="shared" si="20"/>
        <v>1338</v>
      </c>
    </row>
    <row r="1350" spans="2:7" x14ac:dyDescent="0.25">
      <c r="B1350" s="242"/>
      <c r="C1350" s="243"/>
      <c r="D1350" s="243">
        <v>6312</v>
      </c>
      <c r="E1350" s="243"/>
      <c r="F1350" s="244" t="s">
        <v>838</v>
      </c>
      <c r="G1350" s="241">
        <f t="shared" si="20"/>
        <v>1339</v>
      </c>
    </row>
    <row r="1351" spans="2:7" x14ac:dyDescent="0.25">
      <c r="B1351" s="242"/>
      <c r="C1351" s="243"/>
      <c r="D1351" s="243">
        <v>6313</v>
      </c>
      <c r="E1351" s="243"/>
      <c r="F1351" s="244" t="s">
        <v>837</v>
      </c>
      <c r="G1351" s="241">
        <f t="shared" si="20"/>
        <v>1340</v>
      </c>
    </row>
    <row r="1352" spans="2:7" x14ac:dyDescent="0.25">
      <c r="B1352" s="242"/>
      <c r="C1352" s="243"/>
      <c r="D1352" s="243">
        <v>6314</v>
      </c>
      <c r="E1352" s="243"/>
      <c r="F1352" s="244" t="s">
        <v>836</v>
      </c>
      <c r="G1352" s="241">
        <f t="shared" si="20"/>
        <v>1341</v>
      </c>
    </row>
    <row r="1353" spans="2:7" x14ac:dyDescent="0.25">
      <c r="B1353" s="242"/>
      <c r="C1353" s="243"/>
      <c r="D1353" s="243">
        <v>6315</v>
      </c>
      <c r="E1353" s="243"/>
      <c r="F1353" s="244" t="s">
        <v>1527</v>
      </c>
      <c r="G1353" s="241">
        <f t="shared" si="20"/>
        <v>1342</v>
      </c>
    </row>
    <row r="1354" spans="2:7" x14ac:dyDescent="0.25">
      <c r="B1354" s="242"/>
      <c r="C1354" s="243">
        <v>632</v>
      </c>
      <c r="D1354" s="243"/>
      <c r="E1354" s="243"/>
      <c r="F1354" s="244" t="s">
        <v>1528</v>
      </c>
      <c r="G1354" s="241">
        <f t="shared" si="20"/>
        <v>1343</v>
      </c>
    </row>
    <row r="1355" spans="2:7" x14ac:dyDescent="0.25">
      <c r="B1355" s="242"/>
      <c r="C1355" s="243"/>
      <c r="D1355" s="243">
        <v>6321</v>
      </c>
      <c r="E1355" s="243"/>
      <c r="F1355" s="244" t="s">
        <v>1529</v>
      </c>
      <c r="G1355" s="241">
        <f t="shared" si="20"/>
        <v>1344</v>
      </c>
    </row>
    <row r="1356" spans="2:7" x14ac:dyDescent="0.25">
      <c r="B1356" s="242"/>
      <c r="C1356" s="243"/>
      <c r="D1356" s="243">
        <v>6322</v>
      </c>
      <c r="E1356" s="243"/>
      <c r="F1356" s="244" t="s">
        <v>1530</v>
      </c>
      <c r="G1356" s="241">
        <f t="shared" si="20"/>
        <v>1345</v>
      </c>
    </row>
    <row r="1357" spans="2:7" x14ac:dyDescent="0.25">
      <c r="B1357" s="242"/>
      <c r="C1357" s="243"/>
      <c r="D1357" s="243">
        <v>6323</v>
      </c>
      <c r="E1357" s="243"/>
      <c r="F1357" s="244" t="s">
        <v>1531</v>
      </c>
      <c r="G1357" s="241">
        <f t="shared" ref="G1357:G1420" si="21">G1356+1</f>
        <v>1346</v>
      </c>
    </row>
    <row r="1358" spans="2:7" x14ac:dyDescent="0.25">
      <c r="B1358" s="242"/>
      <c r="C1358" s="243"/>
      <c r="D1358" s="243">
        <v>6324</v>
      </c>
      <c r="E1358" s="243"/>
      <c r="F1358" s="244" t="s">
        <v>1532</v>
      </c>
      <c r="G1358" s="241">
        <f t="shared" si="21"/>
        <v>1347</v>
      </c>
    </row>
    <row r="1359" spans="2:7" x14ac:dyDescent="0.25">
      <c r="B1359" s="242"/>
      <c r="C1359" s="243"/>
      <c r="D1359" s="243">
        <v>6325</v>
      </c>
      <c r="E1359" s="243"/>
      <c r="F1359" s="244" t="s">
        <v>1533</v>
      </c>
      <c r="G1359" s="241">
        <f t="shared" si="21"/>
        <v>1348</v>
      </c>
    </row>
    <row r="1360" spans="2:7" x14ac:dyDescent="0.25">
      <c r="B1360" s="242"/>
      <c r="C1360" s="243"/>
      <c r="D1360" s="243">
        <v>6326</v>
      </c>
      <c r="E1360" s="243"/>
      <c r="F1360" s="244" t="s">
        <v>1534</v>
      </c>
      <c r="G1360" s="241">
        <f t="shared" si="21"/>
        <v>1349</v>
      </c>
    </row>
    <row r="1361" spans="2:7" x14ac:dyDescent="0.25">
      <c r="B1361" s="242"/>
      <c r="C1361" s="243"/>
      <c r="D1361" s="243">
        <v>6327</v>
      </c>
      <c r="E1361" s="243"/>
      <c r="F1361" s="244" t="s">
        <v>1535</v>
      </c>
      <c r="G1361" s="241">
        <f t="shared" si="21"/>
        <v>1350</v>
      </c>
    </row>
    <row r="1362" spans="2:7" x14ac:dyDescent="0.25">
      <c r="B1362" s="242"/>
      <c r="C1362" s="243"/>
      <c r="D1362" s="243">
        <v>6329</v>
      </c>
      <c r="E1362" s="243"/>
      <c r="F1362" s="244" t="s">
        <v>1536</v>
      </c>
      <c r="G1362" s="241">
        <f t="shared" si="21"/>
        <v>1351</v>
      </c>
    </row>
    <row r="1363" spans="2:7" x14ac:dyDescent="0.25">
      <c r="B1363" s="242"/>
      <c r="C1363" s="243">
        <v>633</v>
      </c>
      <c r="D1363" s="243"/>
      <c r="E1363" s="243"/>
      <c r="F1363" s="244" t="s">
        <v>835</v>
      </c>
      <c r="G1363" s="241">
        <f t="shared" si="21"/>
        <v>1352</v>
      </c>
    </row>
    <row r="1364" spans="2:7" x14ac:dyDescent="0.25">
      <c r="B1364" s="242"/>
      <c r="C1364" s="243"/>
      <c r="D1364" s="243">
        <v>6331</v>
      </c>
      <c r="E1364" s="243"/>
      <c r="F1364" s="244" t="s">
        <v>835</v>
      </c>
      <c r="G1364" s="241">
        <f t="shared" si="21"/>
        <v>1353</v>
      </c>
    </row>
    <row r="1365" spans="2:7" x14ac:dyDescent="0.25">
      <c r="B1365" s="242"/>
      <c r="C1365" s="243">
        <v>634</v>
      </c>
      <c r="D1365" s="243"/>
      <c r="E1365" s="243"/>
      <c r="F1365" s="244" t="s">
        <v>834</v>
      </c>
      <c r="G1365" s="241">
        <f t="shared" si="21"/>
        <v>1354</v>
      </c>
    </row>
    <row r="1366" spans="2:7" x14ac:dyDescent="0.25">
      <c r="B1366" s="242"/>
      <c r="C1366" s="243"/>
      <c r="D1366" s="243">
        <v>6341</v>
      </c>
      <c r="E1366" s="243"/>
      <c r="F1366" s="244" t="s">
        <v>1537</v>
      </c>
      <c r="G1366" s="241">
        <f t="shared" si="21"/>
        <v>1355</v>
      </c>
    </row>
    <row r="1367" spans="2:7" x14ac:dyDescent="0.25">
      <c r="B1367" s="242"/>
      <c r="C1367" s="243"/>
      <c r="D1367" s="243">
        <v>6342</v>
      </c>
      <c r="E1367" s="243"/>
      <c r="F1367" s="244" t="s">
        <v>1538</v>
      </c>
      <c r="G1367" s="241">
        <f t="shared" si="21"/>
        <v>1356</v>
      </c>
    </row>
    <row r="1368" spans="2:7" x14ac:dyDescent="0.25">
      <c r="B1368" s="242"/>
      <c r="C1368" s="243"/>
      <c r="D1368" s="243">
        <v>6343</v>
      </c>
      <c r="E1368" s="243"/>
      <c r="F1368" s="244" t="s">
        <v>1539</v>
      </c>
      <c r="G1368" s="241">
        <f t="shared" si="21"/>
        <v>1357</v>
      </c>
    </row>
    <row r="1369" spans="2:7" x14ac:dyDescent="0.25">
      <c r="B1369" s="242"/>
      <c r="C1369" s="243"/>
      <c r="D1369" s="243">
        <v>6344</v>
      </c>
      <c r="E1369" s="243"/>
      <c r="F1369" s="244" t="s">
        <v>1540</v>
      </c>
      <c r="G1369" s="241">
        <f t="shared" si="21"/>
        <v>1358</v>
      </c>
    </row>
    <row r="1370" spans="2:7" x14ac:dyDescent="0.25">
      <c r="B1370" s="242"/>
      <c r="C1370" s="243"/>
      <c r="D1370" s="243">
        <v>6345</v>
      </c>
      <c r="E1370" s="243"/>
      <c r="F1370" s="244" t="s">
        <v>1541</v>
      </c>
      <c r="G1370" s="241">
        <f t="shared" si="21"/>
        <v>1359</v>
      </c>
    </row>
    <row r="1371" spans="2:7" x14ac:dyDescent="0.25">
      <c r="B1371" s="242"/>
      <c r="C1371" s="243">
        <v>635</v>
      </c>
      <c r="D1371" s="243"/>
      <c r="E1371" s="243"/>
      <c r="F1371" s="244" t="s">
        <v>564</v>
      </c>
      <c r="G1371" s="241">
        <f t="shared" si="21"/>
        <v>1360</v>
      </c>
    </row>
    <row r="1372" spans="2:7" x14ac:dyDescent="0.25">
      <c r="B1372" s="242"/>
      <c r="C1372" s="243"/>
      <c r="D1372" s="243">
        <v>6351</v>
      </c>
      <c r="E1372" s="243"/>
      <c r="F1372" s="244" t="s">
        <v>833</v>
      </c>
      <c r="G1372" s="241">
        <f t="shared" si="21"/>
        <v>1361</v>
      </c>
    </row>
    <row r="1373" spans="2:7" x14ac:dyDescent="0.25">
      <c r="B1373" s="242"/>
      <c r="C1373" s="243"/>
      <c r="D1373" s="243">
        <v>6352</v>
      </c>
      <c r="E1373" s="243"/>
      <c r="F1373" s="244" t="s">
        <v>832</v>
      </c>
      <c r="G1373" s="241">
        <f t="shared" si="21"/>
        <v>1362</v>
      </c>
    </row>
    <row r="1374" spans="2:7" x14ac:dyDescent="0.25">
      <c r="B1374" s="242"/>
      <c r="C1374" s="243"/>
      <c r="D1374" s="243">
        <v>6353</v>
      </c>
      <c r="E1374" s="243"/>
      <c r="F1374" s="244" t="s">
        <v>831</v>
      </c>
      <c r="G1374" s="241">
        <f t="shared" si="21"/>
        <v>1363</v>
      </c>
    </row>
    <row r="1375" spans="2:7" x14ac:dyDescent="0.25">
      <c r="B1375" s="242"/>
      <c r="C1375" s="243"/>
      <c r="D1375" s="243">
        <v>6354</v>
      </c>
      <c r="E1375" s="243"/>
      <c r="F1375" s="244" t="s">
        <v>830</v>
      </c>
      <c r="G1375" s="241">
        <f t="shared" si="21"/>
        <v>1364</v>
      </c>
    </row>
    <row r="1376" spans="2:7" x14ac:dyDescent="0.25">
      <c r="B1376" s="242"/>
      <c r="C1376" s="243"/>
      <c r="D1376" s="243">
        <v>6356</v>
      </c>
      <c r="E1376" s="243"/>
      <c r="F1376" s="244" t="s">
        <v>829</v>
      </c>
      <c r="G1376" s="241">
        <f t="shared" si="21"/>
        <v>1365</v>
      </c>
    </row>
    <row r="1377" spans="2:7" x14ac:dyDescent="0.25">
      <c r="B1377" s="242"/>
      <c r="C1377" s="243">
        <v>636</v>
      </c>
      <c r="D1377" s="243"/>
      <c r="E1377" s="243"/>
      <c r="F1377" s="244" t="s">
        <v>828</v>
      </c>
      <c r="G1377" s="241">
        <f t="shared" si="21"/>
        <v>1366</v>
      </c>
    </row>
    <row r="1378" spans="2:7" x14ac:dyDescent="0.25">
      <c r="B1378" s="242"/>
      <c r="C1378" s="243"/>
      <c r="D1378" s="243">
        <v>6361</v>
      </c>
      <c r="E1378" s="243"/>
      <c r="F1378" s="244" t="s">
        <v>827</v>
      </c>
      <c r="G1378" s="241">
        <f t="shared" si="21"/>
        <v>1367</v>
      </c>
    </row>
    <row r="1379" spans="2:7" x14ac:dyDescent="0.25">
      <c r="B1379" s="242"/>
      <c r="C1379" s="243"/>
      <c r="D1379" s="243">
        <v>6362</v>
      </c>
      <c r="E1379" s="243"/>
      <c r="F1379" s="244" t="s">
        <v>826</v>
      </c>
      <c r="G1379" s="241">
        <f t="shared" si="21"/>
        <v>1368</v>
      </c>
    </row>
    <row r="1380" spans="2:7" x14ac:dyDescent="0.25">
      <c r="B1380" s="242"/>
      <c r="C1380" s="243"/>
      <c r="D1380" s="243">
        <v>6363</v>
      </c>
      <c r="E1380" s="243"/>
      <c r="F1380" s="244" t="s">
        <v>825</v>
      </c>
      <c r="G1380" s="241">
        <f t="shared" si="21"/>
        <v>1369</v>
      </c>
    </row>
    <row r="1381" spans="2:7" x14ac:dyDescent="0.25">
      <c r="B1381" s="242"/>
      <c r="C1381" s="243"/>
      <c r="D1381" s="243">
        <v>6364</v>
      </c>
      <c r="E1381" s="243"/>
      <c r="F1381" s="244" t="s">
        <v>824</v>
      </c>
      <c r="G1381" s="241">
        <f t="shared" si="21"/>
        <v>1370</v>
      </c>
    </row>
    <row r="1382" spans="2:7" x14ac:dyDescent="0.25">
      <c r="B1382" s="242"/>
      <c r="C1382" s="243"/>
      <c r="D1382" s="243">
        <v>6365</v>
      </c>
      <c r="E1382" s="243"/>
      <c r="F1382" s="244" t="s">
        <v>823</v>
      </c>
      <c r="G1382" s="241">
        <f t="shared" si="21"/>
        <v>1371</v>
      </c>
    </row>
    <row r="1383" spans="2:7" x14ac:dyDescent="0.25">
      <c r="B1383" s="242"/>
      <c r="C1383" s="243"/>
      <c r="D1383" s="243">
        <v>6366</v>
      </c>
      <c r="E1383" s="243"/>
      <c r="F1383" s="244" t="s">
        <v>822</v>
      </c>
      <c r="G1383" s="241">
        <f t="shared" si="21"/>
        <v>1372</v>
      </c>
    </row>
    <row r="1384" spans="2:7" x14ac:dyDescent="0.25">
      <c r="B1384" s="242"/>
      <c r="C1384" s="243"/>
      <c r="D1384" s="243">
        <v>6367</v>
      </c>
      <c r="E1384" s="243"/>
      <c r="F1384" s="244" t="s">
        <v>821</v>
      </c>
      <c r="G1384" s="241">
        <f t="shared" si="21"/>
        <v>1373</v>
      </c>
    </row>
    <row r="1385" spans="2:7" x14ac:dyDescent="0.25">
      <c r="B1385" s="242"/>
      <c r="C1385" s="243">
        <v>637</v>
      </c>
      <c r="D1385" s="243"/>
      <c r="E1385" s="243"/>
      <c r="F1385" s="244" t="s">
        <v>820</v>
      </c>
      <c r="G1385" s="241">
        <f t="shared" si="21"/>
        <v>1374</v>
      </c>
    </row>
    <row r="1386" spans="2:7" x14ac:dyDescent="0.25">
      <c r="B1386" s="242"/>
      <c r="C1386" s="243"/>
      <c r="D1386" s="243">
        <v>6371</v>
      </c>
      <c r="E1386" s="243"/>
      <c r="F1386" s="244" t="s">
        <v>819</v>
      </c>
      <c r="G1386" s="241">
        <f t="shared" si="21"/>
        <v>1375</v>
      </c>
    </row>
    <row r="1387" spans="2:7" x14ac:dyDescent="0.25">
      <c r="B1387" s="242"/>
      <c r="C1387" s="243"/>
      <c r="D1387" s="243">
        <v>6372</v>
      </c>
      <c r="E1387" s="243"/>
      <c r="F1387" s="244" t="s">
        <v>818</v>
      </c>
      <c r="G1387" s="241">
        <f t="shared" si="21"/>
        <v>1376</v>
      </c>
    </row>
    <row r="1388" spans="2:7" x14ac:dyDescent="0.25">
      <c r="B1388" s="242"/>
      <c r="C1388" s="243"/>
      <c r="D1388" s="243">
        <v>6373</v>
      </c>
      <c r="E1388" s="243"/>
      <c r="F1388" s="244" t="s">
        <v>817</v>
      </c>
      <c r="G1388" s="241">
        <f t="shared" si="21"/>
        <v>1377</v>
      </c>
    </row>
    <row r="1389" spans="2:7" x14ac:dyDescent="0.25">
      <c r="B1389" s="242"/>
      <c r="C1389" s="243">
        <v>638</v>
      </c>
      <c r="D1389" s="243"/>
      <c r="E1389" s="243"/>
      <c r="F1389" s="244" t="s">
        <v>816</v>
      </c>
      <c r="G1389" s="241">
        <f t="shared" si="21"/>
        <v>1378</v>
      </c>
    </row>
    <row r="1390" spans="2:7" x14ac:dyDescent="0.25">
      <c r="B1390" s="242"/>
      <c r="C1390" s="243"/>
      <c r="D1390" s="243">
        <v>6381</v>
      </c>
      <c r="E1390" s="243"/>
      <c r="F1390" s="244" t="s">
        <v>816</v>
      </c>
      <c r="G1390" s="241">
        <f t="shared" si="21"/>
        <v>1379</v>
      </c>
    </row>
    <row r="1391" spans="2:7" x14ac:dyDescent="0.25">
      <c r="B1391" s="242"/>
      <c r="C1391" s="243">
        <v>639</v>
      </c>
      <c r="D1391" s="243"/>
      <c r="E1391" s="243"/>
      <c r="F1391" s="244" t="s">
        <v>815</v>
      </c>
      <c r="G1391" s="241">
        <f t="shared" si="21"/>
        <v>1380</v>
      </c>
    </row>
    <row r="1392" spans="2:7" x14ac:dyDescent="0.25">
      <c r="B1392" s="242"/>
      <c r="C1392" s="243"/>
      <c r="D1392" s="243">
        <v>6391</v>
      </c>
      <c r="E1392" s="243"/>
      <c r="F1392" s="244" t="s">
        <v>814</v>
      </c>
      <c r="G1392" s="241">
        <f t="shared" si="21"/>
        <v>1381</v>
      </c>
    </row>
    <row r="1393" spans="2:7" x14ac:dyDescent="0.25">
      <c r="B1393" s="242"/>
      <c r="C1393" s="243"/>
      <c r="D1393" s="243">
        <v>6392</v>
      </c>
      <c r="E1393" s="243"/>
      <c r="F1393" s="244" t="s">
        <v>813</v>
      </c>
      <c r="G1393" s="241">
        <f t="shared" si="21"/>
        <v>1382</v>
      </c>
    </row>
    <row r="1394" spans="2:7" x14ac:dyDescent="0.25">
      <c r="B1394" s="242"/>
      <c r="C1394" s="243"/>
      <c r="D1394" s="243">
        <v>6398</v>
      </c>
      <c r="E1394" s="243"/>
      <c r="F1394" s="244" t="s">
        <v>776</v>
      </c>
      <c r="G1394" s="241">
        <f t="shared" si="21"/>
        <v>1383</v>
      </c>
    </row>
    <row r="1395" spans="2:7" x14ac:dyDescent="0.25">
      <c r="B1395" s="242"/>
      <c r="C1395" s="243"/>
      <c r="D1395" s="243">
        <v>6399</v>
      </c>
      <c r="E1395" s="243"/>
      <c r="F1395" s="244" t="s">
        <v>812</v>
      </c>
      <c r="G1395" s="241">
        <f t="shared" si="21"/>
        <v>1384</v>
      </c>
    </row>
    <row r="1396" spans="2:7" x14ac:dyDescent="0.25">
      <c r="B1396" s="242">
        <v>64</v>
      </c>
      <c r="C1396" s="243"/>
      <c r="D1396" s="243"/>
      <c r="E1396" s="243"/>
      <c r="F1396" s="244" t="s">
        <v>811</v>
      </c>
      <c r="G1396" s="241">
        <f t="shared" si="21"/>
        <v>1385</v>
      </c>
    </row>
    <row r="1397" spans="2:7" x14ac:dyDescent="0.25">
      <c r="B1397" s="242"/>
      <c r="C1397" s="243">
        <v>641</v>
      </c>
      <c r="D1397" s="243"/>
      <c r="E1397" s="243"/>
      <c r="F1397" s="244" t="s">
        <v>1045</v>
      </c>
      <c r="G1397" s="241">
        <f t="shared" si="21"/>
        <v>1386</v>
      </c>
    </row>
    <row r="1398" spans="2:7" x14ac:dyDescent="0.25">
      <c r="B1398" s="242"/>
      <c r="C1398" s="243"/>
      <c r="D1398" s="243">
        <v>6411</v>
      </c>
      <c r="E1398" s="243"/>
      <c r="F1398" s="244" t="s">
        <v>1542</v>
      </c>
      <c r="G1398" s="241">
        <f t="shared" si="21"/>
        <v>1387</v>
      </c>
    </row>
    <row r="1399" spans="2:7" x14ac:dyDescent="0.25">
      <c r="B1399" s="242"/>
      <c r="C1399" s="243"/>
      <c r="D1399" s="243">
        <v>6412</v>
      </c>
      <c r="E1399" s="243"/>
      <c r="F1399" s="244" t="s">
        <v>544</v>
      </c>
      <c r="G1399" s="241">
        <f t="shared" si="21"/>
        <v>1388</v>
      </c>
    </row>
    <row r="1400" spans="2:7" x14ac:dyDescent="0.25">
      <c r="B1400" s="242"/>
      <c r="C1400" s="243"/>
      <c r="D1400" s="243">
        <v>6413</v>
      </c>
      <c r="E1400" s="243"/>
      <c r="F1400" s="244" t="s">
        <v>1440</v>
      </c>
      <c r="G1400" s="241">
        <f t="shared" si="21"/>
        <v>1389</v>
      </c>
    </row>
    <row r="1401" spans="2:7" x14ac:dyDescent="0.25">
      <c r="B1401" s="242"/>
      <c r="C1401" s="243"/>
      <c r="D1401" s="243">
        <v>6414</v>
      </c>
      <c r="E1401" s="243"/>
      <c r="F1401" s="244" t="s">
        <v>1543</v>
      </c>
      <c r="G1401" s="241">
        <f t="shared" si="21"/>
        <v>1390</v>
      </c>
    </row>
    <row r="1402" spans="2:7" x14ac:dyDescent="0.25">
      <c r="B1402" s="242"/>
      <c r="C1402" s="243"/>
      <c r="D1402" s="243">
        <v>6415</v>
      </c>
      <c r="E1402" s="243"/>
      <c r="F1402" s="244" t="s">
        <v>1544</v>
      </c>
      <c r="G1402" s="241">
        <f t="shared" si="21"/>
        <v>1391</v>
      </c>
    </row>
    <row r="1403" spans="2:7" x14ac:dyDescent="0.25">
      <c r="B1403" s="242"/>
      <c r="C1403" s="243"/>
      <c r="D1403" s="243">
        <v>6416</v>
      </c>
      <c r="E1403" s="243"/>
      <c r="F1403" s="244" t="s">
        <v>809</v>
      </c>
      <c r="G1403" s="241">
        <f t="shared" si="21"/>
        <v>1392</v>
      </c>
    </row>
    <row r="1404" spans="2:7" x14ac:dyDescent="0.25">
      <c r="B1404" s="242"/>
      <c r="C1404" s="243"/>
      <c r="D1404" s="243">
        <v>6419</v>
      </c>
      <c r="E1404" s="243"/>
      <c r="F1404" s="244" t="s">
        <v>1262</v>
      </c>
      <c r="G1404" s="241">
        <f t="shared" si="21"/>
        <v>1393</v>
      </c>
    </row>
    <row r="1405" spans="2:7" x14ac:dyDescent="0.25">
      <c r="B1405" s="242"/>
      <c r="C1405" s="243">
        <v>642</v>
      </c>
      <c r="D1405" s="243"/>
      <c r="E1405" s="243"/>
      <c r="F1405" s="244" t="s">
        <v>1545</v>
      </c>
      <c r="G1405" s="241">
        <f t="shared" si="21"/>
        <v>1394</v>
      </c>
    </row>
    <row r="1406" spans="2:7" x14ac:dyDescent="0.25">
      <c r="B1406" s="242"/>
      <c r="C1406" s="243"/>
      <c r="D1406" s="243">
        <v>6421</v>
      </c>
      <c r="E1406" s="243"/>
      <c r="F1406" s="244" t="s">
        <v>1545</v>
      </c>
      <c r="G1406" s="241">
        <f t="shared" si="21"/>
        <v>1395</v>
      </c>
    </row>
    <row r="1407" spans="2:7" x14ac:dyDescent="0.25">
      <c r="B1407" s="242"/>
      <c r="C1407" s="243">
        <v>643</v>
      </c>
      <c r="D1407" s="243"/>
      <c r="E1407" s="243"/>
      <c r="F1407" s="244" t="s">
        <v>1546</v>
      </c>
      <c r="G1407" s="241">
        <f t="shared" si="21"/>
        <v>1396</v>
      </c>
    </row>
    <row r="1408" spans="2:7" x14ac:dyDescent="0.25">
      <c r="B1408" s="242"/>
      <c r="C1408" s="243"/>
      <c r="D1408" s="243">
        <v>6431</v>
      </c>
      <c r="E1408" s="243"/>
      <c r="F1408" s="244" t="s">
        <v>1017</v>
      </c>
      <c r="G1408" s="241">
        <f t="shared" si="21"/>
        <v>1397</v>
      </c>
    </row>
    <row r="1409" spans="2:7" x14ac:dyDescent="0.25">
      <c r="B1409" s="242"/>
      <c r="C1409" s="243"/>
      <c r="D1409" s="243">
        <v>6432</v>
      </c>
      <c r="E1409" s="243"/>
      <c r="F1409" s="244" t="s">
        <v>1547</v>
      </c>
      <c r="G1409" s="241">
        <f t="shared" si="21"/>
        <v>1398</v>
      </c>
    </row>
    <row r="1410" spans="2:7" x14ac:dyDescent="0.25">
      <c r="B1410" s="242"/>
      <c r="C1410" s="243"/>
      <c r="D1410" s="243">
        <v>6433</v>
      </c>
      <c r="E1410" s="243"/>
      <c r="F1410" s="244" t="s">
        <v>1021</v>
      </c>
      <c r="G1410" s="241">
        <f t="shared" si="21"/>
        <v>1399</v>
      </c>
    </row>
    <row r="1411" spans="2:7" x14ac:dyDescent="0.25">
      <c r="B1411" s="242"/>
      <c r="C1411" s="243"/>
      <c r="D1411" s="243">
        <v>6434</v>
      </c>
      <c r="E1411" s="243"/>
      <c r="F1411" s="244" t="s">
        <v>1548</v>
      </c>
      <c r="G1411" s="241">
        <f t="shared" si="21"/>
        <v>1400</v>
      </c>
    </row>
    <row r="1412" spans="2:7" x14ac:dyDescent="0.25">
      <c r="B1412" s="242"/>
      <c r="C1412" s="243"/>
      <c r="D1412" s="243">
        <v>6439</v>
      </c>
      <c r="E1412" s="243"/>
      <c r="F1412" s="244" t="s">
        <v>1262</v>
      </c>
      <c r="G1412" s="241">
        <f t="shared" si="21"/>
        <v>1401</v>
      </c>
    </row>
    <row r="1413" spans="2:7" x14ac:dyDescent="0.25">
      <c r="B1413" s="242"/>
      <c r="C1413" s="243">
        <v>644</v>
      </c>
      <c r="D1413" s="243"/>
      <c r="E1413" s="243"/>
      <c r="F1413" s="244" t="s">
        <v>1549</v>
      </c>
      <c r="G1413" s="241">
        <f t="shared" si="21"/>
        <v>1402</v>
      </c>
    </row>
    <row r="1414" spans="2:7" x14ac:dyDescent="0.25">
      <c r="B1414" s="242"/>
      <c r="C1414" s="243"/>
      <c r="D1414" s="243">
        <v>6441</v>
      </c>
      <c r="E1414" s="243"/>
      <c r="F1414" s="244" t="s">
        <v>1026</v>
      </c>
      <c r="G1414" s="241">
        <f t="shared" si="21"/>
        <v>1403</v>
      </c>
    </row>
    <row r="1415" spans="2:7" x14ac:dyDescent="0.25">
      <c r="B1415" s="242"/>
      <c r="C1415" s="243"/>
      <c r="D1415" s="243">
        <v>6442</v>
      </c>
      <c r="E1415" s="243"/>
      <c r="F1415" s="244" t="s">
        <v>1025</v>
      </c>
      <c r="G1415" s="241">
        <f t="shared" si="21"/>
        <v>1404</v>
      </c>
    </row>
    <row r="1416" spans="2:7" x14ac:dyDescent="0.25">
      <c r="B1416" s="242"/>
      <c r="C1416" s="243"/>
      <c r="D1416" s="243">
        <v>6443</v>
      </c>
      <c r="E1416" s="243"/>
      <c r="F1416" s="244" t="s">
        <v>1262</v>
      </c>
      <c r="G1416" s="241">
        <f t="shared" si="21"/>
        <v>1405</v>
      </c>
    </row>
    <row r="1417" spans="2:7" x14ac:dyDescent="0.25">
      <c r="B1417" s="242">
        <v>65</v>
      </c>
      <c r="C1417" s="243"/>
      <c r="D1417" s="243"/>
      <c r="E1417" s="243"/>
      <c r="F1417" s="244" t="s">
        <v>806</v>
      </c>
      <c r="G1417" s="241">
        <f t="shared" si="21"/>
        <v>1406</v>
      </c>
    </row>
    <row r="1418" spans="2:7" x14ac:dyDescent="0.25">
      <c r="B1418" s="242"/>
      <c r="C1418" s="243">
        <v>651</v>
      </c>
      <c r="D1418" s="243"/>
      <c r="E1418" s="243"/>
      <c r="F1418" s="244" t="s">
        <v>570</v>
      </c>
      <c r="G1418" s="241">
        <f t="shared" si="21"/>
        <v>1407</v>
      </c>
    </row>
    <row r="1419" spans="2:7" x14ac:dyDescent="0.25">
      <c r="B1419" s="242"/>
      <c r="C1419" s="243"/>
      <c r="D1419" s="243">
        <v>6511</v>
      </c>
      <c r="E1419" s="243"/>
      <c r="F1419" s="244" t="s">
        <v>570</v>
      </c>
      <c r="G1419" s="241">
        <f t="shared" si="21"/>
        <v>1408</v>
      </c>
    </row>
    <row r="1420" spans="2:7" x14ac:dyDescent="0.25">
      <c r="B1420" s="242"/>
      <c r="C1420" s="243">
        <v>652</v>
      </c>
      <c r="D1420" s="243"/>
      <c r="E1420" s="243"/>
      <c r="F1420" s="244" t="s">
        <v>659</v>
      </c>
      <c r="G1420" s="241">
        <f t="shared" si="21"/>
        <v>1409</v>
      </c>
    </row>
    <row r="1421" spans="2:7" x14ac:dyDescent="0.25">
      <c r="B1421" s="242"/>
      <c r="C1421" s="243"/>
      <c r="D1421" s="243">
        <v>6521</v>
      </c>
      <c r="E1421" s="243"/>
      <c r="F1421" s="244" t="s">
        <v>659</v>
      </c>
      <c r="G1421" s="241">
        <f t="shared" ref="G1421:G1484" si="22">G1420+1</f>
        <v>1410</v>
      </c>
    </row>
    <row r="1422" spans="2:7" x14ac:dyDescent="0.25">
      <c r="B1422" s="242"/>
      <c r="C1422" s="243">
        <v>653</v>
      </c>
      <c r="D1422" s="243"/>
      <c r="E1422" s="243"/>
      <c r="F1422" s="244" t="s">
        <v>805</v>
      </c>
      <c r="G1422" s="241">
        <f t="shared" si="22"/>
        <v>1411</v>
      </c>
    </row>
    <row r="1423" spans="2:7" x14ac:dyDescent="0.25">
      <c r="B1423" s="242"/>
      <c r="C1423" s="243"/>
      <c r="D1423" s="243">
        <v>6531</v>
      </c>
      <c r="E1423" s="243"/>
      <c r="F1423" s="244" t="s">
        <v>805</v>
      </c>
      <c r="G1423" s="241">
        <f t="shared" si="22"/>
        <v>1412</v>
      </c>
    </row>
    <row r="1424" spans="2:7" x14ac:dyDescent="0.25">
      <c r="B1424" s="242"/>
      <c r="C1424" s="243">
        <v>654</v>
      </c>
      <c r="D1424" s="243"/>
      <c r="E1424" s="243"/>
      <c r="F1424" s="244" t="s">
        <v>804</v>
      </c>
      <c r="G1424" s="241">
        <f t="shared" si="22"/>
        <v>1413</v>
      </c>
    </row>
    <row r="1425" spans="2:7" x14ac:dyDescent="0.25">
      <c r="B1425" s="242"/>
      <c r="C1425" s="243"/>
      <c r="D1425" s="243">
        <v>6541</v>
      </c>
      <c r="E1425" s="243"/>
      <c r="F1425" s="244" t="s">
        <v>803</v>
      </c>
      <c r="G1425" s="241">
        <f t="shared" si="22"/>
        <v>1414</v>
      </c>
    </row>
    <row r="1426" spans="2:7" x14ac:dyDescent="0.25">
      <c r="B1426" s="242"/>
      <c r="C1426" s="243"/>
      <c r="D1426" s="243">
        <v>6542</v>
      </c>
      <c r="E1426" s="243"/>
      <c r="F1426" s="244" t="s">
        <v>802</v>
      </c>
      <c r="G1426" s="241">
        <f t="shared" si="22"/>
        <v>1415</v>
      </c>
    </row>
    <row r="1427" spans="2:7" x14ac:dyDescent="0.25">
      <c r="B1427" s="242"/>
      <c r="C1427" s="243">
        <v>655</v>
      </c>
      <c r="D1427" s="243"/>
      <c r="E1427" s="243"/>
      <c r="F1427" s="244" t="s">
        <v>801</v>
      </c>
      <c r="G1427" s="241">
        <f t="shared" si="22"/>
        <v>1416</v>
      </c>
    </row>
    <row r="1428" spans="2:7" x14ac:dyDescent="0.25">
      <c r="B1428" s="242"/>
      <c r="C1428" s="243"/>
      <c r="D1428" s="243">
        <v>6551</v>
      </c>
      <c r="E1428" s="243"/>
      <c r="F1428" s="244" t="s">
        <v>800</v>
      </c>
      <c r="G1428" s="241">
        <f t="shared" si="22"/>
        <v>1417</v>
      </c>
    </row>
    <row r="1429" spans="2:7" x14ac:dyDescent="0.25">
      <c r="B1429" s="242"/>
      <c r="C1429" s="243"/>
      <c r="D1429" s="243"/>
      <c r="E1429" s="243">
        <v>65511</v>
      </c>
      <c r="F1429" s="244" t="s">
        <v>641</v>
      </c>
      <c r="G1429" s="241">
        <f t="shared" si="22"/>
        <v>1418</v>
      </c>
    </row>
    <row r="1430" spans="2:7" x14ac:dyDescent="0.25">
      <c r="B1430" s="242"/>
      <c r="C1430" s="243"/>
      <c r="D1430" s="243"/>
      <c r="E1430" s="243">
        <v>65512</v>
      </c>
      <c r="F1430" s="244" t="s">
        <v>648</v>
      </c>
      <c r="G1430" s="241">
        <f t="shared" si="22"/>
        <v>1419</v>
      </c>
    </row>
    <row r="1431" spans="2:7" x14ac:dyDescent="0.25">
      <c r="B1431" s="242"/>
      <c r="C1431" s="243"/>
      <c r="D1431" s="243"/>
      <c r="E1431" s="243">
        <v>65513</v>
      </c>
      <c r="F1431" s="244" t="s">
        <v>432</v>
      </c>
      <c r="G1431" s="241">
        <f t="shared" si="22"/>
        <v>1420</v>
      </c>
    </row>
    <row r="1432" spans="2:7" x14ac:dyDescent="0.25">
      <c r="B1432" s="242"/>
      <c r="C1432" s="243"/>
      <c r="D1432" s="243"/>
      <c r="E1432" s="243">
        <v>65514</v>
      </c>
      <c r="F1432" s="244" t="s">
        <v>521</v>
      </c>
      <c r="G1432" s="241">
        <f t="shared" si="22"/>
        <v>1421</v>
      </c>
    </row>
    <row r="1433" spans="2:7" x14ac:dyDescent="0.25">
      <c r="B1433" s="242"/>
      <c r="C1433" s="243"/>
      <c r="D1433" s="243"/>
      <c r="E1433" s="243">
        <v>65515</v>
      </c>
      <c r="F1433" s="244" t="s">
        <v>520</v>
      </c>
      <c r="G1433" s="241">
        <f t="shared" si="22"/>
        <v>1422</v>
      </c>
    </row>
    <row r="1434" spans="2:7" x14ac:dyDescent="0.25">
      <c r="B1434" s="242"/>
      <c r="C1434" s="243"/>
      <c r="D1434" s="243">
        <v>6552</v>
      </c>
      <c r="E1434" s="243"/>
      <c r="F1434" s="244" t="s">
        <v>1550</v>
      </c>
      <c r="G1434" s="241">
        <f t="shared" si="22"/>
        <v>1423</v>
      </c>
    </row>
    <row r="1435" spans="2:7" x14ac:dyDescent="0.25">
      <c r="B1435" s="242"/>
      <c r="C1435" s="243"/>
      <c r="D1435" s="243"/>
      <c r="E1435" s="243">
        <v>65521</v>
      </c>
      <c r="F1435" s="244" t="s">
        <v>641</v>
      </c>
      <c r="G1435" s="241">
        <f t="shared" si="22"/>
        <v>1424</v>
      </c>
    </row>
    <row r="1436" spans="2:7" x14ac:dyDescent="0.25">
      <c r="B1436" s="242"/>
      <c r="C1436" s="243"/>
      <c r="D1436" s="243"/>
      <c r="E1436" s="243">
        <v>65522</v>
      </c>
      <c r="F1436" s="244" t="s">
        <v>648</v>
      </c>
      <c r="G1436" s="241">
        <f t="shared" si="22"/>
        <v>1425</v>
      </c>
    </row>
    <row r="1437" spans="2:7" x14ac:dyDescent="0.25">
      <c r="B1437" s="242"/>
      <c r="C1437" s="243"/>
      <c r="D1437" s="243"/>
      <c r="E1437" s="243">
        <v>65523</v>
      </c>
      <c r="F1437" s="244" t="s">
        <v>432</v>
      </c>
      <c r="G1437" s="241">
        <f t="shared" si="22"/>
        <v>1426</v>
      </c>
    </row>
    <row r="1438" spans="2:7" x14ac:dyDescent="0.25">
      <c r="B1438" s="242"/>
      <c r="C1438" s="243"/>
      <c r="D1438" s="243"/>
      <c r="E1438" s="243">
        <v>65524</v>
      </c>
      <c r="F1438" s="244" t="s">
        <v>521</v>
      </c>
      <c r="G1438" s="241">
        <f t="shared" si="22"/>
        <v>1427</v>
      </c>
    </row>
    <row r="1439" spans="2:7" x14ac:dyDescent="0.25">
      <c r="B1439" s="242"/>
      <c r="C1439" s="243"/>
      <c r="D1439" s="243"/>
      <c r="E1439" s="243">
        <v>65525</v>
      </c>
      <c r="F1439" s="244" t="s">
        <v>520</v>
      </c>
      <c r="G1439" s="241">
        <f t="shared" si="22"/>
        <v>1428</v>
      </c>
    </row>
    <row r="1440" spans="2:7" x14ac:dyDescent="0.25">
      <c r="B1440" s="242"/>
      <c r="C1440" s="243">
        <v>656</v>
      </c>
      <c r="D1440" s="243"/>
      <c r="E1440" s="243"/>
      <c r="F1440" s="244" t="s">
        <v>532</v>
      </c>
      <c r="G1440" s="241">
        <f t="shared" si="22"/>
        <v>1429</v>
      </c>
    </row>
    <row r="1441" spans="2:7" x14ac:dyDescent="0.25">
      <c r="B1441" s="242"/>
      <c r="C1441" s="243"/>
      <c r="D1441" s="243">
        <v>6561</v>
      </c>
      <c r="E1441" s="243"/>
      <c r="F1441" s="244" t="s">
        <v>532</v>
      </c>
      <c r="G1441" s="241">
        <f t="shared" si="22"/>
        <v>1430</v>
      </c>
    </row>
    <row r="1442" spans="2:7" x14ac:dyDescent="0.25">
      <c r="B1442" s="242"/>
      <c r="C1442" s="243">
        <v>658</v>
      </c>
      <c r="D1442" s="243"/>
      <c r="E1442" s="243"/>
      <c r="F1442" s="244" t="s">
        <v>1551</v>
      </c>
      <c r="G1442" s="241">
        <f t="shared" si="22"/>
        <v>1431</v>
      </c>
    </row>
    <row r="1443" spans="2:7" x14ac:dyDescent="0.25">
      <c r="B1443" s="242"/>
      <c r="C1443" s="243"/>
      <c r="D1443" s="243">
        <v>6581</v>
      </c>
      <c r="E1443" s="243"/>
      <c r="F1443" s="244" t="s">
        <v>1551</v>
      </c>
      <c r="G1443" s="241">
        <f t="shared" si="22"/>
        <v>1432</v>
      </c>
    </row>
    <row r="1444" spans="2:7" x14ac:dyDescent="0.25">
      <c r="B1444" s="242"/>
      <c r="C1444" s="243">
        <v>659</v>
      </c>
      <c r="D1444" s="243"/>
      <c r="E1444" s="243"/>
      <c r="F1444" s="244" t="s">
        <v>799</v>
      </c>
      <c r="G1444" s="241">
        <f t="shared" si="22"/>
        <v>1433</v>
      </c>
    </row>
    <row r="1445" spans="2:7" x14ac:dyDescent="0.25">
      <c r="B1445" s="242"/>
      <c r="C1445" s="243"/>
      <c r="D1445" s="243">
        <v>6591</v>
      </c>
      <c r="E1445" s="243"/>
      <c r="F1445" s="244" t="s">
        <v>798</v>
      </c>
      <c r="G1445" s="241">
        <f t="shared" si="22"/>
        <v>1434</v>
      </c>
    </row>
    <row r="1446" spans="2:7" x14ac:dyDescent="0.25">
      <c r="B1446" s="242"/>
      <c r="C1446" s="243"/>
      <c r="D1446" s="243">
        <v>6592</v>
      </c>
      <c r="E1446" s="243"/>
      <c r="F1446" s="244" t="s">
        <v>797</v>
      </c>
      <c r="G1446" s="241">
        <f t="shared" si="22"/>
        <v>1435</v>
      </c>
    </row>
    <row r="1447" spans="2:7" x14ac:dyDescent="0.25">
      <c r="B1447" s="242"/>
      <c r="C1447" s="243"/>
      <c r="D1447" s="243">
        <v>6598</v>
      </c>
      <c r="E1447" s="243"/>
      <c r="F1447" s="244" t="s">
        <v>776</v>
      </c>
      <c r="G1447" s="241">
        <f t="shared" si="22"/>
        <v>1436</v>
      </c>
    </row>
    <row r="1448" spans="2:7" x14ac:dyDescent="0.25">
      <c r="B1448" s="242"/>
      <c r="C1448" s="243"/>
      <c r="D1448" s="243">
        <v>6599</v>
      </c>
      <c r="E1448" s="243"/>
      <c r="F1448" s="244" t="s">
        <v>796</v>
      </c>
      <c r="G1448" s="241">
        <f t="shared" si="22"/>
        <v>1437</v>
      </c>
    </row>
    <row r="1449" spans="2:7" x14ac:dyDescent="0.25">
      <c r="B1449" s="242">
        <v>66</v>
      </c>
      <c r="C1449" s="243"/>
      <c r="D1449" s="243"/>
      <c r="E1449" s="243"/>
      <c r="F1449" s="244" t="s">
        <v>795</v>
      </c>
      <c r="G1449" s="241">
        <f t="shared" si="22"/>
        <v>1438</v>
      </c>
    </row>
    <row r="1450" spans="2:7" x14ac:dyDescent="0.25">
      <c r="B1450" s="242"/>
      <c r="C1450" s="243">
        <v>661</v>
      </c>
      <c r="D1450" s="243"/>
      <c r="E1450" s="243"/>
      <c r="F1450" s="244" t="s">
        <v>645</v>
      </c>
      <c r="G1450" s="241">
        <f t="shared" si="22"/>
        <v>1439</v>
      </c>
    </row>
    <row r="1451" spans="2:7" x14ac:dyDescent="0.25">
      <c r="B1451" s="242"/>
      <c r="C1451" s="243"/>
      <c r="D1451" s="243">
        <v>6611</v>
      </c>
      <c r="E1451" s="243"/>
      <c r="F1451" s="244" t="s">
        <v>644</v>
      </c>
      <c r="G1451" s="241">
        <f t="shared" si="22"/>
        <v>1440</v>
      </c>
    </row>
    <row r="1452" spans="2:7" x14ac:dyDescent="0.25">
      <c r="B1452" s="242"/>
      <c r="C1452" s="243"/>
      <c r="D1452" s="243">
        <v>6612</v>
      </c>
      <c r="E1452" s="243"/>
      <c r="F1452" s="244" t="s">
        <v>590</v>
      </c>
      <c r="G1452" s="241">
        <f t="shared" si="22"/>
        <v>1441</v>
      </c>
    </row>
    <row r="1453" spans="2:7" x14ac:dyDescent="0.25">
      <c r="B1453" s="242"/>
      <c r="C1453" s="243"/>
      <c r="D1453" s="243">
        <v>6613</v>
      </c>
      <c r="E1453" s="243"/>
      <c r="F1453" s="244" t="s">
        <v>643</v>
      </c>
      <c r="G1453" s="241">
        <f t="shared" si="22"/>
        <v>1442</v>
      </c>
    </row>
    <row r="1454" spans="2:7" x14ac:dyDescent="0.25">
      <c r="B1454" s="242"/>
      <c r="C1454" s="243"/>
      <c r="D1454" s="243"/>
      <c r="E1454" s="243">
        <v>66131</v>
      </c>
      <c r="F1454" s="244" t="s">
        <v>641</v>
      </c>
      <c r="G1454" s="241">
        <f t="shared" si="22"/>
        <v>1443</v>
      </c>
    </row>
    <row r="1455" spans="2:7" x14ac:dyDescent="0.25">
      <c r="B1455" s="242"/>
      <c r="C1455" s="243"/>
      <c r="D1455" s="243"/>
      <c r="E1455" s="243">
        <v>66132</v>
      </c>
      <c r="F1455" s="244" t="s">
        <v>432</v>
      </c>
      <c r="G1455" s="241">
        <f t="shared" si="22"/>
        <v>1444</v>
      </c>
    </row>
    <row r="1456" spans="2:7" x14ac:dyDescent="0.25">
      <c r="B1456" s="242"/>
      <c r="C1456" s="243"/>
      <c r="D1456" s="243"/>
      <c r="E1456" s="243">
        <v>66133</v>
      </c>
      <c r="F1456" s="244" t="s">
        <v>521</v>
      </c>
      <c r="G1456" s="241">
        <f t="shared" si="22"/>
        <v>1445</v>
      </c>
    </row>
    <row r="1457" spans="2:7" x14ac:dyDescent="0.25">
      <c r="B1457" s="242"/>
      <c r="C1457" s="243"/>
      <c r="D1457" s="243"/>
      <c r="E1457" s="243">
        <v>66134</v>
      </c>
      <c r="F1457" s="244" t="s">
        <v>520</v>
      </c>
      <c r="G1457" s="241">
        <f t="shared" si="22"/>
        <v>1446</v>
      </c>
    </row>
    <row r="1458" spans="2:7" x14ac:dyDescent="0.25">
      <c r="B1458" s="242"/>
      <c r="C1458" s="243">
        <v>662</v>
      </c>
      <c r="D1458" s="243"/>
      <c r="E1458" s="243"/>
      <c r="F1458" s="244" t="s">
        <v>642</v>
      </c>
      <c r="G1458" s="241">
        <f t="shared" si="22"/>
        <v>1447</v>
      </c>
    </row>
    <row r="1459" spans="2:7" x14ac:dyDescent="0.25">
      <c r="B1459" s="242"/>
      <c r="C1459" s="243"/>
      <c r="D1459" s="243">
        <v>6621</v>
      </c>
      <c r="E1459" s="243"/>
      <c r="F1459" s="244" t="s">
        <v>641</v>
      </c>
      <c r="G1459" s="241">
        <f t="shared" si="22"/>
        <v>1448</v>
      </c>
    </row>
    <row r="1460" spans="2:7" x14ac:dyDescent="0.25">
      <c r="B1460" s="242"/>
      <c r="C1460" s="243"/>
      <c r="D1460" s="243">
        <v>6622</v>
      </c>
      <c r="E1460" s="243"/>
      <c r="F1460" s="244" t="s">
        <v>520</v>
      </c>
      <c r="G1460" s="241">
        <f t="shared" si="22"/>
        <v>1449</v>
      </c>
    </row>
    <row r="1461" spans="2:7" x14ac:dyDescent="0.25">
      <c r="B1461" s="242">
        <v>67</v>
      </c>
      <c r="C1461" s="243"/>
      <c r="D1461" s="243"/>
      <c r="E1461" s="243"/>
      <c r="F1461" s="244" t="s">
        <v>554</v>
      </c>
      <c r="G1461" s="241">
        <f t="shared" si="22"/>
        <v>1450</v>
      </c>
    </row>
    <row r="1462" spans="2:7" x14ac:dyDescent="0.25">
      <c r="B1462" s="242"/>
      <c r="C1462" s="243">
        <v>671</v>
      </c>
      <c r="D1462" s="243"/>
      <c r="E1462" s="243"/>
      <c r="F1462" s="244" t="s">
        <v>794</v>
      </c>
      <c r="G1462" s="241">
        <f t="shared" si="22"/>
        <v>1451</v>
      </c>
    </row>
    <row r="1463" spans="2:7" x14ac:dyDescent="0.25">
      <c r="B1463" s="242"/>
      <c r="C1463" s="243"/>
      <c r="D1463" s="243">
        <v>6711</v>
      </c>
      <c r="E1463" s="243"/>
      <c r="F1463" s="244" t="s">
        <v>790</v>
      </c>
      <c r="G1463" s="241">
        <f t="shared" si="22"/>
        <v>1452</v>
      </c>
    </row>
    <row r="1464" spans="2:7" x14ac:dyDescent="0.25">
      <c r="B1464" s="242"/>
      <c r="C1464" s="243"/>
      <c r="D1464" s="243">
        <v>6712</v>
      </c>
      <c r="E1464" s="243"/>
      <c r="F1464" s="244" t="s">
        <v>787</v>
      </c>
      <c r="G1464" s="241">
        <f t="shared" si="22"/>
        <v>1453</v>
      </c>
    </row>
    <row r="1465" spans="2:7" x14ac:dyDescent="0.25">
      <c r="B1465" s="242"/>
      <c r="C1465" s="243"/>
      <c r="D1465" s="243">
        <v>6713</v>
      </c>
      <c r="E1465" s="243"/>
      <c r="F1465" s="244" t="s">
        <v>793</v>
      </c>
      <c r="G1465" s="241">
        <f t="shared" si="22"/>
        <v>1454</v>
      </c>
    </row>
    <row r="1466" spans="2:7" x14ac:dyDescent="0.25">
      <c r="B1466" s="242"/>
      <c r="C1466" s="243"/>
      <c r="D1466" s="243">
        <v>6714</v>
      </c>
      <c r="E1466" s="243"/>
      <c r="F1466" s="244" t="s">
        <v>785</v>
      </c>
      <c r="G1466" s="241">
        <f t="shared" si="22"/>
        <v>1455</v>
      </c>
    </row>
    <row r="1467" spans="2:7" x14ac:dyDescent="0.25">
      <c r="B1467" s="242"/>
      <c r="C1467" s="243">
        <v>672</v>
      </c>
      <c r="D1467" s="243"/>
      <c r="E1467" s="243"/>
      <c r="F1467" s="244" t="s">
        <v>792</v>
      </c>
      <c r="G1467" s="241">
        <f t="shared" si="22"/>
        <v>1456</v>
      </c>
    </row>
    <row r="1468" spans="2:7" x14ac:dyDescent="0.25">
      <c r="B1468" s="242"/>
      <c r="C1468" s="243"/>
      <c r="D1468" s="243">
        <v>6721</v>
      </c>
      <c r="E1468" s="243"/>
      <c r="F1468" s="244" t="s">
        <v>792</v>
      </c>
      <c r="G1468" s="241">
        <f t="shared" si="22"/>
        <v>1457</v>
      </c>
    </row>
    <row r="1469" spans="2:7" x14ac:dyDescent="0.25">
      <c r="B1469" s="242"/>
      <c r="C1469" s="243">
        <v>673</v>
      </c>
      <c r="D1469" s="243"/>
      <c r="E1469" s="243"/>
      <c r="F1469" s="244" t="s">
        <v>791</v>
      </c>
      <c r="G1469" s="241">
        <f t="shared" si="22"/>
        <v>1458</v>
      </c>
    </row>
    <row r="1470" spans="2:7" x14ac:dyDescent="0.25">
      <c r="B1470" s="242"/>
      <c r="C1470" s="243"/>
      <c r="D1470" s="243">
        <v>6731</v>
      </c>
      <c r="E1470" s="243"/>
      <c r="F1470" s="244" t="s">
        <v>790</v>
      </c>
      <c r="G1470" s="241">
        <f t="shared" si="22"/>
        <v>1459</v>
      </c>
    </row>
    <row r="1471" spans="2:7" x14ac:dyDescent="0.25">
      <c r="B1471" s="242"/>
      <c r="C1471" s="243"/>
      <c r="D1471" s="243"/>
      <c r="E1471" s="243">
        <v>67311</v>
      </c>
      <c r="F1471" s="244" t="s">
        <v>789</v>
      </c>
      <c r="G1471" s="241">
        <f t="shared" si="22"/>
        <v>1460</v>
      </c>
    </row>
    <row r="1472" spans="2:7" x14ac:dyDescent="0.25">
      <c r="B1472" s="242"/>
      <c r="C1472" s="243"/>
      <c r="D1472" s="243"/>
      <c r="E1472" s="243">
        <v>67312</v>
      </c>
      <c r="F1472" s="244" t="s">
        <v>788</v>
      </c>
      <c r="G1472" s="241">
        <f t="shared" si="22"/>
        <v>1461</v>
      </c>
    </row>
    <row r="1473" spans="2:7" x14ac:dyDescent="0.25">
      <c r="B1473" s="242"/>
      <c r="C1473" s="243"/>
      <c r="D1473" s="243">
        <v>6732</v>
      </c>
      <c r="E1473" s="243"/>
      <c r="F1473" s="244" t="s">
        <v>787</v>
      </c>
      <c r="G1473" s="241">
        <f t="shared" si="22"/>
        <v>1462</v>
      </c>
    </row>
    <row r="1474" spans="2:7" x14ac:dyDescent="0.25">
      <c r="B1474" s="242"/>
      <c r="C1474" s="243"/>
      <c r="D1474" s="243">
        <v>6733</v>
      </c>
      <c r="E1474" s="243"/>
      <c r="F1474" s="244" t="s">
        <v>786</v>
      </c>
      <c r="G1474" s="241">
        <f t="shared" si="22"/>
        <v>1463</v>
      </c>
    </row>
    <row r="1475" spans="2:7" x14ac:dyDescent="0.25">
      <c r="B1475" s="242"/>
      <c r="C1475" s="243"/>
      <c r="D1475" s="243">
        <v>6734</v>
      </c>
      <c r="E1475" s="243"/>
      <c r="F1475" s="244" t="s">
        <v>785</v>
      </c>
      <c r="G1475" s="241">
        <f t="shared" si="22"/>
        <v>1464</v>
      </c>
    </row>
    <row r="1476" spans="2:7" x14ac:dyDescent="0.25">
      <c r="B1476" s="242"/>
      <c r="C1476" s="243"/>
      <c r="D1476" s="243">
        <v>6735</v>
      </c>
      <c r="E1476" s="243"/>
      <c r="F1476" s="244" t="s">
        <v>784</v>
      </c>
      <c r="G1476" s="241">
        <f t="shared" si="22"/>
        <v>1465</v>
      </c>
    </row>
    <row r="1477" spans="2:7" x14ac:dyDescent="0.25">
      <c r="B1477" s="242"/>
      <c r="C1477" s="243"/>
      <c r="D1477" s="243">
        <v>6736</v>
      </c>
      <c r="E1477" s="243"/>
      <c r="F1477" s="244" t="s">
        <v>783</v>
      </c>
      <c r="G1477" s="241">
        <f t="shared" si="22"/>
        <v>1466</v>
      </c>
    </row>
    <row r="1478" spans="2:7" x14ac:dyDescent="0.25">
      <c r="B1478" s="242"/>
      <c r="C1478" s="243"/>
      <c r="D1478" s="243">
        <v>6737</v>
      </c>
      <c r="E1478" s="243"/>
      <c r="F1478" s="244" t="s">
        <v>782</v>
      </c>
      <c r="G1478" s="241">
        <f t="shared" si="22"/>
        <v>1467</v>
      </c>
    </row>
    <row r="1479" spans="2:7" x14ac:dyDescent="0.25">
      <c r="B1479" s="242"/>
      <c r="C1479" s="243">
        <v>674</v>
      </c>
      <c r="D1479" s="243"/>
      <c r="E1479" s="243"/>
      <c r="F1479" s="244" t="s">
        <v>1552</v>
      </c>
      <c r="G1479" s="241">
        <f t="shared" si="22"/>
        <v>1468</v>
      </c>
    </row>
    <row r="1480" spans="2:7" x14ac:dyDescent="0.25">
      <c r="B1480" s="242"/>
      <c r="C1480" s="243"/>
      <c r="D1480" s="243">
        <v>6741</v>
      </c>
      <c r="E1480" s="243"/>
      <c r="F1480" s="244" t="s">
        <v>1553</v>
      </c>
      <c r="G1480" s="241">
        <f t="shared" si="22"/>
        <v>1469</v>
      </c>
    </row>
    <row r="1481" spans="2:7" x14ac:dyDescent="0.25">
      <c r="B1481" s="242"/>
      <c r="C1481" s="243">
        <v>675</v>
      </c>
      <c r="D1481" s="243"/>
      <c r="E1481" s="243"/>
      <c r="F1481" s="244" t="s">
        <v>549</v>
      </c>
      <c r="G1481" s="241">
        <f t="shared" si="22"/>
        <v>1470</v>
      </c>
    </row>
    <row r="1482" spans="2:7" x14ac:dyDescent="0.25">
      <c r="B1482" s="242"/>
      <c r="C1482" s="243"/>
      <c r="D1482" s="243">
        <v>6751</v>
      </c>
      <c r="E1482" s="243"/>
      <c r="F1482" s="244" t="s">
        <v>549</v>
      </c>
      <c r="G1482" s="241">
        <f t="shared" si="22"/>
        <v>1471</v>
      </c>
    </row>
    <row r="1483" spans="2:7" x14ac:dyDescent="0.25">
      <c r="B1483" s="242"/>
      <c r="C1483" s="243">
        <v>676</v>
      </c>
      <c r="D1483" s="243"/>
      <c r="E1483" s="243"/>
      <c r="F1483" s="244" t="s">
        <v>781</v>
      </c>
      <c r="G1483" s="241">
        <f t="shared" si="22"/>
        <v>1472</v>
      </c>
    </row>
    <row r="1484" spans="2:7" x14ac:dyDescent="0.25">
      <c r="B1484" s="242"/>
      <c r="C1484" s="243"/>
      <c r="D1484" s="243">
        <v>6761</v>
      </c>
      <c r="E1484" s="243"/>
      <c r="F1484" s="244" t="s">
        <v>781</v>
      </c>
      <c r="G1484" s="241">
        <f t="shared" si="22"/>
        <v>1473</v>
      </c>
    </row>
    <row r="1485" spans="2:7" x14ac:dyDescent="0.25">
      <c r="B1485" s="242"/>
      <c r="C1485" s="243">
        <v>677</v>
      </c>
      <c r="D1485" s="243"/>
      <c r="E1485" s="243"/>
      <c r="F1485" s="244" t="s">
        <v>780</v>
      </c>
      <c r="G1485" s="241">
        <f t="shared" ref="G1485:G1548" si="23">G1484+1</f>
        <v>1474</v>
      </c>
    </row>
    <row r="1486" spans="2:7" x14ac:dyDescent="0.25">
      <c r="B1486" s="242"/>
      <c r="C1486" s="243"/>
      <c r="D1486" s="243">
        <v>6771</v>
      </c>
      <c r="E1486" s="243"/>
      <c r="F1486" s="244" t="s">
        <v>1554</v>
      </c>
      <c r="G1486" s="241">
        <f t="shared" si="23"/>
        <v>1475</v>
      </c>
    </row>
    <row r="1487" spans="2:7" x14ac:dyDescent="0.25">
      <c r="B1487" s="242"/>
      <c r="C1487" s="243"/>
      <c r="D1487" s="243">
        <v>6772</v>
      </c>
      <c r="E1487" s="243"/>
      <c r="F1487" s="244" t="s">
        <v>1257</v>
      </c>
      <c r="G1487" s="241">
        <f t="shared" si="23"/>
        <v>1476</v>
      </c>
    </row>
    <row r="1488" spans="2:7" x14ac:dyDescent="0.25">
      <c r="B1488" s="242"/>
      <c r="C1488" s="243"/>
      <c r="D1488" s="243">
        <v>6773</v>
      </c>
      <c r="E1488" s="243"/>
      <c r="F1488" s="244" t="s">
        <v>1262</v>
      </c>
      <c r="G1488" s="241">
        <f t="shared" si="23"/>
        <v>1477</v>
      </c>
    </row>
    <row r="1489" spans="2:7" x14ac:dyDescent="0.25">
      <c r="B1489" s="242"/>
      <c r="C1489" s="243">
        <v>678</v>
      </c>
      <c r="D1489" s="243"/>
      <c r="E1489" s="243"/>
      <c r="F1489" s="244" t="s">
        <v>1555</v>
      </c>
      <c r="G1489" s="241">
        <f t="shared" si="23"/>
        <v>1478</v>
      </c>
    </row>
    <row r="1490" spans="2:7" x14ac:dyDescent="0.25">
      <c r="B1490" s="242"/>
      <c r="C1490" s="243"/>
      <c r="D1490" s="243">
        <v>6781</v>
      </c>
      <c r="E1490" s="243"/>
      <c r="F1490" s="244" t="s">
        <v>640</v>
      </c>
      <c r="G1490" s="241">
        <f t="shared" si="23"/>
        <v>1479</v>
      </c>
    </row>
    <row r="1491" spans="2:7" x14ac:dyDescent="0.25">
      <c r="B1491" s="242"/>
      <c r="C1491" s="243"/>
      <c r="D1491" s="243">
        <v>6782</v>
      </c>
      <c r="E1491" s="243"/>
      <c r="F1491" s="244" t="s">
        <v>1556</v>
      </c>
      <c r="G1491" s="241">
        <f t="shared" si="23"/>
        <v>1480</v>
      </c>
    </row>
    <row r="1492" spans="2:7" x14ac:dyDescent="0.25">
      <c r="B1492" s="242"/>
      <c r="C1492" s="243">
        <v>679</v>
      </c>
      <c r="D1492" s="243"/>
      <c r="E1492" s="243"/>
      <c r="F1492" s="244" t="s">
        <v>779</v>
      </c>
      <c r="G1492" s="241">
        <f t="shared" si="23"/>
        <v>1481</v>
      </c>
    </row>
    <row r="1493" spans="2:7" x14ac:dyDescent="0.25">
      <c r="B1493" s="242"/>
      <c r="C1493" s="243"/>
      <c r="D1493" s="243">
        <v>6791</v>
      </c>
      <c r="E1493" s="243"/>
      <c r="F1493" s="244" t="s">
        <v>778</v>
      </c>
      <c r="G1493" s="241">
        <f t="shared" si="23"/>
        <v>1482</v>
      </c>
    </row>
    <row r="1494" spans="2:7" x14ac:dyDescent="0.25">
      <c r="B1494" s="242"/>
      <c r="C1494" s="243"/>
      <c r="D1494" s="243">
        <v>6792</v>
      </c>
      <c r="E1494" s="243"/>
      <c r="F1494" s="244" t="s">
        <v>777</v>
      </c>
      <c r="G1494" s="241">
        <f t="shared" si="23"/>
        <v>1483</v>
      </c>
    </row>
    <row r="1495" spans="2:7" x14ac:dyDescent="0.25">
      <c r="B1495" s="242"/>
      <c r="C1495" s="243"/>
      <c r="D1495" s="243">
        <v>6793</v>
      </c>
      <c r="E1495" s="243"/>
      <c r="F1495" s="244" t="s">
        <v>1557</v>
      </c>
      <c r="G1495" s="241">
        <f t="shared" si="23"/>
        <v>1484</v>
      </c>
    </row>
    <row r="1496" spans="2:7" x14ac:dyDescent="0.25">
      <c r="B1496" s="242"/>
      <c r="C1496" s="243"/>
      <c r="D1496" s="243">
        <v>6794</v>
      </c>
      <c r="E1496" s="243"/>
      <c r="F1496" s="244" t="s">
        <v>1558</v>
      </c>
      <c r="G1496" s="241">
        <f t="shared" si="23"/>
        <v>1485</v>
      </c>
    </row>
    <row r="1497" spans="2:7" x14ac:dyDescent="0.25">
      <c r="B1497" s="242"/>
      <c r="C1497" s="243"/>
      <c r="D1497" s="243">
        <v>6799</v>
      </c>
      <c r="E1497" s="243"/>
      <c r="F1497" s="244" t="s">
        <v>776</v>
      </c>
      <c r="G1497" s="241">
        <f t="shared" si="23"/>
        <v>1486</v>
      </c>
    </row>
    <row r="1498" spans="2:7" x14ac:dyDescent="0.25">
      <c r="B1498" s="242">
        <v>68</v>
      </c>
      <c r="C1498" s="243"/>
      <c r="D1498" s="243"/>
      <c r="E1498" s="243"/>
      <c r="F1498" s="244" t="s">
        <v>775</v>
      </c>
      <c r="G1498" s="241">
        <f t="shared" si="23"/>
        <v>1487</v>
      </c>
    </row>
    <row r="1499" spans="2:7" x14ac:dyDescent="0.25">
      <c r="B1499" s="242"/>
      <c r="C1499" s="243">
        <v>681</v>
      </c>
      <c r="D1499" s="243"/>
      <c r="E1499" s="243"/>
      <c r="F1499" s="244" t="s">
        <v>774</v>
      </c>
      <c r="G1499" s="241">
        <f t="shared" si="23"/>
        <v>1488</v>
      </c>
    </row>
    <row r="1500" spans="2:7" x14ac:dyDescent="0.25">
      <c r="B1500" s="242"/>
      <c r="C1500" s="243"/>
      <c r="D1500" s="243">
        <v>6811</v>
      </c>
      <c r="E1500" s="243"/>
      <c r="F1500" s="244" t="s">
        <v>773</v>
      </c>
      <c r="G1500" s="241">
        <f t="shared" si="23"/>
        <v>1489</v>
      </c>
    </row>
    <row r="1501" spans="2:7" x14ac:dyDescent="0.25">
      <c r="B1501" s="242"/>
      <c r="C1501" s="243"/>
      <c r="D1501" s="243"/>
      <c r="E1501" s="243">
        <v>68111</v>
      </c>
      <c r="F1501" s="244" t="s">
        <v>772</v>
      </c>
      <c r="G1501" s="241">
        <f t="shared" si="23"/>
        <v>1490</v>
      </c>
    </row>
    <row r="1502" spans="2:7" x14ac:dyDescent="0.25">
      <c r="B1502" s="242"/>
      <c r="C1502" s="243"/>
      <c r="D1502" s="243"/>
      <c r="E1502" s="243">
        <v>68112</v>
      </c>
      <c r="F1502" s="244" t="s">
        <v>771</v>
      </c>
      <c r="G1502" s="241">
        <f t="shared" si="23"/>
        <v>1491</v>
      </c>
    </row>
    <row r="1503" spans="2:7" x14ac:dyDescent="0.25">
      <c r="B1503" s="242"/>
      <c r="C1503" s="243"/>
      <c r="D1503" s="243"/>
      <c r="E1503" s="243">
        <v>68113</v>
      </c>
      <c r="F1503" s="244" t="s">
        <v>770</v>
      </c>
      <c r="G1503" s="241">
        <f t="shared" si="23"/>
        <v>1492</v>
      </c>
    </row>
    <row r="1504" spans="2:7" x14ac:dyDescent="0.25">
      <c r="B1504" s="242"/>
      <c r="C1504" s="243"/>
      <c r="D1504" s="243">
        <v>6812</v>
      </c>
      <c r="E1504" s="243"/>
      <c r="F1504" s="244" t="s">
        <v>769</v>
      </c>
      <c r="G1504" s="241">
        <f t="shared" si="23"/>
        <v>1493</v>
      </c>
    </row>
    <row r="1505" spans="2:7" x14ac:dyDescent="0.25">
      <c r="B1505" s="242"/>
      <c r="C1505" s="243"/>
      <c r="D1505" s="243"/>
      <c r="E1505" s="243">
        <v>68121</v>
      </c>
      <c r="F1505" s="244" t="s">
        <v>657</v>
      </c>
      <c r="G1505" s="241">
        <f t="shared" si="23"/>
        <v>1494</v>
      </c>
    </row>
    <row r="1506" spans="2:7" x14ac:dyDescent="0.25">
      <c r="B1506" s="242"/>
      <c r="C1506" s="243"/>
      <c r="D1506" s="243">
        <v>6813</v>
      </c>
      <c r="E1506" s="243"/>
      <c r="F1506" s="244" t="s">
        <v>1559</v>
      </c>
      <c r="G1506" s="241">
        <f t="shared" si="23"/>
        <v>1495</v>
      </c>
    </row>
    <row r="1507" spans="2:7" x14ac:dyDescent="0.25">
      <c r="B1507" s="242"/>
      <c r="C1507" s="243"/>
      <c r="D1507" s="243"/>
      <c r="E1507" s="243">
        <v>68131</v>
      </c>
      <c r="F1507" s="244" t="s">
        <v>657</v>
      </c>
      <c r="G1507" s="241">
        <f t="shared" si="23"/>
        <v>1496</v>
      </c>
    </row>
    <row r="1508" spans="2:7" x14ac:dyDescent="0.25">
      <c r="B1508" s="242"/>
      <c r="C1508" s="243"/>
      <c r="D1508" s="243"/>
      <c r="E1508" s="243">
        <v>68132</v>
      </c>
      <c r="F1508" s="244" t="s">
        <v>656</v>
      </c>
      <c r="G1508" s="241">
        <f t="shared" si="23"/>
        <v>1497</v>
      </c>
    </row>
    <row r="1509" spans="2:7" x14ac:dyDescent="0.25">
      <c r="B1509" s="242"/>
      <c r="C1509" s="243"/>
      <c r="D1509" s="243"/>
      <c r="E1509" s="243">
        <v>68133</v>
      </c>
      <c r="F1509" s="244" t="s">
        <v>655</v>
      </c>
      <c r="G1509" s="241">
        <f t="shared" si="23"/>
        <v>1498</v>
      </c>
    </row>
    <row r="1510" spans="2:7" x14ac:dyDescent="0.25">
      <c r="B1510" s="242"/>
      <c r="C1510" s="243"/>
      <c r="D1510" s="243"/>
      <c r="E1510" s="243">
        <v>68134</v>
      </c>
      <c r="F1510" s="244" t="s">
        <v>654</v>
      </c>
      <c r="G1510" s="241">
        <f t="shared" si="23"/>
        <v>1499</v>
      </c>
    </row>
    <row r="1511" spans="2:7" x14ac:dyDescent="0.25">
      <c r="B1511" s="242"/>
      <c r="C1511" s="243"/>
      <c r="D1511" s="243">
        <v>6814</v>
      </c>
      <c r="E1511" s="243"/>
      <c r="F1511" s="244" t="s">
        <v>768</v>
      </c>
      <c r="G1511" s="241">
        <f t="shared" si="23"/>
        <v>1500</v>
      </c>
    </row>
    <row r="1512" spans="2:7" x14ac:dyDescent="0.25">
      <c r="B1512" s="242"/>
      <c r="C1512" s="243"/>
      <c r="D1512" s="243"/>
      <c r="E1512" s="243">
        <v>68141</v>
      </c>
      <c r="F1512" s="244" t="s">
        <v>657</v>
      </c>
      <c r="G1512" s="241">
        <f t="shared" si="23"/>
        <v>1501</v>
      </c>
    </row>
    <row r="1513" spans="2:7" x14ac:dyDescent="0.25">
      <c r="B1513" s="242"/>
      <c r="C1513" s="243"/>
      <c r="D1513" s="243"/>
      <c r="E1513" s="243">
        <v>68142</v>
      </c>
      <c r="F1513" s="244" t="s">
        <v>656</v>
      </c>
      <c r="G1513" s="241">
        <f t="shared" si="23"/>
        <v>1502</v>
      </c>
    </row>
    <row r="1514" spans="2:7" x14ac:dyDescent="0.25">
      <c r="B1514" s="242"/>
      <c r="C1514" s="243"/>
      <c r="D1514" s="243"/>
      <c r="E1514" s="243">
        <v>68143</v>
      </c>
      <c r="F1514" s="244" t="s">
        <v>655</v>
      </c>
      <c r="G1514" s="241">
        <f t="shared" si="23"/>
        <v>1503</v>
      </c>
    </row>
    <row r="1515" spans="2:7" x14ac:dyDescent="0.25">
      <c r="B1515" s="242"/>
      <c r="C1515" s="243"/>
      <c r="D1515" s="243"/>
      <c r="E1515" s="243">
        <v>68144</v>
      </c>
      <c r="F1515" s="244" t="s">
        <v>688</v>
      </c>
      <c r="G1515" s="241">
        <f t="shared" si="23"/>
        <v>1504</v>
      </c>
    </row>
    <row r="1516" spans="2:7" x14ac:dyDescent="0.25">
      <c r="B1516" s="242"/>
      <c r="C1516" s="243"/>
      <c r="D1516" s="243"/>
      <c r="E1516" s="243">
        <v>68145</v>
      </c>
      <c r="F1516" s="244" t="s">
        <v>654</v>
      </c>
      <c r="G1516" s="241">
        <f t="shared" si="23"/>
        <v>1505</v>
      </c>
    </row>
    <row r="1517" spans="2:7" x14ac:dyDescent="0.25">
      <c r="B1517" s="242"/>
      <c r="C1517" s="243"/>
      <c r="D1517" s="243"/>
      <c r="E1517" s="243">
        <v>68146</v>
      </c>
      <c r="F1517" s="244" t="s">
        <v>753</v>
      </c>
      <c r="G1517" s="241">
        <f t="shared" si="23"/>
        <v>1506</v>
      </c>
    </row>
    <row r="1518" spans="2:7" x14ac:dyDescent="0.25">
      <c r="B1518" s="242"/>
      <c r="C1518" s="243"/>
      <c r="D1518" s="243">
        <v>6815</v>
      </c>
      <c r="E1518" s="243"/>
      <c r="F1518" s="244" t="s">
        <v>767</v>
      </c>
      <c r="G1518" s="241">
        <f t="shared" si="23"/>
        <v>1507</v>
      </c>
    </row>
    <row r="1519" spans="2:7" x14ac:dyDescent="0.25">
      <c r="B1519" s="242"/>
      <c r="C1519" s="243"/>
      <c r="D1519" s="243"/>
      <c r="E1519" s="243">
        <v>68151</v>
      </c>
      <c r="F1519" s="244" t="s">
        <v>657</v>
      </c>
      <c r="G1519" s="241">
        <f t="shared" si="23"/>
        <v>1508</v>
      </c>
    </row>
    <row r="1520" spans="2:7" x14ac:dyDescent="0.25">
      <c r="B1520" s="242"/>
      <c r="C1520" s="243"/>
      <c r="D1520" s="243"/>
      <c r="E1520" s="243">
        <v>68152</v>
      </c>
      <c r="F1520" s="244" t="s">
        <v>656</v>
      </c>
      <c r="G1520" s="241">
        <f t="shared" si="23"/>
        <v>1509</v>
      </c>
    </row>
    <row r="1521" spans="2:7" x14ac:dyDescent="0.25">
      <c r="B1521" s="242"/>
      <c r="C1521" s="243"/>
      <c r="D1521" s="243"/>
      <c r="E1521" s="243">
        <v>68153</v>
      </c>
      <c r="F1521" s="244" t="s">
        <v>655</v>
      </c>
      <c r="G1521" s="241">
        <f t="shared" si="23"/>
        <v>1510</v>
      </c>
    </row>
    <row r="1522" spans="2:7" x14ac:dyDescent="0.25">
      <c r="B1522" s="242"/>
      <c r="C1522" s="243"/>
      <c r="D1522" s="243"/>
      <c r="E1522" s="243">
        <v>68154</v>
      </c>
      <c r="F1522" s="244" t="s">
        <v>688</v>
      </c>
      <c r="G1522" s="241">
        <f t="shared" si="23"/>
        <v>1511</v>
      </c>
    </row>
    <row r="1523" spans="2:7" x14ac:dyDescent="0.25">
      <c r="B1523" s="242"/>
      <c r="C1523" s="243"/>
      <c r="D1523" s="243"/>
      <c r="E1523" s="243">
        <v>68155</v>
      </c>
      <c r="F1523" s="244" t="s">
        <v>654</v>
      </c>
      <c r="G1523" s="241">
        <f t="shared" si="23"/>
        <v>1512</v>
      </c>
    </row>
    <row r="1524" spans="2:7" x14ac:dyDescent="0.25">
      <c r="B1524" s="242"/>
      <c r="C1524" s="243"/>
      <c r="D1524" s="243"/>
      <c r="E1524" s="243">
        <v>68156</v>
      </c>
      <c r="F1524" s="244" t="s">
        <v>753</v>
      </c>
      <c r="G1524" s="241">
        <f t="shared" si="23"/>
        <v>1513</v>
      </c>
    </row>
    <row r="1525" spans="2:7" x14ac:dyDescent="0.25">
      <c r="B1525" s="242"/>
      <c r="C1525" s="243"/>
      <c r="D1525" s="243">
        <v>6816</v>
      </c>
      <c r="E1525" s="243"/>
      <c r="F1525" s="244" t="s">
        <v>766</v>
      </c>
      <c r="G1525" s="241">
        <f t="shared" si="23"/>
        <v>1514</v>
      </c>
    </row>
    <row r="1526" spans="2:7" x14ac:dyDescent="0.25">
      <c r="B1526" s="242"/>
      <c r="C1526" s="243"/>
      <c r="D1526" s="243"/>
      <c r="E1526" s="243">
        <v>68161</v>
      </c>
      <c r="F1526" s="244" t="s">
        <v>657</v>
      </c>
      <c r="G1526" s="241">
        <f t="shared" si="23"/>
        <v>1515</v>
      </c>
    </row>
    <row r="1527" spans="2:7" x14ac:dyDescent="0.25">
      <c r="B1527" s="242"/>
      <c r="C1527" s="243"/>
      <c r="D1527" s="243"/>
      <c r="E1527" s="243">
        <v>68162</v>
      </c>
      <c r="F1527" s="244" t="s">
        <v>656</v>
      </c>
      <c r="G1527" s="241">
        <f t="shared" si="23"/>
        <v>1516</v>
      </c>
    </row>
    <row r="1528" spans="2:7" x14ac:dyDescent="0.25">
      <c r="B1528" s="242"/>
      <c r="C1528" s="243"/>
      <c r="D1528" s="243">
        <v>6817</v>
      </c>
      <c r="E1528" s="243"/>
      <c r="F1528" s="244" t="s">
        <v>765</v>
      </c>
      <c r="G1528" s="241">
        <f t="shared" si="23"/>
        <v>1517</v>
      </c>
    </row>
    <row r="1529" spans="2:7" x14ac:dyDescent="0.25">
      <c r="B1529" s="242"/>
      <c r="C1529" s="243"/>
      <c r="D1529" s="243"/>
      <c r="E1529" s="243">
        <v>68171</v>
      </c>
      <c r="F1529" s="244" t="s">
        <v>673</v>
      </c>
      <c r="G1529" s="241">
        <f t="shared" si="23"/>
        <v>1518</v>
      </c>
    </row>
    <row r="1530" spans="2:7" x14ac:dyDescent="0.25">
      <c r="B1530" s="242"/>
      <c r="C1530" s="243"/>
      <c r="D1530" s="243"/>
      <c r="E1530" s="243">
        <v>68172</v>
      </c>
      <c r="F1530" s="244" t="s">
        <v>672</v>
      </c>
      <c r="G1530" s="241">
        <f t="shared" si="23"/>
        <v>1519</v>
      </c>
    </row>
    <row r="1531" spans="2:7" x14ac:dyDescent="0.25">
      <c r="B1531" s="242"/>
      <c r="C1531" s="243"/>
      <c r="D1531" s="243">
        <v>6818</v>
      </c>
      <c r="E1531" s="243"/>
      <c r="F1531" s="244" t="s">
        <v>764</v>
      </c>
      <c r="G1531" s="241">
        <f t="shared" si="23"/>
        <v>1520</v>
      </c>
    </row>
    <row r="1532" spans="2:7" x14ac:dyDescent="0.25">
      <c r="B1532" s="242"/>
      <c r="C1532" s="243"/>
      <c r="D1532" s="243"/>
      <c r="E1532" s="243">
        <v>68181</v>
      </c>
      <c r="F1532" s="244" t="s">
        <v>673</v>
      </c>
      <c r="G1532" s="241">
        <f t="shared" si="23"/>
        <v>1521</v>
      </c>
    </row>
    <row r="1533" spans="2:7" x14ac:dyDescent="0.25">
      <c r="B1533" s="242"/>
      <c r="C1533" s="243"/>
      <c r="D1533" s="243"/>
      <c r="E1533" s="243">
        <v>68182</v>
      </c>
      <c r="F1533" s="244" t="s">
        <v>672</v>
      </c>
      <c r="G1533" s="241">
        <f t="shared" si="23"/>
        <v>1522</v>
      </c>
    </row>
    <row r="1534" spans="2:7" x14ac:dyDescent="0.25">
      <c r="B1534" s="242"/>
      <c r="C1534" s="243">
        <v>682</v>
      </c>
      <c r="D1534" s="243"/>
      <c r="E1534" s="243"/>
      <c r="F1534" s="244" t="s">
        <v>763</v>
      </c>
      <c r="G1534" s="241">
        <f t="shared" si="23"/>
        <v>1523</v>
      </c>
    </row>
    <row r="1535" spans="2:7" x14ac:dyDescent="0.25">
      <c r="B1535" s="242"/>
      <c r="C1535" s="243"/>
      <c r="D1535" s="243">
        <v>6821</v>
      </c>
      <c r="E1535" s="243"/>
      <c r="F1535" s="244" t="s">
        <v>762</v>
      </c>
      <c r="G1535" s="241">
        <f t="shared" si="23"/>
        <v>1524</v>
      </c>
    </row>
    <row r="1536" spans="2:7" x14ac:dyDescent="0.25">
      <c r="B1536" s="242"/>
      <c r="C1536" s="243"/>
      <c r="D1536" s="243"/>
      <c r="E1536" s="243">
        <v>68211</v>
      </c>
      <c r="F1536" s="244" t="s">
        <v>751</v>
      </c>
      <c r="G1536" s="241">
        <f t="shared" si="23"/>
        <v>1525</v>
      </c>
    </row>
    <row r="1537" spans="2:7" x14ac:dyDescent="0.25">
      <c r="B1537" s="242"/>
      <c r="C1537" s="243"/>
      <c r="D1537" s="243"/>
      <c r="E1537" s="243">
        <v>68212</v>
      </c>
      <c r="F1537" s="244" t="s">
        <v>750</v>
      </c>
      <c r="G1537" s="241">
        <f t="shared" si="23"/>
        <v>1526</v>
      </c>
    </row>
    <row r="1538" spans="2:7" x14ac:dyDescent="0.25">
      <c r="B1538" s="242"/>
      <c r="C1538" s="243"/>
      <c r="D1538" s="243"/>
      <c r="E1538" s="243">
        <v>68213</v>
      </c>
      <c r="F1538" s="244" t="s">
        <v>684</v>
      </c>
      <c r="G1538" s="241">
        <f t="shared" si="23"/>
        <v>1527</v>
      </c>
    </row>
    <row r="1539" spans="2:7" x14ac:dyDescent="0.25">
      <c r="B1539" s="242"/>
      <c r="C1539" s="243"/>
      <c r="D1539" s="243"/>
      <c r="E1539" s="243">
        <v>68214</v>
      </c>
      <c r="F1539" s="244" t="s">
        <v>683</v>
      </c>
      <c r="G1539" s="241">
        <f t="shared" si="23"/>
        <v>1528</v>
      </c>
    </row>
    <row r="1540" spans="2:7" x14ac:dyDescent="0.25">
      <c r="B1540" s="242"/>
      <c r="C1540" s="243"/>
      <c r="D1540" s="243"/>
      <c r="E1540" s="243">
        <v>68215</v>
      </c>
      <c r="F1540" s="244" t="s">
        <v>682</v>
      </c>
      <c r="G1540" s="241">
        <f t="shared" si="23"/>
        <v>1529</v>
      </c>
    </row>
    <row r="1541" spans="2:7" x14ac:dyDescent="0.25">
      <c r="B1541" s="242"/>
      <c r="C1541" s="243"/>
      <c r="D1541" s="243"/>
      <c r="E1541" s="243">
        <v>68219</v>
      </c>
      <c r="F1541" s="244" t="s">
        <v>749</v>
      </c>
      <c r="G1541" s="241">
        <f t="shared" si="23"/>
        <v>1530</v>
      </c>
    </row>
    <row r="1542" spans="2:7" x14ac:dyDescent="0.25">
      <c r="B1542" s="242"/>
      <c r="C1542" s="243"/>
      <c r="D1542" s="243">
        <v>6822</v>
      </c>
      <c r="E1542" s="243"/>
      <c r="F1542" s="244" t="s">
        <v>761</v>
      </c>
      <c r="G1542" s="241">
        <f t="shared" si="23"/>
        <v>1531</v>
      </c>
    </row>
    <row r="1543" spans="2:7" x14ac:dyDescent="0.25">
      <c r="B1543" s="242"/>
      <c r="C1543" s="243"/>
      <c r="D1543" s="243"/>
      <c r="E1543" s="243">
        <v>68221</v>
      </c>
      <c r="F1543" s="244" t="s">
        <v>751</v>
      </c>
      <c r="G1543" s="241">
        <f t="shared" si="23"/>
        <v>1532</v>
      </c>
    </row>
    <row r="1544" spans="2:7" x14ac:dyDescent="0.25">
      <c r="B1544" s="242"/>
      <c r="C1544" s="243"/>
      <c r="D1544" s="243"/>
      <c r="E1544" s="243">
        <v>68222</v>
      </c>
      <c r="F1544" s="244" t="s">
        <v>750</v>
      </c>
      <c r="G1544" s="241">
        <f t="shared" si="23"/>
        <v>1533</v>
      </c>
    </row>
    <row r="1545" spans="2:7" x14ac:dyDescent="0.25">
      <c r="B1545" s="242"/>
      <c r="C1545" s="243"/>
      <c r="D1545" s="243"/>
      <c r="E1545" s="243">
        <v>68223</v>
      </c>
      <c r="F1545" s="244" t="s">
        <v>684</v>
      </c>
      <c r="G1545" s="241">
        <f t="shared" si="23"/>
        <v>1534</v>
      </c>
    </row>
    <row r="1546" spans="2:7" x14ac:dyDescent="0.25">
      <c r="B1546" s="242"/>
      <c r="C1546" s="243"/>
      <c r="D1546" s="243"/>
      <c r="E1546" s="243">
        <v>68224</v>
      </c>
      <c r="F1546" s="244" t="s">
        <v>683</v>
      </c>
      <c r="G1546" s="241">
        <f t="shared" si="23"/>
        <v>1535</v>
      </c>
    </row>
    <row r="1547" spans="2:7" x14ac:dyDescent="0.25">
      <c r="B1547" s="242"/>
      <c r="C1547" s="243"/>
      <c r="D1547" s="243"/>
      <c r="E1547" s="243">
        <v>68225</v>
      </c>
      <c r="F1547" s="244" t="s">
        <v>682</v>
      </c>
      <c r="G1547" s="241">
        <f t="shared" si="23"/>
        <v>1536</v>
      </c>
    </row>
    <row r="1548" spans="2:7" x14ac:dyDescent="0.25">
      <c r="B1548" s="242"/>
      <c r="C1548" s="243"/>
      <c r="D1548" s="243"/>
      <c r="E1548" s="243">
        <v>68229</v>
      </c>
      <c r="F1548" s="244" t="s">
        <v>749</v>
      </c>
      <c r="G1548" s="241">
        <f t="shared" si="23"/>
        <v>1537</v>
      </c>
    </row>
    <row r="1549" spans="2:7" x14ac:dyDescent="0.25">
      <c r="B1549" s="242"/>
      <c r="C1549" s="243">
        <v>683</v>
      </c>
      <c r="D1549" s="243"/>
      <c r="E1549" s="243"/>
      <c r="F1549" s="244" t="s">
        <v>760</v>
      </c>
      <c r="G1549" s="241">
        <f t="shared" ref="G1549:G1612" si="24">G1548+1</f>
        <v>1538</v>
      </c>
    </row>
    <row r="1550" spans="2:7" x14ac:dyDescent="0.25">
      <c r="B1550" s="242"/>
      <c r="C1550" s="243"/>
      <c r="D1550" s="243">
        <v>6831</v>
      </c>
      <c r="E1550" s="243"/>
      <c r="F1550" s="244" t="s">
        <v>759</v>
      </c>
      <c r="G1550" s="241">
        <f t="shared" si="24"/>
        <v>1539</v>
      </c>
    </row>
    <row r="1551" spans="2:7" x14ac:dyDescent="0.25">
      <c r="B1551" s="242"/>
      <c r="C1551" s="243">
        <v>684</v>
      </c>
      <c r="D1551" s="243"/>
      <c r="E1551" s="243"/>
      <c r="F1551" s="244" t="s">
        <v>758</v>
      </c>
      <c r="G1551" s="241">
        <f t="shared" si="24"/>
        <v>1540</v>
      </c>
    </row>
    <row r="1552" spans="2:7" x14ac:dyDescent="0.25">
      <c r="B1552" s="242"/>
      <c r="C1552" s="243"/>
      <c r="D1552" s="243">
        <v>6841</v>
      </c>
      <c r="E1552" s="243"/>
      <c r="F1552" s="244" t="s">
        <v>757</v>
      </c>
      <c r="G1552" s="241">
        <f t="shared" si="24"/>
        <v>1541</v>
      </c>
    </row>
    <row r="1553" spans="2:7" x14ac:dyDescent="0.25">
      <c r="B1553" s="242"/>
      <c r="C1553" s="243"/>
      <c r="D1553" s="243"/>
      <c r="E1553" s="243">
        <v>68411</v>
      </c>
      <c r="F1553" s="244" t="s">
        <v>1560</v>
      </c>
      <c r="G1553" s="241">
        <f t="shared" si="24"/>
        <v>1542</v>
      </c>
    </row>
    <row r="1554" spans="2:7" x14ac:dyDescent="0.25">
      <c r="B1554" s="242"/>
      <c r="C1554" s="243"/>
      <c r="D1554" s="243"/>
      <c r="E1554" s="243">
        <v>68412</v>
      </c>
      <c r="F1554" s="244" t="s">
        <v>1561</v>
      </c>
      <c r="G1554" s="241">
        <f t="shared" si="24"/>
        <v>1543</v>
      </c>
    </row>
    <row r="1555" spans="2:7" x14ac:dyDescent="0.25">
      <c r="B1555" s="242"/>
      <c r="C1555" s="243"/>
      <c r="D1555" s="243"/>
      <c r="E1555" s="243">
        <v>68413</v>
      </c>
      <c r="F1555" s="244" t="s">
        <v>1197</v>
      </c>
      <c r="G1555" s="241">
        <f t="shared" si="24"/>
        <v>1544</v>
      </c>
    </row>
    <row r="1556" spans="2:7" x14ac:dyDescent="0.25">
      <c r="B1556" s="242"/>
      <c r="C1556" s="243"/>
      <c r="D1556" s="243"/>
      <c r="E1556" s="243">
        <v>68414</v>
      </c>
      <c r="F1556" s="244" t="s">
        <v>1562</v>
      </c>
      <c r="G1556" s="241">
        <f t="shared" si="24"/>
        <v>1545</v>
      </c>
    </row>
    <row r="1557" spans="2:7" x14ac:dyDescent="0.25">
      <c r="B1557" s="242"/>
      <c r="C1557" s="243"/>
      <c r="D1557" s="243"/>
      <c r="E1557" s="243">
        <v>68415</v>
      </c>
      <c r="F1557" s="244" t="s">
        <v>1563</v>
      </c>
      <c r="G1557" s="241">
        <f t="shared" si="24"/>
        <v>1546</v>
      </c>
    </row>
    <row r="1558" spans="2:7" x14ac:dyDescent="0.25">
      <c r="B1558" s="242"/>
      <c r="C1558" s="243"/>
      <c r="D1558" s="243">
        <v>6843</v>
      </c>
      <c r="E1558" s="243"/>
      <c r="F1558" s="244" t="s">
        <v>755</v>
      </c>
      <c r="G1558" s="241">
        <f t="shared" si="24"/>
        <v>1547</v>
      </c>
    </row>
    <row r="1559" spans="2:7" x14ac:dyDescent="0.25">
      <c r="B1559" s="242"/>
      <c r="C1559" s="243"/>
      <c r="D1559" s="243"/>
      <c r="E1559" s="243">
        <v>68431</v>
      </c>
      <c r="F1559" s="244" t="s">
        <v>633</v>
      </c>
      <c r="G1559" s="241">
        <f t="shared" si="24"/>
        <v>1548</v>
      </c>
    </row>
    <row r="1560" spans="2:7" x14ac:dyDescent="0.25">
      <c r="B1560" s="242"/>
      <c r="C1560" s="243"/>
      <c r="D1560" s="243"/>
      <c r="E1560" s="243">
        <v>68432</v>
      </c>
      <c r="F1560" s="244" t="s">
        <v>632</v>
      </c>
      <c r="G1560" s="241">
        <f t="shared" si="24"/>
        <v>1549</v>
      </c>
    </row>
    <row r="1561" spans="2:7" x14ac:dyDescent="0.25">
      <c r="B1561" s="242"/>
      <c r="C1561" s="243">
        <v>685</v>
      </c>
      <c r="D1561" s="243"/>
      <c r="E1561" s="243"/>
      <c r="F1561" s="244" t="s">
        <v>756</v>
      </c>
      <c r="G1561" s="241">
        <f t="shared" si="24"/>
        <v>1550</v>
      </c>
    </row>
    <row r="1562" spans="2:7" x14ac:dyDescent="0.25">
      <c r="B1562" s="242"/>
      <c r="C1562" s="243"/>
      <c r="D1562" s="243">
        <v>6851</v>
      </c>
      <c r="E1562" s="243"/>
      <c r="F1562" s="244" t="s">
        <v>755</v>
      </c>
      <c r="G1562" s="241">
        <f t="shared" si="24"/>
        <v>1551</v>
      </c>
    </row>
    <row r="1563" spans="2:7" x14ac:dyDescent="0.25">
      <c r="B1563" s="242"/>
      <c r="C1563" s="243"/>
      <c r="D1563" s="243"/>
      <c r="E1563" s="243">
        <v>68511</v>
      </c>
      <c r="F1563" s="244" t="s">
        <v>657</v>
      </c>
      <c r="G1563" s="241">
        <f t="shared" si="24"/>
        <v>1552</v>
      </c>
    </row>
    <row r="1564" spans="2:7" x14ac:dyDescent="0.25">
      <c r="B1564" s="242"/>
      <c r="C1564" s="243"/>
      <c r="D1564" s="243">
        <v>6852</v>
      </c>
      <c r="E1564" s="243"/>
      <c r="F1564" s="244" t="s">
        <v>754</v>
      </c>
      <c r="G1564" s="241">
        <f t="shared" si="24"/>
        <v>1553</v>
      </c>
    </row>
    <row r="1565" spans="2:7" x14ac:dyDescent="0.25">
      <c r="B1565" s="242"/>
      <c r="C1565" s="243"/>
      <c r="D1565" s="243"/>
      <c r="E1565" s="243">
        <v>68521</v>
      </c>
      <c r="F1565" s="244" t="s">
        <v>657</v>
      </c>
      <c r="G1565" s="241">
        <f t="shared" si="24"/>
        <v>1554</v>
      </c>
    </row>
    <row r="1566" spans="2:7" x14ac:dyDescent="0.25">
      <c r="B1566" s="242"/>
      <c r="C1566" s="243"/>
      <c r="D1566" s="243"/>
      <c r="E1566" s="243">
        <v>68522</v>
      </c>
      <c r="F1566" s="244" t="s">
        <v>656</v>
      </c>
      <c r="G1566" s="241">
        <f t="shared" si="24"/>
        <v>1555</v>
      </c>
    </row>
    <row r="1567" spans="2:7" x14ac:dyDescent="0.25">
      <c r="B1567" s="242"/>
      <c r="C1567" s="243"/>
      <c r="D1567" s="243"/>
      <c r="E1567" s="243">
        <v>68523</v>
      </c>
      <c r="F1567" s="244" t="s">
        <v>655</v>
      </c>
      <c r="G1567" s="241">
        <f t="shared" si="24"/>
        <v>1556</v>
      </c>
    </row>
    <row r="1568" spans="2:7" x14ac:dyDescent="0.25">
      <c r="B1568" s="242"/>
      <c r="C1568" s="243"/>
      <c r="D1568" s="243"/>
      <c r="E1568" s="243">
        <v>68524</v>
      </c>
      <c r="F1568" s="244" t="s">
        <v>688</v>
      </c>
      <c r="G1568" s="241">
        <f t="shared" si="24"/>
        <v>1557</v>
      </c>
    </row>
    <row r="1569" spans="2:7" x14ac:dyDescent="0.25">
      <c r="B1569" s="242"/>
      <c r="C1569" s="243"/>
      <c r="D1569" s="243"/>
      <c r="E1569" s="243">
        <v>68525</v>
      </c>
      <c r="F1569" s="244" t="s">
        <v>654</v>
      </c>
      <c r="G1569" s="241">
        <f t="shared" si="24"/>
        <v>1558</v>
      </c>
    </row>
    <row r="1570" spans="2:7" x14ac:dyDescent="0.25">
      <c r="B1570" s="242"/>
      <c r="C1570" s="243"/>
      <c r="D1570" s="243"/>
      <c r="E1570" s="243">
        <v>68526</v>
      </c>
      <c r="F1570" s="244" t="s">
        <v>753</v>
      </c>
      <c r="G1570" s="241">
        <f t="shared" si="24"/>
        <v>1559</v>
      </c>
    </row>
    <row r="1571" spans="2:7" x14ac:dyDescent="0.25">
      <c r="B1571" s="242"/>
      <c r="C1571" s="243"/>
      <c r="D1571" s="243">
        <v>6853</v>
      </c>
      <c r="E1571" s="243"/>
      <c r="F1571" s="244" t="s">
        <v>752</v>
      </c>
      <c r="G1571" s="241">
        <f t="shared" si="24"/>
        <v>1560</v>
      </c>
    </row>
    <row r="1572" spans="2:7" x14ac:dyDescent="0.25">
      <c r="B1572" s="242"/>
      <c r="C1572" s="243"/>
      <c r="D1572" s="243"/>
      <c r="E1572" s="243">
        <v>68531</v>
      </c>
      <c r="F1572" s="244" t="s">
        <v>751</v>
      </c>
      <c r="G1572" s="241">
        <f t="shared" si="24"/>
        <v>1561</v>
      </c>
    </row>
    <row r="1573" spans="2:7" x14ac:dyDescent="0.25">
      <c r="B1573" s="242"/>
      <c r="C1573" s="243"/>
      <c r="D1573" s="243"/>
      <c r="E1573" s="243">
        <v>68532</v>
      </c>
      <c r="F1573" s="244" t="s">
        <v>750</v>
      </c>
      <c r="G1573" s="241">
        <f t="shared" si="24"/>
        <v>1562</v>
      </c>
    </row>
    <row r="1574" spans="2:7" x14ac:dyDescent="0.25">
      <c r="B1574" s="242"/>
      <c r="C1574" s="243"/>
      <c r="D1574" s="243"/>
      <c r="E1574" s="243">
        <v>68533</v>
      </c>
      <c r="F1574" s="244" t="s">
        <v>684</v>
      </c>
      <c r="G1574" s="241">
        <f t="shared" si="24"/>
        <v>1563</v>
      </c>
    </row>
    <row r="1575" spans="2:7" x14ac:dyDescent="0.25">
      <c r="B1575" s="242"/>
      <c r="C1575" s="243"/>
      <c r="D1575" s="243"/>
      <c r="E1575" s="243">
        <v>68534</v>
      </c>
      <c r="F1575" s="244" t="s">
        <v>683</v>
      </c>
      <c r="G1575" s="241">
        <f t="shared" si="24"/>
        <v>1564</v>
      </c>
    </row>
    <row r="1576" spans="2:7" x14ac:dyDescent="0.25">
      <c r="B1576" s="242"/>
      <c r="C1576" s="243"/>
      <c r="D1576" s="243"/>
      <c r="E1576" s="243">
        <v>68535</v>
      </c>
      <c r="F1576" s="244" t="s">
        <v>682</v>
      </c>
      <c r="G1576" s="241">
        <f t="shared" si="24"/>
        <v>1565</v>
      </c>
    </row>
    <row r="1577" spans="2:7" x14ac:dyDescent="0.25">
      <c r="B1577" s="242"/>
      <c r="C1577" s="243"/>
      <c r="D1577" s="243"/>
      <c r="E1577" s="243">
        <v>68536</v>
      </c>
      <c r="F1577" s="244" t="s">
        <v>749</v>
      </c>
      <c r="G1577" s="241">
        <f t="shared" si="24"/>
        <v>1566</v>
      </c>
    </row>
    <row r="1578" spans="2:7" x14ac:dyDescent="0.25">
      <c r="B1578" s="242"/>
      <c r="C1578" s="243"/>
      <c r="D1578" s="243"/>
      <c r="E1578" s="243">
        <v>68537</v>
      </c>
      <c r="F1578" s="244" t="s">
        <v>1090</v>
      </c>
      <c r="G1578" s="241">
        <f t="shared" si="24"/>
        <v>1567</v>
      </c>
    </row>
    <row r="1579" spans="2:7" x14ac:dyDescent="0.25">
      <c r="B1579" s="242"/>
      <c r="C1579" s="243"/>
      <c r="D1579" s="243">
        <v>6854</v>
      </c>
      <c r="E1579" s="243"/>
      <c r="F1579" s="244" t="s">
        <v>748</v>
      </c>
      <c r="G1579" s="241">
        <f t="shared" si="24"/>
        <v>1568</v>
      </c>
    </row>
    <row r="1580" spans="2:7" x14ac:dyDescent="0.25">
      <c r="B1580" s="242"/>
      <c r="C1580" s="243"/>
      <c r="D1580" s="243"/>
      <c r="E1580" s="243">
        <v>68541</v>
      </c>
      <c r="F1580" s="244" t="s">
        <v>673</v>
      </c>
      <c r="G1580" s="241">
        <f t="shared" si="24"/>
        <v>1569</v>
      </c>
    </row>
    <row r="1581" spans="2:7" x14ac:dyDescent="0.25">
      <c r="B1581" s="242"/>
      <c r="C1581" s="243"/>
      <c r="D1581" s="243"/>
      <c r="E1581" s="243">
        <v>68542</v>
      </c>
      <c r="F1581" s="244" t="s">
        <v>672</v>
      </c>
      <c r="G1581" s="241">
        <f t="shared" si="24"/>
        <v>1570</v>
      </c>
    </row>
    <row r="1582" spans="2:7" x14ac:dyDescent="0.25">
      <c r="B1582" s="242"/>
      <c r="C1582" s="243">
        <v>686</v>
      </c>
      <c r="D1582" s="243"/>
      <c r="E1582" s="243"/>
      <c r="F1582" s="244" t="s">
        <v>747</v>
      </c>
      <c r="G1582" s="241">
        <f t="shared" si="24"/>
        <v>1571</v>
      </c>
    </row>
    <row r="1583" spans="2:7" x14ac:dyDescent="0.25">
      <c r="B1583" s="242"/>
      <c r="C1583" s="243"/>
      <c r="D1583" s="243">
        <v>6861</v>
      </c>
      <c r="E1583" s="243"/>
      <c r="F1583" s="244" t="s">
        <v>746</v>
      </c>
      <c r="G1583" s="241">
        <f t="shared" si="24"/>
        <v>1572</v>
      </c>
    </row>
    <row r="1584" spans="2:7" x14ac:dyDescent="0.25">
      <c r="B1584" s="242"/>
      <c r="C1584" s="243"/>
      <c r="D1584" s="243"/>
      <c r="E1584" s="243">
        <v>68611</v>
      </c>
      <c r="F1584" s="244" t="s">
        <v>745</v>
      </c>
      <c r="G1584" s="241">
        <f t="shared" si="24"/>
        <v>1573</v>
      </c>
    </row>
    <row r="1585" spans="2:7" x14ac:dyDescent="0.25">
      <c r="B1585" s="242"/>
      <c r="C1585" s="243"/>
      <c r="D1585" s="243"/>
      <c r="E1585" s="243">
        <v>68612</v>
      </c>
      <c r="F1585" s="244" t="s">
        <v>744</v>
      </c>
      <c r="G1585" s="241">
        <f t="shared" si="24"/>
        <v>1574</v>
      </c>
    </row>
    <row r="1586" spans="2:7" x14ac:dyDescent="0.25">
      <c r="B1586" s="242"/>
      <c r="C1586" s="243"/>
      <c r="D1586" s="243">
        <v>6862</v>
      </c>
      <c r="E1586" s="243"/>
      <c r="F1586" s="244" t="s">
        <v>743</v>
      </c>
      <c r="G1586" s="241">
        <f t="shared" si="24"/>
        <v>1575</v>
      </c>
    </row>
    <row r="1587" spans="2:7" x14ac:dyDescent="0.25">
      <c r="B1587" s="242"/>
      <c r="C1587" s="243"/>
      <c r="D1587" s="243"/>
      <c r="E1587" s="243">
        <v>68621</v>
      </c>
      <c r="F1587" s="244" t="s">
        <v>742</v>
      </c>
      <c r="G1587" s="241">
        <f t="shared" si="24"/>
        <v>1576</v>
      </c>
    </row>
    <row r="1588" spans="2:7" x14ac:dyDescent="0.25">
      <c r="B1588" s="242"/>
      <c r="C1588" s="243"/>
      <c r="D1588" s="243"/>
      <c r="E1588" s="243">
        <v>68622</v>
      </c>
      <c r="F1588" s="244" t="s">
        <v>741</v>
      </c>
      <c r="G1588" s="241">
        <f t="shared" si="24"/>
        <v>1577</v>
      </c>
    </row>
    <row r="1589" spans="2:7" x14ac:dyDescent="0.25">
      <c r="B1589" s="242"/>
      <c r="C1589" s="243"/>
      <c r="D1589" s="243">
        <v>6863</v>
      </c>
      <c r="E1589" s="243"/>
      <c r="F1589" s="244" t="s">
        <v>740</v>
      </c>
      <c r="G1589" s="241">
        <f t="shared" si="24"/>
        <v>1578</v>
      </c>
    </row>
    <row r="1590" spans="2:7" x14ac:dyDescent="0.25">
      <c r="B1590" s="242"/>
      <c r="C1590" s="243"/>
      <c r="D1590" s="243">
        <v>6864</v>
      </c>
      <c r="E1590" s="243"/>
      <c r="F1590" s="244" t="s">
        <v>739</v>
      </c>
      <c r="G1590" s="241">
        <f t="shared" si="24"/>
        <v>1579</v>
      </c>
    </row>
    <row r="1591" spans="2:7" x14ac:dyDescent="0.25">
      <c r="B1591" s="242"/>
      <c r="C1591" s="243"/>
      <c r="D1591" s="243"/>
      <c r="E1591" s="243">
        <v>68641</v>
      </c>
      <c r="F1591" s="244" t="s">
        <v>1564</v>
      </c>
      <c r="G1591" s="241">
        <f t="shared" si="24"/>
        <v>1580</v>
      </c>
    </row>
    <row r="1592" spans="2:7" x14ac:dyDescent="0.25">
      <c r="B1592" s="242"/>
      <c r="C1592" s="243"/>
      <c r="D1592" s="243"/>
      <c r="E1592" s="243">
        <v>68642</v>
      </c>
      <c r="F1592" s="244" t="s">
        <v>1565</v>
      </c>
      <c r="G1592" s="241">
        <f t="shared" si="24"/>
        <v>1581</v>
      </c>
    </row>
    <row r="1593" spans="2:7" x14ac:dyDescent="0.25">
      <c r="B1593" s="242"/>
      <c r="C1593" s="243"/>
      <c r="D1593" s="243">
        <v>6866</v>
      </c>
      <c r="E1593" s="243"/>
      <c r="F1593" s="244" t="s">
        <v>1511</v>
      </c>
      <c r="G1593" s="241">
        <f t="shared" si="24"/>
        <v>1582</v>
      </c>
    </row>
    <row r="1594" spans="2:7" x14ac:dyDescent="0.25">
      <c r="B1594" s="242"/>
      <c r="C1594" s="243"/>
      <c r="D1594" s="243"/>
      <c r="E1594" s="243">
        <v>68661</v>
      </c>
      <c r="F1594" s="244" t="s">
        <v>1566</v>
      </c>
      <c r="G1594" s="241">
        <f t="shared" si="24"/>
        <v>1583</v>
      </c>
    </row>
    <row r="1595" spans="2:7" x14ac:dyDescent="0.25">
      <c r="B1595" s="242"/>
      <c r="C1595" s="243"/>
      <c r="D1595" s="243"/>
      <c r="E1595" s="243">
        <v>68662</v>
      </c>
      <c r="F1595" s="244" t="s">
        <v>1567</v>
      </c>
      <c r="G1595" s="241">
        <f t="shared" si="24"/>
        <v>1584</v>
      </c>
    </row>
    <row r="1596" spans="2:7" x14ac:dyDescent="0.25">
      <c r="B1596" s="242"/>
      <c r="C1596" s="243"/>
      <c r="D1596" s="243">
        <v>6869</v>
      </c>
      <c r="E1596" s="243"/>
      <c r="F1596" s="244" t="s">
        <v>737</v>
      </c>
      <c r="G1596" s="241">
        <f t="shared" si="24"/>
        <v>1585</v>
      </c>
    </row>
    <row r="1597" spans="2:7" x14ac:dyDescent="0.25">
      <c r="B1597" s="242">
        <v>69</v>
      </c>
      <c r="C1597" s="243"/>
      <c r="D1597" s="243"/>
      <c r="E1597" s="243"/>
      <c r="F1597" s="244" t="s">
        <v>396</v>
      </c>
      <c r="G1597" s="241">
        <f t="shared" si="24"/>
        <v>1586</v>
      </c>
    </row>
    <row r="1598" spans="2:7" x14ac:dyDescent="0.25">
      <c r="B1598" s="242"/>
      <c r="C1598" s="243">
        <v>691</v>
      </c>
      <c r="D1598" s="243"/>
      <c r="E1598" s="243"/>
      <c r="F1598" s="244" t="s">
        <v>644</v>
      </c>
      <c r="G1598" s="241">
        <f t="shared" si="24"/>
        <v>1587</v>
      </c>
    </row>
    <row r="1599" spans="2:7" x14ac:dyDescent="0.25">
      <c r="B1599" s="242"/>
      <c r="C1599" s="243"/>
      <c r="D1599" s="243">
        <v>6911</v>
      </c>
      <c r="E1599" s="243"/>
      <c r="F1599" s="244" t="s">
        <v>717</v>
      </c>
      <c r="G1599" s="241">
        <f t="shared" si="24"/>
        <v>1588</v>
      </c>
    </row>
    <row r="1600" spans="2:7" x14ac:dyDescent="0.25">
      <c r="B1600" s="242"/>
      <c r="C1600" s="243"/>
      <c r="D1600" s="243"/>
      <c r="E1600" s="243">
        <v>69111</v>
      </c>
      <c r="F1600" s="244" t="s">
        <v>709</v>
      </c>
      <c r="G1600" s="241">
        <f t="shared" si="24"/>
        <v>1589</v>
      </c>
    </row>
    <row r="1601" spans="2:7" x14ac:dyDescent="0.25">
      <c r="B1601" s="242"/>
      <c r="C1601" s="243"/>
      <c r="D1601" s="243"/>
      <c r="E1601" s="243">
        <v>69112</v>
      </c>
      <c r="F1601" s="244" t="s">
        <v>708</v>
      </c>
      <c r="G1601" s="241">
        <f t="shared" si="24"/>
        <v>1590</v>
      </c>
    </row>
    <row r="1602" spans="2:7" x14ac:dyDescent="0.25">
      <c r="B1602" s="242"/>
      <c r="C1602" s="243"/>
      <c r="D1602" s="243">
        <v>6912</v>
      </c>
      <c r="E1602" s="243"/>
      <c r="F1602" s="244" t="s">
        <v>716</v>
      </c>
      <c r="G1602" s="241">
        <f t="shared" si="24"/>
        <v>1591</v>
      </c>
    </row>
    <row r="1603" spans="2:7" x14ac:dyDescent="0.25">
      <c r="B1603" s="242"/>
      <c r="C1603" s="243"/>
      <c r="D1603" s="243"/>
      <c r="E1603" s="243">
        <v>69121</v>
      </c>
      <c r="F1603" s="244" t="s">
        <v>709</v>
      </c>
      <c r="G1603" s="241">
        <f t="shared" si="24"/>
        <v>1592</v>
      </c>
    </row>
    <row r="1604" spans="2:7" x14ac:dyDescent="0.25">
      <c r="B1604" s="242"/>
      <c r="C1604" s="243"/>
      <c r="D1604" s="243"/>
      <c r="E1604" s="243">
        <v>69122</v>
      </c>
      <c r="F1604" s="244" t="s">
        <v>708</v>
      </c>
      <c r="G1604" s="241">
        <f t="shared" si="24"/>
        <v>1593</v>
      </c>
    </row>
    <row r="1605" spans="2:7" x14ac:dyDescent="0.25">
      <c r="B1605" s="242"/>
      <c r="C1605" s="243"/>
      <c r="D1605" s="243">
        <v>6913</v>
      </c>
      <c r="E1605" s="243"/>
      <c r="F1605" s="244" t="s">
        <v>1331</v>
      </c>
      <c r="G1605" s="241">
        <f t="shared" si="24"/>
        <v>1594</v>
      </c>
    </row>
    <row r="1606" spans="2:7" x14ac:dyDescent="0.25">
      <c r="B1606" s="242"/>
      <c r="C1606" s="243"/>
      <c r="D1606" s="243"/>
      <c r="E1606" s="243">
        <v>69131</v>
      </c>
      <c r="F1606" s="244" t="s">
        <v>709</v>
      </c>
      <c r="G1606" s="241">
        <f t="shared" si="24"/>
        <v>1595</v>
      </c>
    </row>
    <row r="1607" spans="2:7" x14ac:dyDescent="0.25">
      <c r="B1607" s="242"/>
      <c r="C1607" s="243"/>
      <c r="D1607" s="243"/>
      <c r="E1607" s="243">
        <v>69132</v>
      </c>
      <c r="F1607" s="244" t="s">
        <v>708</v>
      </c>
      <c r="G1607" s="241">
        <f t="shared" si="24"/>
        <v>1596</v>
      </c>
    </row>
    <row r="1608" spans="2:7" x14ac:dyDescent="0.25">
      <c r="B1608" s="242"/>
      <c r="C1608" s="243"/>
      <c r="D1608" s="243">
        <v>6914</v>
      </c>
      <c r="E1608" s="243"/>
      <c r="F1608" s="244" t="s">
        <v>715</v>
      </c>
      <c r="G1608" s="241">
        <f t="shared" si="24"/>
        <v>1597</v>
      </c>
    </row>
    <row r="1609" spans="2:7" x14ac:dyDescent="0.25">
      <c r="B1609" s="242"/>
      <c r="C1609" s="243"/>
      <c r="D1609" s="243"/>
      <c r="E1609" s="243">
        <v>69141</v>
      </c>
      <c r="F1609" s="244" t="s">
        <v>709</v>
      </c>
      <c r="G1609" s="241">
        <f t="shared" si="24"/>
        <v>1598</v>
      </c>
    </row>
    <row r="1610" spans="2:7" x14ac:dyDescent="0.25">
      <c r="B1610" s="242"/>
      <c r="C1610" s="243"/>
      <c r="D1610" s="243"/>
      <c r="E1610" s="243">
        <v>69142</v>
      </c>
      <c r="F1610" s="244" t="s">
        <v>708</v>
      </c>
      <c r="G1610" s="241">
        <f t="shared" si="24"/>
        <v>1599</v>
      </c>
    </row>
    <row r="1611" spans="2:7" x14ac:dyDescent="0.25">
      <c r="B1611" s="242"/>
      <c r="C1611" s="243"/>
      <c r="D1611" s="243">
        <v>6915</v>
      </c>
      <c r="E1611" s="243"/>
      <c r="F1611" s="244" t="s">
        <v>736</v>
      </c>
      <c r="G1611" s="241">
        <f t="shared" si="24"/>
        <v>1600</v>
      </c>
    </row>
    <row r="1612" spans="2:7" x14ac:dyDescent="0.25">
      <c r="B1612" s="242"/>
      <c r="C1612" s="243"/>
      <c r="D1612" s="243"/>
      <c r="E1612" s="243">
        <v>69151</v>
      </c>
      <c r="F1612" s="244" t="s">
        <v>709</v>
      </c>
      <c r="G1612" s="241">
        <f t="shared" si="24"/>
        <v>1601</v>
      </c>
    </row>
    <row r="1613" spans="2:7" x14ac:dyDescent="0.25">
      <c r="B1613" s="242"/>
      <c r="C1613" s="243"/>
      <c r="D1613" s="243"/>
      <c r="E1613" s="243">
        <v>69152</v>
      </c>
      <c r="F1613" s="244" t="s">
        <v>708</v>
      </c>
      <c r="G1613" s="241">
        <f t="shared" ref="G1613:G1676" si="25">G1612+1</f>
        <v>1602</v>
      </c>
    </row>
    <row r="1614" spans="2:7" x14ac:dyDescent="0.25">
      <c r="B1614" s="242"/>
      <c r="C1614" s="243">
        <v>692</v>
      </c>
      <c r="D1614" s="243"/>
      <c r="E1614" s="243"/>
      <c r="F1614" s="244" t="s">
        <v>590</v>
      </c>
      <c r="G1614" s="241">
        <f t="shared" si="25"/>
        <v>1603</v>
      </c>
    </row>
    <row r="1615" spans="2:7" x14ac:dyDescent="0.25">
      <c r="B1615" s="242"/>
      <c r="C1615" s="243"/>
      <c r="D1615" s="243">
        <v>6921</v>
      </c>
      <c r="E1615" s="243"/>
      <c r="F1615" s="244" t="s">
        <v>705</v>
      </c>
      <c r="G1615" s="241">
        <f t="shared" si="25"/>
        <v>1604</v>
      </c>
    </row>
    <row r="1616" spans="2:7" x14ac:dyDescent="0.25">
      <c r="B1616" s="242"/>
      <c r="C1616" s="243"/>
      <c r="D1616" s="243"/>
      <c r="E1616" s="243">
        <v>69211</v>
      </c>
      <c r="F1616" s="244" t="s">
        <v>709</v>
      </c>
      <c r="G1616" s="241">
        <f t="shared" si="25"/>
        <v>1605</v>
      </c>
    </row>
    <row r="1617" spans="2:7" x14ac:dyDescent="0.25">
      <c r="B1617" s="242"/>
      <c r="C1617" s="243"/>
      <c r="D1617" s="243"/>
      <c r="E1617" s="243">
        <v>69212</v>
      </c>
      <c r="F1617" s="244" t="s">
        <v>708</v>
      </c>
      <c r="G1617" s="241">
        <f t="shared" si="25"/>
        <v>1606</v>
      </c>
    </row>
    <row r="1618" spans="2:7" x14ac:dyDescent="0.25">
      <c r="B1618" s="242"/>
      <c r="C1618" s="243"/>
      <c r="D1618" s="243">
        <v>6922</v>
      </c>
      <c r="E1618" s="243"/>
      <c r="F1618" s="244" t="s">
        <v>704</v>
      </c>
      <c r="G1618" s="241">
        <f t="shared" si="25"/>
        <v>1607</v>
      </c>
    </row>
    <row r="1619" spans="2:7" x14ac:dyDescent="0.25">
      <c r="B1619" s="242"/>
      <c r="C1619" s="243"/>
      <c r="D1619" s="243"/>
      <c r="E1619" s="243">
        <v>69221</v>
      </c>
      <c r="F1619" s="244" t="s">
        <v>709</v>
      </c>
      <c r="G1619" s="241">
        <f t="shared" si="25"/>
        <v>1608</v>
      </c>
    </row>
    <row r="1620" spans="2:7" x14ac:dyDescent="0.25">
      <c r="B1620" s="242"/>
      <c r="C1620" s="243"/>
      <c r="D1620" s="243"/>
      <c r="E1620" s="243">
        <v>69222</v>
      </c>
      <c r="F1620" s="244" t="s">
        <v>708</v>
      </c>
      <c r="G1620" s="241">
        <f t="shared" si="25"/>
        <v>1609</v>
      </c>
    </row>
    <row r="1621" spans="2:7" x14ac:dyDescent="0.25">
      <c r="B1621" s="242"/>
      <c r="C1621" s="243"/>
      <c r="D1621" s="243">
        <v>6923</v>
      </c>
      <c r="E1621" s="243"/>
      <c r="F1621" s="244" t="s">
        <v>1162</v>
      </c>
      <c r="G1621" s="241">
        <f t="shared" si="25"/>
        <v>1610</v>
      </c>
    </row>
    <row r="1622" spans="2:7" x14ac:dyDescent="0.25">
      <c r="B1622" s="242"/>
      <c r="C1622" s="243"/>
      <c r="D1622" s="243"/>
      <c r="E1622" s="243">
        <v>69231</v>
      </c>
      <c r="F1622" s="244" t="s">
        <v>709</v>
      </c>
      <c r="G1622" s="241">
        <f t="shared" si="25"/>
        <v>1611</v>
      </c>
    </row>
    <row r="1623" spans="2:7" x14ac:dyDescent="0.25">
      <c r="B1623" s="242"/>
      <c r="C1623" s="243"/>
      <c r="D1623" s="243"/>
      <c r="E1623" s="243">
        <v>69232</v>
      </c>
      <c r="F1623" s="244" t="s">
        <v>708</v>
      </c>
      <c r="G1623" s="241">
        <f t="shared" si="25"/>
        <v>1612</v>
      </c>
    </row>
    <row r="1624" spans="2:7" x14ac:dyDescent="0.25">
      <c r="B1624" s="242"/>
      <c r="C1624" s="243"/>
      <c r="D1624" s="243">
        <v>6924</v>
      </c>
      <c r="E1624" s="243"/>
      <c r="F1624" s="244" t="s">
        <v>703</v>
      </c>
      <c r="G1624" s="241">
        <f t="shared" si="25"/>
        <v>1613</v>
      </c>
    </row>
    <row r="1625" spans="2:7" x14ac:dyDescent="0.25">
      <c r="B1625" s="242"/>
      <c r="C1625" s="243"/>
      <c r="D1625" s="243"/>
      <c r="E1625" s="243">
        <v>69241</v>
      </c>
      <c r="F1625" s="244" t="s">
        <v>709</v>
      </c>
      <c r="G1625" s="241">
        <f t="shared" si="25"/>
        <v>1614</v>
      </c>
    </row>
    <row r="1626" spans="2:7" x14ac:dyDescent="0.25">
      <c r="B1626" s="242"/>
      <c r="C1626" s="243"/>
      <c r="D1626" s="243"/>
      <c r="E1626" s="243">
        <v>69242</v>
      </c>
      <c r="F1626" s="244" t="s">
        <v>708</v>
      </c>
      <c r="G1626" s="241">
        <f t="shared" si="25"/>
        <v>1615</v>
      </c>
    </row>
    <row r="1627" spans="2:7" x14ac:dyDescent="0.25">
      <c r="B1627" s="242"/>
      <c r="C1627" s="243"/>
      <c r="D1627" s="243">
        <v>6925</v>
      </c>
      <c r="E1627" s="243"/>
      <c r="F1627" s="244" t="s">
        <v>702</v>
      </c>
      <c r="G1627" s="241">
        <f t="shared" si="25"/>
        <v>1616</v>
      </c>
    </row>
    <row r="1628" spans="2:7" x14ac:dyDescent="0.25">
      <c r="B1628" s="242"/>
      <c r="C1628" s="243"/>
      <c r="D1628" s="243"/>
      <c r="E1628" s="243">
        <v>69251</v>
      </c>
      <c r="F1628" s="244" t="s">
        <v>709</v>
      </c>
      <c r="G1628" s="241">
        <f t="shared" si="25"/>
        <v>1617</v>
      </c>
    </row>
    <row r="1629" spans="2:7" x14ac:dyDescent="0.25">
      <c r="B1629" s="242"/>
      <c r="C1629" s="243"/>
      <c r="D1629" s="243"/>
      <c r="E1629" s="243">
        <v>69252</v>
      </c>
      <c r="F1629" s="244" t="s">
        <v>708</v>
      </c>
      <c r="G1629" s="241">
        <f t="shared" si="25"/>
        <v>1618</v>
      </c>
    </row>
    <row r="1630" spans="2:7" x14ac:dyDescent="0.25">
      <c r="B1630" s="242"/>
      <c r="C1630" s="243"/>
      <c r="D1630" s="243">
        <v>6926</v>
      </c>
      <c r="E1630" s="243"/>
      <c r="F1630" s="244" t="s">
        <v>735</v>
      </c>
      <c r="G1630" s="241">
        <f t="shared" si="25"/>
        <v>1619</v>
      </c>
    </row>
    <row r="1631" spans="2:7" x14ac:dyDescent="0.25">
      <c r="B1631" s="242"/>
      <c r="C1631" s="243"/>
      <c r="D1631" s="243"/>
      <c r="E1631" s="243">
        <v>69261</v>
      </c>
      <c r="F1631" s="244" t="s">
        <v>709</v>
      </c>
      <c r="G1631" s="241">
        <f t="shared" si="25"/>
        <v>1620</v>
      </c>
    </row>
    <row r="1632" spans="2:7" x14ac:dyDescent="0.25">
      <c r="B1632" s="242"/>
      <c r="C1632" s="243"/>
      <c r="D1632" s="243"/>
      <c r="E1632" s="243">
        <v>69262</v>
      </c>
      <c r="F1632" s="244" t="s">
        <v>708</v>
      </c>
      <c r="G1632" s="241">
        <f t="shared" si="25"/>
        <v>1621</v>
      </c>
    </row>
    <row r="1633" spans="2:7" x14ac:dyDescent="0.25">
      <c r="B1633" s="242"/>
      <c r="C1633" s="243"/>
      <c r="D1633" s="243">
        <v>6927</v>
      </c>
      <c r="E1633" s="243"/>
      <c r="F1633" s="244" t="s">
        <v>1568</v>
      </c>
      <c r="G1633" s="241">
        <f t="shared" si="25"/>
        <v>1622</v>
      </c>
    </row>
    <row r="1634" spans="2:7" x14ac:dyDescent="0.25">
      <c r="B1634" s="242"/>
      <c r="C1634" s="243"/>
      <c r="D1634" s="243">
        <v>6928</v>
      </c>
      <c r="E1634" s="243"/>
      <c r="F1634" s="244" t="s">
        <v>1569</v>
      </c>
      <c r="G1634" s="241">
        <f t="shared" si="25"/>
        <v>1623</v>
      </c>
    </row>
    <row r="1635" spans="2:7" x14ac:dyDescent="0.25">
      <c r="B1635" s="242"/>
      <c r="C1635" s="243">
        <v>693</v>
      </c>
      <c r="D1635" s="243"/>
      <c r="E1635" s="243"/>
      <c r="F1635" s="244" t="s">
        <v>726</v>
      </c>
      <c r="G1635" s="241">
        <f t="shared" si="25"/>
        <v>1624</v>
      </c>
    </row>
    <row r="1636" spans="2:7" x14ac:dyDescent="0.25">
      <c r="B1636" s="242"/>
      <c r="C1636" s="243"/>
      <c r="D1636" s="243">
        <v>6931</v>
      </c>
      <c r="E1636" s="243"/>
      <c r="F1636" s="244" t="s">
        <v>700</v>
      </c>
      <c r="G1636" s="241">
        <f t="shared" si="25"/>
        <v>1625</v>
      </c>
    </row>
    <row r="1637" spans="2:7" x14ac:dyDescent="0.25">
      <c r="B1637" s="242"/>
      <c r="C1637" s="243"/>
      <c r="D1637" s="243"/>
      <c r="E1637" s="243">
        <v>69311</v>
      </c>
      <c r="F1637" s="244" t="s">
        <v>709</v>
      </c>
      <c r="G1637" s="241">
        <f t="shared" si="25"/>
        <v>1626</v>
      </c>
    </row>
    <row r="1638" spans="2:7" x14ac:dyDescent="0.25">
      <c r="B1638" s="242"/>
      <c r="C1638" s="243"/>
      <c r="D1638" s="243"/>
      <c r="E1638" s="243">
        <v>69312</v>
      </c>
      <c r="F1638" s="244" t="s">
        <v>708</v>
      </c>
      <c r="G1638" s="241">
        <f t="shared" si="25"/>
        <v>1627</v>
      </c>
    </row>
    <row r="1639" spans="2:7" x14ac:dyDescent="0.25">
      <c r="B1639" s="242"/>
      <c r="C1639" s="243"/>
      <c r="D1639" s="243">
        <v>6932</v>
      </c>
      <c r="E1639" s="243"/>
      <c r="F1639" s="244" t="s">
        <v>699</v>
      </c>
      <c r="G1639" s="241">
        <f t="shared" si="25"/>
        <v>1628</v>
      </c>
    </row>
    <row r="1640" spans="2:7" x14ac:dyDescent="0.25">
      <c r="B1640" s="242"/>
      <c r="C1640" s="243"/>
      <c r="D1640" s="243"/>
      <c r="E1640" s="243">
        <v>69321</v>
      </c>
      <c r="F1640" s="244" t="s">
        <v>709</v>
      </c>
      <c r="G1640" s="241">
        <f t="shared" si="25"/>
        <v>1629</v>
      </c>
    </row>
    <row r="1641" spans="2:7" x14ac:dyDescent="0.25">
      <c r="B1641" s="242"/>
      <c r="C1641" s="243"/>
      <c r="D1641" s="243"/>
      <c r="E1641" s="243">
        <v>69322</v>
      </c>
      <c r="F1641" s="244" t="s">
        <v>708</v>
      </c>
      <c r="G1641" s="241">
        <f t="shared" si="25"/>
        <v>1630</v>
      </c>
    </row>
    <row r="1642" spans="2:7" x14ac:dyDescent="0.25">
      <c r="B1642" s="242"/>
      <c r="C1642" s="243">
        <v>694</v>
      </c>
      <c r="D1642" s="243"/>
      <c r="E1642" s="243"/>
      <c r="F1642" s="244" t="s">
        <v>734</v>
      </c>
      <c r="G1642" s="241">
        <f t="shared" si="25"/>
        <v>1631</v>
      </c>
    </row>
    <row r="1643" spans="2:7" x14ac:dyDescent="0.25">
      <c r="B1643" s="242"/>
      <c r="C1643" s="243"/>
      <c r="D1643" s="243">
        <v>6941</v>
      </c>
      <c r="E1643" s="243"/>
      <c r="F1643" s="244" t="s">
        <v>709</v>
      </c>
      <c r="G1643" s="241">
        <f t="shared" si="25"/>
        <v>1632</v>
      </c>
    </row>
    <row r="1644" spans="2:7" x14ac:dyDescent="0.25">
      <c r="B1644" s="242"/>
      <c r="C1644" s="243"/>
      <c r="D1644" s="243">
        <v>6942</v>
      </c>
      <c r="E1644" s="243"/>
      <c r="F1644" s="244" t="s">
        <v>708</v>
      </c>
      <c r="G1644" s="241">
        <f t="shared" si="25"/>
        <v>1633</v>
      </c>
    </row>
    <row r="1645" spans="2:7" x14ac:dyDescent="0.25">
      <c r="B1645" s="242"/>
      <c r="C1645" s="243">
        <v>695</v>
      </c>
      <c r="D1645" s="243"/>
      <c r="E1645" s="243"/>
      <c r="F1645" s="244" t="s">
        <v>1570</v>
      </c>
      <c r="G1645" s="241">
        <f t="shared" si="25"/>
        <v>1634</v>
      </c>
    </row>
    <row r="1646" spans="2:7" x14ac:dyDescent="0.25">
      <c r="B1646" s="242"/>
      <c r="C1646" s="243"/>
      <c r="D1646" s="243">
        <v>6951</v>
      </c>
      <c r="E1646" s="243"/>
      <c r="F1646" s="244" t="s">
        <v>644</v>
      </c>
      <c r="G1646" s="241">
        <f t="shared" si="25"/>
        <v>1635</v>
      </c>
    </row>
    <row r="1647" spans="2:7" x14ac:dyDescent="0.25">
      <c r="B1647" s="242"/>
      <c r="C1647" s="243"/>
      <c r="D1647" s="243">
        <v>6952</v>
      </c>
      <c r="E1647" s="243"/>
      <c r="F1647" s="244" t="s">
        <v>590</v>
      </c>
      <c r="G1647" s="241">
        <f t="shared" si="25"/>
        <v>1636</v>
      </c>
    </row>
    <row r="1648" spans="2:7" x14ac:dyDescent="0.25">
      <c r="B1648" s="242"/>
      <c r="C1648" s="243"/>
      <c r="D1648" s="243">
        <v>6953</v>
      </c>
      <c r="E1648" s="243"/>
      <c r="F1648" s="244" t="s">
        <v>726</v>
      </c>
      <c r="G1648" s="241">
        <f t="shared" si="25"/>
        <v>1637</v>
      </c>
    </row>
    <row r="1649" spans="2:7" x14ac:dyDescent="0.25">
      <c r="B1649" s="242"/>
      <c r="C1649" s="243"/>
      <c r="D1649" s="243">
        <v>6954</v>
      </c>
      <c r="E1649" s="243"/>
      <c r="F1649" s="244" t="s">
        <v>595</v>
      </c>
      <c r="G1649" s="241">
        <f t="shared" si="25"/>
        <v>1638</v>
      </c>
    </row>
    <row r="1650" spans="2:7" x14ac:dyDescent="0.25">
      <c r="B1650" s="242"/>
      <c r="C1650" s="243"/>
      <c r="D1650" s="243">
        <v>6955</v>
      </c>
      <c r="E1650" s="243"/>
      <c r="F1650" s="244" t="s">
        <v>594</v>
      </c>
      <c r="G1650" s="241">
        <f t="shared" si="25"/>
        <v>1639</v>
      </c>
    </row>
    <row r="1651" spans="2:7" x14ac:dyDescent="0.25">
      <c r="B1651" s="242"/>
      <c r="C1651" s="243"/>
      <c r="D1651" s="243">
        <v>6956</v>
      </c>
      <c r="E1651" s="243"/>
      <c r="F1651" s="244" t="s">
        <v>864</v>
      </c>
      <c r="G1651" s="241">
        <f t="shared" si="25"/>
        <v>1640</v>
      </c>
    </row>
    <row r="1652" spans="2:7" x14ac:dyDescent="0.25">
      <c r="B1652" s="242"/>
      <c r="C1652" s="243"/>
      <c r="D1652" s="243">
        <v>6957</v>
      </c>
      <c r="E1652" s="243"/>
      <c r="F1652" s="244" t="s">
        <v>862</v>
      </c>
      <c r="G1652" s="241">
        <f t="shared" si="25"/>
        <v>1641</v>
      </c>
    </row>
    <row r="1653" spans="2:7" x14ac:dyDescent="0.25">
      <c r="B1653" s="242"/>
      <c r="C1653" s="243"/>
      <c r="D1653" s="243">
        <v>6958</v>
      </c>
      <c r="E1653" s="243"/>
      <c r="F1653" s="244" t="s">
        <v>1155</v>
      </c>
      <c r="G1653" s="241">
        <f t="shared" si="25"/>
        <v>1642</v>
      </c>
    </row>
    <row r="1654" spans="2:7" x14ac:dyDescent="0.25">
      <c r="B1654" s="242">
        <v>70</v>
      </c>
      <c r="C1654" s="243"/>
      <c r="D1654" s="243"/>
      <c r="E1654" s="243"/>
      <c r="F1654" s="244" t="s">
        <v>390</v>
      </c>
      <c r="G1654" s="241">
        <f t="shared" si="25"/>
        <v>1643</v>
      </c>
    </row>
    <row r="1655" spans="2:7" x14ac:dyDescent="0.25">
      <c r="B1655" s="242"/>
      <c r="C1655" s="243">
        <v>701</v>
      </c>
      <c r="D1655" s="243"/>
      <c r="E1655" s="243"/>
      <c r="F1655" s="244" t="s">
        <v>644</v>
      </c>
      <c r="G1655" s="241">
        <f t="shared" si="25"/>
        <v>1644</v>
      </c>
    </row>
    <row r="1656" spans="2:7" x14ac:dyDescent="0.25">
      <c r="B1656" s="242"/>
      <c r="C1656" s="243"/>
      <c r="D1656" s="243">
        <v>7011</v>
      </c>
      <c r="E1656" s="243"/>
      <c r="F1656" s="244" t="s">
        <v>733</v>
      </c>
      <c r="G1656" s="241">
        <f t="shared" si="25"/>
        <v>1645</v>
      </c>
    </row>
    <row r="1657" spans="2:7" x14ac:dyDescent="0.25">
      <c r="B1657" s="242"/>
      <c r="C1657" s="243"/>
      <c r="D1657" s="243"/>
      <c r="E1657" s="243">
        <v>70111</v>
      </c>
      <c r="F1657" s="244" t="s">
        <v>709</v>
      </c>
      <c r="G1657" s="241">
        <f t="shared" si="25"/>
        <v>1646</v>
      </c>
    </row>
    <row r="1658" spans="2:7" x14ac:dyDescent="0.25">
      <c r="B1658" s="242"/>
      <c r="C1658" s="243"/>
      <c r="D1658" s="243"/>
      <c r="E1658" s="243">
        <v>70112</v>
      </c>
      <c r="F1658" s="244" t="s">
        <v>708</v>
      </c>
      <c r="G1658" s="241">
        <f t="shared" si="25"/>
        <v>1647</v>
      </c>
    </row>
    <row r="1659" spans="2:7" x14ac:dyDescent="0.25">
      <c r="B1659" s="242"/>
      <c r="C1659" s="243"/>
      <c r="D1659" s="243">
        <v>7012</v>
      </c>
      <c r="E1659" s="243"/>
      <c r="F1659" s="244" t="s">
        <v>732</v>
      </c>
      <c r="G1659" s="241">
        <f t="shared" si="25"/>
        <v>1648</v>
      </c>
    </row>
    <row r="1660" spans="2:7" x14ac:dyDescent="0.25">
      <c r="B1660" s="242"/>
      <c r="C1660" s="243"/>
      <c r="D1660" s="243"/>
      <c r="E1660" s="243">
        <v>70121</v>
      </c>
      <c r="F1660" s="244" t="s">
        <v>709</v>
      </c>
      <c r="G1660" s="241">
        <f t="shared" si="25"/>
        <v>1649</v>
      </c>
    </row>
    <row r="1661" spans="2:7" x14ac:dyDescent="0.25">
      <c r="B1661" s="242"/>
      <c r="C1661" s="243"/>
      <c r="D1661" s="243"/>
      <c r="E1661" s="243">
        <v>70122</v>
      </c>
      <c r="F1661" s="244" t="s">
        <v>708</v>
      </c>
      <c r="G1661" s="241">
        <f t="shared" si="25"/>
        <v>1650</v>
      </c>
    </row>
    <row r="1662" spans="2:7" x14ac:dyDescent="0.25">
      <c r="B1662" s="242"/>
      <c r="C1662" s="243"/>
      <c r="D1662" s="243">
        <v>7013</v>
      </c>
      <c r="E1662" s="243"/>
      <c r="F1662" s="244" t="s">
        <v>1516</v>
      </c>
      <c r="G1662" s="241">
        <f t="shared" si="25"/>
        <v>1651</v>
      </c>
    </row>
    <row r="1663" spans="2:7" x14ac:dyDescent="0.25">
      <c r="B1663" s="242"/>
      <c r="C1663" s="243"/>
      <c r="D1663" s="243"/>
      <c r="E1663" s="243">
        <v>70131</v>
      </c>
      <c r="F1663" s="244" t="s">
        <v>709</v>
      </c>
      <c r="G1663" s="241">
        <f t="shared" si="25"/>
        <v>1652</v>
      </c>
    </row>
    <row r="1664" spans="2:7" x14ac:dyDescent="0.25">
      <c r="B1664" s="242"/>
      <c r="C1664" s="243"/>
      <c r="D1664" s="243"/>
      <c r="E1664" s="243">
        <v>70132</v>
      </c>
      <c r="F1664" s="244" t="s">
        <v>708</v>
      </c>
      <c r="G1664" s="241">
        <f t="shared" si="25"/>
        <v>1653</v>
      </c>
    </row>
    <row r="1665" spans="2:7" x14ac:dyDescent="0.25">
      <c r="B1665" s="242"/>
      <c r="C1665" s="243"/>
      <c r="D1665" s="243">
        <v>7014</v>
      </c>
      <c r="E1665" s="243"/>
      <c r="F1665" s="244" t="s">
        <v>731</v>
      </c>
      <c r="G1665" s="241">
        <f t="shared" si="25"/>
        <v>1654</v>
      </c>
    </row>
    <row r="1666" spans="2:7" x14ac:dyDescent="0.25">
      <c r="B1666" s="242"/>
      <c r="C1666" s="243"/>
      <c r="D1666" s="243"/>
      <c r="E1666" s="243">
        <v>70141</v>
      </c>
      <c r="F1666" s="244" t="s">
        <v>709</v>
      </c>
      <c r="G1666" s="241">
        <f t="shared" si="25"/>
        <v>1655</v>
      </c>
    </row>
    <row r="1667" spans="2:7" x14ac:dyDescent="0.25">
      <c r="B1667" s="242"/>
      <c r="C1667" s="243"/>
      <c r="D1667" s="243"/>
      <c r="E1667" s="243">
        <v>70142</v>
      </c>
      <c r="F1667" s="244" t="s">
        <v>708</v>
      </c>
      <c r="G1667" s="241">
        <f t="shared" si="25"/>
        <v>1656</v>
      </c>
    </row>
    <row r="1668" spans="2:7" x14ac:dyDescent="0.25">
      <c r="B1668" s="242"/>
      <c r="C1668" s="243"/>
      <c r="D1668" s="243">
        <v>7015</v>
      </c>
      <c r="E1668" s="243"/>
      <c r="F1668" s="244" t="s">
        <v>714</v>
      </c>
      <c r="G1668" s="241">
        <f t="shared" si="25"/>
        <v>1657</v>
      </c>
    </row>
    <row r="1669" spans="2:7" x14ac:dyDescent="0.25">
      <c r="B1669" s="242"/>
      <c r="C1669" s="243"/>
      <c r="D1669" s="243"/>
      <c r="E1669" s="243">
        <v>70151</v>
      </c>
      <c r="F1669" s="244" t="s">
        <v>709</v>
      </c>
      <c r="G1669" s="241">
        <f t="shared" si="25"/>
        <v>1658</v>
      </c>
    </row>
    <row r="1670" spans="2:7" x14ac:dyDescent="0.25">
      <c r="B1670" s="242"/>
      <c r="C1670" s="243"/>
      <c r="D1670" s="243"/>
      <c r="E1670" s="243">
        <v>70152</v>
      </c>
      <c r="F1670" s="244" t="s">
        <v>708</v>
      </c>
      <c r="G1670" s="241">
        <f t="shared" si="25"/>
        <v>1659</v>
      </c>
    </row>
    <row r="1671" spans="2:7" x14ac:dyDescent="0.25">
      <c r="B1671" s="242"/>
      <c r="C1671" s="243">
        <v>702</v>
      </c>
      <c r="D1671" s="243"/>
      <c r="E1671" s="243"/>
      <c r="F1671" s="244" t="s">
        <v>590</v>
      </c>
      <c r="G1671" s="241">
        <f t="shared" si="25"/>
        <v>1660</v>
      </c>
    </row>
    <row r="1672" spans="2:7" x14ac:dyDescent="0.25">
      <c r="B1672" s="242"/>
      <c r="C1672" s="243"/>
      <c r="D1672" s="243">
        <v>7021</v>
      </c>
      <c r="E1672" s="243"/>
      <c r="F1672" s="244" t="s">
        <v>730</v>
      </c>
      <c r="G1672" s="241">
        <f t="shared" si="25"/>
        <v>1661</v>
      </c>
    </row>
    <row r="1673" spans="2:7" x14ac:dyDescent="0.25">
      <c r="B1673" s="242"/>
      <c r="C1673" s="243"/>
      <c r="D1673" s="243"/>
      <c r="E1673" s="243">
        <v>70211</v>
      </c>
      <c r="F1673" s="244" t="s">
        <v>709</v>
      </c>
      <c r="G1673" s="241">
        <f t="shared" si="25"/>
        <v>1662</v>
      </c>
    </row>
    <row r="1674" spans="2:7" x14ac:dyDescent="0.25">
      <c r="B1674" s="242"/>
      <c r="C1674" s="243"/>
      <c r="D1674" s="243"/>
      <c r="E1674" s="243">
        <v>70212</v>
      </c>
      <c r="F1674" s="244" t="s">
        <v>708</v>
      </c>
      <c r="G1674" s="241">
        <f t="shared" si="25"/>
        <v>1663</v>
      </c>
    </row>
    <row r="1675" spans="2:7" x14ac:dyDescent="0.25">
      <c r="B1675" s="242"/>
      <c r="C1675" s="243"/>
      <c r="D1675" s="243">
        <v>7022</v>
      </c>
      <c r="E1675" s="243"/>
      <c r="F1675" s="244" t="s">
        <v>729</v>
      </c>
      <c r="G1675" s="241">
        <f t="shared" si="25"/>
        <v>1664</v>
      </c>
    </row>
    <row r="1676" spans="2:7" x14ac:dyDescent="0.25">
      <c r="B1676" s="242"/>
      <c r="C1676" s="243"/>
      <c r="D1676" s="243"/>
      <c r="E1676" s="243">
        <v>70221</v>
      </c>
      <c r="F1676" s="244" t="s">
        <v>709</v>
      </c>
      <c r="G1676" s="241">
        <f t="shared" si="25"/>
        <v>1665</v>
      </c>
    </row>
    <row r="1677" spans="2:7" x14ac:dyDescent="0.25">
      <c r="B1677" s="242"/>
      <c r="C1677" s="243"/>
      <c r="D1677" s="243"/>
      <c r="E1677" s="243">
        <v>70222</v>
      </c>
      <c r="F1677" s="244" t="s">
        <v>708</v>
      </c>
      <c r="G1677" s="241">
        <f t="shared" ref="G1677:G1740" si="26">G1676+1</f>
        <v>1666</v>
      </c>
    </row>
    <row r="1678" spans="2:7" x14ac:dyDescent="0.25">
      <c r="B1678" s="242"/>
      <c r="C1678" s="243"/>
      <c r="D1678" s="243">
        <v>7023</v>
      </c>
      <c r="E1678" s="243"/>
      <c r="F1678" s="244" t="s">
        <v>1571</v>
      </c>
      <c r="G1678" s="241">
        <f t="shared" si="26"/>
        <v>1667</v>
      </c>
    </row>
    <row r="1679" spans="2:7" x14ac:dyDescent="0.25">
      <c r="B1679" s="242"/>
      <c r="C1679" s="243"/>
      <c r="D1679" s="243"/>
      <c r="E1679" s="243">
        <v>70231</v>
      </c>
      <c r="F1679" s="244" t="s">
        <v>709</v>
      </c>
      <c r="G1679" s="241">
        <f t="shared" si="26"/>
        <v>1668</v>
      </c>
    </row>
    <row r="1680" spans="2:7" x14ac:dyDescent="0.25">
      <c r="B1680" s="242"/>
      <c r="C1680" s="243"/>
      <c r="D1680" s="243"/>
      <c r="E1680" s="243">
        <v>70232</v>
      </c>
      <c r="F1680" s="244" t="s">
        <v>708</v>
      </c>
      <c r="G1680" s="241">
        <f t="shared" si="26"/>
        <v>1669</v>
      </c>
    </row>
    <row r="1681" spans="2:7" x14ac:dyDescent="0.25">
      <c r="B1681" s="242"/>
      <c r="C1681" s="243"/>
      <c r="D1681" s="243">
        <v>7024</v>
      </c>
      <c r="E1681" s="243"/>
      <c r="F1681" s="244" t="s">
        <v>728</v>
      </c>
      <c r="G1681" s="241">
        <f t="shared" si="26"/>
        <v>1670</v>
      </c>
    </row>
    <row r="1682" spans="2:7" x14ac:dyDescent="0.25">
      <c r="B1682" s="242"/>
      <c r="C1682" s="243"/>
      <c r="D1682" s="243"/>
      <c r="E1682" s="243">
        <v>70241</v>
      </c>
      <c r="F1682" s="244" t="s">
        <v>709</v>
      </c>
      <c r="G1682" s="241">
        <f t="shared" si="26"/>
        <v>1671</v>
      </c>
    </row>
    <row r="1683" spans="2:7" x14ac:dyDescent="0.25">
      <c r="B1683" s="242"/>
      <c r="C1683" s="243"/>
      <c r="D1683" s="243"/>
      <c r="E1683" s="243">
        <v>70242</v>
      </c>
      <c r="F1683" s="244" t="s">
        <v>708</v>
      </c>
      <c r="G1683" s="241">
        <f t="shared" si="26"/>
        <v>1672</v>
      </c>
    </row>
    <row r="1684" spans="2:7" x14ac:dyDescent="0.25">
      <c r="B1684" s="242"/>
      <c r="C1684" s="243"/>
      <c r="D1684" s="243">
        <v>7025</v>
      </c>
      <c r="E1684" s="243"/>
      <c r="F1684" s="244" t="s">
        <v>727</v>
      </c>
      <c r="G1684" s="241">
        <f t="shared" si="26"/>
        <v>1673</v>
      </c>
    </row>
    <row r="1685" spans="2:7" x14ac:dyDescent="0.25">
      <c r="B1685" s="242"/>
      <c r="C1685" s="243"/>
      <c r="D1685" s="243"/>
      <c r="E1685" s="243">
        <v>70251</v>
      </c>
      <c r="F1685" s="244" t="s">
        <v>709</v>
      </c>
      <c r="G1685" s="241">
        <f t="shared" si="26"/>
        <v>1674</v>
      </c>
    </row>
    <row r="1686" spans="2:7" x14ac:dyDescent="0.25">
      <c r="B1686" s="242"/>
      <c r="C1686" s="243"/>
      <c r="D1686" s="243"/>
      <c r="E1686" s="243">
        <v>70252</v>
      </c>
      <c r="F1686" s="244" t="s">
        <v>708</v>
      </c>
      <c r="G1686" s="241">
        <f t="shared" si="26"/>
        <v>1675</v>
      </c>
    </row>
    <row r="1687" spans="2:7" x14ac:dyDescent="0.25">
      <c r="B1687" s="242"/>
      <c r="C1687" s="243">
        <v>703</v>
      </c>
      <c r="D1687" s="243"/>
      <c r="E1687" s="243"/>
      <c r="F1687" s="244" t="s">
        <v>726</v>
      </c>
      <c r="G1687" s="241">
        <f t="shared" si="26"/>
        <v>1676</v>
      </c>
    </row>
    <row r="1688" spans="2:7" x14ac:dyDescent="0.25">
      <c r="B1688" s="242"/>
      <c r="C1688" s="243"/>
      <c r="D1688" s="243">
        <v>7031</v>
      </c>
      <c r="E1688" s="243"/>
      <c r="F1688" s="244" t="s">
        <v>725</v>
      </c>
      <c r="G1688" s="241">
        <f t="shared" si="26"/>
        <v>1677</v>
      </c>
    </row>
    <row r="1689" spans="2:7" x14ac:dyDescent="0.25">
      <c r="B1689" s="242"/>
      <c r="C1689" s="243"/>
      <c r="D1689" s="243"/>
      <c r="E1689" s="243">
        <v>70311</v>
      </c>
      <c r="F1689" s="244" t="s">
        <v>709</v>
      </c>
      <c r="G1689" s="241">
        <f t="shared" si="26"/>
        <v>1678</v>
      </c>
    </row>
    <row r="1690" spans="2:7" x14ac:dyDescent="0.25">
      <c r="B1690" s="242"/>
      <c r="C1690" s="243"/>
      <c r="D1690" s="243"/>
      <c r="E1690" s="243">
        <v>70312</v>
      </c>
      <c r="F1690" s="244" t="s">
        <v>708</v>
      </c>
      <c r="G1690" s="241">
        <f t="shared" si="26"/>
        <v>1679</v>
      </c>
    </row>
    <row r="1691" spans="2:7" x14ac:dyDescent="0.25">
      <c r="B1691" s="242"/>
      <c r="C1691" s="243"/>
      <c r="D1691" s="243">
        <v>7032</v>
      </c>
      <c r="E1691" s="243"/>
      <c r="F1691" s="244" t="s">
        <v>724</v>
      </c>
      <c r="G1691" s="241">
        <f t="shared" si="26"/>
        <v>1680</v>
      </c>
    </row>
    <row r="1692" spans="2:7" x14ac:dyDescent="0.25">
      <c r="B1692" s="242"/>
      <c r="C1692" s="243"/>
      <c r="D1692" s="243"/>
      <c r="E1692" s="243">
        <v>70321</v>
      </c>
      <c r="F1692" s="244" t="s">
        <v>709</v>
      </c>
      <c r="G1692" s="241">
        <f t="shared" si="26"/>
        <v>1681</v>
      </c>
    </row>
    <row r="1693" spans="2:7" x14ac:dyDescent="0.25">
      <c r="B1693" s="242"/>
      <c r="C1693" s="243"/>
      <c r="D1693" s="243"/>
      <c r="E1693" s="243">
        <v>70322</v>
      </c>
      <c r="F1693" s="244" t="s">
        <v>708</v>
      </c>
      <c r="G1693" s="241">
        <f t="shared" si="26"/>
        <v>1682</v>
      </c>
    </row>
    <row r="1694" spans="2:7" x14ac:dyDescent="0.25">
      <c r="B1694" s="242"/>
      <c r="C1694" s="243">
        <v>704</v>
      </c>
      <c r="D1694" s="243"/>
      <c r="E1694" s="243"/>
      <c r="F1694" s="244" t="s">
        <v>723</v>
      </c>
      <c r="G1694" s="241">
        <f t="shared" si="26"/>
        <v>1683</v>
      </c>
    </row>
    <row r="1695" spans="2:7" x14ac:dyDescent="0.25">
      <c r="B1695" s="242"/>
      <c r="C1695" s="243"/>
      <c r="D1695" s="243">
        <v>7041</v>
      </c>
      <c r="E1695" s="243"/>
      <c r="F1695" s="244" t="s">
        <v>722</v>
      </c>
      <c r="G1695" s="241">
        <f t="shared" si="26"/>
        <v>1684</v>
      </c>
    </row>
    <row r="1696" spans="2:7" x14ac:dyDescent="0.25">
      <c r="B1696" s="242"/>
      <c r="C1696" s="243"/>
      <c r="D1696" s="243">
        <v>7042</v>
      </c>
      <c r="E1696" s="243"/>
      <c r="F1696" s="244" t="s">
        <v>721</v>
      </c>
      <c r="G1696" s="241">
        <f t="shared" si="26"/>
        <v>1685</v>
      </c>
    </row>
    <row r="1697" spans="2:7" x14ac:dyDescent="0.25">
      <c r="B1697" s="242"/>
      <c r="C1697" s="243">
        <v>709</v>
      </c>
      <c r="D1697" s="243"/>
      <c r="E1697" s="243"/>
      <c r="F1697" s="244" t="s">
        <v>720</v>
      </c>
      <c r="G1697" s="241">
        <f t="shared" si="26"/>
        <v>1686</v>
      </c>
    </row>
    <row r="1698" spans="2:7" x14ac:dyDescent="0.25">
      <c r="B1698" s="242"/>
      <c r="C1698" s="243"/>
      <c r="D1698" s="243">
        <v>7091</v>
      </c>
      <c r="E1698" s="243"/>
      <c r="F1698" s="244" t="s">
        <v>719</v>
      </c>
      <c r="G1698" s="241">
        <f t="shared" si="26"/>
        <v>1687</v>
      </c>
    </row>
    <row r="1699" spans="2:7" x14ac:dyDescent="0.25">
      <c r="B1699" s="242"/>
      <c r="C1699" s="243"/>
      <c r="D1699" s="243"/>
      <c r="E1699" s="243">
        <v>70911</v>
      </c>
      <c r="F1699" s="244" t="s">
        <v>717</v>
      </c>
      <c r="G1699" s="241">
        <f t="shared" si="26"/>
        <v>1688</v>
      </c>
    </row>
    <row r="1700" spans="2:7" x14ac:dyDescent="0.25">
      <c r="B1700" s="242"/>
      <c r="C1700" s="243"/>
      <c r="D1700" s="243"/>
      <c r="E1700" s="243">
        <v>70912</v>
      </c>
      <c r="F1700" s="244" t="s">
        <v>716</v>
      </c>
      <c r="G1700" s="241">
        <f t="shared" si="26"/>
        <v>1689</v>
      </c>
    </row>
    <row r="1701" spans="2:7" x14ac:dyDescent="0.25">
      <c r="B1701" s="242"/>
      <c r="C1701" s="243"/>
      <c r="D1701" s="243"/>
      <c r="E1701" s="243">
        <v>70913</v>
      </c>
      <c r="F1701" s="244" t="s">
        <v>1331</v>
      </c>
      <c r="G1701" s="241">
        <f t="shared" si="26"/>
        <v>1690</v>
      </c>
    </row>
    <row r="1702" spans="2:7" x14ac:dyDescent="0.25">
      <c r="B1702" s="242"/>
      <c r="C1702" s="243"/>
      <c r="D1702" s="243"/>
      <c r="E1702" s="243">
        <v>70914</v>
      </c>
      <c r="F1702" s="244" t="s">
        <v>715</v>
      </c>
      <c r="G1702" s="241">
        <f t="shared" si="26"/>
        <v>1691</v>
      </c>
    </row>
    <row r="1703" spans="2:7" x14ac:dyDescent="0.25">
      <c r="B1703" s="242"/>
      <c r="C1703" s="243"/>
      <c r="D1703" s="243"/>
      <c r="E1703" s="243">
        <v>70915</v>
      </c>
      <c r="F1703" s="244" t="s">
        <v>714</v>
      </c>
      <c r="G1703" s="241">
        <f t="shared" si="26"/>
        <v>1692</v>
      </c>
    </row>
    <row r="1704" spans="2:7" x14ac:dyDescent="0.25">
      <c r="B1704" s="242"/>
      <c r="C1704" s="243"/>
      <c r="D1704" s="243">
        <v>7092</v>
      </c>
      <c r="E1704" s="243"/>
      <c r="F1704" s="244" t="s">
        <v>718</v>
      </c>
      <c r="G1704" s="241">
        <f t="shared" si="26"/>
        <v>1693</v>
      </c>
    </row>
    <row r="1705" spans="2:7" x14ac:dyDescent="0.25">
      <c r="B1705" s="242"/>
      <c r="C1705" s="243"/>
      <c r="D1705" s="243"/>
      <c r="E1705" s="243">
        <v>70921</v>
      </c>
      <c r="F1705" s="244" t="s">
        <v>717</v>
      </c>
      <c r="G1705" s="241">
        <f t="shared" si="26"/>
        <v>1694</v>
      </c>
    </row>
    <row r="1706" spans="2:7" x14ac:dyDescent="0.25">
      <c r="B1706" s="242"/>
      <c r="C1706" s="243"/>
      <c r="D1706" s="243"/>
      <c r="E1706" s="243">
        <v>70922</v>
      </c>
      <c r="F1706" s="244" t="s">
        <v>716</v>
      </c>
      <c r="G1706" s="241">
        <f t="shared" si="26"/>
        <v>1695</v>
      </c>
    </row>
    <row r="1707" spans="2:7" x14ac:dyDescent="0.25">
      <c r="B1707" s="242"/>
      <c r="C1707" s="243"/>
      <c r="D1707" s="243"/>
      <c r="E1707" s="243">
        <v>70923</v>
      </c>
      <c r="F1707" s="244" t="s">
        <v>1331</v>
      </c>
      <c r="G1707" s="241">
        <f t="shared" si="26"/>
        <v>1696</v>
      </c>
    </row>
    <row r="1708" spans="2:7" x14ac:dyDescent="0.25">
      <c r="B1708" s="242"/>
      <c r="C1708" s="243"/>
      <c r="D1708" s="243"/>
      <c r="E1708" s="243">
        <v>70924</v>
      </c>
      <c r="F1708" s="244" t="s">
        <v>715</v>
      </c>
      <c r="G1708" s="241">
        <f t="shared" si="26"/>
        <v>1697</v>
      </c>
    </row>
    <row r="1709" spans="2:7" x14ac:dyDescent="0.25">
      <c r="B1709" s="242"/>
      <c r="C1709" s="243"/>
      <c r="D1709" s="243"/>
      <c r="E1709" s="243">
        <v>70925</v>
      </c>
      <c r="F1709" s="244" t="s">
        <v>714</v>
      </c>
      <c r="G1709" s="241">
        <f t="shared" si="26"/>
        <v>1698</v>
      </c>
    </row>
    <row r="1710" spans="2:7" x14ac:dyDescent="0.25">
      <c r="B1710" s="242"/>
      <c r="C1710" s="243"/>
      <c r="D1710" s="243">
        <v>7093</v>
      </c>
      <c r="E1710" s="243"/>
      <c r="F1710" s="244" t="s">
        <v>713</v>
      </c>
      <c r="G1710" s="241">
        <f t="shared" si="26"/>
        <v>1699</v>
      </c>
    </row>
    <row r="1711" spans="2:7" x14ac:dyDescent="0.25">
      <c r="B1711" s="242"/>
      <c r="C1711" s="243"/>
      <c r="D1711" s="243"/>
      <c r="E1711" s="243">
        <v>70931</v>
      </c>
      <c r="F1711" s="244" t="s">
        <v>705</v>
      </c>
      <c r="G1711" s="241">
        <f t="shared" si="26"/>
        <v>1700</v>
      </c>
    </row>
    <row r="1712" spans="2:7" x14ac:dyDescent="0.25">
      <c r="B1712" s="242"/>
      <c r="C1712" s="243"/>
      <c r="D1712" s="243"/>
      <c r="E1712" s="243">
        <v>70932</v>
      </c>
      <c r="F1712" s="244" t="s">
        <v>704</v>
      </c>
      <c r="G1712" s="241">
        <f t="shared" si="26"/>
        <v>1701</v>
      </c>
    </row>
    <row r="1713" spans="2:7" x14ac:dyDescent="0.25">
      <c r="B1713" s="242"/>
      <c r="C1713" s="243"/>
      <c r="D1713" s="243"/>
      <c r="E1713" s="243">
        <v>70933</v>
      </c>
      <c r="F1713" s="244" t="s">
        <v>1162</v>
      </c>
      <c r="G1713" s="241">
        <f t="shared" si="26"/>
        <v>1702</v>
      </c>
    </row>
    <row r="1714" spans="2:7" x14ac:dyDescent="0.25">
      <c r="B1714" s="242"/>
      <c r="C1714" s="243"/>
      <c r="D1714" s="243"/>
      <c r="E1714" s="243">
        <v>70934</v>
      </c>
      <c r="F1714" s="244" t="s">
        <v>703</v>
      </c>
      <c r="G1714" s="241">
        <f t="shared" si="26"/>
        <v>1703</v>
      </c>
    </row>
    <row r="1715" spans="2:7" x14ac:dyDescent="0.25">
      <c r="B1715" s="242"/>
      <c r="C1715" s="243"/>
      <c r="D1715" s="243"/>
      <c r="E1715" s="243">
        <v>70935</v>
      </c>
      <c r="F1715" s="244" t="s">
        <v>702</v>
      </c>
      <c r="G1715" s="241">
        <f t="shared" si="26"/>
        <v>1704</v>
      </c>
    </row>
    <row r="1716" spans="2:7" x14ac:dyDescent="0.25">
      <c r="B1716" s="242"/>
      <c r="C1716" s="243"/>
      <c r="D1716" s="243">
        <v>7094</v>
      </c>
      <c r="E1716" s="243"/>
      <c r="F1716" s="244" t="s">
        <v>712</v>
      </c>
      <c r="G1716" s="241">
        <f t="shared" si="26"/>
        <v>1705</v>
      </c>
    </row>
    <row r="1717" spans="2:7" x14ac:dyDescent="0.25">
      <c r="B1717" s="242"/>
      <c r="C1717" s="243"/>
      <c r="D1717" s="243"/>
      <c r="E1717" s="243">
        <v>70941</v>
      </c>
      <c r="F1717" s="244" t="s">
        <v>705</v>
      </c>
      <c r="G1717" s="241">
        <f t="shared" si="26"/>
        <v>1706</v>
      </c>
    </row>
    <row r="1718" spans="2:7" x14ac:dyDescent="0.25">
      <c r="B1718" s="242"/>
      <c r="C1718" s="243"/>
      <c r="D1718" s="243"/>
      <c r="E1718" s="243">
        <v>70942</v>
      </c>
      <c r="F1718" s="244" t="s">
        <v>704</v>
      </c>
      <c r="G1718" s="241">
        <f t="shared" si="26"/>
        <v>1707</v>
      </c>
    </row>
    <row r="1719" spans="2:7" x14ac:dyDescent="0.25">
      <c r="B1719" s="242"/>
      <c r="C1719" s="243"/>
      <c r="D1719" s="243"/>
      <c r="E1719" s="243">
        <v>70943</v>
      </c>
      <c r="F1719" s="244" t="s">
        <v>1162</v>
      </c>
      <c r="G1719" s="241">
        <f t="shared" si="26"/>
        <v>1708</v>
      </c>
    </row>
    <row r="1720" spans="2:7" x14ac:dyDescent="0.25">
      <c r="B1720" s="242"/>
      <c r="C1720" s="243"/>
      <c r="D1720" s="243"/>
      <c r="E1720" s="243">
        <v>70944</v>
      </c>
      <c r="F1720" s="244" t="s">
        <v>703</v>
      </c>
      <c r="G1720" s="241">
        <f t="shared" si="26"/>
        <v>1709</v>
      </c>
    </row>
    <row r="1721" spans="2:7" x14ac:dyDescent="0.25">
      <c r="B1721" s="242"/>
      <c r="C1721" s="243"/>
      <c r="D1721" s="243"/>
      <c r="E1721" s="243">
        <v>70945</v>
      </c>
      <c r="F1721" s="244" t="s">
        <v>702</v>
      </c>
      <c r="G1721" s="241">
        <f t="shared" si="26"/>
        <v>1710</v>
      </c>
    </row>
    <row r="1722" spans="2:7" x14ac:dyDescent="0.25">
      <c r="B1722" s="242"/>
      <c r="C1722" s="243"/>
      <c r="D1722" s="243">
        <v>7095</v>
      </c>
      <c r="E1722" s="243"/>
      <c r="F1722" s="244" t="s">
        <v>711</v>
      </c>
      <c r="G1722" s="241">
        <f t="shared" si="26"/>
        <v>1711</v>
      </c>
    </row>
    <row r="1723" spans="2:7" x14ac:dyDescent="0.25">
      <c r="B1723" s="242"/>
      <c r="C1723" s="243"/>
      <c r="D1723" s="243"/>
      <c r="E1723" s="243">
        <v>70951</v>
      </c>
      <c r="F1723" s="244" t="s">
        <v>700</v>
      </c>
      <c r="G1723" s="241">
        <f t="shared" si="26"/>
        <v>1712</v>
      </c>
    </row>
    <row r="1724" spans="2:7" x14ac:dyDescent="0.25">
      <c r="B1724" s="242"/>
      <c r="C1724" s="243"/>
      <c r="D1724" s="243"/>
      <c r="E1724" s="243">
        <v>70952</v>
      </c>
      <c r="F1724" s="244" t="s">
        <v>699</v>
      </c>
      <c r="G1724" s="241">
        <f t="shared" si="26"/>
        <v>1713</v>
      </c>
    </row>
    <row r="1725" spans="2:7" x14ac:dyDescent="0.25">
      <c r="B1725" s="242"/>
      <c r="C1725" s="243"/>
      <c r="D1725" s="243">
        <v>7096</v>
      </c>
      <c r="E1725" s="243"/>
      <c r="F1725" s="244" t="s">
        <v>710</v>
      </c>
      <c r="G1725" s="241">
        <f t="shared" si="26"/>
        <v>1714</v>
      </c>
    </row>
    <row r="1726" spans="2:7" x14ac:dyDescent="0.25">
      <c r="B1726" s="242"/>
      <c r="C1726" s="243"/>
      <c r="D1726" s="243"/>
      <c r="E1726" s="243">
        <v>70961</v>
      </c>
      <c r="F1726" s="244" t="s">
        <v>700</v>
      </c>
      <c r="G1726" s="241">
        <f t="shared" si="26"/>
        <v>1715</v>
      </c>
    </row>
    <row r="1727" spans="2:7" x14ac:dyDescent="0.25">
      <c r="B1727" s="242"/>
      <c r="C1727" s="243"/>
      <c r="D1727" s="243"/>
      <c r="E1727" s="243">
        <v>70962</v>
      </c>
      <c r="F1727" s="244" t="s">
        <v>699</v>
      </c>
      <c r="G1727" s="241">
        <f t="shared" si="26"/>
        <v>1716</v>
      </c>
    </row>
    <row r="1728" spans="2:7" x14ac:dyDescent="0.25">
      <c r="B1728" s="242">
        <v>71</v>
      </c>
      <c r="C1728" s="243"/>
      <c r="D1728" s="243"/>
      <c r="E1728" s="243"/>
      <c r="F1728" s="244" t="s">
        <v>707</v>
      </c>
      <c r="G1728" s="241">
        <f t="shared" si="26"/>
        <v>1717</v>
      </c>
    </row>
    <row r="1729" spans="2:7" x14ac:dyDescent="0.25">
      <c r="B1729" s="242"/>
      <c r="C1729" s="243">
        <v>711</v>
      </c>
      <c r="D1729" s="243"/>
      <c r="E1729" s="243"/>
      <c r="F1729" s="244" t="s">
        <v>706</v>
      </c>
      <c r="G1729" s="241">
        <f t="shared" si="26"/>
        <v>1718</v>
      </c>
    </row>
    <row r="1730" spans="2:7" x14ac:dyDescent="0.25">
      <c r="B1730" s="242"/>
      <c r="C1730" s="243"/>
      <c r="D1730" s="243">
        <v>7111</v>
      </c>
      <c r="E1730" s="243"/>
      <c r="F1730" s="244" t="s">
        <v>705</v>
      </c>
      <c r="G1730" s="241">
        <f t="shared" si="26"/>
        <v>1719</v>
      </c>
    </row>
    <row r="1731" spans="2:7" x14ac:dyDescent="0.25">
      <c r="B1731" s="242"/>
      <c r="C1731" s="243"/>
      <c r="D1731" s="243">
        <v>7112</v>
      </c>
      <c r="E1731" s="243"/>
      <c r="F1731" s="244" t="s">
        <v>704</v>
      </c>
      <c r="G1731" s="241">
        <f t="shared" si="26"/>
        <v>1720</v>
      </c>
    </row>
    <row r="1732" spans="2:7" x14ac:dyDescent="0.25">
      <c r="B1732" s="242"/>
      <c r="C1732" s="243"/>
      <c r="D1732" s="243">
        <v>7113</v>
      </c>
      <c r="E1732" s="243"/>
      <c r="F1732" s="244" t="s">
        <v>1162</v>
      </c>
      <c r="G1732" s="241">
        <f t="shared" si="26"/>
        <v>1721</v>
      </c>
    </row>
    <row r="1733" spans="2:7" x14ac:dyDescent="0.25">
      <c r="B1733" s="242"/>
      <c r="C1733" s="243"/>
      <c r="D1733" s="243">
        <v>7114</v>
      </c>
      <c r="E1733" s="243"/>
      <c r="F1733" s="244" t="s">
        <v>703</v>
      </c>
      <c r="G1733" s="241">
        <f t="shared" si="26"/>
        <v>1722</v>
      </c>
    </row>
    <row r="1734" spans="2:7" x14ac:dyDescent="0.25">
      <c r="B1734" s="242"/>
      <c r="C1734" s="243"/>
      <c r="D1734" s="243">
        <v>7115</v>
      </c>
      <c r="E1734" s="243"/>
      <c r="F1734" s="244" t="s">
        <v>702</v>
      </c>
      <c r="G1734" s="241">
        <f t="shared" si="26"/>
        <v>1723</v>
      </c>
    </row>
    <row r="1735" spans="2:7" x14ac:dyDescent="0.25">
      <c r="B1735" s="242"/>
      <c r="C1735" s="243">
        <v>712</v>
      </c>
      <c r="D1735" s="243"/>
      <c r="E1735" s="243"/>
      <c r="F1735" s="244" t="s">
        <v>701</v>
      </c>
      <c r="G1735" s="241">
        <f t="shared" si="26"/>
        <v>1724</v>
      </c>
    </row>
    <row r="1736" spans="2:7" x14ac:dyDescent="0.25">
      <c r="B1736" s="242"/>
      <c r="C1736" s="243"/>
      <c r="D1736" s="243">
        <v>7121</v>
      </c>
      <c r="E1736" s="243"/>
      <c r="F1736" s="244" t="s">
        <v>700</v>
      </c>
      <c r="G1736" s="241">
        <f t="shared" si="26"/>
        <v>1725</v>
      </c>
    </row>
    <row r="1737" spans="2:7" x14ac:dyDescent="0.25">
      <c r="B1737" s="242"/>
      <c r="C1737" s="243"/>
      <c r="D1737" s="243">
        <v>7122</v>
      </c>
      <c r="E1737" s="243"/>
      <c r="F1737" s="244" t="s">
        <v>699</v>
      </c>
      <c r="G1737" s="241">
        <f t="shared" si="26"/>
        <v>1726</v>
      </c>
    </row>
    <row r="1738" spans="2:7" x14ac:dyDescent="0.25">
      <c r="B1738" s="242"/>
      <c r="C1738" s="243">
        <v>713</v>
      </c>
      <c r="D1738" s="243"/>
      <c r="E1738" s="243"/>
      <c r="F1738" s="244" t="s">
        <v>698</v>
      </c>
      <c r="G1738" s="241">
        <f t="shared" si="26"/>
        <v>1727</v>
      </c>
    </row>
    <row r="1739" spans="2:7" x14ac:dyDescent="0.25">
      <c r="B1739" s="242"/>
      <c r="C1739" s="243"/>
      <c r="D1739" s="243">
        <v>7131</v>
      </c>
      <c r="E1739" s="243"/>
      <c r="F1739" s="244" t="s">
        <v>697</v>
      </c>
      <c r="G1739" s="241">
        <f t="shared" si="26"/>
        <v>1728</v>
      </c>
    </row>
    <row r="1740" spans="2:7" x14ac:dyDescent="0.25">
      <c r="B1740" s="242"/>
      <c r="C1740" s="243"/>
      <c r="D1740" s="243">
        <v>7132</v>
      </c>
      <c r="E1740" s="243"/>
      <c r="F1740" s="244" t="s">
        <v>696</v>
      </c>
      <c r="G1740" s="241">
        <f t="shared" si="26"/>
        <v>1729</v>
      </c>
    </row>
    <row r="1741" spans="2:7" x14ac:dyDescent="0.25">
      <c r="B1741" s="242"/>
      <c r="C1741" s="243"/>
      <c r="D1741" s="243">
        <v>7133</v>
      </c>
      <c r="E1741" s="243"/>
      <c r="F1741" s="244" t="s">
        <v>695</v>
      </c>
      <c r="G1741" s="241">
        <f t="shared" ref="G1741:G1804" si="27">G1740+1</f>
        <v>1730</v>
      </c>
    </row>
    <row r="1742" spans="2:7" x14ac:dyDescent="0.25">
      <c r="B1742" s="242"/>
      <c r="C1742" s="243"/>
      <c r="D1742" s="243">
        <v>7134</v>
      </c>
      <c r="E1742" s="243"/>
      <c r="F1742" s="244" t="s">
        <v>694</v>
      </c>
      <c r="G1742" s="241">
        <f t="shared" si="27"/>
        <v>1731</v>
      </c>
    </row>
    <row r="1743" spans="2:7" x14ac:dyDescent="0.25">
      <c r="B1743" s="242"/>
      <c r="C1743" s="243"/>
      <c r="D1743" s="243">
        <v>7135</v>
      </c>
      <c r="E1743" s="243"/>
      <c r="F1743" s="244" t="s">
        <v>693</v>
      </c>
      <c r="G1743" s="241">
        <f t="shared" si="27"/>
        <v>1732</v>
      </c>
    </row>
    <row r="1744" spans="2:7" x14ac:dyDescent="0.25">
      <c r="B1744" s="242"/>
      <c r="C1744" s="243"/>
      <c r="D1744" s="243">
        <v>7138</v>
      </c>
      <c r="E1744" s="243"/>
      <c r="F1744" s="244" t="s">
        <v>692</v>
      </c>
      <c r="G1744" s="241">
        <f t="shared" si="27"/>
        <v>1733</v>
      </c>
    </row>
    <row r="1745" spans="2:7" x14ac:dyDescent="0.25">
      <c r="B1745" s="242"/>
      <c r="C1745" s="243">
        <v>714</v>
      </c>
      <c r="D1745" s="243"/>
      <c r="E1745" s="243"/>
      <c r="F1745" s="244" t="s">
        <v>691</v>
      </c>
      <c r="G1745" s="241">
        <f t="shared" si="27"/>
        <v>1734</v>
      </c>
    </row>
    <row r="1746" spans="2:7" x14ac:dyDescent="0.25">
      <c r="B1746" s="242"/>
      <c r="C1746" s="243"/>
      <c r="D1746" s="243">
        <v>7141</v>
      </c>
      <c r="E1746" s="243"/>
      <c r="F1746" s="244" t="s">
        <v>592</v>
      </c>
      <c r="G1746" s="241">
        <f t="shared" si="27"/>
        <v>1735</v>
      </c>
    </row>
    <row r="1747" spans="2:7" x14ac:dyDescent="0.25">
      <c r="B1747" s="242"/>
      <c r="C1747" s="243"/>
      <c r="D1747" s="243">
        <v>7142</v>
      </c>
      <c r="E1747" s="243"/>
      <c r="F1747" s="244" t="s">
        <v>591</v>
      </c>
      <c r="G1747" s="241">
        <f t="shared" si="27"/>
        <v>1736</v>
      </c>
    </row>
    <row r="1748" spans="2:7" x14ac:dyDescent="0.25">
      <c r="B1748" s="242"/>
      <c r="C1748" s="243">
        <v>715</v>
      </c>
      <c r="D1748" s="243"/>
      <c r="E1748" s="243"/>
      <c r="F1748" s="244" t="s">
        <v>690</v>
      </c>
      <c r="G1748" s="241">
        <f t="shared" si="27"/>
        <v>1737</v>
      </c>
    </row>
    <row r="1749" spans="2:7" x14ac:dyDescent="0.25">
      <c r="B1749" s="242"/>
      <c r="C1749" s="243"/>
      <c r="D1749" s="243">
        <v>7151</v>
      </c>
      <c r="E1749" s="243"/>
      <c r="F1749" s="244" t="s">
        <v>690</v>
      </c>
      <c r="G1749" s="241">
        <f t="shared" si="27"/>
        <v>1738</v>
      </c>
    </row>
    <row r="1750" spans="2:7" x14ac:dyDescent="0.25">
      <c r="B1750" s="242">
        <v>72</v>
      </c>
      <c r="C1750" s="243"/>
      <c r="D1750" s="243"/>
      <c r="E1750" s="243"/>
      <c r="F1750" s="244" t="s">
        <v>689</v>
      </c>
      <c r="G1750" s="241">
        <f t="shared" si="27"/>
        <v>1739</v>
      </c>
    </row>
    <row r="1751" spans="2:7" x14ac:dyDescent="0.25">
      <c r="B1751" s="242"/>
      <c r="C1751" s="243">
        <v>721</v>
      </c>
      <c r="D1751" s="243"/>
      <c r="E1751" s="243"/>
      <c r="F1751" s="244" t="s">
        <v>641</v>
      </c>
      <c r="G1751" s="241">
        <f t="shared" si="27"/>
        <v>1740</v>
      </c>
    </row>
    <row r="1752" spans="2:7" x14ac:dyDescent="0.25">
      <c r="B1752" s="242"/>
      <c r="C1752" s="243"/>
      <c r="D1752" s="243">
        <v>7211</v>
      </c>
      <c r="E1752" s="243"/>
      <c r="F1752" s="244" t="s">
        <v>657</v>
      </c>
      <c r="G1752" s="241">
        <f t="shared" si="27"/>
        <v>1741</v>
      </c>
    </row>
    <row r="1753" spans="2:7" x14ac:dyDescent="0.25">
      <c r="B1753" s="242"/>
      <c r="C1753" s="243">
        <v>722</v>
      </c>
      <c r="D1753" s="243"/>
      <c r="E1753" s="243"/>
      <c r="F1753" s="244" t="s">
        <v>432</v>
      </c>
      <c r="G1753" s="241">
        <f t="shared" si="27"/>
        <v>1742</v>
      </c>
    </row>
    <row r="1754" spans="2:7" x14ac:dyDescent="0.25">
      <c r="B1754" s="242"/>
      <c r="C1754" s="243"/>
      <c r="D1754" s="243">
        <v>7221</v>
      </c>
      <c r="E1754" s="243"/>
      <c r="F1754" s="244" t="s">
        <v>657</v>
      </c>
      <c r="G1754" s="241">
        <f t="shared" si="27"/>
        <v>1743</v>
      </c>
    </row>
    <row r="1755" spans="2:7" x14ac:dyDescent="0.25">
      <c r="B1755" s="242"/>
      <c r="C1755" s="243"/>
      <c r="D1755" s="243">
        <v>7222</v>
      </c>
      <c r="E1755" s="243"/>
      <c r="F1755" s="244" t="s">
        <v>656</v>
      </c>
      <c r="G1755" s="241">
        <f t="shared" si="27"/>
        <v>1744</v>
      </c>
    </row>
    <row r="1756" spans="2:7" x14ac:dyDescent="0.25">
      <c r="B1756" s="242"/>
      <c r="C1756" s="243"/>
      <c r="D1756" s="243">
        <v>7223</v>
      </c>
      <c r="E1756" s="243"/>
      <c r="F1756" s="244" t="s">
        <v>655</v>
      </c>
      <c r="G1756" s="241">
        <f t="shared" si="27"/>
        <v>1745</v>
      </c>
    </row>
    <row r="1757" spans="2:7" x14ac:dyDescent="0.25">
      <c r="B1757" s="242"/>
      <c r="C1757" s="243"/>
      <c r="D1757" s="243">
        <v>7224</v>
      </c>
      <c r="E1757" s="243"/>
      <c r="F1757" s="244" t="s">
        <v>688</v>
      </c>
      <c r="G1757" s="241">
        <f t="shared" si="27"/>
        <v>1746</v>
      </c>
    </row>
    <row r="1758" spans="2:7" x14ac:dyDescent="0.25">
      <c r="B1758" s="242"/>
      <c r="C1758" s="243"/>
      <c r="D1758" s="243">
        <v>7225</v>
      </c>
      <c r="E1758" s="243"/>
      <c r="F1758" s="244" t="s">
        <v>654</v>
      </c>
      <c r="G1758" s="241">
        <f t="shared" si="27"/>
        <v>1747</v>
      </c>
    </row>
    <row r="1759" spans="2:7" x14ac:dyDescent="0.25">
      <c r="B1759" s="242"/>
      <c r="C1759" s="243"/>
      <c r="D1759" s="243">
        <v>7226</v>
      </c>
      <c r="E1759" s="243"/>
      <c r="F1759" s="244" t="s">
        <v>687</v>
      </c>
      <c r="G1759" s="241">
        <f t="shared" si="27"/>
        <v>1748</v>
      </c>
    </row>
    <row r="1760" spans="2:7" x14ac:dyDescent="0.25">
      <c r="B1760" s="242"/>
      <c r="C1760" s="243"/>
      <c r="D1760" s="243">
        <v>7227</v>
      </c>
      <c r="E1760" s="243"/>
      <c r="F1760" s="244" t="s">
        <v>686</v>
      </c>
      <c r="G1760" s="241">
        <f t="shared" si="27"/>
        <v>1749</v>
      </c>
    </row>
    <row r="1761" spans="2:7" x14ac:dyDescent="0.25">
      <c r="B1761" s="242"/>
      <c r="C1761" s="243"/>
      <c r="D1761" s="243">
        <v>7228</v>
      </c>
      <c r="E1761" s="243"/>
      <c r="F1761" s="244" t="s">
        <v>685</v>
      </c>
      <c r="G1761" s="241">
        <f t="shared" si="27"/>
        <v>1750</v>
      </c>
    </row>
    <row r="1762" spans="2:7" x14ac:dyDescent="0.25">
      <c r="B1762" s="242"/>
      <c r="C1762" s="243">
        <v>723</v>
      </c>
      <c r="D1762" s="243"/>
      <c r="E1762" s="243"/>
      <c r="F1762" s="244" t="s">
        <v>521</v>
      </c>
      <c r="G1762" s="241">
        <f t="shared" si="27"/>
        <v>1751</v>
      </c>
    </row>
    <row r="1763" spans="2:7" x14ac:dyDescent="0.25">
      <c r="B1763" s="242"/>
      <c r="C1763" s="243"/>
      <c r="D1763" s="243">
        <v>7231</v>
      </c>
      <c r="E1763" s="243"/>
      <c r="F1763" s="244" t="s">
        <v>684</v>
      </c>
      <c r="G1763" s="241">
        <f t="shared" si="27"/>
        <v>1752</v>
      </c>
    </row>
    <row r="1764" spans="2:7" x14ac:dyDescent="0.25">
      <c r="B1764" s="242"/>
      <c r="C1764" s="243"/>
      <c r="D1764" s="243">
        <v>7232</v>
      </c>
      <c r="E1764" s="243"/>
      <c r="F1764" s="244" t="s">
        <v>683</v>
      </c>
      <c r="G1764" s="241">
        <f t="shared" si="27"/>
        <v>1753</v>
      </c>
    </row>
    <row r="1765" spans="2:7" x14ac:dyDescent="0.25">
      <c r="B1765" s="242"/>
      <c r="C1765" s="243"/>
      <c r="D1765" s="243">
        <v>7233</v>
      </c>
      <c r="E1765" s="243"/>
      <c r="F1765" s="244" t="s">
        <v>682</v>
      </c>
      <c r="G1765" s="241">
        <f t="shared" si="27"/>
        <v>1754</v>
      </c>
    </row>
    <row r="1766" spans="2:7" x14ac:dyDescent="0.25">
      <c r="B1766" s="242"/>
      <c r="C1766" s="243">
        <v>724</v>
      </c>
      <c r="D1766" s="243"/>
      <c r="E1766" s="243"/>
      <c r="F1766" s="244" t="s">
        <v>520</v>
      </c>
      <c r="G1766" s="241">
        <f t="shared" si="27"/>
        <v>1755</v>
      </c>
    </row>
    <row r="1767" spans="2:7" x14ac:dyDescent="0.25">
      <c r="B1767" s="242"/>
      <c r="C1767" s="243"/>
      <c r="D1767" s="243">
        <v>7241</v>
      </c>
      <c r="E1767" s="243"/>
      <c r="F1767" s="244" t="s">
        <v>681</v>
      </c>
      <c r="G1767" s="241">
        <f t="shared" si="27"/>
        <v>1756</v>
      </c>
    </row>
    <row r="1768" spans="2:7" x14ac:dyDescent="0.25">
      <c r="B1768" s="242"/>
      <c r="C1768" s="243"/>
      <c r="D1768" s="243">
        <v>7242</v>
      </c>
      <c r="E1768" s="243"/>
      <c r="F1768" s="244" t="s">
        <v>680</v>
      </c>
      <c r="G1768" s="241">
        <f t="shared" si="27"/>
        <v>1757</v>
      </c>
    </row>
    <row r="1769" spans="2:7" x14ac:dyDescent="0.25">
      <c r="B1769" s="242"/>
      <c r="C1769" s="243">
        <v>725</v>
      </c>
      <c r="D1769" s="243"/>
      <c r="E1769" s="243"/>
      <c r="F1769" s="244" t="s">
        <v>679</v>
      </c>
      <c r="G1769" s="241">
        <f t="shared" si="27"/>
        <v>1758</v>
      </c>
    </row>
    <row r="1770" spans="2:7" x14ac:dyDescent="0.25">
      <c r="B1770" s="242"/>
      <c r="C1770" s="243"/>
      <c r="D1770" s="243">
        <v>7251</v>
      </c>
      <c r="E1770" s="243"/>
      <c r="F1770" s="244" t="s">
        <v>678</v>
      </c>
      <c r="G1770" s="241">
        <f t="shared" si="27"/>
        <v>1759</v>
      </c>
    </row>
    <row r="1771" spans="2:7" x14ac:dyDescent="0.25">
      <c r="B1771" s="242"/>
      <c r="C1771" s="243"/>
      <c r="D1771" s="243"/>
      <c r="E1771" s="243">
        <v>72511</v>
      </c>
      <c r="F1771" s="244" t="s">
        <v>677</v>
      </c>
      <c r="G1771" s="241">
        <f t="shared" si="27"/>
        <v>1760</v>
      </c>
    </row>
    <row r="1772" spans="2:7" x14ac:dyDescent="0.25">
      <c r="B1772" s="242"/>
      <c r="C1772" s="243"/>
      <c r="D1772" s="243">
        <v>7252</v>
      </c>
      <c r="E1772" s="243"/>
      <c r="F1772" s="244" t="s">
        <v>676</v>
      </c>
      <c r="G1772" s="241">
        <f t="shared" si="27"/>
        <v>1761</v>
      </c>
    </row>
    <row r="1773" spans="2:7" x14ac:dyDescent="0.25">
      <c r="B1773" s="242"/>
      <c r="C1773" s="243"/>
      <c r="D1773" s="243"/>
      <c r="E1773" s="243">
        <v>72521</v>
      </c>
      <c r="F1773" s="244" t="s">
        <v>657</v>
      </c>
      <c r="G1773" s="241">
        <f t="shared" si="27"/>
        <v>1762</v>
      </c>
    </row>
    <row r="1774" spans="2:7" x14ac:dyDescent="0.25">
      <c r="B1774" s="242"/>
      <c r="C1774" s="243"/>
      <c r="D1774" s="243"/>
      <c r="E1774" s="243">
        <v>72522</v>
      </c>
      <c r="F1774" s="244" t="s">
        <v>656</v>
      </c>
      <c r="G1774" s="241">
        <f t="shared" si="27"/>
        <v>1763</v>
      </c>
    </row>
    <row r="1775" spans="2:7" x14ac:dyDescent="0.25">
      <c r="B1775" s="242"/>
      <c r="C1775" s="243"/>
      <c r="D1775" s="243">
        <v>7253</v>
      </c>
      <c r="E1775" s="243"/>
      <c r="F1775" s="244" t="s">
        <v>675</v>
      </c>
      <c r="G1775" s="241">
        <f t="shared" si="27"/>
        <v>1764</v>
      </c>
    </row>
    <row r="1776" spans="2:7" x14ac:dyDescent="0.25">
      <c r="B1776" s="242"/>
      <c r="C1776" s="243"/>
      <c r="D1776" s="243">
        <v>7254</v>
      </c>
      <c r="E1776" s="243"/>
      <c r="F1776" s="244" t="s">
        <v>674</v>
      </c>
      <c r="G1776" s="241">
        <f t="shared" si="27"/>
        <v>1765</v>
      </c>
    </row>
    <row r="1777" spans="2:7" x14ac:dyDescent="0.25">
      <c r="B1777" s="242"/>
      <c r="C1777" s="243"/>
      <c r="D1777" s="243"/>
      <c r="E1777" s="243">
        <v>72541</v>
      </c>
      <c r="F1777" s="244" t="s">
        <v>673</v>
      </c>
      <c r="G1777" s="241">
        <f t="shared" si="27"/>
        <v>1766</v>
      </c>
    </row>
    <row r="1778" spans="2:7" x14ac:dyDescent="0.25">
      <c r="B1778" s="242"/>
      <c r="C1778" s="243"/>
      <c r="D1778" s="243"/>
      <c r="E1778" s="243">
        <v>72542</v>
      </c>
      <c r="F1778" s="244" t="s">
        <v>672</v>
      </c>
      <c r="G1778" s="241">
        <f t="shared" si="27"/>
        <v>1767</v>
      </c>
    </row>
    <row r="1779" spans="2:7" x14ac:dyDescent="0.25">
      <c r="B1779" s="242">
        <v>73</v>
      </c>
      <c r="C1779" s="243"/>
      <c r="D1779" s="243"/>
      <c r="E1779" s="243"/>
      <c r="F1779" s="244" t="s">
        <v>671</v>
      </c>
      <c r="G1779" s="241">
        <f t="shared" si="27"/>
        <v>1768</v>
      </c>
    </row>
    <row r="1780" spans="2:7" x14ac:dyDescent="0.25">
      <c r="B1780" s="242"/>
      <c r="C1780" s="243">
        <v>731</v>
      </c>
      <c r="D1780" s="243"/>
      <c r="E1780" s="243"/>
      <c r="F1780" s="244" t="s">
        <v>670</v>
      </c>
      <c r="G1780" s="241">
        <f t="shared" si="27"/>
        <v>1769</v>
      </c>
    </row>
    <row r="1781" spans="2:7" x14ac:dyDescent="0.25">
      <c r="B1781" s="242"/>
      <c r="C1781" s="243"/>
      <c r="D1781" s="243">
        <v>7311</v>
      </c>
      <c r="E1781" s="243"/>
      <c r="F1781" s="244" t="s">
        <v>669</v>
      </c>
      <c r="G1781" s="241">
        <f t="shared" si="27"/>
        <v>1770</v>
      </c>
    </row>
    <row r="1782" spans="2:7" x14ac:dyDescent="0.25">
      <c r="B1782" s="242"/>
      <c r="C1782" s="243"/>
      <c r="D1782" s="243">
        <v>7312</v>
      </c>
      <c r="E1782" s="243"/>
      <c r="F1782" s="244" t="s">
        <v>668</v>
      </c>
      <c r="G1782" s="241">
        <f t="shared" si="27"/>
        <v>1771</v>
      </c>
    </row>
    <row r="1783" spans="2:7" x14ac:dyDescent="0.25">
      <c r="B1783" s="242">
        <v>74</v>
      </c>
      <c r="C1783" s="243"/>
      <c r="D1783" s="243"/>
      <c r="E1783" s="243"/>
      <c r="F1783" s="244" t="s">
        <v>667</v>
      </c>
      <c r="G1783" s="241">
        <f t="shared" si="27"/>
        <v>1772</v>
      </c>
    </row>
    <row r="1784" spans="2:7" x14ac:dyDescent="0.25">
      <c r="B1784" s="242"/>
      <c r="C1784" s="243">
        <v>741</v>
      </c>
      <c r="D1784" s="243"/>
      <c r="E1784" s="243"/>
      <c r="F1784" s="244" t="s">
        <v>666</v>
      </c>
      <c r="G1784" s="241">
        <f t="shared" si="27"/>
        <v>1773</v>
      </c>
    </row>
    <row r="1785" spans="2:7" x14ac:dyDescent="0.25">
      <c r="B1785" s="242"/>
      <c r="C1785" s="243"/>
      <c r="D1785" s="243">
        <v>7411</v>
      </c>
      <c r="E1785" s="243"/>
      <c r="F1785" s="244" t="s">
        <v>665</v>
      </c>
      <c r="G1785" s="241">
        <f t="shared" si="27"/>
        <v>1774</v>
      </c>
    </row>
    <row r="1786" spans="2:7" x14ac:dyDescent="0.25">
      <c r="B1786" s="242"/>
      <c r="C1786" s="243"/>
      <c r="D1786" s="243">
        <v>7412</v>
      </c>
      <c r="E1786" s="243"/>
      <c r="F1786" s="244" t="s">
        <v>664</v>
      </c>
      <c r="G1786" s="241">
        <f t="shared" si="27"/>
        <v>1775</v>
      </c>
    </row>
    <row r="1787" spans="2:7" x14ac:dyDescent="0.25">
      <c r="B1787" s="242">
        <v>75</v>
      </c>
      <c r="C1787" s="243"/>
      <c r="D1787" s="243"/>
      <c r="E1787" s="243"/>
      <c r="F1787" s="244" t="s">
        <v>663</v>
      </c>
      <c r="G1787" s="241">
        <f t="shared" si="27"/>
        <v>1776</v>
      </c>
    </row>
    <row r="1788" spans="2:7" x14ac:dyDescent="0.25">
      <c r="B1788" s="242"/>
      <c r="C1788" s="243">
        <v>751</v>
      </c>
      <c r="D1788" s="243"/>
      <c r="E1788" s="243"/>
      <c r="F1788" s="244" t="s">
        <v>662</v>
      </c>
      <c r="G1788" s="241">
        <f t="shared" si="27"/>
        <v>1777</v>
      </c>
    </row>
    <row r="1789" spans="2:7" x14ac:dyDescent="0.25">
      <c r="B1789" s="242"/>
      <c r="C1789" s="243"/>
      <c r="D1789" s="243">
        <v>7511</v>
      </c>
      <c r="E1789" s="243"/>
      <c r="F1789" s="244" t="s">
        <v>662</v>
      </c>
      <c r="G1789" s="241">
        <f t="shared" si="27"/>
        <v>1778</v>
      </c>
    </row>
    <row r="1790" spans="2:7" x14ac:dyDescent="0.25">
      <c r="B1790" s="242"/>
      <c r="C1790" s="243">
        <v>752</v>
      </c>
      <c r="D1790" s="243"/>
      <c r="E1790" s="243"/>
      <c r="F1790" s="244" t="s">
        <v>661</v>
      </c>
      <c r="G1790" s="241">
        <f t="shared" si="27"/>
        <v>1779</v>
      </c>
    </row>
    <row r="1791" spans="2:7" x14ac:dyDescent="0.25">
      <c r="B1791" s="242"/>
      <c r="C1791" s="243"/>
      <c r="D1791" s="243">
        <v>7521</v>
      </c>
      <c r="E1791" s="243"/>
      <c r="F1791" s="244" t="s">
        <v>578</v>
      </c>
      <c r="G1791" s="241">
        <f t="shared" si="27"/>
        <v>1780</v>
      </c>
    </row>
    <row r="1792" spans="2:7" x14ac:dyDescent="0.25">
      <c r="B1792" s="242"/>
      <c r="C1792" s="243"/>
      <c r="D1792" s="243">
        <v>7522</v>
      </c>
      <c r="E1792" s="243"/>
      <c r="F1792" s="244" t="s">
        <v>660</v>
      </c>
      <c r="G1792" s="241">
        <f t="shared" si="27"/>
        <v>1781</v>
      </c>
    </row>
    <row r="1793" spans="2:7" x14ac:dyDescent="0.25">
      <c r="B1793" s="242"/>
      <c r="C1793" s="243">
        <v>753</v>
      </c>
      <c r="D1793" s="243"/>
      <c r="E1793" s="243"/>
      <c r="F1793" s="244" t="s">
        <v>659</v>
      </c>
      <c r="G1793" s="241">
        <f t="shared" si="27"/>
        <v>1782</v>
      </c>
    </row>
    <row r="1794" spans="2:7" x14ac:dyDescent="0.25">
      <c r="B1794" s="242"/>
      <c r="C1794" s="243"/>
      <c r="D1794" s="243">
        <v>7531</v>
      </c>
      <c r="E1794" s="243"/>
      <c r="F1794" s="244" t="s">
        <v>659</v>
      </c>
      <c r="G1794" s="241">
        <f t="shared" si="27"/>
        <v>1783</v>
      </c>
    </row>
    <row r="1795" spans="2:7" x14ac:dyDescent="0.25">
      <c r="B1795" s="242"/>
      <c r="C1795" s="243">
        <v>754</v>
      </c>
      <c r="D1795" s="243"/>
      <c r="E1795" s="243"/>
      <c r="F1795" s="244" t="s">
        <v>564</v>
      </c>
      <c r="G1795" s="241">
        <f t="shared" si="27"/>
        <v>1784</v>
      </c>
    </row>
    <row r="1796" spans="2:7" x14ac:dyDescent="0.25">
      <c r="B1796" s="242"/>
      <c r="C1796" s="243"/>
      <c r="D1796" s="243">
        <v>7541</v>
      </c>
      <c r="E1796" s="243"/>
      <c r="F1796" s="244" t="s">
        <v>658</v>
      </c>
      <c r="G1796" s="241">
        <f t="shared" si="27"/>
        <v>1785</v>
      </c>
    </row>
    <row r="1797" spans="2:7" x14ac:dyDescent="0.25">
      <c r="B1797" s="242"/>
      <c r="C1797" s="243"/>
      <c r="D1797" s="243">
        <v>7542</v>
      </c>
      <c r="E1797" s="243"/>
      <c r="F1797" s="244" t="s">
        <v>657</v>
      </c>
      <c r="G1797" s="241">
        <f t="shared" si="27"/>
        <v>1786</v>
      </c>
    </row>
    <row r="1798" spans="2:7" x14ac:dyDescent="0.25">
      <c r="B1798" s="242"/>
      <c r="C1798" s="243"/>
      <c r="D1798" s="243">
        <v>7543</v>
      </c>
      <c r="E1798" s="243"/>
      <c r="F1798" s="244" t="s">
        <v>656</v>
      </c>
      <c r="G1798" s="241">
        <f t="shared" si="27"/>
        <v>1787</v>
      </c>
    </row>
    <row r="1799" spans="2:7" x14ac:dyDescent="0.25">
      <c r="B1799" s="242"/>
      <c r="C1799" s="243"/>
      <c r="D1799" s="243">
        <v>7544</v>
      </c>
      <c r="E1799" s="243"/>
      <c r="F1799" s="244" t="s">
        <v>655</v>
      </c>
      <c r="G1799" s="241">
        <f t="shared" si="27"/>
        <v>1788</v>
      </c>
    </row>
    <row r="1800" spans="2:7" x14ac:dyDescent="0.25">
      <c r="B1800" s="242"/>
      <c r="C1800" s="243"/>
      <c r="D1800" s="243">
        <v>7545</v>
      </c>
      <c r="E1800" s="243"/>
      <c r="F1800" s="244" t="s">
        <v>654</v>
      </c>
      <c r="G1800" s="241">
        <f t="shared" si="27"/>
        <v>1789</v>
      </c>
    </row>
    <row r="1801" spans="2:7" x14ac:dyDescent="0.25">
      <c r="B1801" s="242"/>
      <c r="C1801" s="243">
        <v>755</v>
      </c>
      <c r="D1801" s="243"/>
      <c r="E1801" s="243"/>
      <c r="F1801" s="244" t="s">
        <v>653</v>
      </c>
      <c r="G1801" s="241">
        <f t="shared" si="27"/>
        <v>1790</v>
      </c>
    </row>
    <row r="1802" spans="2:7" x14ac:dyDescent="0.25">
      <c r="B1802" s="242"/>
      <c r="C1802" s="243"/>
      <c r="D1802" s="243">
        <v>7551</v>
      </c>
      <c r="E1802" s="243"/>
      <c r="F1802" s="244" t="s">
        <v>652</v>
      </c>
      <c r="G1802" s="241">
        <f t="shared" si="27"/>
        <v>1791</v>
      </c>
    </row>
    <row r="1803" spans="2:7" x14ac:dyDescent="0.25">
      <c r="B1803" s="242"/>
      <c r="C1803" s="243"/>
      <c r="D1803" s="243">
        <v>7552</v>
      </c>
      <c r="E1803" s="243"/>
      <c r="F1803" s="244" t="s">
        <v>651</v>
      </c>
      <c r="G1803" s="241">
        <f t="shared" si="27"/>
        <v>1792</v>
      </c>
    </row>
    <row r="1804" spans="2:7" x14ac:dyDescent="0.25">
      <c r="B1804" s="242"/>
      <c r="C1804" s="243"/>
      <c r="D1804" s="243">
        <v>7553</v>
      </c>
      <c r="E1804" s="243"/>
      <c r="F1804" s="244" t="s">
        <v>650</v>
      </c>
      <c r="G1804" s="241">
        <f t="shared" si="27"/>
        <v>1793</v>
      </c>
    </row>
    <row r="1805" spans="2:7" x14ac:dyDescent="0.25">
      <c r="B1805" s="242"/>
      <c r="C1805" s="243">
        <v>756</v>
      </c>
      <c r="D1805" s="243"/>
      <c r="E1805" s="243"/>
      <c r="F1805" s="244" t="s">
        <v>649</v>
      </c>
      <c r="G1805" s="241">
        <f t="shared" ref="G1805:G1868" si="28">G1804+1</f>
        <v>1794</v>
      </c>
    </row>
    <row r="1806" spans="2:7" x14ac:dyDescent="0.25">
      <c r="B1806" s="242"/>
      <c r="C1806" s="243"/>
      <c r="D1806" s="243">
        <v>7561</v>
      </c>
      <c r="E1806" s="243"/>
      <c r="F1806" s="244" t="s">
        <v>1475</v>
      </c>
      <c r="G1806" s="241">
        <f t="shared" si="28"/>
        <v>1795</v>
      </c>
    </row>
    <row r="1807" spans="2:7" x14ac:dyDescent="0.25">
      <c r="B1807" s="242"/>
      <c r="C1807" s="243"/>
      <c r="D1807" s="243">
        <v>7562</v>
      </c>
      <c r="E1807" s="243"/>
      <c r="F1807" s="244" t="s">
        <v>641</v>
      </c>
      <c r="G1807" s="241">
        <f t="shared" si="28"/>
        <v>1796</v>
      </c>
    </row>
    <row r="1808" spans="2:7" x14ac:dyDescent="0.25">
      <c r="B1808" s="242"/>
      <c r="C1808" s="243"/>
      <c r="D1808" s="243">
        <v>7563</v>
      </c>
      <c r="E1808" s="243"/>
      <c r="F1808" s="244" t="s">
        <v>648</v>
      </c>
      <c r="G1808" s="241">
        <f t="shared" si="28"/>
        <v>1797</v>
      </c>
    </row>
    <row r="1809" spans="2:7" x14ac:dyDescent="0.25">
      <c r="B1809" s="242"/>
      <c r="C1809" s="243"/>
      <c r="D1809" s="243">
        <v>7564</v>
      </c>
      <c r="E1809" s="243"/>
      <c r="F1809" s="244" t="s">
        <v>432</v>
      </c>
      <c r="G1809" s="241">
        <f t="shared" si="28"/>
        <v>1798</v>
      </c>
    </row>
    <row r="1810" spans="2:7" x14ac:dyDescent="0.25">
      <c r="B1810" s="242"/>
      <c r="C1810" s="243"/>
      <c r="D1810" s="243">
        <v>7565</v>
      </c>
      <c r="E1810" s="243"/>
      <c r="F1810" s="244" t="s">
        <v>521</v>
      </c>
      <c r="G1810" s="241">
        <f t="shared" si="28"/>
        <v>1799</v>
      </c>
    </row>
    <row r="1811" spans="2:7" x14ac:dyDescent="0.25">
      <c r="B1811" s="242"/>
      <c r="C1811" s="243"/>
      <c r="D1811" s="243">
        <v>7566</v>
      </c>
      <c r="E1811" s="243"/>
      <c r="F1811" s="244" t="s">
        <v>520</v>
      </c>
      <c r="G1811" s="241">
        <f t="shared" si="28"/>
        <v>1800</v>
      </c>
    </row>
    <row r="1812" spans="2:7" x14ac:dyDescent="0.25">
      <c r="B1812" s="242"/>
      <c r="C1812" s="243">
        <v>757</v>
      </c>
      <c r="D1812" s="243"/>
      <c r="E1812" s="243"/>
      <c r="F1812" s="244" t="s">
        <v>647</v>
      </c>
      <c r="G1812" s="241">
        <f t="shared" si="28"/>
        <v>1801</v>
      </c>
    </row>
    <row r="1813" spans="2:7" x14ac:dyDescent="0.25">
      <c r="B1813" s="242"/>
      <c r="C1813" s="243"/>
      <c r="D1813" s="243">
        <v>7571</v>
      </c>
      <c r="E1813" s="243"/>
      <c r="F1813" s="244" t="s">
        <v>1572</v>
      </c>
      <c r="G1813" s="241">
        <f t="shared" si="28"/>
        <v>1802</v>
      </c>
    </row>
    <row r="1814" spans="2:7" x14ac:dyDescent="0.25">
      <c r="B1814" s="242"/>
      <c r="C1814" s="243"/>
      <c r="D1814" s="243">
        <v>7572</v>
      </c>
      <c r="E1814" s="243"/>
      <c r="F1814" s="244" t="s">
        <v>1573</v>
      </c>
      <c r="G1814" s="241">
        <f t="shared" si="28"/>
        <v>1803</v>
      </c>
    </row>
    <row r="1815" spans="2:7" x14ac:dyDescent="0.25">
      <c r="B1815" s="242"/>
      <c r="C1815" s="243"/>
      <c r="D1815" s="243">
        <v>7573</v>
      </c>
      <c r="E1815" s="243"/>
      <c r="F1815" s="244" t="s">
        <v>1574</v>
      </c>
      <c r="G1815" s="241">
        <f t="shared" si="28"/>
        <v>1804</v>
      </c>
    </row>
    <row r="1816" spans="2:7" x14ac:dyDescent="0.25">
      <c r="B1816" s="242"/>
      <c r="C1816" s="243"/>
      <c r="D1816" s="243">
        <v>7574</v>
      </c>
      <c r="E1816" s="243"/>
      <c r="F1816" s="244" t="s">
        <v>1575</v>
      </c>
      <c r="G1816" s="241">
        <f t="shared" si="28"/>
        <v>1805</v>
      </c>
    </row>
    <row r="1817" spans="2:7" x14ac:dyDescent="0.25">
      <c r="B1817" s="242"/>
      <c r="C1817" s="243">
        <v>759</v>
      </c>
      <c r="D1817" s="243"/>
      <c r="E1817" s="243"/>
      <c r="F1817" s="244" t="s">
        <v>42</v>
      </c>
      <c r="G1817" s="241">
        <f t="shared" si="28"/>
        <v>1806</v>
      </c>
    </row>
    <row r="1818" spans="2:7" x14ac:dyDescent="0.25">
      <c r="B1818" s="242"/>
      <c r="C1818" s="243"/>
      <c r="D1818" s="243">
        <v>7591</v>
      </c>
      <c r="E1818" s="243"/>
      <c r="F1818" s="244" t="s">
        <v>320</v>
      </c>
      <c r="G1818" s="241">
        <f t="shared" si="28"/>
        <v>1807</v>
      </c>
    </row>
    <row r="1819" spans="2:7" x14ac:dyDescent="0.25">
      <c r="B1819" s="242"/>
      <c r="C1819" s="243"/>
      <c r="D1819" s="243">
        <v>7592</v>
      </c>
      <c r="E1819" s="243"/>
      <c r="F1819" s="244" t="s">
        <v>1576</v>
      </c>
      <c r="G1819" s="241">
        <f t="shared" si="28"/>
        <v>1808</v>
      </c>
    </row>
    <row r="1820" spans="2:7" x14ac:dyDescent="0.25">
      <c r="B1820" s="242"/>
      <c r="C1820" s="243"/>
      <c r="D1820" s="243">
        <v>7593</v>
      </c>
      <c r="E1820" s="243"/>
      <c r="F1820" s="244" t="s">
        <v>798</v>
      </c>
      <c r="G1820" s="241">
        <f t="shared" si="28"/>
        <v>1809</v>
      </c>
    </row>
    <row r="1821" spans="2:7" x14ac:dyDescent="0.25">
      <c r="B1821" s="242"/>
      <c r="C1821" s="243"/>
      <c r="D1821" s="243">
        <v>7599</v>
      </c>
      <c r="E1821" s="243"/>
      <c r="F1821" s="244" t="s">
        <v>42</v>
      </c>
      <c r="G1821" s="241">
        <f t="shared" si="28"/>
        <v>1810</v>
      </c>
    </row>
    <row r="1822" spans="2:7" x14ac:dyDescent="0.25">
      <c r="B1822" s="242">
        <v>76</v>
      </c>
      <c r="C1822" s="243"/>
      <c r="D1822" s="243"/>
      <c r="E1822" s="243"/>
      <c r="F1822" s="244" t="s">
        <v>646</v>
      </c>
      <c r="G1822" s="241">
        <f t="shared" si="28"/>
        <v>1811</v>
      </c>
    </row>
    <row r="1823" spans="2:7" x14ac:dyDescent="0.25">
      <c r="B1823" s="242"/>
      <c r="C1823" s="243">
        <v>761</v>
      </c>
      <c r="D1823" s="243"/>
      <c r="E1823" s="243"/>
      <c r="F1823" s="244" t="s">
        <v>645</v>
      </c>
      <c r="G1823" s="241">
        <f t="shared" si="28"/>
        <v>1812</v>
      </c>
    </row>
    <row r="1824" spans="2:7" x14ac:dyDescent="0.25">
      <c r="B1824" s="242"/>
      <c r="C1824" s="243"/>
      <c r="D1824" s="243">
        <v>7611</v>
      </c>
      <c r="E1824" s="243"/>
      <c r="F1824" s="244" t="s">
        <v>644</v>
      </c>
      <c r="G1824" s="241">
        <f t="shared" si="28"/>
        <v>1813</v>
      </c>
    </row>
    <row r="1825" spans="2:7" x14ac:dyDescent="0.25">
      <c r="B1825" s="242"/>
      <c r="C1825" s="243"/>
      <c r="D1825" s="243">
        <v>7612</v>
      </c>
      <c r="E1825" s="243"/>
      <c r="F1825" s="244" t="s">
        <v>590</v>
      </c>
      <c r="G1825" s="241">
        <f t="shared" si="28"/>
        <v>1814</v>
      </c>
    </row>
    <row r="1826" spans="2:7" x14ac:dyDescent="0.25">
      <c r="B1826" s="242"/>
      <c r="C1826" s="243"/>
      <c r="D1826" s="243">
        <v>7613</v>
      </c>
      <c r="E1826" s="243"/>
      <c r="F1826" s="244" t="s">
        <v>643</v>
      </c>
      <c r="G1826" s="241">
        <f t="shared" si="28"/>
        <v>1815</v>
      </c>
    </row>
    <row r="1827" spans="2:7" x14ac:dyDescent="0.25">
      <c r="B1827" s="242"/>
      <c r="C1827" s="243"/>
      <c r="D1827" s="243"/>
      <c r="E1827" s="243">
        <v>76131</v>
      </c>
      <c r="F1827" s="244" t="s">
        <v>641</v>
      </c>
      <c r="G1827" s="241">
        <f t="shared" si="28"/>
        <v>1816</v>
      </c>
    </row>
    <row r="1828" spans="2:7" x14ac:dyDescent="0.25">
      <c r="B1828" s="242"/>
      <c r="C1828" s="243"/>
      <c r="D1828" s="243"/>
      <c r="E1828" s="243">
        <v>76132</v>
      </c>
      <c r="F1828" s="244" t="s">
        <v>432</v>
      </c>
      <c r="G1828" s="241">
        <f t="shared" si="28"/>
        <v>1817</v>
      </c>
    </row>
    <row r="1829" spans="2:7" x14ac:dyDescent="0.25">
      <c r="B1829" s="242"/>
      <c r="C1829" s="243"/>
      <c r="D1829" s="243"/>
      <c r="E1829" s="243">
        <v>76133</v>
      </c>
      <c r="F1829" s="244" t="s">
        <v>521</v>
      </c>
      <c r="G1829" s="241">
        <f t="shared" si="28"/>
        <v>1818</v>
      </c>
    </row>
    <row r="1830" spans="2:7" x14ac:dyDescent="0.25">
      <c r="B1830" s="242"/>
      <c r="C1830" s="243"/>
      <c r="D1830" s="243"/>
      <c r="E1830" s="243">
        <v>76134</v>
      </c>
      <c r="F1830" s="244" t="s">
        <v>520</v>
      </c>
      <c r="G1830" s="241">
        <f t="shared" si="28"/>
        <v>1819</v>
      </c>
    </row>
    <row r="1831" spans="2:7" x14ac:dyDescent="0.25">
      <c r="B1831" s="242"/>
      <c r="C1831" s="243">
        <v>762</v>
      </c>
      <c r="D1831" s="243"/>
      <c r="E1831" s="243"/>
      <c r="F1831" s="244" t="s">
        <v>642</v>
      </c>
      <c r="G1831" s="241">
        <f t="shared" si="28"/>
        <v>1820</v>
      </c>
    </row>
    <row r="1832" spans="2:7" x14ac:dyDescent="0.25">
      <c r="B1832" s="242"/>
      <c r="C1832" s="243"/>
      <c r="D1832" s="243">
        <v>7621</v>
      </c>
      <c r="E1832" s="243"/>
      <c r="F1832" s="244" t="s">
        <v>641</v>
      </c>
      <c r="G1832" s="241">
        <f t="shared" si="28"/>
        <v>1821</v>
      </c>
    </row>
    <row r="1833" spans="2:7" x14ac:dyDescent="0.25">
      <c r="B1833" s="242"/>
      <c r="C1833" s="243"/>
      <c r="D1833" s="243">
        <v>7622</v>
      </c>
      <c r="E1833" s="243"/>
      <c r="F1833" s="244" t="s">
        <v>520</v>
      </c>
      <c r="G1833" s="241">
        <f t="shared" si="28"/>
        <v>1822</v>
      </c>
    </row>
    <row r="1834" spans="2:7" x14ac:dyDescent="0.25">
      <c r="B1834" s="242">
        <v>77</v>
      </c>
      <c r="C1834" s="243"/>
      <c r="D1834" s="243"/>
      <c r="E1834" s="243"/>
      <c r="F1834" s="244" t="s">
        <v>638</v>
      </c>
      <c r="G1834" s="241">
        <f t="shared" si="28"/>
        <v>1823</v>
      </c>
    </row>
    <row r="1835" spans="2:7" x14ac:dyDescent="0.25">
      <c r="B1835" s="242"/>
      <c r="C1835" s="243">
        <v>771</v>
      </c>
      <c r="D1835" s="243"/>
      <c r="E1835" s="243"/>
      <c r="F1835" s="244" t="s">
        <v>637</v>
      </c>
      <c r="G1835" s="241">
        <f t="shared" si="28"/>
        <v>1824</v>
      </c>
    </row>
    <row r="1836" spans="2:7" x14ac:dyDescent="0.25">
      <c r="B1836" s="242"/>
      <c r="C1836" s="243"/>
      <c r="D1836" s="243">
        <v>7711</v>
      </c>
      <c r="E1836" s="243"/>
      <c r="F1836" s="244" t="s">
        <v>637</v>
      </c>
      <c r="G1836" s="241">
        <f t="shared" si="28"/>
        <v>1825</v>
      </c>
    </row>
    <row r="1837" spans="2:7" x14ac:dyDescent="0.25">
      <c r="B1837" s="242"/>
      <c r="C1837" s="243">
        <v>772</v>
      </c>
      <c r="D1837" s="243"/>
      <c r="E1837" s="243"/>
      <c r="F1837" s="244" t="s">
        <v>636</v>
      </c>
      <c r="G1837" s="241">
        <f t="shared" si="28"/>
        <v>1826</v>
      </c>
    </row>
    <row r="1838" spans="2:7" x14ac:dyDescent="0.25">
      <c r="B1838" s="242"/>
      <c r="C1838" s="243"/>
      <c r="D1838" s="243">
        <v>7721</v>
      </c>
      <c r="E1838" s="243"/>
      <c r="F1838" s="244" t="s">
        <v>635</v>
      </c>
      <c r="G1838" s="241">
        <f t="shared" si="28"/>
        <v>1827</v>
      </c>
    </row>
    <row r="1839" spans="2:7" x14ac:dyDescent="0.25">
      <c r="B1839" s="242"/>
      <c r="C1839" s="243"/>
      <c r="D1839" s="243">
        <v>7722</v>
      </c>
      <c r="E1839" s="243"/>
      <c r="F1839" s="244" t="s">
        <v>43</v>
      </c>
      <c r="G1839" s="241">
        <f t="shared" si="28"/>
        <v>1828</v>
      </c>
    </row>
    <row r="1840" spans="2:7" x14ac:dyDescent="0.25">
      <c r="B1840" s="242"/>
      <c r="C1840" s="243"/>
      <c r="D1840" s="243">
        <v>7723</v>
      </c>
      <c r="E1840" s="243"/>
      <c r="F1840" s="244" t="s">
        <v>634</v>
      </c>
      <c r="G1840" s="241">
        <f t="shared" si="28"/>
        <v>1829</v>
      </c>
    </row>
    <row r="1841" spans="2:7" x14ac:dyDescent="0.25">
      <c r="B1841" s="242"/>
      <c r="C1841" s="243"/>
      <c r="D1841" s="243">
        <v>7724</v>
      </c>
      <c r="E1841" s="243"/>
      <c r="F1841" s="244" t="s">
        <v>633</v>
      </c>
      <c r="G1841" s="241">
        <f t="shared" si="28"/>
        <v>1830</v>
      </c>
    </row>
    <row r="1842" spans="2:7" x14ac:dyDescent="0.25">
      <c r="B1842" s="242"/>
      <c r="C1842" s="243"/>
      <c r="D1842" s="243">
        <v>7725</v>
      </c>
      <c r="E1842" s="243"/>
      <c r="F1842" s="244" t="s">
        <v>632</v>
      </c>
      <c r="G1842" s="241">
        <f t="shared" si="28"/>
        <v>1831</v>
      </c>
    </row>
    <row r="1843" spans="2:7" x14ac:dyDescent="0.25">
      <c r="B1843" s="242"/>
      <c r="C1843" s="243">
        <v>773</v>
      </c>
      <c r="D1843" s="243"/>
      <c r="E1843" s="243"/>
      <c r="F1843" s="244" t="s">
        <v>631</v>
      </c>
      <c r="G1843" s="241">
        <f t="shared" si="28"/>
        <v>1832</v>
      </c>
    </row>
    <row r="1844" spans="2:7" x14ac:dyDescent="0.25">
      <c r="B1844" s="242"/>
      <c r="C1844" s="243"/>
      <c r="D1844" s="243">
        <v>7731</v>
      </c>
      <c r="E1844" s="243"/>
      <c r="F1844" s="244" t="s">
        <v>631</v>
      </c>
      <c r="G1844" s="241">
        <f t="shared" si="28"/>
        <v>1833</v>
      </c>
    </row>
    <row r="1845" spans="2:7" x14ac:dyDescent="0.25">
      <c r="B1845" s="242"/>
      <c r="C1845" s="243">
        <v>774</v>
      </c>
      <c r="D1845" s="243"/>
      <c r="E1845" s="243"/>
      <c r="F1845" s="244" t="s">
        <v>1577</v>
      </c>
      <c r="G1845" s="241">
        <f t="shared" si="28"/>
        <v>1834</v>
      </c>
    </row>
    <row r="1846" spans="2:7" x14ac:dyDescent="0.25">
      <c r="B1846" s="242"/>
      <c r="C1846" s="243"/>
      <c r="D1846" s="243">
        <v>7741</v>
      </c>
      <c r="E1846" s="243"/>
      <c r="F1846" s="244" t="s">
        <v>1577</v>
      </c>
      <c r="G1846" s="241">
        <f t="shared" si="28"/>
        <v>1835</v>
      </c>
    </row>
    <row r="1847" spans="2:7" x14ac:dyDescent="0.25">
      <c r="B1847" s="242"/>
      <c r="C1847" s="243">
        <v>775</v>
      </c>
      <c r="D1847" s="243"/>
      <c r="E1847" s="243"/>
      <c r="F1847" s="244" t="s">
        <v>630</v>
      </c>
      <c r="G1847" s="241">
        <f t="shared" si="28"/>
        <v>1836</v>
      </c>
    </row>
    <row r="1848" spans="2:7" x14ac:dyDescent="0.25">
      <c r="B1848" s="242"/>
      <c r="C1848" s="243"/>
      <c r="D1848" s="243">
        <v>7751</v>
      </c>
      <c r="E1848" s="243"/>
      <c r="F1848" s="244" t="s">
        <v>630</v>
      </c>
      <c r="G1848" s="241">
        <f t="shared" si="28"/>
        <v>1837</v>
      </c>
    </row>
    <row r="1849" spans="2:7" x14ac:dyDescent="0.25">
      <c r="B1849" s="242"/>
      <c r="C1849" s="243">
        <v>776</v>
      </c>
      <c r="D1849" s="243"/>
      <c r="E1849" s="243"/>
      <c r="F1849" s="244" t="s">
        <v>629</v>
      </c>
      <c r="G1849" s="241">
        <f t="shared" si="28"/>
        <v>1838</v>
      </c>
    </row>
    <row r="1850" spans="2:7" x14ac:dyDescent="0.25">
      <c r="B1850" s="242"/>
      <c r="C1850" s="243"/>
      <c r="D1850" s="243">
        <v>7761</v>
      </c>
      <c r="E1850" s="243"/>
      <c r="F1850" s="244" t="s">
        <v>629</v>
      </c>
      <c r="G1850" s="241">
        <f t="shared" si="28"/>
        <v>1839</v>
      </c>
    </row>
    <row r="1851" spans="2:7" x14ac:dyDescent="0.25">
      <c r="B1851" s="242"/>
      <c r="C1851" s="243">
        <v>777</v>
      </c>
      <c r="D1851" s="243"/>
      <c r="E1851" s="243"/>
      <c r="F1851" s="244" t="s">
        <v>628</v>
      </c>
      <c r="G1851" s="241">
        <f t="shared" si="28"/>
        <v>1840</v>
      </c>
    </row>
    <row r="1852" spans="2:7" x14ac:dyDescent="0.25">
      <c r="B1852" s="242"/>
      <c r="C1852" s="243"/>
      <c r="D1852" s="243">
        <v>7771</v>
      </c>
      <c r="E1852" s="243"/>
      <c r="F1852" s="244" t="s">
        <v>1578</v>
      </c>
      <c r="G1852" s="241">
        <f t="shared" si="28"/>
        <v>1841</v>
      </c>
    </row>
    <row r="1853" spans="2:7" x14ac:dyDescent="0.25">
      <c r="B1853" s="242"/>
      <c r="C1853" s="243"/>
      <c r="D1853" s="243">
        <v>7772</v>
      </c>
      <c r="E1853" s="243"/>
      <c r="F1853" s="244" t="s">
        <v>1257</v>
      </c>
      <c r="G1853" s="241">
        <f t="shared" si="28"/>
        <v>1842</v>
      </c>
    </row>
    <row r="1854" spans="2:7" x14ac:dyDescent="0.25">
      <c r="B1854" s="242"/>
      <c r="C1854" s="243"/>
      <c r="D1854" s="243">
        <v>7773</v>
      </c>
      <c r="E1854" s="243"/>
      <c r="F1854" s="244" t="s">
        <v>1147</v>
      </c>
      <c r="G1854" s="241">
        <f t="shared" si="28"/>
        <v>1843</v>
      </c>
    </row>
    <row r="1855" spans="2:7" x14ac:dyDescent="0.25">
      <c r="B1855" s="242"/>
      <c r="C1855" s="243">
        <v>778</v>
      </c>
      <c r="D1855" s="243"/>
      <c r="E1855" s="243"/>
      <c r="F1855" s="244" t="s">
        <v>1555</v>
      </c>
      <c r="G1855" s="241">
        <f t="shared" si="28"/>
        <v>1844</v>
      </c>
    </row>
    <row r="1856" spans="2:7" x14ac:dyDescent="0.25">
      <c r="B1856" s="242"/>
      <c r="C1856" s="243"/>
      <c r="D1856" s="243">
        <v>7781</v>
      </c>
      <c r="E1856" s="243"/>
      <c r="F1856" s="244" t="s">
        <v>640</v>
      </c>
      <c r="G1856" s="241">
        <f t="shared" si="28"/>
        <v>1845</v>
      </c>
    </row>
    <row r="1857" spans="2:7" x14ac:dyDescent="0.25">
      <c r="B1857" s="242"/>
      <c r="C1857" s="243"/>
      <c r="D1857" s="243">
        <v>7782</v>
      </c>
      <c r="E1857" s="243"/>
      <c r="F1857" s="244" t="s">
        <v>639</v>
      </c>
      <c r="G1857" s="241">
        <f t="shared" si="28"/>
        <v>1846</v>
      </c>
    </row>
    <row r="1858" spans="2:7" x14ac:dyDescent="0.25">
      <c r="B1858" s="242"/>
      <c r="C1858" s="243">
        <v>779</v>
      </c>
      <c r="D1858" s="243"/>
      <c r="E1858" s="243"/>
      <c r="F1858" s="244" t="s">
        <v>627</v>
      </c>
      <c r="G1858" s="241">
        <f t="shared" si="28"/>
        <v>1847</v>
      </c>
    </row>
    <row r="1859" spans="2:7" x14ac:dyDescent="0.25">
      <c r="B1859" s="242"/>
      <c r="C1859" s="243"/>
      <c r="D1859" s="243">
        <v>7791</v>
      </c>
      <c r="E1859" s="243"/>
      <c r="F1859" s="244" t="s">
        <v>626</v>
      </c>
      <c r="G1859" s="241">
        <f t="shared" si="28"/>
        <v>1848</v>
      </c>
    </row>
    <row r="1860" spans="2:7" x14ac:dyDescent="0.25">
      <c r="B1860" s="242">
        <v>78</v>
      </c>
      <c r="C1860" s="243"/>
      <c r="D1860" s="243"/>
      <c r="E1860" s="243"/>
      <c r="F1860" s="244" t="s">
        <v>625</v>
      </c>
      <c r="G1860" s="241">
        <f t="shared" si="28"/>
        <v>1849</v>
      </c>
    </row>
    <row r="1861" spans="2:7" x14ac:dyDescent="0.25">
      <c r="B1861" s="242"/>
      <c r="C1861" s="243">
        <v>781</v>
      </c>
      <c r="D1861" s="243"/>
      <c r="E1861" s="243"/>
      <c r="F1861" s="244" t="s">
        <v>624</v>
      </c>
      <c r="G1861" s="241">
        <f t="shared" si="28"/>
        <v>1850</v>
      </c>
    </row>
    <row r="1862" spans="2:7" x14ac:dyDescent="0.25">
      <c r="B1862" s="242"/>
      <c r="C1862" s="243"/>
      <c r="D1862" s="243">
        <v>7811</v>
      </c>
      <c r="E1862" s="243"/>
      <c r="F1862" s="244" t="s">
        <v>624</v>
      </c>
      <c r="G1862" s="241">
        <f t="shared" si="28"/>
        <v>1851</v>
      </c>
    </row>
    <row r="1863" spans="2:7" x14ac:dyDescent="0.25">
      <c r="B1863" s="242">
        <v>79</v>
      </c>
      <c r="C1863" s="243"/>
      <c r="D1863" s="243"/>
      <c r="E1863" s="243"/>
      <c r="F1863" s="244" t="s">
        <v>623</v>
      </c>
      <c r="G1863" s="241">
        <f t="shared" si="28"/>
        <v>1852</v>
      </c>
    </row>
    <row r="1864" spans="2:7" x14ac:dyDescent="0.25">
      <c r="B1864" s="242"/>
      <c r="C1864" s="243">
        <v>791</v>
      </c>
      <c r="D1864" s="243"/>
      <c r="E1864" s="243"/>
      <c r="F1864" s="244" t="s">
        <v>622</v>
      </c>
      <c r="G1864" s="241">
        <f t="shared" si="28"/>
        <v>1853</v>
      </c>
    </row>
    <row r="1865" spans="2:7" x14ac:dyDescent="0.25">
      <c r="B1865" s="242"/>
      <c r="C1865" s="243"/>
      <c r="D1865" s="243">
        <v>7911</v>
      </c>
      <c r="E1865" s="243"/>
      <c r="F1865" s="244" t="s">
        <v>622</v>
      </c>
      <c r="G1865" s="241">
        <f t="shared" si="28"/>
        <v>1854</v>
      </c>
    </row>
    <row r="1866" spans="2:7" x14ac:dyDescent="0.25">
      <c r="B1866" s="242"/>
      <c r="C1866" s="243">
        <v>792</v>
      </c>
      <c r="D1866" s="243"/>
      <c r="E1866" s="243"/>
      <c r="F1866" s="244" t="s">
        <v>621</v>
      </c>
      <c r="G1866" s="241">
        <f t="shared" si="28"/>
        <v>1855</v>
      </c>
    </row>
    <row r="1867" spans="2:7" x14ac:dyDescent="0.25">
      <c r="B1867" s="242"/>
      <c r="C1867" s="243"/>
      <c r="D1867" s="243">
        <v>7921</v>
      </c>
      <c r="E1867" s="243"/>
      <c r="F1867" s="244" t="s">
        <v>621</v>
      </c>
      <c r="G1867" s="241">
        <f t="shared" si="28"/>
        <v>1856</v>
      </c>
    </row>
    <row r="1868" spans="2:7" x14ac:dyDescent="0.25">
      <c r="B1868" s="242">
        <v>80</v>
      </c>
      <c r="C1868" s="243"/>
      <c r="D1868" s="243"/>
      <c r="E1868" s="243"/>
      <c r="F1868" s="244" t="s">
        <v>419</v>
      </c>
      <c r="G1868" s="241">
        <f t="shared" si="28"/>
        <v>1857</v>
      </c>
    </row>
    <row r="1869" spans="2:7" x14ac:dyDescent="0.25">
      <c r="B1869" s="242"/>
      <c r="C1869" s="243">
        <v>801</v>
      </c>
      <c r="D1869" s="243"/>
      <c r="E1869" s="243"/>
      <c r="F1869" s="244" t="s">
        <v>620</v>
      </c>
      <c r="G1869" s="241">
        <f t="shared" ref="G1869:G1932" si="29">G1868+1</f>
        <v>1858</v>
      </c>
    </row>
    <row r="1870" spans="2:7" x14ac:dyDescent="0.25">
      <c r="B1870" s="242"/>
      <c r="C1870" s="243"/>
      <c r="D1870" s="243">
        <v>8011</v>
      </c>
      <c r="E1870" s="243"/>
      <c r="F1870" s="244" t="s">
        <v>620</v>
      </c>
      <c r="G1870" s="241">
        <f t="shared" si="29"/>
        <v>1859</v>
      </c>
    </row>
    <row r="1871" spans="2:7" x14ac:dyDescent="0.25">
      <c r="B1871" s="242">
        <v>81</v>
      </c>
      <c r="C1871" s="243"/>
      <c r="D1871" s="243"/>
      <c r="E1871" s="243"/>
      <c r="F1871" s="244" t="s">
        <v>13</v>
      </c>
      <c r="G1871" s="241">
        <f t="shared" si="29"/>
        <v>1860</v>
      </c>
    </row>
    <row r="1872" spans="2:7" x14ac:dyDescent="0.25">
      <c r="B1872" s="242"/>
      <c r="C1872" s="243">
        <v>811</v>
      </c>
      <c r="D1872" s="243"/>
      <c r="E1872" s="243"/>
      <c r="F1872" s="244" t="s">
        <v>619</v>
      </c>
      <c r="G1872" s="241">
        <f t="shared" si="29"/>
        <v>1861</v>
      </c>
    </row>
    <row r="1873" spans="2:7" x14ac:dyDescent="0.25">
      <c r="B1873" s="242"/>
      <c r="C1873" s="243"/>
      <c r="D1873" s="243">
        <v>8111</v>
      </c>
      <c r="E1873" s="243"/>
      <c r="F1873" s="244" t="s">
        <v>619</v>
      </c>
      <c r="G1873" s="241">
        <f t="shared" si="29"/>
        <v>1862</v>
      </c>
    </row>
    <row r="1874" spans="2:7" x14ac:dyDescent="0.25">
      <c r="B1874" s="242"/>
      <c r="C1874" s="243">
        <v>812</v>
      </c>
      <c r="D1874" s="243"/>
      <c r="E1874" s="243"/>
      <c r="F1874" s="244" t="s">
        <v>618</v>
      </c>
      <c r="G1874" s="241">
        <f t="shared" si="29"/>
        <v>1863</v>
      </c>
    </row>
    <row r="1875" spans="2:7" x14ac:dyDescent="0.25">
      <c r="B1875" s="242"/>
      <c r="C1875" s="243"/>
      <c r="D1875" s="243">
        <v>8121</v>
      </c>
      <c r="E1875" s="243"/>
      <c r="F1875" s="244" t="s">
        <v>618</v>
      </c>
      <c r="G1875" s="241">
        <f t="shared" si="29"/>
        <v>1864</v>
      </c>
    </row>
    <row r="1876" spans="2:7" x14ac:dyDescent="0.25">
      <c r="B1876" s="242"/>
      <c r="C1876" s="243">
        <v>813</v>
      </c>
      <c r="D1876" s="243"/>
      <c r="E1876" s="243"/>
      <c r="F1876" s="244" t="s">
        <v>617</v>
      </c>
      <c r="G1876" s="241">
        <f t="shared" si="29"/>
        <v>1865</v>
      </c>
    </row>
    <row r="1877" spans="2:7" x14ac:dyDescent="0.25">
      <c r="B1877" s="242"/>
      <c r="C1877" s="243"/>
      <c r="D1877" s="243">
        <v>8131</v>
      </c>
      <c r="E1877" s="243"/>
      <c r="F1877" s="244" t="s">
        <v>617</v>
      </c>
      <c r="G1877" s="241">
        <f t="shared" si="29"/>
        <v>1866</v>
      </c>
    </row>
    <row r="1878" spans="2:7" x14ac:dyDescent="0.25">
      <c r="B1878" s="242">
        <v>82</v>
      </c>
      <c r="C1878" s="243"/>
      <c r="D1878" s="243"/>
      <c r="E1878" s="243"/>
      <c r="F1878" s="244" t="s">
        <v>420</v>
      </c>
      <c r="G1878" s="241">
        <f t="shared" si="29"/>
        <v>1867</v>
      </c>
    </row>
    <row r="1879" spans="2:7" x14ac:dyDescent="0.25">
      <c r="B1879" s="242"/>
      <c r="C1879" s="243">
        <v>821</v>
      </c>
      <c r="D1879" s="243"/>
      <c r="E1879" s="243"/>
      <c r="F1879" s="244" t="s">
        <v>616</v>
      </c>
      <c r="G1879" s="241">
        <f t="shared" si="29"/>
        <v>1868</v>
      </c>
    </row>
    <row r="1880" spans="2:7" x14ac:dyDescent="0.25">
      <c r="B1880" s="242"/>
      <c r="C1880" s="243"/>
      <c r="D1880" s="243">
        <v>8211</v>
      </c>
      <c r="E1880" s="243"/>
      <c r="F1880" s="244" t="s">
        <v>616</v>
      </c>
      <c r="G1880" s="241">
        <f t="shared" si="29"/>
        <v>1869</v>
      </c>
    </row>
    <row r="1881" spans="2:7" x14ac:dyDescent="0.25">
      <c r="B1881" s="242">
        <v>83</v>
      </c>
      <c r="C1881" s="243"/>
      <c r="D1881" s="243"/>
      <c r="E1881" s="243"/>
      <c r="F1881" s="244" t="s">
        <v>615</v>
      </c>
      <c r="G1881" s="241">
        <f t="shared" si="29"/>
        <v>1870</v>
      </c>
    </row>
    <row r="1882" spans="2:7" x14ac:dyDescent="0.25">
      <c r="B1882" s="242"/>
      <c r="C1882" s="243">
        <v>831</v>
      </c>
      <c r="D1882" s="243"/>
      <c r="E1882" s="243"/>
      <c r="F1882" s="244" t="s">
        <v>614</v>
      </c>
      <c r="G1882" s="241">
        <f t="shared" si="29"/>
        <v>1871</v>
      </c>
    </row>
    <row r="1883" spans="2:7" x14ac:dyDescent="0.25">
      <c r="B1883" s="242"/>
      <c r="C1883" s="243"/>
      <c r="D1883" s="243">
        <v>8311</v>
      </c>
      <c r="E1883" s="243"/>
      <c r="F1883" s="244" t="s">
        <v>614</v>
      </c>
      <c r="G1883" s="241">
        <f t="shared" si="29"/>
        <v>1872</v>
      </c>
    </row>
    <row r="1884" spans="2:7" x14ac:dyDescent="0.25">
      <c r="B1884" s="242">
        <v>84</v>
      </c>
      <c r="C1884" s="243"/>
      <c r="D1884" s="243"/>
      <c r="E1884" s="243"/>
      <c r="F1884" s="244" t="s">
        <v>2</v>
      </c>
      <c r="G1884" s="241">
        <f t="shared" si="29"/>
        <v>1873</v>
      </c>
    </row>
    <row r="1885" spans="2:7" x14ac:dyDescent="0.25">
      <c r="B1885" s="242"/>
      <c r="C1885" s="243">
        <v>841</v>
      </c>
      <c r="D1885" s="243"/>
      <c r="E1885" s="243"/>
      <c r="F1885" s="244" t="s">
        <v>613</v>
      </c>
      <c r="G1885" s="241">
        <f t="shared" si="29"/>
        <v>1874</v>
      </c>
    </row>
    <row r="1886" spans="2:7" x14ac:dyDescent="0.25">
      <c r="B1886" s="242"/>
      <c r="C1886" s="243"/>
      <c r="D1886" s="243">
        <v>8411</v>
      </c>
      <c r="E1886" s="243"/>
      <c r="F1886" s="244" t="s">
        <v>613</v>
      </c>
      <c r="G1886" s="241">
        <f t="shared" si="29"/>
        <v>1875</v>
      </c>
    </row>
    <row r="1887" spans="2:7" x14ac:dyDescent="0.25">
      <c r="B1887" s="242">
        <v>85</v>
      </c>
      <c r="C1887" s="243"/>
      <c r="D1887" s="243"/>
      <c r="E1887" s="243"/>
      <c r="F1887" s="244" t="s">
        <v>612</v>
      </c>
      <c r="G1887" s="241">
        <f t="shared" si="29"/>
        <v>1876</v>
      </c>
    </row>
    <row r="1888" spans="2:7" x14ac:dyDescent="0.25">
      <c r="B1888" s="242"/>
      <c r="C1888" s="243">
        <v>851</v>
      </c>
      <c r="D1888" s="243"/>
      <c r="E1888" s="243"/>
      <c r="F1888" s="244" t="s">
        <v>611</v>
      </c>
      <c r="G1888" s="241">
        <f t="shared" si="29"/>
        <v>1877</v>
      </c>
    </row>
    <row r="1889" spans="2:7" x14ac:dyDescent="0.25">
      <c r="B1889" s="242"/>
      <c r="C1889" s="243"/>
      <c r="D1889" s="243">
        <v>8511</v>
      </c>
      <c r="E1889" s="243"/>
      <c r="F1889" s="244" t="s">
        <v>611</v>
      </c>
      <c r="G1889" s="241">
        <f t="shared" si="29"/>
        <v>1878</v>
      </c>
    </row>
    <row r="1890" spans="2:7" x14ac:dyDescent="0.25">
      <c r="B1890" s="242">
        <v>87</v>
      </c>
      <c r="C1890" s="243"/>
      <c r="D1890" s="243"/>
      <c r="E1890" s="243"/>
      <c r="F1890" s="244" t="s">
        <v>610</v>
      </c>
      <c r="G1890" s="241">
        <f t="shared" si="29"/>
        <v>1879</v>
      </c>
    </row>
    <row r="1891" spans="2:7" x14ac:dyDescent="0.25">
      <c r="B1891" s="242"/>
      <c r="C1891" s="243">
        <v>871</v>
      </c>
      <c r="D1891" s="243"/>
      <c r="E1891" s="243"/>
      <c r="F1891" s="244" t="s">
        <v>609</v>
      </c>
      <c r="G1891" s="241">
        <f t="shared" si="29"/>
        <v>1880</v>
      </c>
    </row>
    <row r="1892" spans="2:7" x14ac:dyDescent="0.25">
      <c r="B1892" s="242"/>
      <c r="C1892" s="243"/>
      <c r="D1892" s="243">
        <v>8711</v>
      </c>
      <c r="E1892" s="243"/>
      <c r="F1892" s="244" t="s">
        <v>609</v>
      </c>
      <c r="G1892" s="241">
        <f t="shared" si="29"/>
        <v>1881</v>
      </c>
    </row>
    <row r="1893" spans="2:7" x14ac:dyDescent="0.25">
      <c r="B1893" s="242"/>
      <c r="C1893" s="243">
        <v>872</v>
      </c>
      <c r="D1893" s="243"/>
      <c r="E1893" s="243"/>
      <c r="F1893" s="244" t="s">
        <v>608</v>
      </c>
      <c r="G1893" s="241">
        <f t="shared" si="29"/>
        <v>1882</v>
      </c>
    </row>
    <row r="1894" spans="2:7" x14ac:dyDescent="0.25">
      <c r="B1894" s="242"/>
      <c r="C1894" s="243"/>
      <c r="D1894" s="243">
        <v>8721</v>
      </c>
      <c r="E1894" s="243"/>
      <c r="F1894" s="244" t="s">
        <v>608</v>
      </c>
      <c r="G1894" s="241">
        <f t="shared" si="29"/>
        <v>1883</v>
      </c>
    </row>
    <row r="1895" spans="2:7" x14ac:dyDescent="0.25">
      <c r="B1895" s="242">
        <v>88</v>
      </c>
      <c r="C1895" s="243"/>
      <c r="D1895" s="243"/>
      <c r="E1895" s="243"/>
      <c r="F1895" s="244" t="s">
        <v>607</v>
      </c>
      <c r="G1895" s="241">
        <f t="shared" si="29"/>
        <v>1884</v>
      </c>
    </row>
    <row r="1896" spans="2:7" x14ac:dyDescent="0.25">
      <c r="B1896" s="242"/>
      <c r="C1896" s="243">
        <v>881</v>
      </c>
      <c r="D1896" s="243"/>
      <c r="E1896" s="243"/>
      <c r="F1896" s="244" t="s">
        <v>606</v>
      </c>
      <c r="G1896" s="241">
        <f t="shared" si="29"/>
        <v>1885</v>
      </c>
    </row>
    <row r="1897" spans="2:7" x14ac:dyDescent="0.25">
      <c r="B1897" s="242"/>
      <c r="C1897" s="243"/>
      <c r="D1897" s="243">
        <v>8811</v>
      </c>
      <c r="E1897" s="243"/>
      <c r="F1897" s="244" t="s">
        <v>606</v>
      </c>
      <c r="G1897" s="241">
        <f t="shared" si="29"/>
        <v>1886</v>
      </c>
    </row>
    <row r="1898" spans="2:7" x14ac:dyDescent="0.25">
      <c r="B1898" s="242"/>
      <c r="C1898" s="243">
        <v>882</v>
      </c>
      <c r="D1898" s="243"/>
      <c r="E1898" s="243"/>
      <c r="F1898" s="244" t="s">
        <v>605</v>
      </c>
      <c r="G1898" s="241">
        <f t="shared" si="29"/>
        <v>1887</v>
      </c>
    </row>
    <row r="1899" spans="2:7" x14ac:dyDescent="0.25">
      <c r="B1899" s="242"/>
      <c r="C1899" s="243"/>
      <c r="D1899" s="243">
        <v>8821</v>
      </c>
      <c r="E1899" s="243"/>
      <c r="F1899" s="244" t="s">
        <v>605</v>
      </c>
      <c r="G1899" s="241">
        <f t="shared" si="29"/>
        <v>1888</v>
      </c>
    </row>
    <row r="1900" spans="2:7" x14ac:dyDescent="0.25">
      <c r="B1900" s="242">
        <v>89</v>
      </c>
      <c r="C1900" s="243"/>
      <c r="D1900" s="243"/>
      <c r="E1900" s="243"/>
      <c r="F1900" s="244" t="s">
        <v>604</v>
      </c>
      <c r="G1900" s="241">
        <f t="shared" si="29"/>
        <v>1889</v>
      </c>
    </row>
    <row r="1901" spans="2:7" x14ac:dyDescent="0.25">
      <c r="B1901" s="242"/>
      <c r="C1901" s="243">
        <v>891</v>
      </c>
      <c r="D1901" s="243"/>
      <c r="E1901" s="243"/>
      <c r="F1901" s="244" t="s">
        <v>603</v>
      </c>
      <c r="G1901" s="241">
        <f t="shared" si="29"/>
        <v>1890</v>
      </c>
    </row>
    <row r="1902" spans="2:7" x14ac:dyDescent="0.25">
      <c r="B1902" s="242"/>
      <c r="C1902" s="243"/>
      <c r="D1902" s="243">
        <v>8911</v>
      </c>
      <c r="E1902" s="243"/>
      <c r="F1902" s="244" t="s">
        <v>603</v>
      </c>
      <c r="G1902" s="241">
        <f t="shared" si="29"/>
        <v>1891</v>
      </c>
    </row>
    <row r="1903" spans="2:7" x14ac:dyDescent="0.25">
      <c r="B1903" s="242"/>
      <c r="C1903" s="243">
        <v>892</v>
      </c>
      <c r="D1903" s="243"/>
      <c r="E1903" s="243"/>
      <c r="F1903" s="244" t="s">
        <v>602</v>
      </c>
      <c r="G1903" s="241">
        <f t="shared" si="29"/>
        <v>1892</v>
      </c>
    </row>
    <row r="1904" spans="2:7" x14ac:dyDescent="0.25">
      <c r="B1904" s="242"/>
      <c r="C1904" s="243"/>
      <c r="D1904" s="243">
        <v>8921</v>
      </c>
      <c r="E1904" s="243"/>
      <c r="F1904" s="244" t="s">
        <v>602</v>
      </c>
      <c r="G1904" s="241">
        <f t="shared" si="29"/>
        <v>1893</v>
      </c>
    </row>
    <row r="1905" spans="2:7" x14ac:dyDescent="0.25">
      <c r="B1905" s="242">
        <v>91</v>
      </c>
      <c r="C1905" s="243"/>
      <c r="D1905" s="243"/>
      <c r="E1905" s="243"/>
      <c r="F1905" s="244" t="s">
        <v>601</v>
      </c>
      <c r="G1905" s="241">
        <f t="shared" si="29"/>
        <v>1894</v>
      </c>
    </row>
    <row r="1906" spans="2:7" x14ac:dyDescent="0.25">
      <c r="B1906" s="242"/>
      <c r="C1906" s="243">
        <v>911</v>
      </c>
      <c r="D1906" s="243"/>
      <c r="E1906" s="243"/>
      <c r="F1906" s="244" t="s">
        <v>594</v>
      </c>
      <c r="G1906" s="241">
        <f t="shared" si="29"/>
        <v>1895</v>
      </c>
    </row>
    <row r="1907" spans="2:7" x14ac:dyDescent="0.25">
      <c r="B1907" s="242"/>
      <c r="C1907" s="243"/>
      <c r="D1907" s="243">
        <v>9111</v>
      </c>
      <c r="E1907" s="243"/>
      <c r="F1907" s="244" t="s">
        <v>594</v>
      </c>
      <c r="G1907" s="241">
        <f t="shared" si="29"/>
        <v>1896</v>
      </c>
    </row>
    <row r="1908" spans="2:7" x14ac:dyDescent="0.25">
      <c r="B1908" s="242"/>
      <c r="C1908" s="243">
        <v>912</v>
      </c>
      <c r="D1908" s="243"/>
      <c r="E1908" s="243"/>
      <c r="F1908" s="244" t="s">
        <v>593</v>
      </c>
      <c r="G1908" s="241">
        <f t="shared" si="29"/>
        <v>1897</v>
      </c>
    </row>
    <row r="1909" spans="2:7" x14ac:dyDescent="0.25">
      <c r="B1909" s="242"/>
      <c r="C1909" s="243"/>
      <c r="D1909" s="243">
        <v>9121</v>
      </c>
      <c r="E1909" s="243"/>
      <c r="F1909" s="244" t="s">
        <v>593</v>
      </c>
      <c r="G1909" s="241">
        <f t="shared" si="29"/>
        <v>1898</v>
      </c>
    </row>
    <row r="1910" spans="2:7" x14ac:dyDescent="0.25">
      <c r="B1910" s="242"/>
      <c r="C1910" s="243">
        <v>913</v>
      </c>
      <c r="D1910" s="243"/>
      <c r="E1910" s="243"/>
      <c r="F1910" s="244" t="s">
        <v>532</v>
      </c>
      <c r="G1910" s="241">
        <f t="shared" si="29"/>
        <v>1899</v>
      </c>
    </row>
    <row r="1911" spans="2:7" x14ac:dyDescent="0.25">
      <c r="B1911" s="242"/>
      <c r="C1911" s="243"/>
      <c r="D1911" s="243">
        <v>9131</v>
      </c>
      <c r="E1911" s="243"/>
      <c r="F1911" s="244" t="s">
        <v>532</v>
      </c>
      <c r="G1911" s="241">
        <f t="shared" si="29"/>
        <v>1900</v>
      </c>
    </row>
    <row r="1912" spans="2:7" x14ac:dyDescent="0.25">
      <c r="B1912" s="242"/>
      <c r="C1912" s="243">
        <v>914</v>
      </c>
      <c r="D1912" s="243"/>
      <c r="E1912" s="243"/>
      <c r="F1912" s="244" t="s">
        <v>592</v>
      </c>
      <c r="G1912" s="241">
        <f t="shared" si="29"/>
        <v>1901</v>
      </c>
    </row>
    <row r="1913" spans="2:7" x14ac:dyDescent="0.25">
      <c r="B1913" s="242"/>
      <c r="C1913" s="243"/>
      <c r="D1913" s="243">
        <v>9141</v>
      </c>
      <c r="E1913" s="243"/>
      <c r="F1913" s="244" t="s">
        <v>592</v>
      </c>
      <c r="G1913" s="241">
        <f t="shared" si="29"/>
        <v>1902</v>
      </c>
    </row>
    <row r="1914" spans="2:7" x14ac:dyDescent="0.25">
      <c r="B1914" s="242"/>
      <c r="C1914" s="243">
        <v>915</v>
      </c>
      <c r="D1914" s="243"/>
      <c r="E1914" s="243"/>
      <c r="F1914" s="244" t="s">
        <v>591</v>
      </c>
      <c r="G1914" s="241">
        <f t="shared" si="29"/>
        <v>1903</v>
      </c>
    </row>
    <row r="1915" spans="2:7" x14ac:dyDescent="0.25">
      <c r="B1915" s="242"/>
      <c r="C1915" s="243"/>
      <c r="D1915" s="243">
        <v>9151</v>
      </c>
      <c r="E1915" s="243"/>
      <c r="F1915" s="244" t="s">
        <v>591</v>
      </c>
      <c r="G1915" s="241">
        <f t="shared" si="29"/>
        <v>1904</v>
      </c>
    </row>
    <row r="1916" spans="2:7" x14ac:dyDescent="0.25">
      <c r="B1916" s="242"/>
      <c r="C1916" s="243">
        <v>916</v>
      </c>
      <c r="D1916" s="243"/>
      <c r="E1916" s="243"/>
      <c r="F1916" s="244" t="s">
        <v>599</v>
      </c>
      <c r="G1916" s="241">
        <f t="shared" si="29"/>
        <v>1905</v>
      </c>
    </row>
    <row r="1917" spans="2:7" x14ac:dyDescent="0.25">
      <c r="B1917" s="242"/>
      <c r="C1917" s="243"/>
      <c r="D1917" s="243">
        <v>9161</v>
      </c>
      <c r="E1917" s="243"/>
      <c r="F1917" s="244" t="s">
        <v>581</v>
      </c>
      <c r="G1917" s="241">
        <f t="shared" si="29"/>
        <v>1906</v>
      </c>
    </row>
    <row r="1918" spans="2:7" x14ac:dyDescent="0.25">
      <c r="B1918" s="242"/>
      <c r="C1918" s="243"/>
      <c r="D1918" s="243">
        <v>9162</v>
      </c>
      <c r="E1918" s="243"/>
      <c r="F1918" s="244" t="s">
        <v>598</v>
      </c>
      <c r="G1918" s="241">
        <f t="shared" si="29"/>
        <v>1907</v>
      </c>
    </row>
    <row r="1919" spans="2:7" x14ac:dyDescent="0.25">
      <c r="B1919" s="242"/>
      <c r="C1919" s="243"/>
      <c r="D1919" s="243">
        <v>9163</v>
      </c>
      <c r="E1919" s="243"/>
      <c r="F1919" s="244" t="s">
        <v>577</v>
      </c>
      <c r="G1919" s="241">
        <f t="shared" si="29"/>
        <v>1908</v>
      </c>
    </row>
    <row r="1920" spans="2:7" x14ac:dyDescent="0.25">
      <c r="B1920" s="242"/>
      <c r="C1920" s="243">
        <v>917</v>
      </c>
      <c r="D1920" s="243"/>
      <c r="E1920" s="243"/>
      <c r="F1920" s="244" t="s">
        <v>575</v>
      </c>
      <c r="G1920" s="241">
        <f t="shared" si="29"/>
        <v>1909</v>
      </c>
    </row>
    <row r="1921" spans="2:7" x14ac:dyDescent="0.25">
      <c r="B1921" s="242"/>
      <c r="C1921" s="243"/>
      <c r="D1921" s="243">
        <v>9171</v>
      </c>
      <c r="E1921" s="243"/>
      <c r="F1921" s="244" t="s">
        <v>574</v>
      </c>
      <c r="G1921" s="241">
        <f t="shared" si="29"/>
        <v>1910</v>
      </c>
    </row>
    <row r="1922" spans="2:7" x14ac:dyDescent="0.25">
      <c r="B1922" s="242"/>
      <c r="C1922" s="243"/>
      <c r="D1922" s="243">
        <v>9172</v>
      </c>
      <c r="E1922" s="243"/>
      <c r="F1922" s="244" t="s">
        <v>572</v>
      </c>
      <c r="G1922" s="241">
        <f t="shared" si="29"/>
        <v>1911</v>
      </c>
    </row>
    <row r="1923" spans="2:7" x14ac:dyDescent="0.25">
      <c r="B1923" s="242"/>
      <c r="C1923" s="243"/>
      <c r="D1923" s="243">
        <v>9173</v>
      </c>
      <c r="E1923" s="243"/>
      <c r="F1923" s="244" t="s">
        <v>570</v>
      </c>
      <c r="G1923" s="241">
        <f t="shared" si="29"/>
        <v>1912</v>
      </c>
    </row>
    <row r="1924" spans="2:7" x14ac:dyDescent="0.25">
      <c r="B1924" s="242"/>
      <c r="C1924" s="243">
        <v>918</v>
      </c>
      <c r="D1924" s="243"/>
      <c r="E1924" s="243"/>
      <c r="F1924" s="244" t="s">
        <v>569</v>
      </c>
      <c r="G1924" s="241">
        <f t="shared" si="29"/>
        <v>1913</v>
      </c>
    </row>
    <row r="1925" spans="2:7" x14ac:dyDescent="0.25">
      <c r="B1925" s="242"/>
      <c r="C1925" s="243"/>
      <c r="D1925" s="243">
        <v>9181</v>
      </c>
      <c r="E1925" s="243"/>
      <c r="F1925" s="244" t="s">
        <v>568</v>
      </c>
      <c r="G1925" s="241">
        <f t="shared" si="29"/>
        <v>1914</v>
      </c>
    </row>
    <row r="1926" spans="2:7" x14ac:dyDescent="0.25">
      <c r="B1926" s="242"/>
      <c r="C1926" s="243"/>
      <c r="D1926" s="243">
        <v>9182</v>
      </c>
      <c r="E1926" s="243"/>
      <c r="F1926" s="244" t="s">
        <v>597</v>
      </c>
      <c r="G1926" s="241">
        <f t="shared" si="29"/>
        <v>1915</v>
      </c>
    </row>
    <row r="1927" spans="2:7" x14ac:dyDescent="0.25">
      <c r="B1927" s="242"/>
      <c r="C1927" s="243">
        <v>919</v>
      </c>
      <c r="D1927" s="243"/>
      <c r="E1927" s="243"/>
      <c r="F1927" s="244" t="s">
        <v>559</v>
      </c>
      <c r="G1927" s="241">
        <f t="shared" si="29"/>
        <v>1916</v>
      </c>
    </row>
    <row r="1928" spans="2:7" x14ac:dyDescent="0.25">
      <c r="B1928" s="242"/>
      <c r="C1928" s="243"/>
      <c r="D1928" s="243">
        <v>9191</v>
      </c>
      <c r="E1928" s="243"/>
      <c r="F1928" s="244" t="s">
        <v>585</v>
      </c>
      <c r="G1928" s="241">
        <f t="shared" si="29"/>
        <v>1917</v>
      </c>
    </row>
    <row r="1929" spans="2:7" x14ac:dyDescent="0.25">
      <c r="B1929" s="242"/>
      <c r="C1929" s="243"/>
      <c r="D1929" s="243">
        <v>9192</v>
      </c>
      <c r="E1929" s="243"/>
      <c r="F1929" s="244" t="s">
        <v>556</v>
      </c>
      <c r="G1929" s="241">
        <f t="shared" si="29"/>
        <v>1918</v>
      </c>
    </row>
    <row r="1930" spans="2:7" x14ac:dyDescent="0.25">
      <c r="B1930" s="242">
        <v>92</v>
      </c>
      <c r="C1930" s="243"/>
      <c r="D1930" s="243"/>
      <c r="E1930" s="243"/>
      <c r="F1930" s="244" t="s">
        <v>600</v>
      </c>
      <c r="G1930" s="241">
        <f t="shared" si="29"/>
        <v>1919</v>
      </c>
    </row>
    <row r="1931" spans="2:7" x14ac:dyDescent="0.25">
      <c r="B1931" s="242"/>
      <c r="C1931" s="243">
        <v>921</v>
      </c>
      <c r="D1931" s="243"/>
      <c r="E1931" s="243"/>
      <c r="F1931" s="244" t="s">
        <v>594</v>
      </c>
      <c r="G1931" s="241">
        <f t="shared" si="29"/>
        <v>1920</v>
      </c>
    </row>
    <row r="1932" spans="2:7" x14ac:dyDescent="0.25">
      <c r="B1932" s="242"/>
      <c r="C1932" s="243"/>
      <c r="D1932" s="243">
        <v>9211</v>
      </c>
      <c r="E1932" s="243"/>
      <c r="F1932" s="244" t="s">
        <v>594</v>
      </c>
      <c r="G1932" s="241">
        <f t="shared" si="29"/>
        <v>1921</v>
      </c>
    </row>
    <row r="1933" spans="2:7" x14ac:dyDescent="0.25">
      <c r="B1933" s="242"/>
      <c r="C1933" s="243">
        <v>922</v>
      </c>
      <c r="D1933" s="243"/>
      <c r="E1933" s="243"/>
      <c r="F1933" s="244" t="s">
        <v>593</v>
      </c>
      <c r="G1933" s="241">
        <f t="shared" ref="G1933:G1996" si="30">G1932+1</f>
        <v>1922</v>
      </c>
    </row>
    <row r="1934" spans="2:7" x14ac:dyDescent="0.25">
      <c r="B1934" s="242"/>
      <c r="C1934" s="243"/>
      <c r="D1934" s="243">
        <v>9221</v>
      </c>
      <c r="E1934" s="243"/>
      <c r="F1934" s="244" t="s">
        <v>593</v>
      </c>
      <c r="G1934" s="241">
        <f t="shared" si="30"/>
        <v>1923</v>
      </c>
    </row>
    <row r="1935" spans="2:7" x14ac:dyDescent="0.25">
      <c r="B1935" s="242"/>
      <c r="C1935" s="243">
        <v>923</v>
      </c>
      <c r="D1935" s="243"/>
      <c r="E1935" s="243"/>
      <c r="F1935" s="244" t="s">
        <v>532</v>
      </c>
      <c r="G1935" s="241">
        <f t="shared" si="30"/>
        <v>1924</v>
      </c>
    </row>
    <row r="1936" spans="2:7" x14ac:dyDescent="0.25">
      <c r="B1936" s="242"/>
      <c r="C1936" s="243"/>
      <c r="D1936" s="243">
        <v>9231</v>
      </c>
      <c r="E1936" s="243"/>
      <c r="F1936" s="244" t="s">
        <v>532</v>
      </c>
      <c r="G1936" s="241">
        <f t="shared" si="30"/>
        <v>1925</v>
      </c>
    </row>
    <row r="1937" spans="2:7" x14ac:dyDescent="0.25">
      <c r="B1937" s="242"/>
      <c r="C1937" s="243">
        <v>924</v>
      </c>
      <c r="D1937" s="243"/>
      <c r="E1937" s="243"/>
      <c r="F1937" s="244" t="s">
        <v>592</v>
      </c>
      <c r="G1937" s="241">
        <f t="shared" si="30"/>
        <v>1926</v>
      </c>
    </row>
    <row r="1938" spans="2:7" x14ac:dyDescent="0.25">
      <c r="B1938" s="242"/>
      <c r="C1938" s="243"/>
      <c r="D1938" s="243">
        <v>9241</v>
      </c>
      <c r="E1938" s="243"/>
      <c r="F1938" s="244" t="s">
        <v>592</v>
      </c>
      <c r="G1938" s="241">
        <f t="shared" si="30"/>
        <v>1927</v>
      </c>
    </row>
    <row r="1939" spans="2:7" x14ac:dyDescent="0.25">
      <c r="B1939" s="242"/>
      <c r="C1939" s="243">
        <v>925</v>
      </c>
      <c r="D1939" s="243"/>
      <c r="E1939" s="243"/>
      <c r="F1939" s="244" t="s">
        <v>591</v>
      </c>
      <c r="G1939" s="241">
        <f t="shared" si="30"/>
        <v>1928</v>
      </c>
    </row>
    <row r="1940" spans="2:7" x14ac:dyDescent="0.25">
      <c r="B1940" s="242"/>
      <c r="C1940" s="243"/>
      <c r="D1940" s="243">
        <v>9251</v>
      </c>
      <c r="E1940" s="243"/>
      <c r="F1940" s="244" t="s">
        <v>591</v>
      </c>
      <c r="G1940" s="241">
        <f t="shared" si="30"/>
        <v>1929</v>
      </c>
    </row>
    <row r="1941" spans="2:7" x14ac:dyDescent="0.25">
      <c r="B1941" s="242"/>
      <c r="C1941" s="243">
        <v>926</v>
      </c>
      <c r="D1941" s="243"/>
      <c r="E1941" s="243"/>
      <c r="F1941" s="244" t="s">
        <v>599</v>
      </c>
      <c r="G1941" s="241">
        <f t="shared" si="30"/>
        <v>1930</v>
      </c>
    </row>
    <row r="1942" spans="2:7" x14ac:dyDescent="0.25">
      <c r="B1942" s="242"/>
      <c r="C1942" s="243"/>
      <c r="D1942" s="243">
        <v>9261</v>
      </c>
      <c r="E1942" s="243"/>
      <c r="F1942" s="244" t="s">
        <v>581</v>
      </c>
      <c r="G1942" s="241">
        <f t="shared" si="30"/>
        <v>1931</v>
      </c>
    </row>
    <row r="1943" spans="2:7" x14ac:dyDescent="0.25">
      <c r="B1943" s="242"/>
      <c r="C1943" s="243"/>
      <c r="D1943" s="243">
        <v>9262</v>
      </c>
      <c r="E1943" s="243"/>
      <c r="F1943" s="244" t="s">
        <v>598</v>
      </c>
      <c r="G1943" s="241">
        <f t="shared" si="30"/>
        <v>1932</v>
      </c>
    </row>
    <row r="1944" spans="2:7" x14ac:dyDescent="0.25">
      <c r="B1944" s="242"/>
      <c r="C1944" s="243"/>
      <c r="D1944" s="243">
        <v>9263</v>
      </c>
      <c r="E1944" s="243"/>
      <c r="F1944" s="244" t="s">
        <v>577</v>
      </c>
      <c r="G1944" s="241">
        <f t="shared" si="30"/>
        <v>1933</v>
      </c>
    </row>
    <row r="1945" spans="2:7" x14ac:dyDescent="0.25">
      <c r="B1945" s="242"/>
      <c r="C1945" s="243">
        <v>927</v>
      </c>
      <c r="D1945" s="243"/>
      <c r="E1945" s="243"/>
      <c r="F1945" s="244" t="s">
        <v>575</v>
      </c>
      <c r="G1945" s="241">
        <f t="shared" si="30"/>
        <v>1934</v>
      </c>
    </row>
    <row r="1946" spans="2:7" x14ac:dyDescent="0.25">
      <c r="B1946" s="242"/>
      <c r="C1946" s="243"/>
      <c r="D1946" s="243">
        <v>9271</v>
      </c>
      <c r="E1946" s="243"/>
      <c r="F1946" s="244" t="s">
        <v>574</v>
      </c>
      <c r="G1946" s="241">
        <f t="shared" si="30"/>
        <v>1935</v>
      </c>
    </row>
    <row r="1947" spans="2:7" x14ac:dyDescent="0.25">
      <c r="B1947" s="242"/>
      <c r="C1947" s="243"/>
      <c r="D1947" s="243">
        <v>9272</v>
      </c>
      <c r="E1947" s="243"/>
      <c r="F1947" s="244" t="s">
        <v>572</v>
      </c>
      <c r="G1947" s="241">
        <f t="shared" si="30"/>
        <v>1936</v>
      </c>
    </row>
    <row r="1948" spans="2:7" x14ac:dyDescent="0.25">
      <c r="B1948" s="242"/>
      <c r="C1948" s="243"/>
      <c r="D1948" s="243">
        <v>9273</v>
      </c>
      <c r="E1948" s="243"/>
      <c r="F1948" s="244" t="s">
        <v>570</v>
      </c>
      <c r="G1948" s="241">
        <f t="shared" si="30"/>
        <v>1937</v>
      </c>
    </row>
    <row r="1949" spans="2:7" x14ac:dyDescent="0.25">
      <c r="B1949" s="242"/>
      <c r="C1949" s="243">
        <v>928</v>
      </c>
      <c r="D1949" s="243"/>
      <c r="E1949" s="243"/>
      <c r="F1949" s="244" t="s">
        <v>569</v>
      </c>
      <c r="G1949" s="241">
        <f t="shared" si="30"/>
        <v>1938</v>
      </c>
    </row>
    <row r="1950" spans="2:7" x14ac:dyDescent="0.25">
      <c r="B1950" s="242"/>
      <c r="C1950" s="243"/>
      <c r="D1950" s="243">
        <v>9281</v>
      </c>
      <c r="E1950" s="243"/>
      <c r="F1950" s="244" t="s">
        <v>568</v>
      </c>
      <c r="G1950" s="241">
        <f t="shared" si="30"/>
        <v>1939</v>
      </c>
    </row>
    <row r="1951" spans="2:7" x14ac:dyDescent="0.25">
      <c r="B1951" s="242"/>
      <c r="C1951" s="243"/>
      <c r="D1951" s="243">
        <v>9282</v>
      </c>
      <c r="E1951" s="243"/>
      <c r="F1951" s="244" t="s">
        <v>597</v>
      </c>
      <c r="G1951" s="241">
        <f t="shared" si="30"/>
        <v>1940</v>
      </c>
    </row>
    <row r="1952" spans="2:7" x14ac:dyDescent="0.25">
      <c r="B1952" s="242"/>
      <c r="C1952" s="243">
        <v>929</v>
      </c>
      <c r="D1952" s="243"/>
      <c r="E1952" s="243"/>
      <c r="F1952" s="244" t="s">
        <v>559</v>
      </c>
      <c r="G1952" s="241">
        <f t="shared" si="30"/>
        <v>1941</v>
      </c>
    </row>
    <row r="1953" spans="2:7" x14ac:dyDescent="0.25">
      <c r="B1953" s="242"/>
      <c r="C1953" s="243"/>
      <c r="D1953" s="243">
        <v>9291</v>
      </c>
      <c r="E1953" s="243"/>
      <c r="F1953" s="244" t="s">
        <v>585</v>
      </c>
      <c r="G1953" s="241">
        <f t="shared" si="30"/>
        <v>1942</v>
      </c>
    </row>
    <row r="1954" spans="2:7" x14ac:dyDescent="0.25">
      <c r="B1954" s="242"/>
      <c r="C1954" s="243"/>
      <c r="D1954" s="243">
        <v>9292</v>
      </c>
      <c r="E1954" s="243"/>
      <c r="F1954" s="244" t="s">
        <v>556</v>
      </c>
      <c r="G1954" s="241">
        <f t="shared" si="30"/>
        <v>1943</v>
      </c>
    </row>
    <row r="1955" spans="2:7" x14ac:dyDescent="0.25">
      <c r="B1955" s="242">
        <v>93</v>
      </c>
      <c r="C1955" s="243"/>
      <c r="D1955" s="243"/>
      <c r="E1955" s="243"/>
      <c r="F1955" s="244" t="s">
        <v>596</v>
      </c>
      <c r="G1955" s="241">
        <f t="shared" si="30"/>
        <v>1944</v>
      </c>
    </row>
    <row r="1956" spans="2:7" x14ac:dyDescent="0.25">
      <c r="B1956" s="242"/>
      <c r="C1956" s="243">
        <v>931</v>
      </c>
      <c r="D1956" s="243"/>
      <c r="E1956" s="243"/>
      <c r="F1956" s="244" t="s">
        <v>595</v>
      </c>
      <c r="G1956" s="241">
        <f t="shared" si="30"/>
        <v>1945</v>
      </c>
    </row>
    <row r="1957" spans="2:7" x14ac:dyDescent="0.25">
      <c r="B1957" s="242"/>
      <c r="C1957" s="243"/>
      <c r="D1957" s="243">
        <v>9311</v>
      </c>
      <c r="E1957" s="243"/>
      <c r="F1957" s="244" t="s">
        <v>594</v>
      </c>
      <c r="G1957" s="241">
        <f t="shared" si="30"/>
        <v>1946</v>
      </c>
    </row>
    <row r="1958" spans="2:7" x14ac:dyDescent="0.25">
      <c r="B1958" s="242"/>
      <c r="C1958" s="243"/>
      <c r="D1958" s="243">
        <v>9312</v>
      </c>
      <c r="E1958" s="243"/>
      <c r="F1958" s="244" t="s">
        <v>593</v>
      </c>
      <c r="G1958" s="241">
        <f t="shared" si="30"/>
        <v>1947</v>
      </c>
    </row>
    <row r="1959" spans="2:7" x14ac:dyDescent="0.25">
      <c r="B1959" s="242"/>
      <c r="C1959" s="243"/>
      <c r="D1959" s="243">
        <v>9313</v>
      </c>
      <c r="E1959" s="243"/>
      <c r="F1959" s="244" t="s">
        <v>532</v>
      </c>
      <c r="G1959" s="241">
        <f t="shared" si="30"/>
        <v>1948</v>
      </c>
    </row>
    <row r="1960" spans="2:7" x14ac:dyDescent="0.25">
      <c r="B1960" s="242"/>
      <c r="C1960" s="243"/>
      <c r="D1960" s="243">
        <v>9314</v>
      </c>
      <c r="E1960" s="243"/>
      <c r="F1960" s="244" t="s">
        <v>592</v>
      </c>
      <c r="G1960" s="241">
        <f t="shared" si="30"/>
        <v>1949</v>
      </c>
    </row>
    <row r="1961" spans="2:7" x14ac:dyDescent="0.25">
      <c r="B1961" s="242"/>
      <c r="C1961" s="243"/>
      <c r="D1961" s="243">
        <v>9315</v>
      </c>
      <c r="E1961" s="243"/>
      <c r="F1961" s="244" t="s">
        <v>591</v>
      </c>
      <c r="G1961" s="241">
        <f t="shared" si="30"/>
        <v>1950</v>
      </c>
    </row>
    <row r="1962" spans="2:7" x14ac:dyDescent="0.25">
      <c r="B1962" s="242"/>
      <c r="C1962" s="243"/>
      <c r="D1962" s="243">
        <v>9316</v>
      </c>
      <c r="E1962" s="243"/>
      <c r="F1962" s="244" t="s">
        <v>588</v>
      </c>
      <c r="G1962" s="241">
        <f t="shared" si="30"/>
        <v>1951</v>
      </c>
    </row>
    <row r="1963" spans="2:7" x14ac:dyDescent="0.25">
      <c r="B1963" s="242"/>
      <c r="C1963" s="243">
        <v>932</v>
      </c>
      <c r="D1963" s="243"/>
      <c r="E1963" s="243"/>
      <c r="F1963" s="244" t="s">
        <v>590</v>
      </c>
      <c r="G1963" s="241">
        <f t="shared" si="30"/>
        <v>1952</v>
      </c>
    </row>
    <row r="1964" spans="2:7" x14ac:dyDescent="0.25">
      <c r="B1964" s="242"/>
      <c r="C1964" s="243"/>
      <c r="D1964" s="243">
        <v>9321</v>
      </c>
      <c r="E1964" s="243"/>
      <c r="F1964" s="244" t="s">
        <v>589</v>
      </c>
      <c r="G1964" s="241">
        <f t="shared" si="30"/>
        <v>1953</v>
      </c>
    </row>
    <row r="1965" spans="2:7" x14ac:dyDescent="0.25">
      <c r="B1965" s="242"/>
      <c r="C1965" s="243"/>
      <c r="D1965" s="243">
        <v>9322</v>
      </c>
      <c r="E1965" s="243"/>
      <c r="F1965" s="244" t="s">
        <v>588</v>
      </c>
      <c r="G1965" s="241">
        <f t="shared" si="30"/>
        <v>1954</v>
      </c>
    </row>
    <row r="1966" spans="2:7" x14ac:dyDescent="0.25">
      <c r="B1966" s="242">
        <v>94</v>
      </c>
      <c r="C1966" s="243"/>
      <c r="D1966" s="243"/>
      <c r="E1966" s="243"/>
      <c r="F1966" s="244" t="s">
        <v>587</v>
      </c>
      <c r="G1966" s="241">
        <f t="shared" si="30"/>
        <v>1955</v>
      </c>
    </row>
    <row r="1967" spans="2:7" x14ac:dyDescent="0.25">
      <c r="B1967" s="242"/>
      <c r="C1967" s="243">
        <v>941</v>
      </c>
      <c r="D1967" s="243"/>
      <c r="E1967" s="243"/>
      <c r="F1967" s="244" t="s">
        <v>582</v>
      </c>
      <c r="G1967" s="241">
        <f t="shared" si="30"/>
        <v>1956</v>
      </c>
    </row>
    <row r="1968" spans="2:7" x14ac:dyDescent="0.25">
      <c r="B1968" s="242"/>
      <c r="C1968" s="243"/>
      <c r="D1968" s="243">
        <v>9411</v>
      </c>
      <c r="E1968" s="243"/>
      <c r="F1968" s="244" t="s">
        <v>581</v>
      </c>
      <c r="G1968" s="241">
        <f t="shared" si="30"/>
        <v>1957</v>
      </c>
    </row>
    <row r="1969" spans="2:7" x14ac:dyDescent="0.25">
      <c r="B1969" s="242"/>
      <c r="C1969" s="243"/>
      <c r="D1969" s="243">
        <v>9412</v>
      </c>
      <c r="E1969" s="243"/>
      <c r="F1969" s="244" t="s">
        <v>580</v>
      </c>
      <c r="G1969" s="241">
        <f t="shared" si="30"/>
        <v>1958</v>
      </c>
    </row>
    <row r="1970" spans="2:7" x14ac:dyDescent="0.25">
      <c r="B1970" s="242"/>
      <c r="C1970" s="243"/>
      <c r="D1970" s="243">
        <v>9413</v>
      </c>
      <c r="E1970" s="243"/>
      <c r="F1970" s="244" t="s">
        <v>579</v>
      </c>
      <c r="G1970" s="241">
        <f t="shared" si="30"/>
        <v>1959</v>
      </c>
    </row>
    <row r="1971" spans="2:7" x14ac:dyDescent="0.25">
      <c r="B1971" s="242"/>
      <c r="C1971" s="243"/>
      <c r="D1971" s="243">
        <v>9414</v>
      </c>
      <c r="E1971" s="243"/>
      <c r="F1971" s="244" t="s">
        <v>577</v>
      </c>
      <c r="G1971" s="241">
        <f t="shared" si="30"/>
        <v>1960</v>
      </c>
    </row>
    <row r="1972" spans="2:7" x14ac:dyDescent="0.25">
      <c r="B1972" s="242"/>
      <c r="C1972" s="243"/>
      <c r="D1972" s="243">
        <v>9415</v>
      </c>
      <c r="E1972" s="243"/>
      <c r="F1972" s="244" t="s">
        <v>576</v>
      </c>
      <c r="G1972" s="241">
        <f t="shared" si="30"/>
        <v>1961</v>
      </c>
    </row>
    <row r="1973" spans="2:7" x14ac:dyDescent="0.25">
      <c r="B1973" s="242"/>
      <c r="C1973" s="243"/>
      <c r="D1973" s="243">
        <v>9416</v>
      </c>
      <c r="E1973" s="243"/>
      <c r="F1973" s="244" t="s">
        <v>586</v>
      </c>
      <c r="G1973" s="241">
        <f t="shared" si="30"/>
        <v>1962</v>
      </c>
    </row>
    <row r="1974" spans="2:7" x14ac:dyDescent="0.25">
      <c r="B1974" s="242"/>
      <c r="C1974" s="243">
        <v>942</v>
      </c>
      <c r="D1974" s="243"/>
      <c r="E1974" s="243"/>
      <c r="F1974" s="244" t="s">
        <v>575</v>
      </c>
      <c r="G1974" s="241">
        <f t="shared" si="30"/>
        <v>1963</v>
      </c>
    </row>
    <row r="1975" spans="2:7" x14ac:dyDescent="0.25">
      <c r="B1975" s="242"/>
      <c r="C1975" s="243"/>
      <c r="D1975" s="243">
        <v>9421</v>
      </c>
      <c r="E1975" s="243"/>
      <c r="F1975" s="244" t="s">
        <v>574</v>
      </c>
      <c r="G1975" s="241">
        <f t="shared" si="30"/>
        <v>1964</v>
      </c>
    </row>
    <row r="1976" spans="2:7" x14ac:dyDescent="0.25">
      <c r="B1976" s="242"/>
      <c r="C1976" s="243"/>
      <c r="D1976" s="243">
        <v>9422</v>
      </c>
      <c r="E1976" s="243"/>
      <c r="F1976" s="244" t="s">
        <v>573</v>
      </c>
      <c r="G1976" s="241">
        <f t="shared" si="30"/>
        <v>1965</v>
      </c>
    </row>
    <row r="1977" spans="2:7" x14ac:dyDescent="0.25">
      <c r="B1977" s="242"/>
      <c r="C1977" s="243"/>
      <c r="D1977" s="243">
        <v>9423</v>
      </c>
      <c r="E1977" s="243"/>
      <c r="F1977" s="244" t="s">
        <v>572</v>
      </c>
      <c r="G1977" s="241">
        <f t="shared" si="30"/>
        <v>1966</v>
      </c>
    </row>
    <row r="1978" spans="2:7" x14ac:dyDescent="0.25">
      <c r="B1978" s="242"/>
      <c r="C1978" s="243"/>
      <c r="D1978" s="243">
        <v>9424</v>
      </c>
      <c r="E1978" s="243"/>
      <c r="F1978" s="244" t="s">
        <v>571</v>
      </c>
      <c r="G1978" s="241">
        <f t="shared" si="30"/>
        <v>1967</v>
      </c>
    </row>
    <row r="1979" spans="2:7" x14ac:dyDescent="0.25">
      <c r="B1979" s="242"/>
      <c r="C1979" s="243"/>
      <c r="D1979" s="243">
        <v>9425</v>
      </c>
      <c r="E1979" s="243"/>
      <c r="F1979" s="244" t="s">
        <v>570</v>
      </c>
      <c r="G1979" s="241">
        <f t="shared" si="30"/>
        <v>1968</v>
      </c>
    </row>
    <row r="1980" spans="2:7" x14ac:dyDescent="0.25">
      <c r="B1980" s="242"/>
      <c r="C1980" s="243">
        <v>943</v>
      </c>
      <c r="D1980" s="243"/>
      <c r="E1980" s="243"/>
      <c r="F1980" s="244" t="s">
        <v>569</v>
      </c>
      <c r="G1980" s="241">
        <f t="shared" si="30"/>
        <v>1969</v>
      </c>
    </row>
    <row r="1981" spans="2:7" x14ac:dyDescent="0.25">
      <c r="B1981" s="242"/>
      <c r="C1981" s="243"/>
      <c r="D1981" s="243">
        <v>9431</v>
      </c>
      <c r="E1981" s="243"/>
      <c r="F1981" s="244" t="s">
        <v>568</v>
      </c>
      <c r="G1981" s="241">
        <f t="shared" si="30"/>
        <v>1970</v>
      </c>
    </row>
    <row r="1982" spans="2:7" x14ac:dyDescent="0.25">
      <c r="B1982" s="242"/>
      <c r="C1982" s="243"/>
      <c r="D1982" s="243">
        <v>9432</v>
      </c>
      <c r="E1982" s="243"/>
      <c r="F1982" s="244" t="s">
        <v>567</v>
      </c>
      <c r="G1982" s="241">
        <f t="shared" si="30"/>
        <v>1971</v>
      </c>
    </row>
    <row r="1983" spans="2:7" x14ac:dyDescent="0.25">
      <c r="B1983" s="242"/>
      <c r="C1983" s="243"/>
      <c r="D1983" s="243">
        <v>9433</v>
      </c>
      <c r="E1983" s="243"/>
      <c r="F1983" s="244" t="s">
        <v>566</v>
      </c>
      <c r="G1983" s="241">
        <f t="shared" si="30"/>
        <v>1972</v>
      </c>
    </row>
    <row r="1984" spans="2:7" x14ac:dyDescent="0.25">
      <c r="B1984" s="242"/>
      <c r="C1984" s="243">
        <v>944</v>
      </c>
      <c r="D1984" s="243"/>
      <c r="E1984" s="243"/>
      <c r="F1984" s="244" t="s">
        <v>565</v>
      </c>
      <c r="G1984" s="241">
        <f t="shared" si="30"/>
        <v>1973</v>
      </c>
    </row>
    <row r="1985" spans="2:7" x14ac:dyDescent="0.25">
      <c r="B1985" s="242"/>
      <c r="C1985" s="243"/>
      <c r="D1985" s="243">
        <v>9441</v>
      </c>
      <c r="E1985" s="243"/>
      <c r="F1985" s="244" t="s">
        <v>564</v>
      </c>
      <c r="G1985" s="241">
        <f t="shared" si="30"/>
        <v>1974</v>
      </c>
    </row>
    <row r="1986" spans="2:7" x14ac:dyDescent="0.25">
      <c r="B1986" s="242"/>
      <c r="C1986" s="243"/>
      <c r="D1986" s="243">
        <v>9442</v>
      </c>
      <c r="E1986" s="243"/>
      <c r="F1986" s="244" t="s">
        <v>563</v>
      </c>
      <c r="G1986" s="241">
        <f t="shared" si="30"/>
        <v>1975</v>
      </c>
    </row>
    <row r="1987" spans="2:7" x14ac:dyDescent="0.25">
      <c r="B1987" s="242"/>
      <c r="C1987" s="243"/>
      <c r="D1987" s="243">
        <v>9443</v>
      </c>
      <c r="E1987" s="243"/>
      <c r="F1987" s="244" t="s">
        <v>562</v>
      </c>
      <c r="G1987" s="241">
        <f t="shared" si="30"/>
        <v>1976</v>
      </c>
    </row>
    <row r="1988" spans="2:7" x14ac:dyDescent="0.25">
      <c r="B1988" s="242"/>
      <c r="C1988" s="243"/>
      <c r="D1988" s="243">
        <v>9444</v>
      </c>
      <c r="E1988" s="243"/>
      <c r="F1988" s="244" t="s">
        <v>561</v>
      </c>
      <c r="G1988" s="241">
        <f t="shared" si="30"/>
        <v>1977</v>
      </c>
    </row>
    <row r="1989" spans="2:7" x14ac:dyDescent="0.25">
      <c r="B1989" s="242"/>
      <c r="C1989" s="243"/>
      <c r="D1989" s="243">
        <v>9445</v>
      </c>
      <c r="E1989" s="243"/>
      <c r="F1989" s="244" t="s">
        <v>560</v>
      </c>
      <c r="G1989" s="241">
        <f t="shared" si="30"/>
        <v>1978</v>
      </c>
    </row>
    <row r="1990" spans="2:7" x14ac:dyDescent="0.25">
      <c r="B1990" s="242"/>
      <c r="C1990" s="243">
        <v>945</v>
      </c>
      <c r="D1990" s="243"/>
      <c r="E1990" s="243"/>
      <c r="F1990" s="244" t="s">
        <v>559</v>
      </c>
      <c r="G1990" s="241">
        <f t="shared" si="30"/>
        <v>1979</v>
      </c>
    </row>
    <row r="1991" spans="2:7" x14ac:dyDescent="0.25">
      <c r="B1991" s="242"/>
      <c r="C1991" s="243"/>
      <c r="D1991" s="243">
        <v>9451</v>
      </c>
      <c r="E1991" s="243"/>
      <c r="F1991" s="244" t="s">
        <v>585</v>
      </c>
      <c r="G1991" s="241">
        <f t="shared" si="30"/>
        <v>1980</v>
      </c>
    </row>
    <row r="1992" spans="2:7" x14ac:dyDescent="0.25">
      <c r="B1992" s="242"/>
      <c r="C1992" s="243"/>
      <c r="D1992" s="243">
        <v>9452</v>
      </c>
      <c r="E1992" s="243"/>
      <c r="F1992" s="244" t="s">
        <v>557</v>
      </c>
      <c r="G1992" s="241">
        <f t="shared" si="30"/>
        <v>1981</v>
      </c>
    </row>
    <row r="1993" spans="2:7" x14ac:dyDescent="0.25">
      <c r="B1993" s="242"/>
      <c r="C1993" s="243"/>
      <c r="D1993" s="243">
        <v>9453</v>
      </c>
      <c r="E1993" s="243"/>
      <c r="F1993" s="244" t="s">
        <v>556</v>
      </c>
      <c r="G1993" s="241">
        <f t="shared" si="30"/>
        <v>1982</v>
      </c>
    </row>
    <row r="1994" spans="2:7" x14ac:dyDescent="0.25">
      <c r="B1994" s="242"/>
      <c r="C1994" s="243">
        <v>949</v>
      </c>
      <c r="D1994" s="243"/>
      <c r="E1994" s="243"/>
      <c r="F1994" s="244" t="s">
        <v>584</v>
      </c>
      <c r="G1994" s="241">
        <f t="shared" si="30"/>
        <v>1983</v>
      </c>
    </row>
    <row r="1995" spans="2:7" x14ac:dyDescent="0.25">
      <c r="B1995" s="242"/>
      <c r="C1995" s="243"/>
      <c r="D1995" s="243">
        <v>9491</v>
      </c>
      <c r="E1995" s="243"/>
      <c r="F1995" s="244" t="s">
        <v>584</v>
      </c>
      <c r="G1995" s="241">
        <f t="shared" si="30"/>
        <v>1984</v>
      </c>
    </row>
    <row r="1996" spans="2:7" x14ac:dyDescent="0.25">
      <c r="B1996" s="242">
        <v>95</v>
      </c>
      <c r="C1996" s="243"/>
      <c r="D1996" s="243"/>
      <c r="E1996" s="243"/>
      <c r="F1996" s="244" t="s">
        <v>583</v>
      </c>
      <c r="G1996" s="241">
        <f t="shared" si="30"/>
        <v>1985</v>
      </c>
    </row>
    <row r="1997" spans="2:7" x14ac:dyDescent="0.25">
      <c r="B1997" s="242"/>
      <c r="C1997" s="243">
        <v>951</v>
      </c>
      <c r="D1997" s="243"/>
      <c r="E1997" s="243"/>
      <c r="F1997" s="244" t="s">
        <v>582</v>
      </c>
      <c r="G1997" s="241">
        <f t="shared" ref="G1997:G2060" si="31">G1996+1</f>
        <v>1986</v>
      </c>
    </row>
    <row r="1998" spans="2:7" x14ac:dyDescent="0.25">
      <c r="B1998" s="242"/>
      <c r="C1998" s="243"/>
      <c r="D1998" s="243">
        <v>9511</v>
      </c>
      <c r="E1998" s="243"/>
      <c r="F1998" s="244" t="s">
        <v>581</v>
      </c>
      <c r="G1998" s="241">
        <f t="shared" si="31"/>
        <v>1987</v>
      </c>
    </row>
    <row r="1999" spans="2:7" x14ac:dyDescent="0.25">
      <c r="B1999" s="242"/>
      <c r="C1999" s="243"/>
      <c r="D1999" s="243">
        <v>9512</v>
      </c>
      <c r="E1999" s="243"/>
      <c r="F1999" s="244" t="s">
        <v>580</v>
      </c>
      <c r="G1999" s="241">
        <f t="shared" si="31"/>
        <v>1988</v>
      </c>
    </row>
    <row r="2000" spans="2:7" x14ac:dyDescent="0.25">
      <c r="B2000" s="242"/>
      <c r="C2000" s="243"/>
      <c r="D2000" s="243">
        <v>9513</v>
      </c>
      <c r="E2000" s="243"/>
      <c r="F2000" s="244" t="s">
        <v>579</v>
      </c>
      <c r="G2000" s="241">
        <f t="shared" si="31"/>
        <v>1989</v>
      </c>
    </row>
    <row r="2001" spans="2:7" x14ac:dyDescent="0.25">
      <c r="B2001" s="242"/>
      <c r="C2001" s="243"/>
      <c r="D2001" s="243">
        <v>9514</v>
      </c>
      <c r="E2001" s="243"/>
      <c r="F2001" s="244" t="s">
        <v>578</v>
      </c>
      <c r="G2001" s="241">
        <f t="shared" si="31"/>
        <v>1990</v>
      </c>
    </row>
    <row r="2002" spans="2:7" x14ac:dyDescent="0.25">
      <c r="B2002" s="242"/>
      <c r="C2002" s="243"/>
      <c r="D2002" s="243">
        <v>9515</v>
      </c>
      <c r="E2002" s="243"/>
      <c r="F2002" s="244" t="s">
        <v>577</v>
      </c>
      <c r="G2002" s="241">
        <f t="shared" si="31"/>
        <v>1991</v>
      </c>
    </row>
    <row r="2003" spans="2:7" x14ac:dyDescent="0.25">
      <c r="B2003" s="242"/>
      <c r="C2003" s="243"/>
      <c r="D2003" s="243">
        <v>9516</v>
      </c>
      <c r="E2003" s="243"/>
      <c r="F2003" s="244" t="s">
        <v>576</v>
      </c>
      <c r="G2003" s="241">
        <f t="shared" si="31"/>
        <v>1992</v>
      </c>
    </row>
    <row r="2004" spans="2:7" x14ac:dyDescent="0.25">
      <c r="B2004" s="242"/>
      <c r="C2004" s="243">
        <v>952</v>
      </c>
      <c r="D2004" s="243"/>
      <c r="E2004" s="243"/>
      <c r="F2004" s="244" t="s">
        <v>575</v>
      </c>
      <c r="G2004" s="241">
        <f t="shared" si="31"/>
        <v>1993</v>
      </c>
    </row>
    <row r="2005" spans="2:7" x14ac:dyDescent="0.25">
      <c r="B2005" s="242"/>
      <c r="C2005" s="243"/>
      <c r="D2005" s="243">
        <v>9521</v>
      </c>
      <c r="E2005" s="243"/>
      <c r="F2005" s="244" t="s">
        <v>574</v>
      </c>
      <c r="G2005" s="241">
        <f t="shared" si="31"/>
        <v>1994</v>
      </c>
    </row>
    <row r="2006" spans="2:7" x14ac:dyDescent="0.25">
      <c r="B2006" s="242"/>
      <c r="C2006" s="243"/>
      <c r="D2006" s="243">
        <v>9522</v>
      </c>
      <c r="E2006" s="243"/>
      <c r="F2006" s="244" t="s">
        <v>573</v>
      </c>
      <c r="G2006" s="241">
        <f t="shared" si="31"/>
        <v>1995</v>
      </c>
    </row>
    <row r="2007" spans="2:7" x14ac:dyDescent="0.25">
      <c r="B2007" s="242"/>
      <c r="C2007" s="243"/>
      <c r="D2007" s="243">
        <v>9523</v>
      </c>
      <c r="E2007" s="243"/>
      <c r="F2007" s="244" t="s">
        <v>572</v>
      </c>
      <c r="G2007" s="241">
        <f t="shared" si="31"/>
        <v>1996</v>
      </c>
    </row>
    <row r="2008" spans="2:7" x14ac:dyDescent="0.25">
      <c r="B2008" s="242"/>
      <c r="C2008" s="243"/>
      <c r="D2008" s="243">
        <v>9524</v>
      </c>
      <c r="E2008" s="243"/>
      <c r="F2008" s="244" t="s">
        <v>571</v>
      </c>
      <c r="G2008" s="241">
        <f t="shared" si="31"/>
        <v>1997</v>
      </c>
    </row>
    <row r="2009" spans="2:7" x14ac:dyDescent="0.25">
      <c r="B2009" s="242"/>
      <c r="C2009" s="243"/>
      <c r="D2009" s="243">
        <v>9525</v>
      </c>
      <c r="E2009" s="243"/>
      <c r="F2009" s="244" t="s">
        <v>570</v>
      </c>
      <c r="G2009" s="241">
        <f t="shared" si="31"/>
        <v>1998</v>
      </c>
    </row>
    <row r="2010" spans="2:7" x14ac:dyDescent="0.25">
      <c r="B2010" s="242"/>
      <c r="C2010" s="243">
        <v>953</v>
      </c>
      <c r="D2010" s="243"/>
      <c r="E2010" s="243"/>
      <c r="F2010" s="244" t="s">
        <v>569</v>
      </c>
      <c r="G2010" s="241">
        <f t="shared" si="31"/>
        <v>1999</v>
      </c>
    </row>
    <row r="2011" spans="2:7" x14ac:dyDescent="0.25">
      <c r="B2011" s="242"/>
      <c r="C2011" s="243"/>
      <c r="D2011" s="243">
        <v>9531</v>
      </c>
      <c r="E2011" s="243"/>
      <c r="F2011" s="244" t="s">
        <v>568</v>
      </c>
      <c r="G2011" s="241">
        <f t="shared" si="31"/>
        <v>2000</v>
      </c>
    </row>
    <row r="2012" spans="2:7" x14ac:dyDescent="0.25">
      <c r="B2012" s="242"/>
      <c r="C2012" s="243"/>
      <c r="D2012" s="243">
        <v>9532</v>
      </c>
      <c r="E2012" s="243"/>
      <c r="F2012" s="244" t="s">
        <v>567</v>
      </c>
      <c r="G2012" s="241">
        <f t="shared" si="31"/>
        <v>2001</v>
      </c>
    </row>
    <row r="2013" spans="2:7" x14ac:dyDescent="0.25">
      <c r="B2013" s="242"/>
      <c r="C2013" s="243"/>
      <c r="D2013" s="243">
        <v>9533</v>
      </c>
      <c r="E2013" s="243"/>
      <c r="F2013" s="244" t="s">
        <v>566</v>
      </c>
      <c r="G2013" s="241">
        <f t="shared" si="31"/>
        <v>2002</v>
      </c>
    </row>
    <row r="2014" spans="2:7" x14ac:dyDescent="0.25">
      <c r="B2014" s="242"/>
      <c r="C2014" s="243">
        <v>954</v>
      </c>
      <c r="D2014" s="243"/>
      <c r="E2014" s="243"/>
      <c r="F2014" s="244" t="s">
        <v>565</v>
      </c>
      <c r="G2014" s="241">
        <f t="shared" si="31"/>
        <v>2003</v>
      </c>
    </row>
    <row r="2015" spans="2:7" x14ac:dyDescent="0.25">
      <c r="B2015" s="242"/>
      <c r="C2015" s="243"/>
      <c r="D2015" s="243">
        <v>9541</v>
      </c>
      <c r="E2015" s="243"/>
      <c r="F2015" s="244" t="s">
        <v>564</v>
      </c>
      <c r="G2015" s="241">
        <f t="shared" si="31"/>
        <v>2004</v>
      </c>
    </row>
    <row r="2016" spans="2:7" x14ac:dyDescent="0.25">
      <c r="B2016" s="242"/>
      <c r="C2016" s="243"/>
      <c r="D2016" s="243">
        <v>9542</v>
      </c>
      <c r="E2016" s="243"/>
      <c r="F2016" s="244" t="s">
        <v>563</v>
      </c>
      <c r="G2016" s="241">
        <f t="shared" si="31"/>
        <v>2005</v>
      </c>
    </row>
    <row r="2017" spans="2:7" x14ac:dyDescent="0.25">
      <c r="B2017" s="242"/>
      <c r="C2017" s="243"/>
      <c r="D2017" s="243">
        <v>9543</v>
      </c>
      <c r="E2017" s="243"/>
      <c r="F2017" s="244" t="s">
        <v>562</v>
      </c>
      <c r="G2017" s="241">
        <f t="shared" si="31"/>
        <v>2006</v>
      </c>
    </row>
    <row r="2018" spans="2:7" x14ac:dyDescent="0.25">
      <c r="B2018" s="242"/>
      <c r="C2018" s="243"/>
      <c r="D2018" s="243">
        <v>9544</v>
      </c>
      <c r="E2018" s="243"/>
      <c r="F2018" s="244" t="s">
        <v>561</v>
      </c>
      <c r="G2018" s="241">
        <f t="shared" si="31"/>
        <v>2007</v>
      </c>
    </row>
    <row r="2019" spans="2:7" x14ac:dyDescent="0.25">
      <c r="B2019" s="242"/>
      <c r="C2019" s="243"/>
      <c r="D2019" s="243">
        <v>9545</v>
      </c>
      <c r="E2019" s="243"/>
      <c r="F2019" s="244" t="s">
        <v>560</v>
      </c>
      <c r="G2019" s="241">
        <f t="shared" si="31"/>
        <v>2008</v>
      </c>
    </row>
    <row r="2020" spans="2:7" x14ac:dyDescent="0.25">
      <c r="B2020" s="242"/>
      <c r="C2020" s="243">
        <v>955</v>
      </c>
      <c r="D2020" s="243"/>
      <c r="E2020" s="243"/>
      <c r="F2020" s="244" t="s">
        <v>559</v>
      </c>
      <c r="G2020" s="241">
        <f t="shared" si="31"/>
        <v>2009</v>
      </c>
    </row>
    <row r="2021" spans="2:7" x14ac:dyDescent="0.25">
      <c r="B2021" s="242"/>
      <c r="C2021" s="243"/>
      <c r="D2021" s="243">
        <v>9551</v>
      </c>
      <c r="E2021" s="243"/>
      <c r="F2021" s="244" t="s">
        <v>558</v>
      </c>
      <c r="G2021" s="241">
        <f t="shared" si="31"/>
        <v>2010</v>
      </c>
    </row>
    <row r="2022" spans="2:7" x14ac:dyDescent="0.25">
      <c r="B2022" s="242"/>
      <c r="C2022" s="243"/>
      <c r="D2022" s="243">
        <v>9552</v>
      </c>
      <c r="E2022" s="243"/>
      <c r="F2022" s="244" t="s">
        <v>557</v>
      </c>
      <c r="G2022" s="241">
        <f t="shared" si="31"/>
        <v>2011</v>
      </c>
    </row>
    <row r="2023" spans="2:7" x14ac:dyDescent="0.25">
      <c r="B2023" s="242"/>
      <c r="C2023" s="243"/>
      <c r="D2023" s="243">
        <v>9553</v>
      </c>
      <c r="E2023" s="243"/>
      <c r="F2023" s="244" t="s">
        <v>556</v>
      </c>
      <c r="G2023" s="241">
        <f t="shared" si="31"/>
        <v>2012</v>
      </c>
    </row>
    <row r="2024" spans="2:7" x14ac:dyDescent="0.25">
      <c r="B2024" s="242"/>
      <c r="C2024" s="243">
        <v>959</v>
      </c>
      <c r="D2024" s="243"/>
      <c r="E2024" s="243"/>
      <c r="F2024" s="244" t="s">
        <v>555</v>
      </c>
      <c r="G2024" s="241">
        <f t="shared" si="31"/>
        <v>2013</v>
      </c>
    </row>
    <row r="2025" spans="2:7" x14ac:dyDescent="0.25">
      <c r="B2025" s="242"/>
      <c r="C2025" s="243"/>
      <c r="D2025" s="243">
        <v>9591</v>
      </c>
      <c r="E2025" s="243"/>
      <c r="F2025" s="244" t="s">
        <v>555</v>
      </c>
      <c r="G2025" s="241">
        <f t="shared" si="31"/>
        <v>2014</v>
      </c>
    </row>
    <row r="2026" spans="2:7" x14ac:dyDescent="0.25">
      <c r="B2026" s="242">
        <v>97</v>
      </c>
      <c r="C2026" s="243"/>
      <c r="D2026" s="243"/>
      <c r="E2026" s="243"/>
      <c r="F2026" s="244" t="s">
        <v>554</v>
      </c>
      <c r="G2026" s="241">
        <f t="shared" si="31"/>
        <v>2015</v>
      </c>
    </row>
    <row r="2027" spans="2:7" x14ac:dyDescent="0.25">
      <c r="B2027" s="242"/>
      <c r="C2027" s="243">
        <v>971</v>
      </c>
      <c r="D2027" s="243"/>
      <c r="E2027" s="243"/>
      <c r="F2027" s="244" t="s">
        <v>553</v>
      </c>
      <c r="G2027" s="241">
        <f t="shared" si="31"/>
        <v>2016</v>
      </c>
    </row>
    <row r="2028" spans="2:7" x14ac:dyDescent="0.25">
      <c r="B2028" s="242"/>
      <c r="C2028" s="243"/>
      <c r="D2028" s="243">
        <v>9711</v>
      </c>
      <c r="E2028" s="243"/>
      <c r="F2028" s="244" t="s">
        <v>553</v>
      </c>
      <c r="G2028" s="241">
        <f t="shared" si="31"/>
        <v>2017</v>
      </c>
    </row>
    <row r="2029" spans="2:7" x14ac:dyDescent="0.25">
      <c r="B2029" s="242"/>
      <c r="C2029" s="243">
        <v>972</v>
      </c>
      <c r="D2029" s="243"/>
      <c r="E2029" s="243"/>
      <c r="F2029" s="244" t="s">
        <v>552</v>
      </c>
      <c r="G2029" s="241">
        <f t="shared" si="31"/>
        <v>2018</v>
      </c>
    </row>
    <row r="2030" spans="2:7" x14ac:dyDescent="0.25">
      <c r="B2030" s="242"/>
      <c r="C2030" s="243"/>
      <c r="D2030" s="243">
        <v>9721</v>
      </c>
      <c r="E2030" s="243"/>
      <c r="F2030" s="244" t="s">
        <v>552</v>
      </c>
      <c r="G2030" s="241">
        <f t="shared" si="31"/>
        <v>2019</v>
      </c>
    </row>
    <row r="2031" spans="2:7" x14ac:dyDescent="0.25">
      <c r="B2031" s="242"/>
      <c r="C2031" s="243">
        <v>973</v>
      </c>
      <c r="D2031" s="243"/>
      <c r="E2031" s="243"/>
      <c r="F2031" s="244" t="s">
        <v>551</v>
      </c>
      <c r="G2031" s="241">
        <f t="shared" si="31"/>
        <v>2020</v>
      </c>
    </row>
    <row r="2032" spans="2:7" x14ac:dyDescent="0.25">
      <c r="B2032" s="242"/>
      <c r="C2032" s="243"/>
      <c r="D2032" s="243">
        <v>9731</v>
      </c>
      <c r="E2032" s="243"/>
      <c r="F2032" s="244" t="s">
        <v>551</v>
      </c>
      <c r="G2032" s="241">
        <f t="shared" si="31"/>
        <v>2021</v>
      </c>
    </row>
    <row r="2033" spans="2:7" x14ac:dyDescent="0.25">
      <c r="B2033" s="242"/>
      <c r="C2033" s="243">
        <v>974</v>
      </c>
      <c r="D2033" s="243"/>
      <c r="E2033" s="243"/>
      <c r="F2033" s="244" t="s">
        <v>550</v>
      </c>
      <c r="G2033" s="241">
        <f t="shared" si="31"/>
        <v>2022</v>
      </c>
    </row>
    <row r="2034" spans="2:7" x14ac:dyDescent="0.25">
      <c r="B2034" s="242"/>
      <c r="C2034" s="243"/>
      <c r="D2034" s="243">
        <v>9741</v>
      </c>
      <c r="E2034" s="243"/>
      <c r="F2034" s="244" t="s">
        <v>550</v>
      </c>
      <c r="G2034" s="241">
        <f t="shared" si="31"/>
        <v>2023</v>
      </c>
    </row>
    <row r="2035" spans="2:7" x14ac:dyDescent="0.25">
      <c r="B2035" s="242"/>
      <c r="C2035" s="243">
        <v>975</v>
      </c>
      <c r="D2035" s="243"/>
      <c r="E2035" s="243"/>
      <c r="F2035" s="244" t="s">
        <v>549</v>
      </c>
      <c r="G2035" s="241">
        <f t="shared" si="31"/>
        <v>2024</v>
      </c>
    </row>
    <row r="2036" spans="2:7" x14ac:dyDescent="0.25">
      <c r="B2036" s="242"/>
      <c r="C2036" s="243"/>
      <c r="D2036" s="243">
        <v>9751</v>
      </c>
      <c r="E2036" s="243"/>
      <c r="F2036" s="244" t="s">
        <v>549</v>
      </c>
      <c r="G2036" s="241">
        <f t="shared" si="31"/>
        <v>2025</v>
      </c>
    </row>
    <row r="2037" spans="2:7" x14ac:dyDescent="0.25">
      <c r="B2037" s="242"/>
      <c r="C2037" s="243">
        <v>976</v>
      </c>
      <c r="D2037" s="243"/>
      <c r="E2037" s="243"/>
      <c r="F2037" s="244" t="s">
        <v>548</v>
      </c>
      <c r="G2037" s="241">
        <f t="shared" si="31"/>
        <v>2026</v>
      </c>
    </row>
    <row r="2038" spans="2:7" x14ac:dyDescent="0.25">
      <c r="B2038" s="242"/>
      <c r="C2038" s="243"/>
      <c r="D2038" s="243">
        <v>9761</v>
      </c>
      <c r="E2038" s="243"/>
      <c r="F2038" s="244" t="s">
        <v>548</v>
      </c>
      <c r="G2038" s="241">
        <f t="shared" si="31"/>
        <v>2027</v>
      </c>
    </row>
    <row r="2039" spans="2:7" x14ac:dyDescent="0.25">
      <c r="B2039" s="242"/>
      <c r="C2039" s="243">
        <v>977</v>
      </c>
      <c r="D2039" s="243"/>
      <c r="E2039" s="243"/>
      <c r="F2039" s="244" t="s">
        <v>547</v>
      </c>
      <c r="G2039" s="241">
        <f t="shared" si="31"/>
        <v>2028</v>
      </c>
    </row>
    <row r="2040" spans="2:7" x14ac:dyDescent="0.25">
      <c r="B2040" s="242"/>
      <c r="C2040" s="243"/>
      <c r="D2040" s="243">
        <v>9771</v>
      </c>
      <c r="E2040" s="243"/>
      <c r="F2040" s="244" t="s">
        <v>547</v>
      </c>
      <c r="G2040" s="241">
        <f t="shared" si="31"/>
        <v>2029</v>
      </c>
    </row>
    <row r="2041" spans="2:7" x14ac:dyDescent="0.25">
      <c r="B2041" s="242"/>
      <c r="C2041" s="243">
        <v>978</v>
      </c>
      <c r="D2041" s="243"/>
      <c r="E2041" s="243"/>
      <c r="F2041" s="244" t="s">
        <v>546</v>
      </c>
      <c r="G2041" s="241">
        <f t="shared" si="31"/>
        <v>2030</v>
      </c>
    </row>
    <row r="2042" spans="2:7" x14ac:dyDescent="0.25">
      <c r="B2042" s="242"/>
      <c r="C2042" s="243"/>
      <c r="D2042" s="243">
        <v>9781</v>
      </c>
      <c r="E2042" s="243"/>
      <c r="F2042" s="244" t="s">
        <v>546</v>
      </c>
      <c r="G2042" s="241">
        <f t="shared" si="31"/>
        <v>2031</v>
      </c>
    </row>
    <row r="2043" spans="2:7" x14ac:dyDescent="0.25">
      <c r="B2043" s="242"/>
      <c r="C2043" s="243">
        <v>979</v>
      </c>
      <c r="D2043" s="243"/>
      <c r="E2043" s="243"/>
      <c r="F2043" s="244" t="s">
        <v>545</v>
      </c>
      <c r="G2043" s="241">
        <f t="shared" si="31"/>
        <v>2032</v>
      </c>
    </row>
    <row r="2044" spans="2:7" x14ac:dyDescent="0.25">
      <c r="B2044" s="242"/>
      <c r="C2044" s="243"/>
      <c r="D2044" s="243">
        <v>9791</v>
      </c>
      <c r="E2044" s="243"/>
      <c r="F2044" s="244" t="s">
        <v>544</v>
      </c>
      <c r="G2044" s="241">
        <f t="shared" si="31"/>
        <v>2033</v>
      </c>
    </row>
    <row r="2045" spans="2:7" x14ac:dyDescent="0.25">
      <c r="B2045" s="242">
        <v>1</v>
      </c>
      <c r="C2045" s="243"/>
      <c r="D2045" s="243"/>
      <c r="E2045" s="243"/>
      <c r="F2045" s="244" t="s">
        <v>543</v>
      </c>
      <c r="G2045" s="241">
        <f t="shared" si="31"/>
        <v>2034</v>
      </c>
    </row>
    <row r="2046" spans="2:7" x14ac:dyDescent="0.25">
      <c r="B2046" s="242">
        <v>11</v>
      </c>
      <c r="C2046" s="243"/>
      <c r="D2046" s="243"/>
      <c r="E2046" s="243"/>
      <c r="F2046" s="244" t="s">
        <v>542</v>
      </c>
      <c r="G2046" s="241">
        <f t="shared" si="31"/>
        <v>2035</v>
      </c>
    </row>
    <row r="2047" spans="2:7" x14ac:dyDescent="0.25">
      <c r="B2047" s="242"/>
      <c r="C2047" s="243">
        <v>111</v>
      </c>
      <c r="D2047" s="243"/>
      <c r="E2047" s="243"/>
      <c r="F2047" s="244" t="s">
        <v>541</v>
      </c>
      <c r="G2047" s="241">
        <f t="shared" si="31"/>
        <v>2036</v>
      </c>
    </row>
    <row r="2048" spans="2:7" x14ac:dyDescent="0.25">
      <c r="B2048" s="242"/>
      <c r="C2048" s="243">
        <v>112</v>
      </c>
      <c r="D2048" s="243"/>
      <c r="E2048" s="243"/>
      <c r="F2048" s="244" t="s">
        <v>540</v>
      </c>
      <c r="G2048" s="241">
        <f t="shared" si="31"/>
        <v>2037</v>
      </c>
    </row>
    <row r="2049" spans="2:7" x14ac:dyDescent="0.25">
      <c r="B2049" s="242">
        <v>12</v>
      </c>
      <c r="C2049" s="243"/>
      <c r="D2049" s="243"/>
      <c r="E2049" s="243"/>
      <c r="F2049" s="244" t="s">
        <v>539</v>
      </c>
      <c r="G2049" s="241">
        <f t="shared" si="31"/>
        <v>2038</v>
      </c>
    </row>
    <row r="2050" spans="2:7" x14ac:dyDescent="0.25">
      <c r="B2050" s="242"/>
      <c r="C2050" s="243">
        <v>121</v>
      </c>
      <c r="D2050" s="243"/>
      <c r="E2050" s="243"/>
      <c r="F2050" s="244" t="s">
        <v>525</v>
      </c>
      <c r="G2050" s="241">
        <f t="shared" si="31"/>
        <v>2039</v>
      </c>
    </row>
    <row r="2051" spans="2:7" x14ac:dyDescent="0.25">
      <c r="B2051" s="242"/>
      <c r="C2051" s="243">
        <v>122</v>
      </c>
      <c r="D2051" s="243"/>
      <c r="E2051" s="243"/>
      <c r="F2051" s="244" t="s">
        <v>524</v>
      </c>
      <c r="G2051" s="241">
        <f t="shared" si="31"/>
        <v>2040</v>
      </c>
    </row>
    <row r="2052" spans="2:7" x14ac:dyDescent="0.25">
      <c r="B2052" s="242"/>
      <c r="C2052" s="243">
        <v>123</v>
      </c>
      <c r="D2052" s="243"/>
      <c r="E2052" s="243"/>
      <c r="F2052" s="244" t="s">
        <v>365</v>
      </c>
      <c r="G2052" s="241">
        <f t="shared" si="31"/>
        <v>2041</v>
      </c>
    </row>
    <row r="2053" spans="2:7" x14ac:dyDescent="0.25">
      <c r="B2053" s="242"/>
      <c r="C2053" s="243">
        <v>124</v>
      </c>
      <c r="D2053" s="243"/>
      <c r="E2053" s="243"/>
      <c r="F2053" s="244" t="s">
        <v>523</v>
      </c>
      <c r="G2053" s="241">
        <f t="shared" si="31"/>
        <v>2042</v>
      </c>
    </row>
    <row r="2054" spans="2:7" x14ac:dyDescent="0.25">
      <c r="B2054" s="242"/>
      <c r="C2054" s="243">
        <v>125</v>
      </c>
      <c r="D2054" s="243"/>
      <c r="E2054" s="243"/>
      <c r="F2054" s="244" t="s">
        <v>522</v>
      </c>
      <c r="G2054" s="241">
        <f t="shared" si="31"/>
        <v>2043</v>
      </c>
    </row>
    <row r="2055" spans="2:7" x14ac:dyDescent="0.25">
      <c r="B2055" s="242"/>
      <c r="C2055" s="243">
        <v>126</v>
      </c>
      <c r="D2055" s="243"/>
      <c r="E2055" s="243"/>
      <c r="F2055" s="244" t="s">
        <v>432</v>
      </c>
      <c r="G2055" s="241">
        <f t="shared" si="31"/>
        <v>2044</v>
      </c>
    </row>
    <row r="2056" spans="2:7" x14ac:dyDescent="0.25">
      <c r="B2056" s="242"/>
      <c r="C2056" s="243">
        <v>127</v>
      </c>
      <c r="D2056" s="243"/>
      <c r="E2056" s="243"/>
      <c r="F2056" s="244" t="s">
        <v>521</v>
      </c>
      <c r="G2056" s="241">
        <f t="shared" si="31"/>
        <v>2045</v>
      </c>
    </row>
    <row r="2057" spans="2:7" x14ac:dyDescent="0.25">
      <c r="B2057" s="242"/>
      <c r="C2057" s="243">
        <v>128</v>
      </c>
      <c r="D2057" s="243"/>
      <c r="E2057" s="243"/>
      <c r="F2057" s="244" t="s">
        <v>520</v>
      </c>
      <c r="G2057" s="241">
        <f t="shared" si="31"/>
        <v>2046</v>
      </c>
    </row>
    <row r="2058" spans="2:7" x14ac:dyDescent="0.25">
      <c r="B2058" s="242">
        <v>13</v>
      </c>
      <c r="C2058" s="243"/>
      <c r="D2058" s="243"/>
      <c r="E2058" s="243"/>
      <c r="F2058" s="244" t="s">
        <v>538</v>
      </c>
      <c r="G2058" s="241">
        <f t="shared" si="31"/>
        <v>2047</v>
      </c>
    </row>
    <row r="2059" spans="2:7" x14ac:dyDescent="0.25">
      <c r="B2059" s="242">
        <v>2</v>
      </c>
      <c r="C2059" s="243"/>
      <c r="D2059" s="243"/>
      <c r="E2059" s="243"/>
      <c r="F2059" s="244" t="s">
        <v>1579</v>
      </c>
      <c r="G2059" s="241">
        <f t="shared" si="31"/>
        <v>2048</v>
      </c>
    </row>
    <row r="2060" spans="2:7" x14ac:dyDescent="0.25">
      <c r="B2060" s="242">
        <v>21</v>
      </c>
      <c r="C2060" s="243"/>
      <c r="D2060" s="243"/>
      <c r="E2060" s="243"/>
      <c r="F2060" s="244" t="s">
        <v>1580</v>
      </c>
      <c r="G2060" s="241">
        <f t="shared" si="31"/>
        <v>2049</v>
      </c>
    </row>
    <row r="2061" spans="2:7" x14ac:dyDescent="0.25">
      <c r="B2061" s="242"/>
      <c r="C2061" s="243">
        <v>211</v>
      </c>
      <c r="D2061" s="243"/>
      <c r="E2061" s="243"/>
      <c r="F2061" s="244" t="s">
        <v>1578</v>
      </c>
      <c r="G2061" s="241">
        <f t="shared" ref="G2061:G2104" si="32">G2060+1</f>
        <v>2050</v>
      </c>
    </row>
    <row r="2062" spans="2:7" x14ac:dyDescent="0.25">
      <c r="B2062" s="242"/>
      <c r="C2062" s="243">
        <v>212</v>
      </c>
      <c r="D2062" s="243"/>
      <c r="E2062" s="243"/>
      <c r="F2062" s="244" t="s">
        <v>1257</v>
      </c>
      <c r="G2062" s="241">
        <f t="shared" si="32"/>
        <v>2051</v>
      </c>
    </row>
    <row r="2063" spans="2:7" x14ac:dyDescent="0.25">
      <c r="B2063" s="242"/>
      <c r="C2063" s="243">
        <v>213</v>
      </c>
      <c r="D2063" s="243"/>
      <c r="E2063" s="243"/>
      <c r="F2063" s="244" t="s">
        <v>633</v>
      </c>
      <c r="G2063" s="241">
        <f t="shared" si="32"/>
        <v>2052</v>
      </c>
    </row>
    <row r="2064" spans="2:7" x14ac:dyDescent="0.25">
      <c r="B2064" s="242">
        <v>22</v>
      </c>
      <c r="C2064" s="243"/>
      <c r="D2064" s="243"/>
      <c r="E2064" s="243"/>
      <c r="F2064" s="244" t="s">
        <v>1581</v>
      </c>
      <c r="G2064" s="241">
        <f t="shared" si="32"/>
        <v>2053</v>
      </c>
    </row>
    <row r="2065" spans="2:7" x14ac:dyDescent="0.25">
      <c r="B2065" s="242"/>
      <c r="C2065" s="243">
        <v>221</v>
      </c>
      <c r="D2065" s="243"/>
      <c r="E2065" s="243"/>
      <c r="F2065" s="244" t="s">
        <v>518</v>
      </c>
      <c r="G2065" s="241">
        <f t="shared" si="32"/>
        <v>2054</v>
      </c>
    </row>
    <row r="2066" spans="2:7" x14ac:dyDescent="0.25">
      <c r="B2066" s="242"/>
      <c r="C2066" s="243">
        <v>222</v>
      </c>
      <c r="D2066" s="243"/>
      <c r="E2066" s="243"/>
      <c r="F2066" s="244" t="s">
        <v>517</v>
      </c>
      <c r="G2066" s="241">
        <f t="shared" si="32"/>
        <v>2055</v>
      </c>
    </row>
    <row r="2067" spans="2:7" x14ac:dyDescent="0.25">
      <c r="B2067" s="242"/>
      <c r="C2067" s="243">
        <v>223</v>
      </c>
      <c r="D2067" s="243"/>
      <c r="E2067" s="243"/>
      <c r="F2067" s="244" t="s">
        <v>516</v>
      </c>
      <c r="G2067" s="241">
        <f t="shared" si="32"/>
        <v>2056</v>
      </c>
    </row>
    <row r="2068" spans="2:7" x14ac:dyDescent="0.25">
      <c r="B2068" s="242"/>
      <c r="C2068" s="243">
        <v>224</v>
      </c>
      <c r="D2068" s="243"/>
      <c r="E2068" s="243"/>
      <c r="F2068" s="244" t="s">
        <v>515</v>
      </c>
      <c r="G2068" s="241">
        <f t="shared" si="32"/>
        <v>2057</v>
      </c>
    </row>
    <row r="2069" spans="2:7" x14ac:dyDescent="0.25">
      <c r="B2069" s="242">
        <v>3</v>
      </c>
      <c r="C2069" s="243"/>
      <c r="D2069" s="243"/>
      <c r="E2069" s="243"/>
      <c r="F2069" s="244" t="s">
        <v>537</v>
      </c>
      <c r="G2069" s="241">
        <f t="shared" si="32"/>
        <v>2058</v>
      </c>
    </row>
    <row r="2070" spans="2:7" x14ac:dyDescent="0.25">
      <c r="B2070" s="242">
        <v>31</v>
      </c>
      <c r="C2070" s="243"/>
      <c r="D2070" s="243"/>
      <c r="E2070" s="243"/>
      <c r="F2070" s="244" t="s">
        <v>536</v>
      </c>
      <c r="G2070" s="241">
        <f t="shared" si="32"/>
        <v>2059</v>
      </c>
    </row>
    <row r="2071" spans="2:7" x14ac:dyDescent="0.25">
      <c r="B2071" s="242"/>
      <c r="C2071" s="243">
        <v>311</v>
      </c>
      <c r="D2071" s="243"/>
      <c r="E2071" s="243"/>
      <c r="F2071" s="244" t="s">
        <v>535</v>
      </c>
      <c r="G2071" s="241">
        <f t="shared" si="32"/>
        <v>2060</v>
      </c>
    </row>
    <row r="2072" spans="2:7" x14ac:dyDescent="0.25">
      <c r="B2072" s="242"/>
      <c r="C2072" s="243">
        <v>312</v>
      </c>
      <c r="D2072" s="243"/>
      <c r="E2072" s="243"/>
      <c r="F2072" s="244" t="s">
        <v>534</v>
      </c>
      <c r="G2072" s="241">
        <f t="shared" si="32"/>
        <v>2061</v>
      </c>
    </row>
    <row r="2073" spans="2:7" x14ac:dyDescent="0.25">
      <c r="B2073" s="242">
        <v>32</v>
      </c>
      <c r="C2073" s="243"/>
      <c r="D2073" s="243"/>
      <c r="E2073" s="243"/>
      <c r="F2073" s="244" t="s">
        <v>533</v>
      </c>
      <c r="G2073" s="241">
        <f t="shared" si="32"/>
        <v>2062</v>
      </c>
    </row>
    <row r="2074" spans="2:7" x14ac:dyDescent="0.25">
      <c r="B2074" s="242"/>
      <c r="C2074" s="243">
        <v>321</v>
      </c>
      <c r="D2074" s="243"/>
      <c r="E2074" s="243"/>
      <c r="F2074" s="244" t="s">
        <v>532</v>
      </c>
      <c r="G2074" s="241">
        <f t="shared" si="32"/>
        <v>2063</v>
      </c>
    </row>
    <row r="2075" spans="2:7" x14ac:dyDescent="0.25">
      <c r="B2075" s="242"/>
      <c r="C2075" s="243">
        <v>322</v>
      </c>
      <c r="D2075" s="243"/>
      <c r="E2075" s="243"/>
      <c r="F2075" s="244" t="s">
        <v>432</v>
      </c>
      <c r="G2075" s="241">
        <f t="shared" si="32"/>
        <v>2064</v>
      </c>
    </row>
    <row r="2076" spans="2:7" x14ac:dyDescent="0.25">
      <c r="B2076" s="242">
        <v>39</v>
      </c>
      <c r="C2076" s="243"/>
      <c r="D2076" s="243"/>
      <c r="E2076" s="243"/>
      <c r="F2076" s="244" t="s">
        <v>513</v>
      </c>
      <c r="G2076" s="241">
        <f t="shared" si="32"/>
        <v>2065</v>
      </c>
    </row>
    <row r="2077" spans="2:7" x14ac:dyDescent="0.25">
      <c r="B2077" s="242">
        <v>4</v>
      </c>
      <c r="C2077" s="243"/>
      <c r="D2077" s="243"/>
      <c r="E2077" s="243"/>
      <c r="F2077" s="244" t="s">
        <v>531</v>
      </c>
      <c r="G2077" s="241">
        <f t="shared" si="32"/>
        <v>2066</v>
      </c>
    </row>
    <row r="2078" spans="2:7" x14ac:dyDescent="0.25">
      <c r="B2078" s="242">
        <v>6</v>
      </c>
      <c r="C2078" s="243"/>
      <c r="D2078" s="243"/>
      <c r="E2078" s="243"/>
      <c r="F2078" s="244" t="s">
        <v>530</v>
      </c>
      <c r="G2078" s="241">
        <f t="shared" si="32"/>
        <v>2067</v>
      </c>
    </row>
    <row r="2079" spans="2:7" x14ac:dyDescent="0.25">
      <c r="B2079" s="242">
        <v>61</v>
      </c>
      <c r="C2079" s="243"/>
      <c r="D2079" s="243"/>
      <c r="E2079" s="243"/>
      <c r="F2079" s="244" t="s">
        <v>529</v>
      </c>
      <c r="G2079" s="241">
        <f t="shared" si="32"/>
        <v>2068</v>
      </c>
    </row>
    <row r="2080" spans="2:7" x14ac:dyDescent="0.25">
      <c r="B2080" s="242"/>
      <c r="C2080" s="243">
        <v>611</v>
      </c>
      <c r="D2080" s="243"/>
      <c r="E2080" s="243"/>
      <c r="F2080" s="244" t="s">
        <v>528</v>
      </c>
      <c r="G2080" s="241">
        <f t="shared" si="32"/>
        <v>2069</v>
      </c>
    </row>
    <row r="2081" spans="2:7" x14ac:dyDescent="0.25">
      <c r="B2081" s="242"/>
      <c r="C2081" s="243">
        <v>612</v>
      </c>
      <c r="D2081" s="243"/>
      <c r="E2081" s="243"/>
      <c r="F2081" s="244" t="s">
        <v>527</v>
      </c>
      <c r="G2081" s="241">
        <f t="shared" si="32"/>
        <v>2070</v>
      </c>
    </row>
    <row r="2082" spans="2:7" x14ac:dyDescent="0.25">
      <c r="B2082" s="242">
        <v>62</v>
      </c>
      <c r="C2082" s="243"/>
      <c r="D2082" s="243"/>
      <c r="E2082" s="243"/>
      <c r="F2082" s="244" t="s">
        <v>526</v>
      </c>
      <c r="G2082" s="241">
        <f t="shared" si="32"/>
        <v>2071</v>
      </c>
    </row>
    <row r="2083" spans="2:7" x14ac:dyDescent="0.25">
      <c r="B2083" s="242"/>
      <c r="C2083" s="243">
        <v>621</v>
      </c>
      <c r="D2083" s="243"/>
      <c r="E2083" s="243"/>
      <c r="F2083" s="244" t="s">
        <v>525</v>
      </c>
      <c r="G2083" s="241">
        <f t="shared" si="32"/>
        <v>2072</v>
      </c>
    </row>
    <row r="2084" spans="2:7" x14ac:dyDescent="0.25">
      <c r="B2084" s="242"/>
      <c r="C2084" s="243">
        <v>622</v>
      </c>
      <c r="D2084" s="243"/>
      <c r="E2084" s="243"/>
      <c r="F2084" s="244" t="s">
        <v>524</v>
      </c>
      <c r="G2084" s="241">
        <f t="shared" si="32"/>
        <v>2073</v>
      </c>
    </row>
    <row r="2085" spans="2:7" x14ac:dyDescent="0.25">
      <c r="B2085" s="242"/>
      <c r="C2085" s="243">
        <v>623</v>
      </c>
      <c r="D2085" s="243"/>
      <c r="E2085" s="243"/>
      <c r="F2085" s="244" t="s">
        <v>365</v>
      </c>
      <c r="G2085" s="241">
        <f t="shared" si="32"/>
        <v>2074</v>
      </c>
    </row>
    <row r="2086" spans="2:7" x14ac:dyDescent="0.25">
      <c r="B2086" s="242"/>
      <c r="C2086" s="243">
        <v>624</v>
      </c>
      <c r="D2086" s="243"/>
      <c r="E2086" s="243"/>
      <c r="F2086" s="244" t="s">
        <v>523</v>
      </c>
      <c r="G2086" s="241">
        <f t="shared" si="32"/>
        <v>2075</v>
      </c>
    </row>
    <row r="2087" spans="2:7" x14ac:dyDescent="0.25">
      <c r="B2087" s="242"/>
      <c r="C2087" s="243">
        <v>625</v>
      </c>
      <c r="D2087" s="243"/>
      <c r="E2087" s="243"/>
      <c r="F2087" s="244" t="s">
        <v>522</v>
      </c>
      <c r="G2087" s="241">
        <f t="shared" si="32"/>
        <v>2076</v>
      </c>
    </row>
    <row r="2088" spans="2:7" x14ac:dyDescent="0.25">
      <c r="B2088" s="242"/>
      <c r="C2088" s="243">
        <v>626</v>
      </c>
      <c r="D2088" s="243"/>
      <c r="E2088" s="243"/>
      <c r="F2088" s="244" t="s">
        <v>432</v>
      </c>
      <c r="G2088" s="241">
        <f t="shared" si="32"/>
        <v>2077</v>
      </c>
    </row>
    <row r="2089" spans="2:7" x14ac:dyDescent="0.25">
      <c r="B2089" s="242"/>
      <c r="C2089" s="243">
        <v>627</v>
      </c>
      <c r="D2089" s="243"/>
      <c r="E2089" s="243"/>
      <c r="F2089" s="244" t="s">
        <v>521</v>
      </c>
      <c r="G2089" s="241">
        <f t="shared" si="32"/>
        <v>2078</v>
      </c>
    </row>
    <row r="2090" spans="2:7" x14ac:dyDescent="0.25">
      <c r="B2090" s="242"/>
      <c r="C2090" s="243">
        <v>628</v>
      </c>
      <c r="D2090" s="243"/>
      <c r="E2090" s="243"/>
      <c r="F2090" s="244" t="s">
        <v>520</v>
      </c>
      <c r="G2090" s="241">
        <f t="shared" si="32"/>
        <v>2079</v>
      </c>
    </row>
    <row r="2091" spans="2:7" x14ac:dyDescent="0.25">
      <c r="B2091" s="242">
        <v>63</v>
      </c>
      <c r="C2091" s="243"/>
      <c r="D2091" s="243"/>
      <c r="E2091" s="243"/>
      <c r="F2091" s="244" t="s">
        <v>519</v>
      </c>
      <c r="G2091" s="241">
        <f t="shared" si="32"/>
        <v>2080</v>
      </c>
    </row>
    <row r="2092" spans="2:7" x14ac:dyDescent="0.25">
      <c r="B2092" s="242">
        <v>7</v>
      </c>
      <c r="C2092" s="243"/>
      <c r="D2092" s="243"/>
      <c r="E2092" s="243"/>
      <c r="F2092" s="244" t="s">
        <v>1582</v>
      </c>
      <c r="G2092" s="241">
        <f t="shared" si="32"/>
        <v>2081</v>
      </c>
    </row>
    <row r="2093" spans="2:7" x14ac:dyDescent="0.25">
      <c r="B2093" s="242">
        <v>71</v>
      </c>
      <c r="C2093" s="243"/>
      <c r="D2093" s="243"/>
      <c r="E2093" s="243"/>
      <c r="F2093" s="244" t="s">
        <v>1580</v>
      </c>
      <c r="G2093" s="241">
        <f t="shared" si="32"/>
        <v>2082</v>
      </c>
    </row>
    <row r="2094" spans="2:7" x14ac:dyDescent="0.25">
      <c r="B2094" s="242"/>
      <c r="C2094" s="243">
        <v>711</v>
      </c>
      <c r="D2094" s="243"/>
      <c r="E2094" s="243"/>
      <c r="F2094" s="244" t="s">
        <v>1578</v>
      </c>
      <c r="G2094" s="241">
        <f t="shared" si="32"/>
        <v>2083</v>
      </c>
    </row>
    <row r="2095" spans="2:7" x14ac:dyDescent="0.25">
      <c r="B2095" s="242"/>
      <c r="C2095" s="243">
        <v>712</v>
      </c>
      <c r="D2095" s="243"/>
      <c r="E2095" s="243"/>
      <c r="F2095" s="244" t="s">
        <v>1257</v>
      </c>
      <c r="G2095" s="241">
        <f t="shared" si="32"/>
        <v>2084</v>
      </c>
    </row>
    <row r="2096" spans="2:7" x14ac:dyDescent="0.25">
      <c r="B2096" s="242"/>
      <c r="C2096" s="243">
        <v>713</v>
      </c>
      <c r="D2096" s="243"/>
      <c r="E2096" s="243"/>
      <c r="F2096" s="244" t="s">
        <v>633</v>
      </c>
      <c r="G2096" s="241">
        <f t="shared" si="32"/>
        <v>2085</v>
      </c>
    </row>
    <row r="2097" spans="2:7" x14ac:dyDescent="0.25">
      <c r="B2097" s="242">
        <v>72</v>
      </c>
      <c r="C2097" s="243"/>
      <c r="D2097" s="243"/>
      <c r="E2097" s="243"/>
      <c r="F2097" s="244" t="s">
        <v>1581</v>
      </c>
      <c r="G2097" s="241">
        <f t="shared" si="32"/>
        <v>2086</v>
      </c>
    </row>
    <row r="2098" spans="2:7" x14ac:dyDescent="0.25">
      <c r="B2098" s="242"/>
      <c r="C2098" s="243">
        <v>721</v>
      </c>
      <c r="D2098" s="243"/>
      <c r="E2098" s="243"/>
      <c r="F2098" s="244" t="s">
        <v>518</v>
      </c>
      <c r="G2098" s="241">
        <f t="shared" si="32"/>
        <v>2087</v>
      </c>
    </row>
    <row r="2099" spans="2:7" x14ac:dyDescent="0.25">
      <c r="B2099" s="242"/>
      <c r="C2099" s="243">
        <v>722</v>
      </c>
      <c r="D2099" s="243"/>
      <c r="E2099" s="243"/>
      <c r="F2099" s="244" t="s">
        <v>517</v>
      </c>
      <c r="G2099" s="241">
        <f t="shared" si="32"/>
        <v>2088</v>
      </c>
    </row>
    <row r="2100" spans="2:7" x14ac:dyDescent="0.25">
      <c r="B2100" s="242"/>
      <c r="C2100" s="243">
        <v>723</v>
      </c>
      <c r="D2100" s="243"/>
      <c r="E2100" s="243"/>
      <c r="F2100" s="244" t="s">
        <v>516</v>
      </c>
      <c r="G2100" s="241">
        <f t="shared" si="32"/>
        <v>2089</v>
      </c>
    </row>
    <row r="2101" spans="2:7" x14ac:dyDescent="0.25">
      <c r="B2101" s="242"/>
      <c r="C2101" s="243">
        <v>724</v>
      </c>
      <c r="D2101" s="243"/>
      <c r="E2101" s="243"/>
      <c r="F2101" s="244" t="s">
        <v>515</v>
      </c>
      <c r="G2101" s="241">
        <f t="shared" si="32"/>
        <v>2090</v>
      </c>
    </row>
    <row r="2102" spans="2:7" x14ac:dyDescent="0.25">
      <c r="B2102" s="242">
        <v>8</v>
      </c>
      <c r="C2102" s="243"/>
      <c r="D2102" s="243"/>
      <c r="E2102" s="243"/>
      <c r="F2102" s="244" t="s">
        <v>514</v>
      </c>
      <c r="G2102" s="241">
        <f t="shared" si="32"/>
        <v>2091</v>
      </c>
    </row>
    <row r="2103" spans="2:7" x14ac:dyDescent="0.25">
      <c r="B2103" s="242">
        <v>89</v>
      </c>
      <c r="C2103" s="243"/>
      <c r="D2103" s="243"/>
      <c r="E2103" s="243"/>
      <c r="F2103" s="244" t="s">
        <v>513</v>
      </c>
      <c r="G2103" s="241">
        <f t="shared" si="32"/>
        <v>2092</v>
      </c>
    </row>
    <row r="2104" spans="2:7" x14ac:dyDescent="0.25">
      <c r="B2104" s="245">
        <v>9</v>
      </c>
      <c r="C2104" s="246"/>
      <c r="D2104" s="246"/>
      <c r="E2104" s="246"/>
      <c r="F2104" s="247" t="s">
        <v>512</v>
      </c>
      <c r="G2104" s="241">
        <f t="shared" si="32"/>
        <v>2093</v>
      </c>
    </row>
  </sheetData>
  <mergeCells count="1">
    <mergeCell ref="F8:G8"/>
  </mergeCells>
  <conditionalFormatting sqref="B13:E2104">
    <cfRule type="expression" dxfId="186" priority="14">
      <formula>B13&lt;100</formula>
    </cfRule>
  </conditionalFormatting>
  <conditionalFormatting sqref="B12:E1036 D1037:D1038 B1039:E2104">
    <cfRule type="expression" dxfId="185" priority="12">
      <formula>B12&gt;99</formula>
    </cfRule>
    <cfRule type="expression" dxfId="184" priority="13">
      <formula>B12&lt;100</formula>
    </cfRule>
  </conditionalFormatting>
  <conditionalFormatting sqref="F13:F2104">
    <cfRule type="expression" dxfId="183" priority="10">
      <formula>#REF!&gt;99</formula>
    </cfRule>
    <cfRule type="expression" dxfId="182" priority="11">
      <formula>#REF!&lt;100</formula>
    </cfRule>
  </conditionalFormatting>
  <conditionalFormatting sqref="F13:F2104">
    <cfRule type="expression" dxfId="181" priority="7">
      <formula>#REF!&lt;100</formula>
    </cfRule>
  </conditionalFormatting>
  <conditionalFormatting sqref="F12">
    <cfRule type="expression" dxfId="180" priority="6" stopIfTrue="1">
      <formula>$B12&lt;100</formula>
    </cfRule>
  </conditionalFormatting>
  <conditionalFormatting sqref="F13:F2104">
    <cfRule type="expression" dxfId="179" priority="5" stopIfTrue="1">
      <formula>$B13</formula>
    </cfRule>
  </conditionalFormatting>
  <conditionalFormatting sqref="F713">
    <cfRule type="expression" dxfId="178" priority="3">
      <formula>E716&gt;99</formula>
    </cfRule>
    <cfRule type="expression" dxfId="177" priority="4">
      <formula>E716&lt;100</formula>
    </cfRule>
  </conditionalFormatting>
  <conditionalFormatting sqref="F715">
    <cfRule type="expression" dxfId="176" priority="1">
      <formula>E722&gt;99</formula>
    </cfRule>
    <cfRule type="expression" dxfId="175" priority="2">
      <formula>E722&lt;100</formula>
    </cfRule>
  </conditionalFormatting>
  <dataValidations count="4">
    <dataValidation type="whole" allowBlank="1" showInputMessage="1" showErrorMessage="1" errorTitle="ERROR EN LA CUENTA DE 5 DÍGITOS" error="La subcuenta contable que acabas de ingresar es incorrecta, sólo es permitido ingresar subcuentas de cinco dígitos._x000a__x000a_Atte._x000a__x000a_Alex Tejada" sqref="E12:E2104">
      <formula1>10111</formula1>
      <formula2>99999</formula2>
    </dataValidation>
    <dataValidation type="whole" allowBlank="1" showInputMessage="1" showErrorMessage="1" errorTitle="ERROR EN LA CUENTA DE 4 DÍGITOS" error="La subcuenta contable que acabas de ingresar es incorrecta, sólo es permitido ingresar subcuentas de cuatro dígitos._x000a__x000a_Atte._x000a__x000a_Alex Tejada" sqref="D12:D2104">
      <formula1>1011</formula1>
      <formula2>9999</formula2>
    </dataValidation>
    <dataValidation type="whole" allowBlank="1" showInputMessage="1" showErrorMessage="1" errorTitle="ERROR EN LA CUENTA DE 3 DÍGITOS" error="La subcuenta contable que acabas de ingresar es incorrecta, sólo es permitido ingresar subcuentas de tres dígitos._x000a__x000a_Atte._x000a__x000a_Alex Tejada" sqref="C12:C2104">
      <formula1>101</formula1>
      <formula2>999</formula2>
    </dataValidation>
    <dataValidation type="whole" allowBlank="1" showErrorMessage="1" errorTitle="ERROR EN LA CUENTA PRINCIPAL" error="La cuenta contable que acabas de ingresar es incorrecta, sólo es permitido ingresar cuentas principales._x000a__x000a_Atte._x000a__x000a_Alex Tejada" sqref="B12:B2104">
      <formula1>10</formula1>
      <formula2>99</formula2>
    </dataValidation>
  </dataValidations>
  <printOptions horizontalCentered="1"/>
  <pageMargins left="0.19685039370078741" right="0.19685039370078741" top="0.39370078740157483" bottom="0.19685039370078741" header="0" footer="0"/>
  <pageSetup paperSize="9" scale="98" fitToHeight="50" orientation="portrait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6"/>
    <pageSetUpPr fitToPage="1"/>
  </sheetPr>
  <dimension ref="B2:J169"/>
  <sheetViews>
    <sheetView showGridLines="0" topLeftCell="A147" zoomScale="70" zoomScaleNormal="70" workbookViewId="0">
      <selection activeCell="I169" sqref="I169"/>
    </sheetView>
  </sheetViews>
  <sheetFormatPr baseColWidth="10" defaultColWidth="11.44140625" defaultRowHeight="15.6" x14ac:dyDescent="0.25"/>
  <cols>
    <col min="1" max="1" width="3.6640625" style="3" customWidth="1"/>
    <col min="2" max="2" width="6.5546875" style="3" customWidth="1"/>
    <col min="3" max="5" width="11.6640625" style="3" customWidth="1"/>
    <col min="6" max="6" width="95.6640625" style="3" customWidth="1"/>
    <col min="7" max="7" width="20.109375" style="3" bestFit="1" customWidth="1"/>
    <col min="8" max="8" width="23" style="3" customWidth="1"/>
    <col min="9" max="9" width="21.44140625" style="3" customWidth="1"/>
    <col min="10" max="10" width="22.88671875" style="3" customWidth="1"/>
    <col min="11" max="11" width="3.6640625" style="3" customWidth="1"/>
    <col min="12" max="16384" width="11.44140625" style="3"/>
  </cols>
  <sheetData>
    <row r="2" spans="2:10" x14ac:dyDescent="0.25">
      <c r="B2" s="230" t="s">
        <v>321</v>
      </c>
      <c r="C2" s="7"/>
      <c r="E2" s="317" t="str">
        <f>'Base de Datos'!$C$148</f>
        <v>LIBRO DIARIO</v>
      </c>
      <c r="F2" s="317"/>
    </row>
    <row r="3" spans="2:10" x14ac:dyDescent="0.25">
      <c r="B3" s="1"/>
      <c r="C3" s="7"/>
      <c r="E3" s="2"/>
      <c r="F3" s="7"/>
    </row>
    <row r="4" spans="2:10" x14ac:dyDescent="0.25">
      <c r="B4" s="230" t="s">
        <v>322</v>
      </c>
      <c r="C4" s="7"/>
      <c r="E4" s="317" t="str">
        <f>'Base de Datos'!$C$8</f>
        <v>MARZO</v>
      </c>
      <c r="F4" s="317"/>
    </row>
    <row r="5" spans="2:10" x14ac:dyDescent="0.25">
      <c r="B5" s="1"/>
      <c r="C5" s="7"/>
      <c r="E5" s="2"/>
      <c r="F5" s="7"/>
    </row>
    <row r="6" spans="2:10" x14ac:dyDescent="0.25">
      <c r="B6" s="230" t="s">
        <v>323</v>
      </c>
      <c r="C6" s="7"/>
      <c r="E6" s="316">
        <f>'Base de Datos'!$C$9</f>
        <v>2015</v>
      </c>
      <c r="F6" s="316"/>
    </row>
    <row r="7" spans="2:10" x14ac:dyDescent="0.25">
      <c r="B7" s="1"/>
      <c r="C7" s="7"/>
      <c r="E7" s="2"/>
      <c r="F7" s="7"/>
    </row>
    <row r="8" spans="2:10" x14ac:dyDescent="0.25">
      <c r="B8" s="230" t="s">
        <v>324</v>
      </c>
      <c r="C8" s="7"/>
      <c r="E8" s="316">
        <f>'Base de Datos'!$C$6</f>
        <v>20411074561</v>
      </c>
      <c r="F8" s="316"/>
    </row>
    <row r="9" spans="2:10" x14ac:dyDescent="0.25">
      <c r="B9" s="1"/>
      <c r="C9" s="7"/>
      <c r="E9" s="2"/>
      <c r="F9" s="7"/>
    </row>
    <row r="10" spans="2:10" x14ac:dyDescent="0.25">
      <c r="B10" s="230" t="s">
        <v>325</v>
      </c>
      <c r="C10" s="7"/>
      <c r="E10" s="316" t="str">
        <f>'Base de Datos'!$C$5</f>
        <v>LOS BAILARINES SRL</v>
      </c>
      <c r="F10" s="316"/>
    </row>
    <row r="12" spans="2:10" ht="16.2" thickBot="1" x14ac:dyDescent="0.3"/>
    <row r="13" spans="2:10" x14ac:dyDescent="0.25">
      <c r="B13" s="318" t="s">
        <v>451</v>
      </c>
      <c r="C13" s="319"/>
      <c r="D13" s="319"/>
      <c r="E13" s="319"/>
      <c r="F13" s="319"/>
      <c r="G13" s="320" t="s">
        <v>452</v>
      </c>
      <c r="H13" s="320" t="s">
        <v>453</v>
      </c>
      <c r="I13" s="320" t="s">
        <v>455</v>
      </c>
      <c r="J13" s="322" t="s">
        <v>456</v>
      </c>
    </row>
    <row r="14" spans="2:10" ht="16.2" thickBot="1" x14ac:dyDescent="0.3">
      <c r="B14" s="258" t="s">
        <v>405</v>
      </c>
      <c r="C14" s="126" t="s">
        <v>457</v>
      </c>
      <c r="D14" s="126" t="s">
        <v>458</v>
      </c>
      <c r="E14" s="126" t="s">
        <v>459</v>
      </c>
      <c r="F14" s="126" t="s">
        <v>372</v>
      </c>
      <c r="G14" s="321"/>
      <c r="H14" s="321"/>
      <c r="I14" s="321"/>
      <c r="J14" s="323"/>
    </row>
    <row r="15" spans="2:10" ht="16.2" thickTop="1" x14ac:dyDescent="0.25">
      <c r="B15" s="259">
        <v>10</v>
      </c>
      <c r="C15" s="135"/>
      <c r="D15" s="134"/>
      <c r="E15" s="136"/>
      <c r="F15" s="127" t="str">
        <f t="shared" ref="F15:F16" si="0">IF(AND(B15="",C15="",D15="",E15=""),"",IF(AND(B15&gt;0,C15&gt;0,D15&gt;0,E15&gt;0),"",IF(B15&gt;0,VLOOKUP(B15,CuentasContables,5,FALSE),IF(C15&gt;0,VLOOKUP(C15,SubCuentasContables,4,FALSE),IF(D15&gt;0,VLOOKUP(D15,DivisionariasContables,3,FALSE),IF(E15&gt;0,VLOOKUP(E15,SubDivisionariasContables,2,FALSE)))))))</f>
        <v>EFECTIVO Y EQUIVALENTES DE EFECTIVO</v>
      </c>
      <c r="G15" s="130"/>
      <c r="H15" s="130"/>
      <c r="I15" s="129">
        <f>G18</f>
        <v>1018450</v>
      </c>
      <c r="J15" s="137"/>
    </row>
    <row r="16" spans="2:10" x14ac:dyDescent="0.25">
      <c r="B16" s="259"/>
      <c r="C16" s="135">
        <v>104</v>
      </c>
      <c r="D16" s="134"/>
      <c r="E16" s="136"/>
      <c r="F16" s="127" t="str">
        <f t="shared" si="0"/>
        <v>Cuentas Corrientes en Instituciones Financieras</v>
      </c>
      <c r="G16" s="130"/>
      <c r="H16" s="130"/>
      <c r="I16" s="129"/>
      <c r="J16" s="137"/>
    </row>
    <row r="17" spans="2:10" x14ac:dyDescent="0.25">
      <c r="B17" s="259"/>
      <c r="C17" s="135"/>
      <c r="D17" s="134">
        <v>1041</v>
      </c>
      <c r="E17" s="136"/>
      <c r="F17" s="127" t="str">
        <f t="shared" ref="F17:F166" si="1">IF(AND(B17="",C17="",D17="",E17=""),"",IF(AND(B17&gt;0,C17&gt;0,D17&gt;0,E17&gt;0),"",IF(B17&gt;0,VLOOKUP(B17,CuentasContables,5,FALSE),IF(C17&gt;0,VLOOKUP(C17,SubCuentasContables,4,FALSE),IF(D17&gt;0,VLOOKUP(D17,DivisionariasContables,3,FALSE),IF(E17&gt;0,VLOOKUP(E17,SubDivisionariasContables,2,FALSE)))))))</f>
        <v>Cuentas Corrientes Operativas</v>
      </c>
      <c r="G17" s="130"/>
      <c r="H17" s="130"/>
      <c r="I17" s="129"/>
      <c r="J17" s="137"/>
    </row>
    <row r="18" spans="2:10" x14ac:dyDescent="0.25">
      <c r="B18" s="259"/>
      <c r="C18" s="135"/>
      <c r="D18" s="134"/>
      <c r="E18" s="136">
        <v>10411</v>
      </c>
      <c r="F18" s="156" t="s">
        <v>1602</v>
      </c>
      <c r="G18" s="130">
        <v>1018450</v>
      </c>
      <c r="H18" s="130"/>
      <c r="I18" s="129"/>
      <c r="J18" s="137"/>
    </row>
    <row r="19" spans="2:10" x14ac:dyDescent="0.25">
      <c r="B19" s="259">
        <v>33</v>
      </c>
      <c r="C19" s="135"/>
      <c r="D19" s="134"/>
      <c r="E19" s="136"/>
      <c r="F19" s="127" t="str">
        <f t="shared" si="1"/>
        <v>INMUEBLES, MAQUINARIA Y EQUIPO</v>
      </c>
      <c r="G19" s="130"/>
      <c r="H19" s="130"/>
      <c r="I19" s="129">
        <f>G21+G23</f>
        <v>188450</v>
      </c>
      <c r="J19" s="137"/>
    </row>
    <row r="20" spans="2:10" x14ac:dyDescent="0.25">
      <c r="B20" s="259"/>
      <c r="C20" s="135">
        <v>335</v>
      </c>
      <c r="D20" s="134"/>
      <c r="E20" s="136"/>
      <c r="F20" s="127" t="str">
        <f t="shared" si="1"/>
        <v>Muebles y Enseres</v>
      </c>
      <c r="G20" s="130"/>
      <c r="H20" s="130"/>
      <c r="I20" s="129"/>
      <c r="J20" s="137"/>
    </row>
    <row r="21" spans="2:10" x14ac:dyDescent="0.25">
      <c r="B21" s="259"/>
      <c r="C21" s="135"/>
      <c r="D21" s="134">
        <v>3351</v>
      </c>
      <c r="E21" s="136"/>
      <c r="F21" s="127" t="str">
        <f t="shared" si="1"/>
        <v>Muebles y Enseres - Muebles</v>
      </c>
      <c r="G21" s="130">
        <v>103800</v>
      </c>
      <c r="H21" s="130"/>
      <c r="I21" s="129"/>
      <c r="J21" s="137"/>
    </row>
    <row r="22" spans="2:10" x14ac:dyDescent="0.25">
      <c r="B22" s="259"/>
      <c r="C22" s="135">
        <v>336</v>
      </c>
      <c r="D22" s="134"/>
      <c r="E22" s="136"/>
      <c r="F22" s="127" t="str">
        <f t="shared" si="1"/>
        <v>Equipos Diversos</v>
      </c>
      <c r="G22" s="130"/>
      <c r="H22" s="130"/>
      <c r="I22" s="129"/>
      <c r="J22" s="137"/>
    </row>
    <row r="23" spans="2:10" x14ac:dyDescent="0.25">
      <c r="B23" s="259"/>
      <c r="C23" s="135"/>
      <c r="D23" s="134">
        <v>3361</v>
      </c>
      <c r="E23" s="136"/>
      <c r="F23" s="127" t="str">
        <f t="shared" si="1"/>
        <v>Equipo para Procesamiento de Información (de Cómputo)</v>
      </c>
      <c r="G23" s="130">
        <v>84650</v>
      </c>
      <c r="H23" s="130"/>
      <c r="I23" s="129"/>
      <c r="J23" s="137"/>
    </row>
    <row r="24" spans="2:10" x14ac:dyDescent="0.25">
      <c r="B24" s="259">
        <v>50</v>
      </c>
      <c r="C24" s="135"/>
      <c r="D24" s="134"/>
      <c r="E24" s="136"/>
      <c r="F24" s="156" t="s">
        <v>397</v>
      </c>
      <c r="G24" s="130"/>
      <c r="H24" s="130"/>
      <c r="I24" s="129"/>
      <c r="J24" s="137">
        <f>H25</f>
        <v>1206900</v>
      </c>
    </row>
    <row r="25" spans="2:10" x14ac:dyDescent="0.25">
      <c r="B25" s="259"/>
      <c r="C25" s="135">
        <v>501</v>
      </c>
      <c r="D25" s="134"/>
      <c r="E25" s="136"/>
      <c r="F25" s="127" t="str">
        <f t="shared" si="1"/>
        <v>Capital Social</v>
      </c>
      <c r="G25" s="130"/>
      <c r="H25" s="130">
        <v>1206900</v>
      </c>
      <c r="I25" s="129"/>
      <c r="J25" s="137"/>
    </row>
    <row r="26" spans="2:10" x14ac:dyDescent="0.25">
      <c r="B26" s="259"/>
      <c r="C26" s="135"/>
      <c r="D26" s="134"/>
      <c r="E26" s="136"/>
      <c r="F26" s="313" t="s">
        <v>1603</v>
      </c>
      <c r="G26" s="130"/>
      <c r="H26" s="130"/>
      <c r="I26" s="129"/>
      <c r="J26" s="137"/>
    </row>
    <row r="27" spans="2:10" x14ac:dyDescent="0.25">
      <c r="B27" s="299">
        <v>60</v>
      </c>
      <c r="C27" s="300"/>
      <c r="D27" s="301"/>
      <c r="E27" s="302"/>
      <c r="F27" s="303" t="str">
        <f t="shared" si="1"/>
        <v>COMPRAS</v>
      </c>
      <c r="G27" s="304"/>
      <c r="H27" s="304"/>
      <c r="I27" s="305">
        <f>G30</f>
        <v>154100</v>
      </c>
      <c r="J27" s="306"/>
    </row>
    <row r="28" spans="2:10" x14ac:dyDescent="0.25">
      <c r="B28" s="259"/>
      <c r="C28" s="135">
        <v>601</v>
      </c>
      <c r="D28" s="134"/>
      <c r="E28" s="136"/>
      <c r="F28" s="127" t="str">
        <f t="shared" si="1"/>
        <v>Mercaderías</v>
      </c>
      <c r="G28" s="130"/>
      <c r="H28" s="130"/>
      <c r="I28" s="129"/>
      <c r="J28" s="137"/>
    </row>
    <row r="29" spans="2:10" x14ac:dyDescent="0.25">
      <c r="B29" s="259"/>
      <c r="C29" s="135"/>
      <c r="D29" s="134">
        <v>6011</v>
      </c>
      <c r="E29" s="136"/>
      <c r="F29" s="127" t="str">
        <f t="shared" si="1"/>
        <v>Mercaderías - Mercaderías Manufacturadas</v>
      </c>
      <c r="G29" s="130"/>
      <c r="H29" s="130"/>
      <c r="I29" s="129"/>
      <c r="J29" s="137"/>
    </row>
    <row r="30" spans="2:10" x14ac:dyDescent="0.25">
      <c r="B30" s="259"/>
      <c r="C30" s="135"/>
      <c r="D30" s="134"/>
      <c r="E30" s="136">
        <v>60111</v>
      </c>
      <c r="F30" s="127" t="e">
        <f t="shared" si="1"/>
        <v>#N/A</v>
      </c>
      <c r="G30" s="130">
        <f>134*1150</f>
        <v>154100</v>
      </c>
      <c r="H30" s="130"/>
      <c r="I30" s="129"/>
      <c r="J30" s="137"/>
    </row>
    <row r="31" spans="2:10" x14ac:dyDescent="0.25">
      <c r="B31" s="259">
        <v>40</v>
      </c>
      <c r="C31" s="135"/>
      <c r="D31" s="134"/>
      <c r="E31" s="136"/>
      <c r="F31" s="127" t="str">
        <f t="shared" si="1"/>
        <v>TRIBUTOS, CONTRAPRESTACIONES Y APORTES AL SISTEMA DE PENSIONES Y DE SALUD POR PAGAR</v>
      </c>
      <c r="G31" s="130"/>
      <c r="H31" s="130"/>
      <c r="I31" s="129">
        <f>I27*0.18</f>
        <v>27738</v>
      </c>
      <c r="J31" s="137"/>
    </row>
    <row r="32" spans="2:10" x14ac:dyDescent="0.25">
      <c r="B32" s="259"/>
      <c r="C32" s="135">
        <v>401</v>
      </c>
      <c r="D32" s="134"/>
      <c r="E32" s="136"/>
      <c r="F32" s="127" t="str">
        <f t="shared" si="1"/>
        <v>Gobierno Central</v>
      </c>
      <c r="G32" s="130"/>
      <c r="H32" s="130"/>
      <c r="I32" s="129"/>
      <c r="J32" s="137"/>
    </row>
    <row r="33" spans="2:10" x14ac:dyDescent="0.25">
      <c r="B33" s="259"/>
      <c r="C33" s="135"/>
      <c r="D33" s="134">
        <v>4011</v>
      </c>
      <c r="E33" s="136"/>
      <c r="F33" s="127" t="str">
        <f t="shared" si="1"/>
        <v>Impuesto General a las Ventas</v>
      </c>
      <c r="G33" s="130"/>
      <c r="H33" s="130"/>
      <c r="I33" s="129"/>
      <c r="J33" s="137"/>
    </row>
    <row r="34" spans="2:10" x14ac:dyDescent="0.25">
      <c r="B34" s="259"/>
      <c r="C34" s="135"/>
      <c r="D34" s="134"/>
      <c r="E34" s="136">
        <v>40111</v>
      </c>
      <c r="F34" s="127" t="str">
        <f t="shared" si="1"/>
        <v>IGV - Cuenta Propia</v>
      </c>
      <c r="G34" s="130">
        <f>I31</f>
        <v>27738</v>
      </c>
      <c r="H34" s="130"/>
      <c r="I34" s="129"/>
      <c r="J34" s="137"/>
    </row>
    <row r="35" spans="2:10" x14ac:dyDescent="0.25">
      <c r="B35" s="259">
        <v>42</v>
      </c>
      <c r="C35" s="135"/>
      <c r="D35" s="134"/>
      <c r="E35" s="136"/>
      <c r="F35" s="127" t="str">
        <f t="shared" si="1"/>
        <v>CUENTAS POR PAGAR COMERCIALES - TERCEROS</v>
      </c>
      <c r="G35" s="130"/>
      <c r="H35" s="130"/>
      <c r="I35" s="129"/>
      <c r="J35" s="137">
        <f>I27+I31</f>
        <v>181838</v>
      </c>
    </row>
    <row r="36" spans="2:10" x14ac:dyDescent="0.25">
      <c r="B36" s="259"/>
      <c r="C36" s="135">
        <v>421</v>
      </c>
      <c r="D36" s="134"/>
      <c r="E36" s="136"/>
      <c r="F36" s="127" t="str">
        <f t="shared" si="1"/>
        <v>Facturas, Boletas y Otros Comprobantes por Pagar</v>
      </c>
      <c r="G36" s="130"/>
      <c r="H36" s="130"/>
      <c r="I36" s="129"/>
      <c r="J36" s="137"/>
    </row>
    <row r="37" spans="2:10" x14ac:dyDescent="0.25">
      <c r="B37" s="259"/>
      <c r="C37" s="135"/>
      <c r="D37" s="134">
        <v>4211</v>
      </c>
      <c r="E37" s="136"/>
      <c r="F37" s="127" t="str">
        <f t="shared" si="1"/>
        <v>Facturas, Boletas y Otros Comprobantes por Pagar - No Emitidas</v>
      </c>
      <c r="G37" s="130"/>
      <c r="H37" s="130">
        <f>I27+I31</f>
        <v>181838</v>
      </c>
      <c r="I37" s="129"/>
      <c r="J37" s="137"/>
    </row>
    <row r="38" spans="2:10" x14ac:dyDescent="0.25">
      <c r="B38" s="307"/>
      <c r="C38" s="308"/>
      <c r="D38" s="309"/>
      <c r="E38" s="310"/>
      <c r="F38" s="314" t="s">
        <v>1607</v>
      </c>
      <c r="G38" s="133"/>
      <c r="H38" s="133"/>
      <c r="I38" s="311"/>
      <c r="J38" s="312"/>
    </row>
    <row r="39" spans="2:10" x14ac:dyDescent="0.25">
      <c r="B39" s="259">
        <v>20</v>
      </c>
      <c r="C39" s="135"/>
      <c r="D39" s="134"/>
      <c r="E39" s="136"/>
      <c r="F39" s="127" t="str">
        <f t="shared" si="1"/>
        <v>MERCADERÍAS</v>
      </c>
      <c r="G39" s="130"/>
      <c r="H39" s="130"/>
      <c r="I39" s="129">
        <f>G42</f>
        <v>154100</v>
      </c>
      <c r="J39" s="137"/>
    </row>
    <row r="40" spans="2:10" x14ac:dyDescent="0.25">
      <c r="B40" s="259"/>
      <c r="C40" s="135">
        <v>201</v>
      </c>
      <c r="D40" s="134"/>
      <c r="E40" s="136"/>
      <c r="F40" s="127" t="str">
        <f t="shared" si="1"/>
        <v>Mercaderías Manufacturadas</v>
      </c>
      <c r="G40" s="130"/>
      <c r="H40" s="130"/>
      <c r="I40" s="129"/>
      <c r="J40" s="137"/>
    </row>
    <row r="41" spans="2:10" x14ac:dyDescent="0.25">
      <c r="B41" s="259"/>
      <c r="C41" s="135"/>
      <c r="D41" s="134">
        <v>2011</v>
      </c>
      <c r="E41" s="136"/>
      <c r="F41" s="127" t="str">
        <f t="shared" si="1"/>
        <v>Mercaderías Manufacturadas</v>
      </c>
      <c r="G41" s="130"/>
      <c r="H41" s="130"/>
      <c r="I41" s="129"/>
      <c r="J41" s="137"/>
    </row>
    <row r="42" spans="2:10" x14ac:dyDescent="0.25">
      <c r="B42" s="259"/>
      <c r="C42" s="135"/>
      <c r="D42" s="134"/>
      <c r="E42" s="136">
        <v>20111</v>
      </c>
      <c r="F42" s="127" t="str">
        <f t="shared" si="1"/>
        <v>Costo</v>
      </c>
      <c r="G42" s="130">
        <f>G30</f>
        <v>154100</v>
      </c>
      <c r="H42" s="130"/>
      <c r="I42" s="129"/>
      <c r="J42" s="137">
        <f>H45</f>
        <v>154100</v>
      </c>
    </row>
    <row r="43" spans="2:10" x14ac:dyDescent="0.25">
      <c r="B43" s="259">
        <v>61</v>
      </c>
      <c r="C43" s="135"/>
      <c r="D43" s="134"/>
      <c r="E43" s="136"/>
      <c r="F43" s="127" t="str">
        <f t="shared" si="1"/>
        <v>VARIACIÓN DE EXISTENCIAS</v>
      </c>
      <c r="G43" s="130"/>
      <c r="H43" s="130"/>
      <c r="I43" s="129"/>
      <c r="J43" s="137"/>
    </row>
    <row r="44" spans="2:10" x14ac:dyDescent="0.25">
      <c r="B44" s="259"/>
      <c r="C44" s="135">
        <v>611</v>
      </c>
      <c r="D44" s="134"/>
      <c r="E44" s="136"/>
      <c r="F44" s="127" t="str">
        <f t="shared" si="1"/>
        <v>Mercaderías</v>
      </c>
      <c r="G44" s="130"/>
      <c r="H44" s="130"/>
      <c r="I44" s="129"/>
      <c r="J44" s="137"/>
    </row>
    <row r="45" spans="2:10" x14ac:dyDescent="0.25">
      <c r="B45" s="259"/>
      <c r="C45" s="135"/>
      <c r="D45" s="134">
        <v>6111</v>
      </c>
      <c r="E45" s="136"/>
      <c r="F45" s="127" t="str">
        <f t="shared" si="1"/>
        <v>Mercaderías Manufacturadas</v>
      </c>
      <c r="G45" s="130"/>
      <c r="H45" s="130">
        <f>G42</f>
        <v>154100</v>
      </c>
      <c r="I45" s="129"/>
      <c r="J45" s="137"/>
    </row>
    <row r="46" spans="2:10" x14ac:dyDescent="0.25">
      <c r="B46" s="307"/>
      <c r="C46" s="308"/>
      <c r="D46" s="309"/>
      <c r="E46" s="310"/>
      <c r="F46" s="314" t="s">
        <v>1608</v>
      </c>
      <c r="G46" s="133"/>
      <c r="H46" s="133"/>
      <c r="I46" s="311"/>
      <c r="J46" s="312"/>
    </row>
    <row r="47" spans="2:10" x14ac:dyDescent="0.25">
      <c r="B47" s="259">
        <v>12</v>
      </c>
      <c r="C47" s="135"/>
      <c r="D47" s="134"/>
      <c r="E47" s="136"/>
      <c r="F47" s="127" t="str">
        <f t="shared" si="1"/>
        <v>CUENTAS POR COBRAR COMERCIALES - TERCEROS</v>
      </c>
      <c r="G47" s="130"/>
      <c r="H47" s="130"/>
      <c r="I47" s="129">
        <f>H54+H58</f>
        <v>726880</v>
      </c>
      <c r="J47" s="137"/>
    </row>
    <row r="48" spans="2:10" x14ac:dyDescent="0.25">
      <c r="B48" s="259"/>
      <c r="C48" s="135">
        <v>121</v>
      </c>
      <c r="D48" s="134"/>
      <c r="E48" s="136"/>
      <c r="F48" s="127" t="str">
        <f t="shared" si="1"/>
        <v>Facturas, Boletas y Otros Comprobantes por Cobrar</v>
      </c>
      <c r="G48" s="130"/>
      <c r="H48" s="130"/>
      <c r="I48" s="129"/>
      <c r="J48" s="137"/>
    </row>
    <row r="49" spans="2:10" x14ac:dyDescent="0.25">
      <c r="B49" s="259"/>
      <c r="C49" s="135"/>
      <c r="D49" s="134">
        <v>1211</v>
      </c>
      <c r="E49" s="136"/>
      <c r="F49" s="127" t="str">
        <f t="shared" si="1"/>
        <v>Facturas, Boletas y Otros Comprobantes por Cobrar - No Emitidas</v>
      </c>
      <c r="G49" s="130"/>
      <c r="H49" s="130"/>
      <c r="I49" s="129"/>
      <c r="J49" s="137"/>
    </row>
    <row r="50" spans="2:10" x14ac:dyDescent="0.25">
      <c r="B50" s="259"/>
      <c r="C50" s="135"/>
      <c r="D50" s="134"/>
      <c r="E50" s="136">
        <v>12111</v>
      </c>
      <c r="F50" s="127" t="e">
        <f t="shared" si="1"/>
        <v>#N/A</v>
      </c>
      <c r="G50" s="130">
        <f>H54+H58</f>
        <v>726880</v>
      </c>
      <c r="H50" s="130"/>
      <c r="I50" s="129"/>
      <c r="J50" s="137"/>
    </row>
    <row r="51" spans="2:10" x14ac:dyDescent="0.25">
      <c r="B51" s="259">
        <v>40</v>
      </c>
      <c r="C51" s="135"/>
      <c r="D51" s="134"/>
      <c r="E51" s="136"/>
      <c r="F51" s="127" t="str">
        <f t="shared" si="1"/>
        <v>TRIBUTOS, CONTRAPRESTACIONES Y APORTES AL SISTEMA DE PENSIONES Y DE SALUD POR PAGAR</v>
      </c>
      <c r="G51" s="130"/>
      <c r="H51" s="130"/>
      <c r="I51" s="129"/>
      <c r="J51" s="137">
        <f>H54</f>
        <v>110880</v>
      </c>
    </row>
    <row r="52" spans="2:10" x14ac:dyDescent="0.25">
      <c r="B52" s="259"/>
      <c r="C52" s="135">
        <v>401</v>
      </c>
      <c r="D52" s="134"/>
      <c r="E52" s="136"/>
      <c r="F52" s="127" t="str">
        <f t="shared" si="1"/>
        <v>Gobierno Central</v>
      </c>
      <c r="G52" s="130"/>
      <c r="H52" s="130"/>
      <c r="I52" s="129"/>
      <c r="J52" s="137"/>
    </row>
    <row r="53" spans="2:10" x14ac:dyDescent="0.25">
      <c r="B53" s="259"/>
      <c r="C53" s="135"/>
      <c r="D53" s="134">
        <v>4011</v>
      </c>
      <c r="E53" s="136"/>
      <c r="F53" s="127" t="str">
        <f t="shared" si="1"/>
        <v>Impuesto General a las Ventas</v>
      </c>
      <c r="G53" s="130"/>
      <c r="H53" s="130"/>
      <c r="I53" s="129"/>
      <c r="J53" s="137"/>
    </row>
    <row r="54" spans="2:10" x14ac:dyDescent="0.25">
      <c r="B54" s="259"/>
      <c r="C54" s="135"/>
      <c r="D54" s="134"/>
      <c r="E54" s="136">
        <v>40111</v>
      </c>
      <c r="F54" s="127" t="str">
        <f t="shared" si="1"/>
        <v>IGV - Cuenta Propia</v>
      </c>
      <c r="G54" s="130"/>
      <c r="H54" s="130">
        <f>J55*0.18</f>
        <v>110880</v>
      </c>
      <c r="I54" s="129"/>
      <c r="J54" s="137"/>
    </row>
    <row r="55" spans="2:10" x14ac:dyDescent="0.25">
      <c r="B55" s="259">
        <v>70</v>
      </c>
      <c r="C55" s="135"/>
      <c r="D55" s="134"/>
      <c r="E55" s="136"/>
      <c r="F55" s="127" t="str">
        <f t="shared" si="1"/>
        <v>VENTAS</v>
      </c>
      <c r="G55" s="130"/>
      <c r="H55" s="130"/>
      <c r="I55" s="129"/>
      <c r="J55" s="137">
        <f>H58</f>
        <v>616000</v>
      </c>
    </row>
    <row r="56" spans="2:10" x14ac:dyDescent="0.25">
      <c r="B56" s="259"/>
      <c r="C56" s="135">
        <v>701</v>
      </c>
      <c r="D56" s="134"/>
      <c r="E56" s="136"/>
      <c r="F56" s="127" t="str">
        <f t="shared" si="1"/>
        <v>Mercaderías</v>
      </c>
      <c r="G56" s="130"/>
      <c r="H56" s="130"/>
      <c r="I56" s="129"/>
      <c r="J56" s="137"/>
    </row>
    <row r="57" spans="2:10" x14ac:dyDescent="0.25">
      <c r="B57" s="259"/>
      <c r="C57" s="135"/>
      <c r="D57" s="134">
        <v>7011</v>
      </c>
      <c r="E57" s="136"/>
      <c r="F57" s="127" t="str">
        <f t="shared" si="1"/>
        <v>Mercaderías - Mercaderías Manufacturadas</v>
      </c>
      <c r="G57" s="130"/>
      <c r="H57" s="130"/>
      <c r="I57" s="129"/>
      <c r="J57" s="137"/>
    </row>
    <row r="58" spans="2:10" x14ac:dyDescent="0.25">
      <c r="B58" s="259"/>
      <c r="C58" s="135"/>
      <c r="D58" s="134"/>
      <c r="E58" s="136">
        <v>70111</v>
      </c>
      <c r="F58" s="127" t="str">
        <f t="shared" si="1"/>
        <v>Terceros</v>
      </c>
      <c r="G58" s="130"/>
      <c r="H58" s="130">
        <f>112*5500</f>
        <v>616000</v>
      </c>
      <c r="I58" s="129"/>
      <c r="J58" s="137"/>
    </row>
    <row r="59" spans="2:10" x14ac:dyDescent="0.25">
      <c r="B59" s="307"/>
      <c r="C59" s="308"/>
      <c r="D59" s="309"/>
      <c r="E59" s="310"/>
      <c r="F59" s="314" t="s">
        <v>1609</v>
      </c>
      <c r="G59" s="133"/>
      <c r="H59" s="133"/>
      <c r="I59" s="311"/>
      <c r="J59" s="312"/>
    </row>
    <row r="60" spans="2:10" x14ac:dyDescent="0.25">
      <c r="B60" s="259">
        <v>69</v>
      </c>
      <c r="C60" s="135"/>
      <c r="D60" s="134"/>
      <c r="E60" s="136"/>
      <c r="F60" s="127" t="str">
        <f t="shared" si="1"/>
        <v>COSTO DE VENTAS</v>
      </c>
      <c r="G60" s="130"/>
      <c r="H60" s="130"/>
      <c r="I60" s="129">
        <v>128800</v>
      </c>
      <c r="J60" s="137"/>
    </row>
    <row r="61" spans="2:10" x14ac:dyDescent="0.25">
      <c r="B61" s="259"/>
      <c r="C61" s="135">
        <v>691</v>
      </c>
      <c r="D61" s="134"/>
      <c r="E61" s="136"/>
      <c r="F61" s="127" t="str">
        <f t="shared" si="1"/>
        <v>Mercaderías</v>
      </c>
      <c r="G61" s="130"/>
      <c r="H61" s="130"/>
      <c r="I61" s="129"/>
      <c r="J61" s="137"/>
    </row>
    <row r="62" spans="2:10" x14ac:dyDescent="0.25">
      <c r="B62" s="259"/>
      <c r="C62" s="135"/>
      <c r="D62" s="134">
        <v>6911</v>
      </c>
      <c r="E62" s="136"/>
      <c r="F62" s="127" t="str">
        <f t="shared" si="1"/>
        <v>Mercaderías Manufacturadas</v>
      </c>
      <c r="G62" s="130"/>
      <c r="H62" s="130"/>
      <c r="I62" s="129"/>
      <c r="J62" s="137"/>
    </row>
    <row r="63" spans="2:10" x14ac:dyDescent="0.25">
      <c r="B63" s="259"/>
      <c r="C63" s="135"/>
      <c r="D63" s="134"/>
      <c r="E63" s="136">
        <v>69111</v>
      </c>
      <c r="F63" s="127" t="str">
        <f t="shared" si="1"/>
        <v>Terceros</v>
      </c>
      <c r="G63" s="130">
        <v>128800</v>
      </c>
      <c r="H63" s="130"/>
      <c r="I63" s="129"/>
      <c r="J63" s="137"/>
    </row>
    <row r="64" spans="2:10" x14ac:dyDescent="0.25">
      <c r="B64" s="259">
        <v>20</v>
      </c>
      <c r="C64" s="135"/>
      <c r="D64" s="134"/>
      <c r="E64" s="136"/>
      <c r="F64" s="127" t="str">
        <f t="shared" si="1"/>
        <v>MERCADERÍAS</v>
      </c>
      <c r="G64" s="130"/>
      <c r="H64" s="130"/>
      <c r="I64" s="129"/>
      <c r="J64" s="137">
        <v>128800</v>
      </c>
    </row>
    <row r="65" spans="2:10" x14ac:dyDescent="0.25">
      <c r="B65" s="259"/>
      <c r="C65" s="135">
        <v>201</v>
      </c>
      <c r="D65" s="134"/>
      <c r="E65" s="136"/>
      <c r="F65" s="127" t="str">
        <f t="shared" si="1"/>
        <v>Mercaderías Manufacturadas</v>
      </c>
      <c r="G65" s="130"/>
      <c r="H65" s="130"/>
      <c r="I65" s="129"/>
      <c r="J65" s="137"/>
    </row>
    <row r="66" spans="2:10" x14ac:dyDescent="0.25">
      <c r="B66" s="259"/>
      <c r="C66" s="135"/>
      <c r="D66" s="134">
        <v>2011</v>
      </c>
      <c r="E66" s="136"/>
      <c r="F66" s="127" t="str">
        <f t="shared" si="1"/>
        <v>Mercaderías Manufacturadas</v>
      </c>
      <c r="G66" s="130"/>
      <c r="H66" s="130"/>
      <c r="I66" s="129"/>
      <c r="J66" s="137"/>
    </row>
    <row r="67" spans="2:10" x14ac:dyDescent="0.25">
      <c r="B67" s="259"/>
      <c r="C67" s="135"/>
      <c r="D67" s="134"/>
      <c r="E67" s="136">
        <v>20111</v>
      </c>
      <c r="F67" s="127" t="str">
        <f t="shared" si="1"/>
        <v>Costo</v>
      </c>
      <c r="G67" s="130"/>
      <c r="H67" s="130">
        <v>128800</v>
      </c>
      <c r="I67" s="129"/>
      <c r="J67" s="137"/>
    </row>
    <row r="68" spans="2:10" x14ac:dyDescent="0.25">
      <c r="B68" s="307"/>
      <c r="C68" s="308"/>
      <c r="D68" s="309"/>
      <c r="E68" s="310"/>
      <c r="F68" s="314" t="s">
        <v>1604</v>
      </c>
      <c r="G68" s="133"/>
      <c r="H68" s="133"/>
      <c r="I68" s="311"/>
      <c r="J68" s="312"/>
    </row>
    <row r="69" spans="2:10" x14ac:dyDescent="0.25">
      <c r="B69" s="259">
        <v>63</v>
      </c>
      <c r="C69" s="135"/>
      <c r="D69" s="134"/>
      <c r="E69" s="136"/>
      <c r="F69" s="127" t="str">
        <f t="shared" si="1"/>
        <v>GASTOS DE SERVICIOS PRESTADOS POR TERCEROS</v>
      </c>
      <c r="G69" s="130"/>
      <c r="H69" s="130"/>
      <c r="I69" s="129">
        <f>G71</f>
        <v>12000</v>
      </c>
      <c r="J69" s="137"/>
    </row>
    <row r="70" spans="2:10" x14ac:dyDescent="0.25">
      <c r="B70" s="259"/>
      <c r="C70" s="135">
        <v>632</v>
      </c>
      <c r="D70" s="134"/>
      <c r="E70" s="136"/>
      <c r="F70" s="127" t="str">
        <f t="shared" si="1"/>
        <v>Asesoría y Consultoría</v>
      </c>
      <c r="G70" s="130"/>
      <c r="H70" s="130"/>
      <c r="I70" s="129"/>
      <c r="J70" s="137"/>
    </row>
    <row r="71" spans="2:10" x14ac:dyDescent="0.25">
      <c r="B71" s="259"/>
      <c r="C71" s="135"/>
      <c r="D71" s="134">
        <v>6323</v>
      </c>
      <c r="E71" s="136"/>
      <c r="F71" s="127" t="str">
        <f t="shared" si="1"/>
        <v>Asesoría y Consultoría - Auditoría y Contable</v>
      </c>
      <c r="G71" s="130">
        <v>12000</v>
      </c>
      <c r="H71" s="130"/>
      <c r="I71" s="129"/>
      <c r="J71" s="137"/>
    </row>
    <row r="72" spans="2:10" x14ac:dyDescent="0.25">
      <c r="B72" s="259">
        <v>40</v>
      </c>
      <c r="C72" s="135"/>
      <c r="D72" s="134"/>
      <c r="E72" s="136"/>
      <c r="F72" s="127" t="str">
        <f t="shared" si="1"/>
        <v>TRIBUTOS, CONTRAPRESTACIONES Y APORTES AL SISTEMA DE PENSIONES Y DE SALUD POR PAGAR</v>
      </c>
      <c r="G72" s="130"/>
      <c r="H72" s="130"/>
      <c r="I72" s="129"/>
      <c r="J72" s="137">
        <f>H75</f>
        <v>960</v>
      </c>
    </row>
    <row r="73" spans="2:10" x14ac:dyDescent="0.25">
      <c r="B73" s="259"/>
      <c r="C73" s="135">
        <v>401</v>
      </c>
      <c r="D73" s="134"/>
      <c r="E73" s="136"/>
      <c r="F73" s="127" t="str">
        <f t="shared" si="1"/>
        <v>Gobierno Central</v>
      </c>
      <c r="G73" s="130"/>
      <c r="H73" s="130"/>
      <c r="I73" s="129"/>
      <c r="J73" s="137"/>
    </row>
    <row r="74" spans="2:10" x14ac:dyDescent="0.25">
      <c r="B74" s="259"/>
      <c r="C74" s="135"/>
      <c r="D74" s="134">
        <v>4017</v>
      </c>
      <c r="E74" s="136"/>
      <c r="F74" s="127" t="str">
        <f t="shared" si="1"/>
        <v>Impuesto a la Renta</v>
      </c>
      <c r="G74" s="130"/>
      <c r="H74" s="130"/>
      <c r="I74" s="129"/>
      <c r="J74" s="137"/>
    </row>
    <row r="75" spans="2:10" x14ac:dyDescent="0.25">
      <c r="B75" s="259"/>
      <c r="C75" s="135"/>
      <c r="D75" s="134"/>
      <c r="E75" s="136">
        <v>40172</v>
      </c>
      <c r="F75" s="127" t="str">
        <f t="shared" si="1"/>
        <v>Renta de Cuarta Categoría</v>
      </c>
      <c r="G75" s="130"/>
      <c r="H75" s="130">
        <f>G71*8%</f>
        <v>960</v>
      </c>
      <c r="I75" s="129"/>
      <c r="J75" s="137"/>
    </row>
    <row r="76" spans="2:10" x14ac:dyDescent="0.25">
      <c r="B76" s="259">
        <v>42</v>
      </c>
      <c r="C76" s="135"/>
      <c r="D76" s="134"/>
      <c r="E76" s="136"/>
      <c r="F76" s="127" t="str">
        <f t="shared" si="1"/>
        <v>CUENTAS POR PAGAR COMERCIALES - TERCEROS</v>
      </c>
      <c r="G76" s="130"/>
      <c r="H76" s="130"/>
      <c r="I76" s="129"/>
      <c r="J76" s="137">
        <f>H78</f>
        <v>11040</v>
      </c>
    </row>
    <row r="77" spans="2:10" x14ac:dyDescent="0.25">
      <c r="B77" s="259"/>
      <c r="C77" s="135">
        <v>424</v>
      </c>
      <c r="D77" s="134"/>
      <c r="E77" s="136"/>
      <c r="F77" s="127" t="str">
        <f t="shared" si="1"/>
        <v>Honorarios por Pagar</v>
      </c>
      <c r="G77" s="130"/>
      <c r="H77" s="130"/>
      <c r="I77" s="129"/>
      <c r="J77" s="137"/>
    </row>
    <row r="78" spans="2:10" x14ac:dyDescent="0.25">
      <c r="B78" s="259"/>
      <c r="C78" s="135"/>
      <c r="D78" s="134">
        <v>4241</v>
      </c>
      <c r="E78" s="136"/>
      <c r="F78" s="127" t="str">
        <f t="shared" si="1"/>
        <v>Honorarios por Pagar</v>
      </c>
      <c r="G78" s="130"/>
      <c r="H78" s="130">
        <f>G71-H75</f>
        <v>11040</v>
      </c>
      <c r="I78" s="129"/>
      <c r="J78" s="137"/>
    </row>
    <row r="79" spans="2:10" x14ac:dyDescent="0.25">
      <c r="B79" s="307"/>
      <c r="C79" s="308"/>
      <c r="D79" s="309"/>
      <c r="E79" s="310"/>
      <c r="F79" s="314" t="s">
        <v>1605</v>
      </c>
      <c r="G79" s="133"/>
      <c r="H79" s="133"/>
      <c r="I79" s="311"/>
      <c r="J79" s="312"/>
    </row>
    <row r="80" spans="2:10" x14ac:dyDescent="0.25">
      <c r="B80" s="259">
        <v>94</v>
      </c>
      <c r="C80" s="135"/>
      <c r="D80" s="134"/>
      <c r="E80" s="136"/>
      <c r="F80" s="127" t="str">
        <f t="shared" si="1"/>
        <v>GASTOS ADMINISTRATIVOS</v>
      </c>
      <c r="G80" s="130"/>
      <c r="H80" s="130"/>
      <c r="I80" s="129">
        <f>G81</f>
        <v>12000</v>
      </c>
      <c r="J80" s="137"/>
    </row>
    <row r="81" spans="2:10" x14ac:dyDescent="0.25">
      <c r="B81" s="259"/>
      <c r="C81" s="135">
        <v>942</v>
      </c>
      <c r="D81" s="134"/>
      <c r="E81" s="136"/>
      <c r="F81" s="127" t="str">
        <f t="shared" si="1"/>
        <v>Servicios de Terceros</v>
      </c>
      <c r="G81" s="130">
        <f>G71</f>
        <v>12000</v>
      </c>
      <c r="H81" s="130"/>
      <c r="I81" s="129"/>
      <c r="J81" s="137"/>
    </row>
    <row r="82" spans="2:10" x14ac:dyDescent="0.25">
      <c r="B82" s="259">
        <v>79</v>
      </c>
      <c r="C82" s="135"/>
      <c r="D82" s="134"/>
      <c r="E82" s="136"/>
      <c r="F82" s="127" t="str">
        <f t="shared" si="1"/>
        <v>CARGAS IMPUTABLES A CUENTAS DE COSTOS Y GASTOS</v>
      </c>
      <c r="G82" s="130"/>
      <c r="H82" s="130"/>
      <c r="I82" s="129"/>
      <c r="J82" s="137">
        <f>H83</f>
        <v>12000</v>
      </c>
    </row>
    <row r="83" spans="2:10" x14ac:dyDescent="0.25">
      <c r="B83" s="259"/>
      <c r="C83" s="135">
        <v>791</v>
      </c>
      <c r="D83" s="134"/>
      <c r="E83" s="136"/>
      <c r="F83" s="127" t="str">
        <f t="shared" si="1"/>
        <v>Cargas Imputables a Cuentas de Costos y Gastos</v>
      </c>
      <c r="G83" s="130"/>
      <c r="H83" s="130">
        <f>G71</f>
        <v>12000</v>
      </c>
      <c r="I83" s="129"/>
      <c r="J83" s="137"/>
    </row>
    <row r="84" spans="2:10" x14ac:dyDescent="0.25">
      <c r="B84" s="307"/>
      <c r="C84" s="308"/>
      <c r="D84" s="309"/>
      <c r="E84" s="310"/>
      <c r="F84" s="315" t="s">
        <v>1606</v>
      </c>
      <c r="G84" s="133"/>
      <c r="H84" s="133"/>
      <c r="I84" s="311"/>
      <c r="J84" s="312"/>
    </row>
    <row r="85" spans="2:10" x14ac:dyDescent="0.25">
      <c r="B85" s="259">
        <v>42</v>
      </c>
      <c r="C85" s="135"/>
      <c r="D85" s="134"/>
      <c r="E85" s="136"/>
      <c r="F85" s="127" t="str">
        <f t="shared" si="1"/>
        <v>CUENTAS POR PAGAR COMERCIALES - TERCEROS</v>
      </c>
      <c r="G85" s="130"/>
      <c r="H85" s="130"/>
      <c r="I85" s="129">
        <f>G87</f>
        <v>181838</v>
      </c>
      <c r="J85" s="137"/>
    </row>
    <row r="86" spans="2:10" x14ac:dyDescent="0.25">
      <c r="B86" s="259"/>
      <c r="C86" s="135">
        <v>421</v>
      </c>
      <c r="D86" s="134"/>
      <c r="E86" s="136"/>
      <c r="F86" s="127" t="str">
        <f t="shared" si="1"/>
        <v>Facturas, Boletas y Otros Comprobantes por Pagar</v>
      </c>
      <c r="G86" s="130"/>
      <c r="H86" s="130"/>
      <c r="I86" s="129"/>
      <c r="J86" s="137"/>
    </row>
    <row r="87" spans="2:10" x14ac:dyDescent="0.25">
      <c r="B87" s="259"/>
      <c r="C87" s="135"/>
      <c r="D87" s="134">
        <v>4212</v>
      </c>
      <c r="E87" s="136"/>
      <c r="F87" s="127" t="str">
        <f t="shared" si="1"/>
        <v>Facturas, Boletas y Otros Comprobantes por Pagar - Emitidas</v>
      </c>
      <c r="G87" s="130">
        <f>H90</f>
        <v>181838</v>
      </c>
      <c r="H87" s="130"/>
      <c r="I87" s="129"/>
      <c r="J87" s="137"/>
    </row>
    <row r="88" spans="2:10" x14ac:dyDescent="0.25">
      <c r="B88" s="259">
        <v>10</v>
      </c>
      <c r="C88" s="135"/>
      <c r="D88" s="134"/>
      <c r="E88" s="136"/>
      <c r="F88" s="127" t="str">
        <f t="shared" si="1"/>
        <v>EFECTIVO Y EQUIVALENTES DE EFECTIVO</v>
      </c>
      <c r="G88" s="130"/>
      <c r="H88" s="130"/>
      <c r="I88" s="129"/>
      <c r="J88" s="137">
        <f>H90</f>
        <v>181838</v>
      </c>
    </row>
    <row r="89" spans="2:10" x14ac:dyDescent="0.25">
      <c r="B89" s="259"/>
      <c r="C89" s="135">
        <v>104</v>
      </c>
      <c r="D89" s="134"/>
      <c r="E89" s="136"/>
      <c r="F89" s="127" t="str">
        <f t="shared" si="1"/>
        <v>Cuentas Corrientes en Instituciones Financieras</v>
      </c>
      <c r="G89" s="130"/>
      <c r="H89" s="130"/>
      <c r="I89" s="129"/>
      <c r="J89" s="137"/>
    </row>
    <row r="90" spans="2:10" x14ac:dyDescent="0.25">
      <c r="B90" s="259"/>
      <c r="C90" s="135"/>
      <c r="D90" s="134">
        <v>1041</v>
      </c>
      <c r="E90" s="136"/>
      <c r="F90" s="127" t="str">
        <f t="shared" si="1"/>
        <v>Cuentas Corrientes Operativas</v>
      </c>
      <c r="G90" s="130"/>
      <c r="H90" s="130">
        <f>H37</f>
        <v>181838</v>
      </c>
      <c r="I90" s="129"/>
      <c r="J90" s="137"/>
    </row>
    <row r="91" spans="2:10" x14ac:dyDescent="0.25">
      <c r="B91" s="307"/>
      <c r="C91" s="308"/>
      <c r="D91" s="309"/>
      <c r="E91" s="310"/>
      <c r="F91" s="314" t="s">
        <v>1610</v>
      </c>
      <c r="G91" s="133"/>
      <c r="H91" s="133"/>
      <c r="I91" s="311"/>
      <c r="J91" s="312"/>
    </row>
    <row r="92" spans="2:10" x14ac:dyDescent="0.25">
      <c r="B92" s="259">
        <v>63</v>
      </c>
      <c r="C92" s="135"/>
      <c r="D92" s="134"/>
      <c r="E92" s="136"/>
      <c r="F92" s="127" t="str">
        <f t="shared" si="1"/>
        <v>GASTOS DE SERVICIOS PRESTADOS POR TERCEROS</v>
      </c>
      <c r="G92" s="130"/>
      <c r="H92" s="130"/>
      <c r="I92" s="129">
        <f>G94</f>
        <v>8542.3728813559319</v>
      </c>
      <c r="J92" s="137"/>
    </row>
    <row r="93" spans="2:10" x14ac:dyDescent="0.25">
      <c r="B93" s="259"/>
      <c r="C93" s="135">
        <v>636</v>
      </c>
      <c r="D93" s="134"/>
      <c r="E93" s="136"/>
      <c r="F93" s="127" t="str">
        <f t="shared" si="1"/>
        <v>Servicios Básicos</v>
      </c>
      <c r="G93" s="130"/>
      <c r="H93" s="130"/>
      <c r="I93" s="129"/>
      <c r="J93" s="137"/>
    </row>
    <row r="94" spans="2:10" x14ac:dyDescent="0.25">
      <c r="B94" s="259"/>
      <c r="C94" s="135"/>
      <c r="D94" s="134">
        <v>6361</v>
      </c>
      <c r="E94" s="136"/>
      <c r="F94" s="127" t="str">
        <f t="shared" si="1"/>
        <v>Servicios Básicos - Energía Eléctrica</v>
      </c>
      <c r="G94" s="130">
        <f>H100/1.18</f>
        <v>8542.3728813559319</v>
      </c>
      <c r="H94" s="130"/>
      <c r="I94" s="129"/>
      <c r="J94" s="137"/>
    </row>
    <row r="95" spans="2:10" x14ac:dyDescent="0.25">
      <c r="B95" s="259">
        <v>40</v>
      </c>
      <c r="C95" s="135"/>
      <c r="D95" s="134"/>
      <c r="E95" s="136"/>
      <c r="F95" s="127" t="str">
        <f t="shared" si="1"/>
        <v>TRIBUTOS, CONTRAPRESTACIONES Y APORTES AL SISTEMA DE PENSIONES Y DE SALUD POR PAGAR</v>
      </c>
      <c r="G95" s="130"/>
      <c r="H95" s="130"/>
      <c r="I95" s="129">
        <f>G97</f>
        <v>1537.6271186440677</v>
      </c>
      <c r="J95" s="137">
        <f>H97</f>
        <v>0</v>
      </c>
    </row>
    <row r="96" spans="2:10" x14ac:dyDescent="0.25">
      <c r="B96" s="259"/>
      <c r="C96" s="135">
        <v>401</v>
      </c>
      <c r="D96" s="134"/>
      <c r="E96" s="136"/>
      <c r="F96" s="127" t="str">
        <f t="shared" si="1"/>
        <v>Gobierno Central</v>
      </c>
      <c r="G96" s="130"/>
      <c r="H96" s="130"/>
      <c r="I96" s="129"/>
      <c r="J96" s="137"/>
    </row>
    <row r="97" spans="2:10" x14ac:dyDescent="0.25">
      <c r="B97" s="259"/>
      <c r="C97" s="135"/>
      <c r="D97" s="134">
        <v>4011</v>
      </c>
      <c r="E97" s="136"/>
      <c r="F97" s="127" t="str">
        <f t="shared" si="1"/>
        <v>Impuesto General a las Ventas</v>
      </c>
      <c r="G97" s="130">
        <f>G94*0.18</f>
        <v>1537.6271186440677</v>
      </c>
      <c r="H97" s="130"/>
      <c r="I97" s="129"/>
      <c r="J97" s="137"/>
    </row>
    <row r="98" spans="2:10" x14ac:dyDescent="0.25">
      <c r="B98" s="259">
        <v>46</v>
      </c>
      <c r="C98" s="135"/>
      <c r="D98" s="134"/>
      <c r="E98" s="136"/>
      <c r="F98" s="127" t="str">
        <f t="shared" si="1"/>
        <v>CUENTAS POR PAGAR DIVERSAS - TERCEROS</v>
      </c>
      <c r="G98" s="130"/>
      <c r="H98" s="130"/>
      <c r="I98" s="129"/>
      <c r="J98" s="137">
        <f>I92+I95</f>
        <v>10080</v>
      </c>
    </row>
    <row r="99" spans="2:10" x14ac:dyDescent="0.25">
      <c r="B99" s="259"/>
      <c r="C99" s="135">
        <v>469</v>
      </c>
      <c r="D99" s="134"/>
      <c r="E99" s="136"/>
      <c r="F99" s="127" t="str">
        <f t="shared" si="1"/>
        <v>Otras Cuentas por Pagar Diversas</v>
      </c>
      <c r="G99" s="130"/>
      <c r="H99" s="130"/>
      <c r="I99" s="129"/>
      <c r="J99" s="137"/>
    </row>
    <row r="100" spans="2:10" x14ac:dyDescent="0.25">
      <c r="B100" s="259"/>
      <c r="C100" s="135"/>
      <c r="D100" s="134">
        <v>4691</v>
      </c>
      <c r="E100" s="136"/>
      <c r="F100" s="127" t="str">
        <f t="shared" si="1"/>
        <v>Subsidios Gubernamentales</v>
      </c>
      <c r="G100" s="130"/>
      <c r="H100" s="130">
        <f>10080</f>
        <v>10080</v>
      </c>
      <c r="I100" s="129"/>
      <c r="J100" s="137"/>
    </row>
    <row r="101" spans="2:10" x14ac:dyDescent="0.25">
      <c r="B101" s="259"/>
      <c r="C101" s="135"/>
      <c r="D101" s="134"/>
      <c r="E101" s="136"/>
      <c r="F101" s="313" t="s">
        <v>1611</v>
      </c>
      <c r="G101" s="130"/>
      <c r="H101" s="130"/>
      <c r="I101" s="129"/>
      <c r="J101" s="137"/>
    </row>
    <row r="102" spans="2:10" x14ac:dyDescent="0.25">
      <c r="B102" s="299">
        <v>94</v>
      </c>
      <c r="C102" s="300"/>
      <c r="D102" s="301"/>
      <c r="E102" s="302"/>
      <c r="F102" s="303" t="str">
        <f t="shared" si="1"/>
        <v>GASTOS ADMINISTRATIVOS</v>
      </c>
      <c r="G102" s="304"/>
      <c r="H102" s="304"/>
      <c r="I102" s="305">
        <f>G103</f>
        <v>8542.3728813559319</v>
      </c>
      <c r="J102" s="306"/>
    </row>
    <row r="103" spans="2:10" x14ac:dyDescent="0.25">
      <c r="B103" s="259"/>
      <c r="C103" s="135">
        <v>941</v>
      </c>
      <c r="D103" s="134"/>
      <c r="E103" s="136"/>
      <c r="F103" s="127" t="str">
        <f t="shared" si="1"/>
        <v>Gastos de Personal</v>
      </c>
      <c r="G103" s="130">
        <f>G94</f>
        <v>8542.3728813559319</v>
      </c>
      <c r="H103" s="130"/>
      <c r="I103" s="129"/>
      <c r="J103" s="137"/>
    </row>
    <row r="104" spans="2:10" x14ac:dyDescent="0.25">
      <c r="B104" s="259">
        <v>79</v>
      </c>
      <c r="C104" s="135"/>
      <c r="D104" s="134"/>
      <c r="E104" s="136"/>
      <c r="F104" s="127" t="str">
        <f t="shared" si="1"/>
        <v>CARGAS IMPUTABLES A CUENTAS DE COSTOS Y GASTOS</v>
      </c>
      <c r="G104" s="130"/>
      <c r="H104" s="130"/>
      <c r="I104" s="129"/>
      <c r="J104" s="137">
        <f>H105</f>
        <v>8542.3728813559319</v>
      </c>
    </row>
    <row r="105" spans="2:10" x14ac:dyDescent="0.25">
      <c r="B105" s="259"/>
      <c r="C105" s="135">
        <v>791</v>
      </c>
      <c r="D105" s="134"/>
      <c r="E105" s="136"/>
      <c r="F105" s="127" t="str">
        <f t="shared" si="1"/>
        <v>Cargas Imputables a Cuentas de Costos y Gastos</v>
      </c>
      <c r="G105" s="130"/>
      <c r="H105" s="130">
        <f>G94</f>
        <v>8542.3728813559319</v>
      </c>
      <c r="I105" s="129"/>
      <c r="J105" s="137"/>
    </row>
    <row r="106" spans="2:10" x14ac:dyDescent="0.25">
      <c r="B106" s="307"/>
      <c r="C106" s="308"/>
      <c r="D106" s="309"/>
      <c r="E106" s="310"/>
      <c r="F106" s="314" t="s">
        <v>1612</v>
      </c>
      <c r="G106" s="133"/>
      <c r="H106" s="133"/>
      <c r="I106" s="311"/>
      <c r="J106" s="312"/>
    </row>
    <row r="107" spans="2:10" x14ac:dyDescent="0.25">
      <c r="B107" s="259">
        <v>65</v>
      </c>
      <c r="C107" s="135"/>
      <c r="D107" s="134"/>
      <c r="E107" s="136"/>
      <c r="F107" s="127" t="str">
        <f t="shared" si="1"/>
        <v>OTROS GASTOS DE GESTIÓN</v>
      </c>
      <c r="G107" s="130"/>
      <c r="H107" s="130"/>
      <c r="I107" s="130">
        <f>G109</f>
        <v>8450</v>
      </c>
      <c r="J107" s="137"/>
    </row>
    <row r="108" spans="2:10" x14ac:dyDescent="0.25">
      <c r="B108" s="259"/>
      <c r="C108" s="135">
        <v>659</v>
      </c>
      <c r="D108" s="134"/>
      <c r="E108" s="136"/>
      <c r="F108" s="127" t="str">
        <f t="shared" si="1"/>
        <v>Otros Gastos de Gestión</v>
      </c>
      <c r="G108" s="130"/>
      <c r="H108" s="130"/>
      <c r="I108" s="129"/>
      <c r="J108" s="137"/>
    </row>
    <row r="109" spans="2:10" x14ac:dyDescent="0.25">
      <c r="B109" s="259"/>
      <c r="C109" s="135"/>
      <c r="D109" s="134">
        <v>6599</v>
      </c>
      <c r="E109" s="136"/>
      <c r="F109" s="127" t="str">
        <f t="shared" si="1"/>
        <v>Varios Gastos de Gestión</v>
      </c>
      <c r="G109" s="130">
        <v>8450</v>
      </c>
      <c r="H109" s="130"/>
      <c r="I109" s="129"/>
      <c r="J109" s="137"/>
    </row>
    <row r="110" spans="2:10" x14ac:dyDescent="0.25">
      <c r="B110" s="259">
        <v>40</v>
      </c>
      <c r="C110" s="135"/>
      <c r="D110" s="134"/>
      <c r="E110" s="136"/>
      <c r="F110" s="127" t="str">
        <f t="shared" si="1"/>
        <v>TRIBUTOS, CONTRAPRESTACIONES Y APORTES AL SISTEMA DE PENSIONES Y DE SALUD POR PAGAR</v>
      </c>
      <c r="G110" s="130"/>
      <c r="H110" s="129"/>
      <c r="I110" s="129">
        <v>1521</v>
      </c>
      <c r="J110" s="137"/>
    </row>
    <row r="111" spans="2:10" x14ac:dyDescent="0.25">
      <c r="B111" s="259"/>
      <c r="C111" s="135">
        <v>401</v>
      </c>
      <c r="D111" s="134"/>
      <c r="E111" s="136"/>
      <c r="F111" s="127" t="str">
        <f t="shared" si="1"/>
        <v>Gobierno Central</v>
      </c>
      <c r="G111" s="130"/>
      <c r="H111" s="130"/>
      <c r="I111" s="129"/>
      <c r="J111" s="137"/>
    </row>
    <row r="112" spans="2:10" x14ac:dyDescent="0.25">
      <c r="B112" s="259"/>
      <c r="C112" s="135"/>
      <c r="D112" s="134">
        <v>4011</v>
      </c>
      <c r="E112" s="136"/>
      <c r="F112" s="127" t="str">
        <f t="shared" si="1"/>
        <v>Impuesto General a las Ventas</v>
      </c>
      <c r="G112" s="130">
        <v>1521</v>
      </c>
      <c r="H112" s="130"/>
      <c r="I112" s="129"/>
      <c r="J112" s="137"/>
    </row>
    <row r="113" spans="2:10" x14ac:dyDescent="0.25">
      <c r="B113" s="259">
        <v>46</v>
      </c>
      <c r="C113" s="135"/>
      <c r="D113" s="134"/>
      <c r="E113" s="136"/>
      <c r="F113" s="127" t="str">
        <f t="shared" si="1"/>
        <v>CUENTAS POR PAGAR DIVERSAS - TERCEROS</v>
      </c>
      <c r="G113" s="130"/>
      <c r="H113" s="130"/>
      <c r="I113" s="129"/>
      <c r="J113" s="137">
        <v>9971</v>
      </c>
    </row>
    <row r="114" spans="2:10" x14ac:dyDescent="0.25">
      <c r="B114" s="259"/>
      <c r="C114" s="135">
        <v>469</v>
      </c>
      <c r="D114" s="134"/>
      <c r="E114" s="136"/>
      <c r="F114" s="127" t="str">
        <f t="shared" si="1"/>
        <v>Otras Cuentas por Pagar Diversas</v>
      </c>
      <c r="G114" s="130"/>
      <c r="H114" s="130"/>
      <c r="I114" s="129"/>
      <c r="J114" s="137"/>
    </row>
    <row r="115" spans="2:10" x14ac:dyDescent="0.25">
      <c r="B115" s="259"/>
      <c r="C115" s="135"/>
      <c r="D115" s="134">
        <v>4699</v>
      </c>
      <c r="E115" s="136"/>
      <c r="F115" s="127" t="str">
        <f t="shared" si="1"/>
        <v>Otras Cuentas por Pagar Diversas</v>
      </c>
      <c r="G115" s="130"/>
      <c r="H115" s="129">
        <f>J113</f>
        <v>9971</v>
      </c>
      <c r="J115" s="137"/>
    </row>
    <row r="116" spans="2:10" x14ac:dyDescent="0.25">
      <c r="B116" s="307"/>
      <c r="C116" s="308"/>
      <c r="D116" s="309"/>
      <c r="E116" s="310"/>
      <c r="F116" s="314" t="s">
        <v>1613</v>
      </c>
      <c r="G116" s="133"/>
      <c r="H116" s="133"/>
      <c r="I116" s="311"/>
      <c r="J116" s="312"/>
    </row>
    <row r="117" spans="2:10" x14ac:dyDescent="0.25">
      <c r="B117" s="259">
        <v>94</v>
      </c>
      <c r="C117" s="135"/>
      <c r="D117" s="134"/>
      <c r="E117" s="136"/>
      <c r="F117" s="127" t="str">
        <f t="shared" si="1"/>
        <v>GASTOS ADMINISTRATIVOS</v>
      </c>
      <c r="G117" s="130"/>
      <c r="H117" s="130"/>
      <c r="I117" s="130">
        <f>G119</f>
        <v>8450</v>
      </c>
      <c r="J117" s="137"/>
    </row>
    <row r="118" spans="2:10" x14ac:dyDescent="0.25">
      <c r="B118" s="259"/>
      <c r="C118" s="135">
        <v>949</v>
      </c>
      <c r="D118" s="134"/>
      <c r="E118" s="136"/>
      <c r="F118" s="127" t="str">
        <f t="shared" si="1"/>
        <v>Otros Gastos Administrativos</v>
      </c>
      <c r="G118" s="130"/>
      <c r="H118" s="130"/>
      <c r="I118" s="129"/>
      <c r="J118" s="137"/>
    </row>
    <row r="119" spans="2:10" x14ac:dyDescent="0.25">
      <c r="B119" s="259"/>
      <c r="C119" s="135"/>
      <c r="D119" s="134">
        <v>9491</v>
      </c>
      <c r="E119" s="136"/>
      <c r="F119" s="127" t="str">
        <f t="shared" si="1"/>
        <v>Otros Gastos Administrativos</v>
      </c>
      <c r="G119" s="130">
        <f>G109</f>
        <v>8450</v>
      </c>
      <c r="H119" s="130"/>
      <c r="I119" s="129"/>
      <c r="J119" s="137"/>
    </row>
    <row r="120" spans="2:10" x14ac:dyDescent="0.25">
      <c r="B120" s="259">
        <v>79</v>
      </c>
      <c r="C120" s="135"/>
      <c r="D120" s="134"/>
      <c r="E120" s="136"/>
      <c r="F120" s="127" t="str">
        <f t="shared" si="1"/>
        <v>CARGAS IMPUTABLES A CUENTAS DE COSTOS Y GASTOS</v>
      </c>
      <c r="G120" s="130"/>
      <c r="H120" s="130"/>
      <c r="I120" s="129"/>
      <c r="J120" s="137">
        <f>H122</f>
        <v>8450</v>
      </c>
    </row>
    <row r="121" spans="2:10" x14ac:dyDescent="0.25">
      <c r="B121" s="259"/>
      <c r="C121" s="135">
        <v>791</v>
      </c>
      <c r="D121" s="134"/>
      <c r="E121" s="136"/>
      <c r="F121" s="127" t="str">
        <f t="shared" si="1"/>
        <v>Cargas Imputables a Cuentas de Costos y Gastos</v>
      </c>
      <c r="G121" s="130"/>
      <c r="H121" s="130"/>
      <c r="I121" s="129"/>
      <c r="J121" s="137"/>
    </row>
    <row r="122" spans="2:10" x14ac:dyDescent="0.25">
      <c r="B122" s="259"/>
      <c r="C122" s="135"/>
      <c r="D122" s="134">
        <v>7911</v>
      </c>
      <c r="E122" s="136"/>
      <c r="F122" s="127" t="str">
        <f t="shared" si="1"/>
        <v>Cargas Imputables a Cuentas de Costos y Gastos</v>
      </c>
      <c r="G122" s="130"/>
      <c r="H122" s="129">
        <f>G119</f>
        <v>8450</v>
      </c>
      <c r="J122" s="137"/>
    </row>
    <row r="123" spans="2:10" x14ac:dyDescent="0.25">
      <c r="B123" s="259"/>
      <c r="C123" s="135"/>
      <c r="D123" s="134"/>
      <c r="E123" s="136"/>
      <c r="F123" s="313" t="s">
        <v>1614</v>
      </c>
      <c r="G123" s="130"/>
      <c r="H123" s="130"/>
      <c r="I123" s="129"/>
      <c r="J123" s="137"/>
    </row>
    <row r="124" spans="2:10" x14ac:dyDescent="0.25">
      <c r="B124" s="299">
        <v>46</v>
      </c>
      <c r="C124" s="300"/>
      <c r="D124" s="301"/>
      <c r="E124" s="302"/>
      <c r="F124" s="303" t="str">
        <f t="shared" si="1"/>
        <v>CUENTAS POR PAGAR DIVERSAS - TERCEROS</v>
      </c>
      <c r="G124" s="304"/>
      <c r="H124" s="304"/>
      <c r="I124" s="305">
        <v>9971</v>
      </c>
      <c r="J124" s="306"/>
    </row>
    <row r="125" spans="2:10" x14ac:dyDescent="0.25">
      <c r="B125" s="259"/>
      <c r="C125" s="135">
        <v>469</v>
      </c>
      <c r="D125" s="134"/>
      <c r="E125" s="136"/>
      <c r="F125" s="127" t="str">
        <f t="shared" si="1"/>
        <v>Otras Cuentas por Pagar Diversas</v>
      </c>
      <c r="G125" s="130"/>
      <c r="H125" s="130"/>
      <c r="I125" s="129"/>
      <c r="J125" s="137"/>
    </row>
    <row r="126" spans="2:10" x14ac:dyDescent="0.25">
      <c r="B126" s="259"/>
      <c r="C126" s="135"/>
      <c r="D126" s="134">
        <v>4691</v>
      </c>
      <c r="E126" s="136"/>
      <c r="F126" s="127" t="str">
        <f t="shared" si="1"/>
        <v>Subsidios Gubernamentales</v>
      </c>
      <c r="G126" s="130">
        <v>9971</v>
      </c>
      <c r="H126" s="130"/>
      <c r="I126" s="129"/>
      <c r="J126" s="137"/>
    </row>
    <row r="127" spans="2:10" x14ac:dyDescent="0.25">
      <c r="B127" s="259">
        <v>10</v>
      </c>
      <c r="C127" s="135"/>
      <c r="D127" s="134"/>
      <c r="E127" s="136"/>
      <c r="F127" s="127" t="str">
        <f t="shared" si="1"/>
        <v>EFECTIVO Y EQUIVALENTES DE EFECTIVO</v>
      </c>
      <c r="G127" s="130"/>
      <c r="H127" s="130"/>
      <c r="I127" s="129"/>
      <c r="J127" s="137">
        <v>9971</v>
      </c>
    </row>
    <row r="128" spans="2:10" x14ac:dyDescent="0.25">
      <c r="B128" s="259"/>
      <c r="C128" s="135">
        <v>104</v>
      </c>
      <c r="D128" s="134"/>
      <c r="E128" s="136"/>
      <c r="F128" s="127" t="str">
        <f t="shared" si="1"/>
        <v>Cuentas Corrientes en Instituciones Financieras</v>
      </c>
      <c r="G128" s="130"/>
      <c r="H128" s="130"/>
      <c r="I128" s="129"/>
      <c r="J128" s="137"/>
    </row>
    <row r="129" spans="2:10" x14ac:dyDescent="0.25">
      <c r="B129" s="259"/>
      <c r="C129" s="135"/>
      <c r="D129" s="134">
        <v>1041</v>
      </c>
      <c r="E129" s="136"/>
      <c r="F129" s="127" t="str">
        <f t="shared" si="1"/>
        <v>Cuentas Corrientes Operativas</v>
      </c>
      <c r="G129" s="130"/>
      <c r="H129" s="130">
        <v>9971</v>
      </c>
      <c r="I129" s="129"/>
      <c r="J129" s="137"/>
    </row>
    <row r="130" spans="2:10" x14ac:dyDescent="0.25">
      <c r="B130" s="259"/>
      <c r="C130" s="135"/>
      <c r="D130" s="134"/>
      <c r="E130" s="136"/>
      <c r="F130" s="313" t="s">
        <v>1615</v>
      </c>
      <c r="G130" s="130"/>
      <c r="H130" s="130"/>
      <c r="I130" s="129"/>
      <c r="J130" s="137"/>
    </row>
    <row r="131" spans="2:10" x14ac:dyDescent="0.25">
      <c r="B131" s="299">
        <v>62</v>
      </c>
      <c r="C131" s="300"/>
      <c r="D131" s="301"/>
      <c r="E131" s="302"/>
      <c r="F131" s="303" t="str">
        <f t="shared" si="1"/>
        <v>GASTOS DE PERSONAL, DIRECTORES Y GERENTES</v>
      </c>
      <c r="G131" s="304"/>
      <c r="H131" s="304"/>
      <c r="I131" s="304">
        <v>327000</v>
      </c>
      <c r="J131" s="306"/>
    </row>
    <row r="132" spans="2:10" x14ac:dyDescent="0.25">
      <c r="B132" s="259"/>
      <c r="C132" s="135">
        <v>621</v>
      </c>
      <c r="D132" s="134"/>
      <c r="E132" s="136"/>
      <c r="F132" s="127" t="str">
        <f t="shared" si="1"/>
        <v>Remuneraciones</v>
      </c>
      <c r="G132" s="130"/>
      <c r="H132" s="130"/>
      <c r="I132" s="129"/>
      <c r="J132" s="137"/>
    </row>
    <row r="133" spans="2:10" x14ac:dyDescent="0.25">
      <c r="B133" s="259"/>
      <c r="C133" s="135"/>
      <c r="D133" s="134">
        <v>6211</v>
      </c>
      <c r="E133" s="136"/>
      <c r="F133" s="127" t="str">
        <f t="shared" si="1"/>
        <v>Sueldos y Salarios</v>
      </c>
      <c r="G133" s="130">
        <v>300000</v>
      </c>
      <c r="H133" s="130"/>
      <c r="I133" s="129"/>
      <c r="J133" s="137"/>
    </row>
    <row r="134" spans="2:10" x14ac:dyDescent="0.25">
      <c r="B134" s="259"/>
      <c r="C134" s="135"/>
      <c r="D134" s="134">
        <v>6271</v>
      </c>
      <c r="E134" s="136"/>
      <c r="F134" s="127" t="str">
        <f t="shared" si="1"/>
        <v>Régimen de Prestaciones de Salud</v>
      </c>
      <c r="G134" s="130">
        <v>27000</v>
      </c>
      <c r="H134" s="130"/>
      <c r="I134" s="129"/>
      <c r="J134" s="137"/>
    </row>
    <row r="135" spans="2:10" x14ac:dyDescent="0.25">
      <c r="B135" s="259">
        <v>40</v>
      </c>
      <c r="C135" s="135"/>
      <c r="D135" s="134"/>
      <c r="E135" s="136"/>
      <c r="F135" s="127" t="str">
        <f t="shared" si="1"/>
        <v>TRIBUTOS, CONTRAPRESTACIONES Y APORTES AL SISTEMA DE PENSIONES Y DE SALUD POR PAGAR</v>
      </c>
      <c r="G135" s="130"/>
      <c r="H135" s="130"/>
      <c r="I135" s="129"/>
      <c r="J135" s="137">
        <v>65142</v>
      </c>
    </row>
    <row r="136" spans="2:10" x14ac:dyDescent="0.25">
      <c r="B136" s="259"/>
      <c r="C136" s="135">
        <v>403</v>
      </c>
      <c r="D136" s="134"/>
      <c r="E136" s="136"/>
      <c r="F136" s="127" t="str">
        <f t="shared" si="1"/>
        <v>Instituciones Públicas</v>
      </c>
      <c r="G136" s="130"/>
      <c r="H136" s="130"/>
      <c r="I136" s="129"/>
      <c r="J136" s="137"/>
    </row>
    <row r="137" spans="2:10" x14ac:dyDescent="0.25">
      <c r="B137" s="259"/>
      <c r="C137" s="135"/>
      <c r="D137" s="134">
        <v>4031</v>
      </c>
      <c r="E137" s="136"/>
      <c r="F137" s="127" t="str">
        <f t="shared" si="1"/>
        <v>ESSALUD</v>
      </c>
      <c r="G137" s="130"/>
      <c r="H137" s="130">
        <v>27000</v>
      </c>
      <c r="J137" s="137"/>
    </row>
    <row r="138" spans="2:10" x14ac:dyDescent="0.25">
      <c r="B138" s="259"/>
      <c r="C138" s="135"/>
      <c r="D138" s="134">
        <v>4032</v>
      </c>
      <c r="E138" s="136"/>
      <c r="F138" s="127" t="str">
        <f t="shared" si="1"/>
        <v>ONP</v>
      </c>
      <c r="G138" s="130"/>
      <c r="H138" s="130">
        <v>12480</v>
      </c>
      <c r="J138" s="137"/>
    </row>
    <row r="139" spans="2:10" x14ac:dyDescent="0.25">
      <c r="B139" s="259"/>
      <c r="C139" s="135">
        <v>407</v>
      </c>
      <c r="D139" s="134"/>
      <c r="E139" s="136"/>
      <c r="F139" s="127" t="str">
        <f t="shared" si="1"/>
        <v>Administradoras de Fondos de Pensiones</v>
      </c>
      <c r="G139" s="130"/>
      <c r="H139" s="130"/>
      <c r="J139" s="137"/>
    </row>
    <row r="140" spans="2:10" x14ac:dyDescent="0.25">
      <c r="B140" s="259"/>
      <c r="C140" s="135"/>
      <c r="D140" s="134">
        <v>4071</v>
      </c>
      <c r="E140" s="136"/>
      <c r="F140" s="127" t="str">
        <f t="shared" si="1"/>
        <v>Habitat</v>
      </c>
      <c r="G140" s="130"/>
      <c r="H140" s="130">
        <v>5664</v>
      </c>
      <c r="J140" s="137"/>
    </row>
    <row r="141" spans="2:10" x14ac:dyDescent="0.25">
      <c r="B141" s="259"/>
      <c r="C141" s="135"/>
      <c r="D141" s="134">
        <v>4072</v>
      </c>
      <c r="E141" s="136"/>
      <c r="F141" s="127" t="str">
        <f t="shared" si="1"/>
        <v>Integra</v>
      </c>
      <c r="G141" s="130"/>
      <c r="H141" s="130">
        <v>6901.2</v>
      </c>
      <c r="J141" s="137"/>
    </row>
    <row r="142" spans="2:10" x14ac:dyDescent="0.25">
      <c r="B142" s="259"/>
      <c r="C142" s="135"/>
      <c r="D142" s="134">
        <v>4073</v>
      </c>
      <c r="E142" s="136"/>
      <c r="F142" s="127" t="str">
        <f t="shared" si="1"/>
        <v>Prima</v>
      </c>
      <c r="G142" s="130"/>
      <c r="H142" s="130">
        <v>13096.8</v>
      </c>
      <c r="J142" s="137"/>
    </row>
    <row r="143" spans="2:10" x14ac:dyDescent="0.25">
      <c r="B143" s="259">
        <v>41</v>
      </c>
      <c r="C143" s="135"/>
      <c r="D143" s="134"/>
      <c r="E143" s="136"/>
      <c r="F143" s="127" t="str">
        <f t="shared" si="1"/>
        <v>REMUNERACIONES Y PARTICIPACIONES POR PAGAR</v>
      </c>
      <c r="G143" s="130"/>
      <c r="H143" s="129"/>
      <c r="J143" s="137">
        <v>261858</v>
      </c>
    </row>
    <row r="144" spans="2:10" x14ac:dyDescent="0.25">
      <c r="B144" s="259"/>
      <c r="C144" s="135">
        <v>411</v>
      </c>
      <c r="D144" s="134"/>
      <c r="E144" s="136"/>
      <c r="F144" s="127" t="str">
        <f t="shared" si="1"/>
        <v>Remuneraciones por Pagar</v>
      </c>
      <c r="G144" s="130"/>
      <c r="H144" s="129"/>
      <c r="J144" s="137"/>
    </row>
    <row r="145" spans="2:10" x14ac:dyDescent="0.25">
      <c r="B145" s="259"/>
      <c r="C145" s="135"/>
      <c r="D145" s="134">
        <v>4111</v>
      </c>
      <c r="E145" s="136"/>
      <c r="F145" s="127" t="str">
        <f t="shared" si="1"/>
        <v>Sueldos y Salarios por Pagar</v>
      </c>
      <c r="G145" s="130"/>
      <c r="H145" s="129">
        <v>261858</v>
      </c>
      <c r="J145" s="137"/>
    </row>
    <row r="146" spans="2:10" x14ac:dyDescent="0.25">
      <c r="B146" s="259"/>
      <c r="C146" s="135"/>
      <c r="D146" s="134"/>
      <c r="E146" s="136"/>
      <c r="F146" s="313" t="s">
        <v>1616</v>
      </c>
      <c r="G146" s="130"/>
      <c r="H146" s="130"/>
      <c r="I146" s="129"/>
      <c r="J146" s="137"/>
    </row>
    <row r="147" spans="2:10" x14ac:dyDescent="0.25">
      <c r="B147" s="299">
        <v>94</v>
      </c>
      <c r="C147" s="300"/>
      <c r="D147" s="301"/>
      <c r="E147" s="302"/>
      <c r="F147" s="303" t="str">
        <f t="shared" si="1"/>
        <v>GASTOS ADMINISTRATIVOS</v>
      </c>
      <c r="G147" s="304"/>
      <c r="H147" s="304"/>
      <c r="I147" s="305">
        <v>327000</v>
      </c>
      <c r="J147" s="306"/>
    </row>
    <row r="148" spans="2:10" x14ac:dyDescent="0.25">
      <c r="B148" s="259"/>
      <c r="C148" s="135">
        <v>949</v>
      </c>
      <c r="D148" s="134"/>
      <c r="E148" s="136"/>
      <c r="F148" s="127" t="str">
        <f t="shared" si="1"/>
        <v>Otros Gastos Administrativos</v>
      </c>
      <c r="G148" s="130"/>
      <c r="H148" s="130"/>
      <c r="I148" s="129"/>
      <c r="J148" s="137"/>
    </row>
    <row r="149" spans="2:10" x14ac:dyDescent="0.25">
      <c r="B149" s="259"/>
      <c r="C149" s="135"/>
      <c r="D149" s="134">
        <v>9491</v>
      </c>
      <c r="E149" s="136"/>
      <c r="F149" s="127" t="str">
        <f t="shared" si="1"/>
        <v>Otros Gastos Administrativos</v>
      </c>
      <c r="G149" s="130">
        <f>I147</f>
        <v>327000</v>
      </c>
      <c r="H149" s="130"/>
      <c r="I149" s="129"/>
      <c r="J149" s="137"/>
    </row>
    <row r="150" spans="2:10" x14ac:dyDescent="0.25">
      <c r="B150" s="259">
        <v>79</v>
      </c>
      <c r="C150" s="135"/>
      <c r="D150" s="134"/>
      <c r="E150" s="136"/>
      <c r="F150" s="127" t="str">
        <f t="shared" si="1"/>
        <v>CARGAS IMPUTABLES A CUENTAS DE COSTOS Y GASTOS</v>
      </c>
      <c r="G150" s="130"/>
      <c r="H150" s="130"/>
      <c r="I150" s="129"/>
      <c r="J150" s="137">
        <f>I147</f>
        <v>327000</v>
      </c>
    </row>
    <row r="151" spans="2:10" x14ac:dyDescent="0.25">
      <c r="B151" s="259"/>
      <c r="C151" s="135">
        <v>791</v>
      </c>
      <c r="D151" s="134"/>
      <c r="E151" s="136"/>
      <c r="F151" s="127" t="str">
        <f t="shared" si="1"/>
        <v>Cargas Imputables a Cuentas de Costos y Gastos</v>
      </c>
      <c r="G151" s="130"/>
      <c r="H151" s="130"/>
      <c r="I151" s="129"/>
      <c r="J151" s="137"/>
    </row>
    <row r="152" spans="2:10" x14ac:dyDescent="0.25">
      <c r="B152" s="259"/>
      <c r="C152" s="135"/>
      <c r="D152" s="134">
        <v>7911</v>
      </c>
      <c r="E152" s="136"/>
      <c r="F152" s="127" t="str">
        <f t="shared" si="1"/>
        <v>Cargas Imputables a Cuentas de Costos y Gastos</v>
      </c>
      <c r="G152" s="130"/>
      <c r="H152" s="130">
        <f>G149</f>
        <v>327000</v>
      </c>
      <c r="I152" s="129"/>
      <c r="J152" s="137"/>
    </row>
    <row r="153" spans="2:10" x14ac:dyDescent="0.25">
      <c r="B153" s="259"/>
      <c r="C153" s="135"/>
      <c r="D153" s="134"/>
      <c r="E153" s="136"/>
      <c r="F153" s="313" t="s">
        <v>1617</v>
      </c>
      <c r="G153" s="130"/>
      <c r="H153" s="130"/>
      <c r="I153" s="129"/>
      <c r="J153" s="137"/>
    </row>
    <row r="154" spans="2:10" x14ac:dyDescent="0.25">
      <c r="B154" s="299">
        <v>68</v>
      </c>
      <c r="C154" s="300"/>
      <c r="D154" s="301"/>
      <c r="E154" s="302"/>
      <c r="F154" s="303" t="str">
        <f t="shared" si="1"/>
        <v>VALUACIÓN Y DETERIORO DE ACTIVOS Y PROVISIONES</v>
      </c>
      <c r="G154" s="304"/>
      <c r="H154" s="304"/>
      <c r="I154" s="305">
        <v>31542.5</v>
      </c>
      <c r="J154" s="306"/>
    </row>
    <row r="155" spans="2:10" x14ac:dyDescent="0.25">
      <c r="B155" s="259"/>
      <c r="C155" s="135">
        <v>681</v>
      </c>
      <c r="D155" s="134"/>
      <c r="E155" s="136"/>
      <c r="F155" s="127" t="str">
        <f t="shared" si="1"/>
        <v>Depreciación</v>
      </c>
      <c r="G155" s="130"/>
      <c r="H155" s="130"/>
      <c r="I155" s="129"/>
      <c r="J155" s="137"/>
    </row>
    <row r="156" spans="2:10" x14ac:dyDescent="0.25">
      <c r="B156" s="259"/>
      <c r="C156" s="135"/>
      <c r="D156" s="134">
        <v>6811</v>
      </c>
      <c r="E156" s="136"/>
      <c r="F156" s="127" t="str">
        <f t="shared" si="1"/>
        <v>Depreciación de Inversiones Inmobiliarias</v>
      </c>
      <c r="G156" s="130">
        <v>31542.5</v>
      </c>
      <c r="H156" s="130"/>
      <c r="I156" s="129"/>
      <c r="J156" s="137"/>
    </row>
    <row r="157" spans="2:10" x14ac:dyDescent="0.25">
      <c r="B157" s="259">
        <v>39</v>
      </c>
      <c r="C157" s="135"/>
      <c r="D157" s="134"/>
      <c r="E157" s="136"/>
      <c r="F157" s="127" t="str">
        <f t="shared" si="1"/>
        <v>DEPRECIACIÓN, AMORTIZACIÓN Y AGOTAMIENTO ACUMULADOS</v>
      </c>
      <c r="G157" s="130"/>
      <c r="H157" s="130"/>
      <c r="I157" s="129"/>
      <c r="J157" s="137">
        <v>31542.5</v>
      </c>
    </row>
    <row r="158" spans="2:10" x14ac:dyDescent="0.25">
      <c r="B158" s="259"/>
      <c r="C158" s="135">
        <v>391</v>
      </c>
      <c r="D158" s="134"/>
      <c r="E158" s="136"/>
      <c r="F158" s="127" t="str">
        <f t="shared" si="1"/>
        <v>Depreciación Acumulada</v>
      </c>
      <c r="G158" s="130"/>
      <c r="H158" s="130"/>
      <c r="I158" s="129"/>
      <c r="J158" s="137"/>
    </row>
    <row r="159" spans="2:10" x14ac:dyDescent="0.25">
      <c r="B159" s="259"/>
      <c r="C159" s="135"/>
      <c r="D159" s="134">
        <v>3911</v>
      </c>
      <c r="E159" s="136"/>
      <c r="F159" s="127" t="str">
        <f t="shared" si="1"/>
        <v>Inversiones Inmobiliarias</v>
      </c>
      <c r="G159" s="130"/>
      <c r="H159" s="130">
        <v>31542.5</v>
      </c>
      <c r="I159" s="129"/>
      <c r="J159" s="137"/>
    </row>
    <row r="160" spans="2:10" x14ac:dyDescent="0.25">
      <c r="B160" s="259"/>
      <c r="C160" s="135"/>
      <c r="D160" s="134"/>
      <c r="E160" s="136"/>
      <c r="F160" s="313" t="s">
        <v>1618</v>
      </c>
      <c r="G160" s="130"/>
      <c r="H160" s="130"/>
      <c r="I160" s="129"/>
      <c r="J160" s="137"/>
    </row>
    <row r="161" spans="2:10" x14ac:dyDescent="0.25">
      <c r="B161" s="299">
        <v>94</v>
      </c>
      <c r="C161" s="300"/>
      <c r="D161" s="301"/>
      <c r="E161" s="302"/>
      <c r="F161" s="303" t="str">
        <f t="shared" si="1"/>
        <v>GASTOS ADMINISTRATIVOS</v>
      </c>
      <c r="G161" s="304"/>
      <c r="H161" s="304"/>
      <c r="I161" s="305">
        <v>31542.5</v>
      </c>
      <c r="J161" s="306"/>
    </row>
    <row r="162" spans="2:10" x14ac:dyDescent="0.25">
      <c r="B162" s="259"/>
      <c r="C162" s="135">
        <v>949</v>
      </c>
      <c r="D162" s="134"/>
      <c r="E162" s="136"/>
      <c r="F162" s="127" t="str">
        <f t="shared" si="1"/>
        <v>Otros Gastos Administrativos</v>
      </c>
      <c r="G162" s="130"/>
      <c r="H162" s="130"/>
      <c r="I162" s="129"/>
      <c r="J162" s="137"/>
    </row>
    <row r="163" spans="2:10" x14ac:dyDescent="0.25">
      <c r="B163" s="259"/>
      <c r="C163" s="135"/>
      <c r="D163" s="134">
        <v>9491</v>
      </c>
      <c r="E163" s="136"/>
      <c r="F163" s="127" t="str">
        <f t="shared" si="1"/>
        <v>Otros Gastos Administrativos</v>
      </c>
      <c r="G163" s="130">
        <v>31542.5</v>
      </c>
      <c r="H163" s="130"/>
      <c r="I163" s="129"/>
      <c r="J163" s="137"/>
    </row>
    <row r="164" spans="2:10" x14ac:dyDescent="0.25">
      <c r="B164" s="259">
        <v>79</v>
      </c>
      <c r="C164" s="135"/>
      <c r="D164" s="134"/>
      <c r="E164" s="136"/>
      <c r="F164" s="127" t="str">
        <f t="shared" si="1"/>
        <v>CARGAS IMPUTABLES A CUENTAS DE COSTOS Y GASTOS</v>
      </c>
      <c r="G164" s="130"/>
      <c r="H164" s="130"/>
      <c r="I164" s="129"/>
      <c r="J164" s="137">
        <v>31542.5</v>
      </c>
    </row>
    <row r="165" spans="2:10" x14ac:dyDescent="0.25">
      <c r="B165" s="259"/>
      <c r="C165" s="135">
        <v>791</v>
      </c>
      <c r="D165" s="134"/>
      <c r="E165" s="136"/>
      <c r="F165" s="127" t="str">
        <f t="shared" si="1"/>
        <v>Cargas Imputables a Cuentas de Costos y Gastos</v>
      </c>
      <c r="G165" s="130"/>
      <c r="H165" s="130"/>
      <c r="I165" s="129"/>
      <c r="J165" s="137"/>
    </row>
    <row r="166" spans="2:10" x14ac:dyDescent="0.25">
      <c r="B166" s="259"/>
      <c r="C166" s="135"/>
      <c r="D166" s="134">
        <v>7911</v>
      </c>
      <c r="E166" s="136"/>
      <c r="F166" s="127" t="str">
        <f t="shared" si="1"/>
        <v>Cargas Imputables a Cuentas de Costos y Gastos</v>
      </c>
      <c r="G166" s="130"/>
      <c r="H166" s="130">
        <v>31542.5</v>
      </c>
      <c r="I166" s="129"/>
      <c r="J166" s="137"/>
    </row>
    <row r="167" spans="2:10" ht="16.2" thickBot="1" x14ac:dyDescent="0.3">
      <c r="B167" s="259"/>
      <c r="C167" s="135"/>
      <c r="D167" s="134"/>
      <c r="E167" s="136"/>
      <c r="F167" s="313" t="s">
        <v>1618</v>
      </c>
      <c r="G167" s="130"/>
      <c r="H167" s="130"/>
      <c r="I167" s="129"/>
      <c r="J167" s="137"/>
    </row>
    <row r="168" spans="2:10" ht="16.2" thickBot="1" x14ac:dyDescent="0.3">
      <c r="B168" s="291"/>
      <c r="C168" s="292"/>
      <c r="D168" s="293"/>
      <c r="E168" s="294"/>
      <c r="F168" s="295" t="s">
        <v>389</v>
      </c>
      <c r="G168" s="296">
        <f>SUM(G15:G167)</f>
        <v>3368455.3728813562</v>
      </c>
      <c r="H168" s="296">
        <f>SUM(H15:H167)</f>
        <v>3368455.3728813562</v>
      </c>
      <c r="I168" s="297">
        <f>SUM(I15:I167)</f>
        <v>3368455.3728813562</v>
      </c>
      <c r="J168" s="298">
        <f>SUM(J15:J167)</f>
        <v>3368455.3728813562</v>
      </c>
    </row>
    <row r="169" spans="2:10" ht="16.2" thickBot="1" x14ac:dyDescent="0.3">
      <c r="G169" s="141">
        <f>IF(G168&lt;H168,H168-G168,0)</f>
        <v>0</v>
      </c>
      <c r="H169" s="141">
        <f>IF(G168&gt;H168,G168-H168,0)</f>
        <v>0</v>
      </c>
      <c r="I169" s="141">
        <f>IF(I168&lt;J168,J168-I168,0)</f>
        <v>0</v>
      </c>
      <c r="J169" s="142">
        <f>IF(I168&gt;J168,I168-J168,0)</f>
        <v>0</v>
      </c>
    </row>
  </sheetData>
  <mergeCells count="10">
    <mergeCell ref="B13:F13"/>
    <mergeCell ref="G13:G14"/>
    <mergeCell ref="H13:H14"/>
    <mergeCell ref="I13:I14"/>
    <mergeCell ref="J13:J14"/>
    <mergeCell ref="E2:F2"/>
    <mergeCell ref="E4:F4"/>
    <mergeCell ref="E6:F6"/>
    <mergeCell ref="E8:F8"/>
    <mergeCell ref="E10:F10"/>
  </mergeCells>
  <phoneticPr fontId="0" type="noConversion"/>
  <conditionalFormatting sqref="I168">
    <cfRule type="cellIs" dxfId="174" priority="202" stopIfTrue="1" operator="notEqual">
      <formula>J168</formula>
    </cfRule>
  </conditionalFormatting>
  <conditionalFormatting sqref="J168">
    <cfRule type="cellIs" dxfId="173" priority="203" stopIfTrue="1" operator="notEqual">
      <formula>I168</formula>
    </cfRule>
  </conditionalFormatting>
  <conditionalFormatting sqref="F15:F167">
    <cfRule type="expression" dxfId="172" priority="209" stopIfTrue="1">
      <formula>B15&gt;0</formula>
    </cfRule>
    <cfRule type="expression" dxfId="171" priority="210" stopIfTrue="1">
      <formula>ISERROR(F15)</formula>
    </cfRule>
  </conditionalFormatting>
  <conditionalFormatting sqref="G168">
    <cfRule type="cellIs" dxfId="170" priority="218" stopIfTrue="1" operator="notEqual">
      <formula>H168</formula>
    </cfRule>
  </conditionalFormatting>
  <conditionalFormatting sqref="H168">
    <cfRule type="cellIs" dxfId="169" priority="219" stopIfTrue="1" operator="notEqual">
      <formula>G168</formula>
    </cfRule>
  </conditionalFormatting>
  <conditionalFormatting sqref="G169:J169">
    <cfRule type="cellIs" dxfId="168" priority="201" stopIfTrue="1" operator="greaterThan">
      <formula>0</formula>
    </cfRule>
  </conditionalFormatting>
  <conditionalFormatting sqref="I169">
    <cfRule type="cellIs" dxfId="167" priority="167" stopIfTrue="1" operator="notEqual">
      <formula>J169</formula>
    </cfRule>
  </conditionalFormatting>
  <conditionalFormatting sqref="J169">
    <cfRule type="cellIs" dxfId="166" priority="166" stopIfTrue="1" operator="notEqual">
      <formula>I169</formula>
    </cfRule>
  </conditionalFormatting>
  <conditionalFormatting sqref="I169">
    <cfRule type="cellIs" dxfId="165" priority="164" stopIfTrue="1" operator="notEqual">
      <formula>J169</formula>
    </cfRule>
  </conditionalFormatting>
  <conditionalFormatting sqref="J169">
    <cfRule type="cellIs" dxfId="164" priority="163" stopIfTrue="1" operator="notEqual">
      <formula>I169</formula>
    </cfRule>
  </conditionalFormatting>
  <conditionalFormatting sqref="G169">
    <cfRule type="cellIs" dxfId="163" priority="162" stopIfTrue="1" operator="notEqual">
      <formula>H169</formula>
    </cfRule>
  </conditionalFormatting>
  <conditionalFormatting sqref="H169">
    <cfRule type="cellIs" dxfId="162" priority="161" stopIfTrue="1" operator="notEqual">
      <formula>G169</formula>
    </cfRule>
  </conditionalFormatting>
  <dataValidations count="4">
    <dataValidation type="whole" allowBlank="1" showErrorMessage="1" errorTitle="ERROR EN LA CUENTA PRINCIPAL" error="La cuenta contable que acabas de ingresar es incorrecta, sólo es permitido ingresar cuentas principales._x000a__x000a_Atte._x000a__x000a_Alex Tejada" sqref="B15:B168">
      <formula1>10</formula1>
      <formula2>99</formula2>
    </dataValidation>
    <dataValidation type="whole" allowBlank="1" showInputMessage="1" showErrorMessage="1" errorTitle="ERROR EN LA CUENTA DE 3 DÍGITOS" error="La subcuenta contable que acabas de ingresar es incorrecta, sólo es permitido ingresar subcuentas de tres dígitos._x000a__x000a_Atte._x000a__x000a_Alex Tejada" sqref="C15:C168">
      <formula1>101</formula1>
      <formula2>999</formula2>
    </dataValidation>
    <dataValidation type="whole" allowBlank="1" showInputMessage="1" showErrorMessage="1" errorTitle="ERROR EN LA CUENTA DE 4 DÍGITOS" error="La subcuenta contable que acabas de ingresar es incorrecta, sólo es permitido ingresar subcuentas de cuatro dígitos._x000a__x000a_Atte._x000a__x000a_Alex Tejada" sqref="D15:D168">
      <formula1>1011</formula1>
      <formula2>9999</formula2>
    </dataValidation>
    <dataValidation type="whole" allowBlank="1" showInputMessage="1" showErrorMessage="1" errorTitle="ERROR EN LA CUENTA DE 5 DÍGITOS" error="La subcuenta contable que acabas de ingresar es incorrecta, sólo es permitido ingresar subcuentas de cinco dígitos._x000a__x000a_Atte._x000a__x000a_Alex Tejada" sqref="E15:E168">
      <formula1>10111</formula1>
      <formula2>99999</formula2>
    </dataValidation>
  </dataValidations>
  <printOptions horizontalCentered="1"/>
  <pageMargins left="0.19685039370078741" right="0.19685039370078741" top="0.19685039370078741" bottom="0.19685039370078741" header="0" footer="0"/>
  <pageSetup paperSize="9" scale="74" fitToHeight="60" orientation="landscape" verticalDpi="72" r:id="rId1"/>
  <headerFooter alignWithMargins="0">
    <oddFooter>&amp;C&amp;A&amp;R&amp;P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8"/>
  </sheetPr>
  <dimension ref="B1:BK193"/>
  <sheetViews>
    <sheetView showGridLines="0" topLeftCell="A225" zoomScale="85" zoomScaleNormal="85" zoomScaleSheetLayoutView="25" workbookViewId="0">
      <selection activeCell="A245" sqref="A245"/>
    </sheetView>
  </sheetViews>
  <sheetFormatPr baseColWidth="10" defaultColWidth="11.44140625" defaultRowHeight="13.8" x14ac:dyDescent="0.25"/>
  <cols>
    <col min="1" max="1" width="3.6640625" style="1" customWidth="1"/>
    <col min="2" max="3" width="12.6640625" style="1" customWidth="1"/>
    <col min="4" max="4" width="25.6640625" style="1" customWidth="1"/>
    <col min="5" max="5" width="14.44140625" style="1" customWidth="1"/>
    <col min="6" max="6" width="15.109375" style="1" customWidth="1"/>
    <col min="7" max="7" width="3" style="1" customWidth="1"/>
    <col min="8" max="9" width="12.6640625" style="1" customWidth="1"/>
    <col min="10" max="10" width="25.6640625" style="1" customWidth="1"/>
    <col min="11" max="11" width="14.44140625" style="1" customWidth="1"/>
    <col min="12" max="12" width="15.109375" style="1" customWidth="1"/>
    <col min="13" max="13" width="3" style="1" customWidth="1"/>
    <col min="14" max="15" width="12.6640625" style="1" customWidth="1"/>
    <col min="16" max="16" width="25.6640625" style="1" customWidth="1"/>
    <col min="17" max="17" width="14.44140625" style="1" customWidth="1"/>
    <col min="18" max="18" width="15.109375" style="1" customWidth="1"/>
    <col min="19" max="19" width="3" style="1" customWidth="1"/>
    <col min="20" max="21" width="12.6640625" style="1" customWidth="1"/>
    <col min="22" max="22" width="25.6640625" style="1" customWidth="1"/>
    <col min="23" max="23" width="14.44140625" style="1" customWidth="1"/>
    <col min="24" max="24" width="15.109375" style="1" customWidth="1"/>
    <col min="25" max="25" width="3" style="1" customWidth="1"/>
    <col min="26" max="27" width="12.6640625" style="1" customWidth="1"/>
    <col min="28" max="28" width="25.6640625" style="1" customWidth="1"/>
    <col min="29" max="29" width="14.44140625" style="1" customWidth="1"/>
    <col min="30" max="30" width="15.109375" style="1" customWidth="1"/>
    <col min="31" max="31" width="3" style="1" customWidth="1"/>
    <col min="32" max="33" width="12.6640625" style="1" customWidth="1"/>
    <col min="34" max="34" width="25.6640625" style="1" customWidth="1"/>
    <col min="35" max="35" width="14.44140625" style="1" customWidth="1"/>
    <col min="36" max="36" width="15.109375" style="1" customWidth="1"/>
    <col min="37" max="37" width="3" style="1" customWidth="1"/>
    <col min="38" max="39" width="12.6640625" style="1" customWidth="1"/>
    <col min="40" max="40" width="25.6640625" style="1" customWidth="1"/>
    <col min="41" max="41" width="14.44140625" style="1" customWidth="1"/>
    <col min="42" max="42" width="15.109375" style="1" customWidth="1"/>
    <col min="43" max="43" width="3" style="1" customWidth="1"/>
    <col min="44" max="45" width="12.6640625" style="1" customWidth="1"/>
    <col min="46" max="46" width="25.6640625" style="1" customWidth="1"/>
    <col min="47" max="47" width="14.44140625" style="1" customWidth="1"/>
    <col min="48" max="48" width="15.109375" style="1" customWidth="1"/>
    <col min="49" max="49" width="3" style="1" customWidth="1"/>
    <col min="50" max="51" width="12.6640625" style="1" customWidth="1"/>
    <col min="52" max="52" width="25.6640625" style="1" customWidth="1"/>
    <col min="53" max="53" width="14.44140625" style="1" customWidth="1"/>
    <col min="54" max="54" width="15.109375" style="1" customWidth="1"/>
    <col min="55" max="55" width="3" style="1" customWidth="1"/>
    <col min="56" max="57" width="12.6640625" style="1" customWidth="1"/>
    <col min="58" max="58" width="25.6640625" style="1" customWidth="1"/>
    <col min="59" max="59" width="14.44140625" style="1" customWidth="1"/>
    <col min="60" max="60" width="15.109375" style="1" customWidth="1"/>
    <col min="61" max="61" width="3" style="1" customWidth="1"/>
    <col min="62" max="63" width="16.88671875" style="1" customWidth="1"/>
    <col min="64" max="64" width="3.6640625" style="1" customWidth="1"/>
    <col min="65" max="16384" width="11.44140625" style="1"/>
  </cols>
  <sheetData>
    <row r="1" spans="2:54" x14ac:dyDescent="0.25">
      <c r="C1" s="2"/>
      <c r="D1" s="2"/>
      <c r="E1" s="2"/>
    </row>
    <row r="2" spans="2:54" ht="15.6" x14ac:dyDescent="0.25">
      <c r="B2" s="324" t="s">
        <v>321</v>
      </c>
      <c r="C2" s="324"/>
      <c r="D2" s="233" t="str">
        <f>'Base de Datos'!$C$756</f>
        <v>LIBRO MAYOR</v>
      </c>
      <c r="H2" s="324" t="s">
        <v>321</v>
      </c>
      <c r="I2" s="324"/>
      <c r="J2" s="233" t="str">
        <f>'Base de Datos'!$C$756</f>
        <v>LIBRO MAYOR</v>
      </c>
      <c r="N2" s="324" t="s">
        <v>321</v>
      </c>
      <c r="O2" s="324"/>
      <c r="P2" s="233" t="str">
        <f>'Base de Datos'!$C$756</f>
        <v>LIBRO MAYOR</v>
      </c>
      <c r="T2" s="324" t="s">
        <v>321</v>
      </c>
      <c r="U2" s="324"/>
      <c r="V2" s="233" t="str">
        <f>'Base de Datos'!$C$756</f>
        <v>LIBRO MAYOR</v>
      </c>
      <c r="Z2" s="324" t="s">
        <v>321</v>
      </c>
      <c r="AA2" s="324"/>
      <c r="AB2" s="233" t="str">
        <f>'Base de Datos'!$C$756</f>
        <v>LIBRO MAYOR</v>
      </c>
      <c r="AF2" s="324" t="s">
        <v>321</v>
      </c>
      <c r="AG2" s="324"/>
      <c r="AH2" s="233" t="str">
        <f>'Base de Datos'!$C$756</f>
        <v>LIBRO MAYOR</v>
      </c>
      <c r="AL2" s="324" t="s">
        <v>321</v>
      </c>
      <c r="AM2" s="324"/>
      <c r="AN2" s="233" t="str">
        <f>'Base de Datos'!$C$756</f>
        <v>LIBRO MAYOR</v>
      </c>
      <c r="AR2" s="324" t="s">
        <v>321</v>
      </c>
      <c r="AS2" s="324"/>
      <c r="AT2" s="233" t="str">
        <f>'Base de Datos'!$C$756</f>
        <v>LIBRO MAYOR</v>
      </c>
      <c r="AX2" s="324" t="s">
        <v>321</v>
      </c>
      <c r="AY2" s="324"/>
      <c r="AZ2" s="233" t="str">
        <f>'Base de Datos'!$C$756</f>
        <v>LIBRO MAYOR</v>
      </c>
    </row>
    <row r="3" spans="2:54" x14ac:dyDescent="0.25">
      <c r="C3" s="2"/>
      <c r="D3" s="2"/>
      <c r="E3" s="2"/>
      <c r="I3" s="2"/>
      <c r="J3" s="2"/>
      <c r="K3" s="2"/>
      <c r="O3" s="2"/>
      <c r="P3" s="2"/>
      <c r="Q3" s="2"/>
      <c r="U3" s="2"/>
      <c r="V3" s="2"/>
      <c r="W3" s="2"/>
      <c r="AA3" s="2"/>
      <c r="AB3" s="2"/>
      <c r="AC3" s="2"/>
      <c r="AG3" s="2"/>
      <c r="AH3" s="2"/>
      <c r="AI3" s="2"/>
      <c r="AM3" s="2"/>
      <c r="AN3" s="2"/>
      <c r="AO3" s="2"/>
      <c r="AS3" s="2"/>
      <c r="AT3" s="2"/>
      <c r="AU3" s="2"/>
      <c r="AY3" s="2"/>
      <c r="AZ3" s="2"/>
      <c r="BA3" s="2"/>
    </row>
    <row r="4" spans="2:54" ht="15.6" x14ac:dyDescent="0.25">
      <c r="B4" s="324" t="s">
        <v>322</v>
      </c>
      <c r="C4" s="324"/>
      <c r="D4" s="234" t="str">
        <f>'Base de Datos'!$C$8</f>
        <v>MARZO</v>
      </c>
      <c r="E4" s="160"/>
      <c r="H4" s="324" t="s">
        <v>322</v>
      </c>
      <c r="I4" s="324"/>
      <c r="J4" s="234" t="str">
        <f>'Base de Datos'!$C$8</f>
        <v>MARZO</v>
      </c>
      <c r="K4" s="160"/>
      <c r="N4" s="324" t="s">
        <v>322</v>
      </c>
      <c r="O4" s="324"/>
      <c r="P4" s="234" t="str">
        <f>'Base de Datos'!$C$8</f>
        <v>MARZO</v>
      </c>
      <c r="Q4" s="160"/>
      <c r="T4" s="324" t="s">
        <v>322</v>
      </c>
      <c r="U4" s="324"/>
      <c r="V4" s="234" t="str">
        <f>'Base de Datos'!$C$8</f>
        <v>MARZO</v>
      </c>
      <c r="W4" s="160"/>
      <c r="Z4" s="324" t="s">
        <v>322</v>
      </c>
      <c r="AA4" s="324"/>
      <c r="AB4" s="234" t="str">
        <f>'Base de Datos'!$C$8</f>
        <v>MARZO</v>
      </c>
      <c r="AC4" s="160"/>
      <c r="AF4" s="324" t="s">
        <v>322</v>
      </c>
      <c r="AG4" s="324"/>
      <c r="AH4" s="234" t="str">
        <f>'Base de Datos'!$C$8</f>
        <v>MARZO</v>
      </c>
      <c r="AI4" s="160"/>
      <c r="AL4" s="324" t="s">
        <v>322</v>
      </c>
      <c r="AM4" s="324"/>
      <c r="AN4" s="234" t="str">
        <f>'Base de Datos'!$C$8</f>
        <v>MARZO</v>
      </c>
      <c r="AO4" s="160"/>
      <c r="AR4" s="324" t="s">
        <v>322</v>
      </c>
      <c r="AS4" s="324"/>
      <c r="AT4" s="234" t="str">
        <f>'Base de Datos'!$C$8</f>
        <v>MARZO</v>
      </c>
      <c r="AU4" s="160"/>
      <c r="AX4" s="324" t="s">
        <v>322</v>
      </c>
      <c r="AY4" s="324"/>
      <c r="AZ4" s="234" t="str">
        <f>'Base de Datos'!$C$8</f>
        <v>MARZO</v>
      </c>
      <c r="BA4" s="160"/>
    </row>
    <row r="5" spans="2:54" x14ac:dyDescent="0.25">
      <c r="C5" s="2"/>
      <c r="D5" s="2"/>
      <c r="E5" s="2"/>
      <c r="I5" s="2"/>
      <c r="J5" s="2"/>
      <c r="K5" s="2"/>
      <c r="O5" s="2"/>
      <c r="P5" s="2"/>
      <c r="Q5" s="2"/>
      <c r="U5" s="2"/>
      <c r="V5" s="2"/>
      <c r="W5" s="2"/>
      <c r="AA5" s="2"/>
      <c r="AB5" s="2"/>
      <c r="AC5" s="2"/>
      <c r="AG5" s="2"/>
      <c r="AH5" s="2"/>
      <c r="AI5" s="2"/>
      <c r="AM5" s="2"/>
      <c r="AN5" s="2"/>
      <c r="AO5" s="2"/>
      <c r="AS5" s="2"/>
      <c r="AT5" s="2"/>
      <c r="AU5" s="2"/>
      <c r="AY5" s="2"/>
      <c r="AZ5" s="2"/>
      <c r="BA5" s="2"/>
    </row>
    <row r="6" spans="2:54" ht="15.6" x14ac:dyDescent="0.25">
      <c r="B6" s="324" t="s">
        <v>323</v>
      </c>
      <c r="C6" s="324"/>
      <c r="D6" s="231">
        <f>'Base de Datos'!$C$9</f>
        <v>2015</v>
      </c>
      <c r="E6" s="2"/>
      <c r="H6" s="324" t="s">
        <v>323</v>
      </c>
      <c r="I6" s="324"/>
      <c r="J6" s="231">
        <f>'Base de Datos'!$C$9</f>
        <v>2015</v>
      </c>
      <c r="K6" s="2"/>
      <c r="N6" s="324" t="s">
        <v>323</v>
      </c>
      <c r="O6" s="324"/>
      <c r="P6" s="231">
        <f>'Base de Datos'!$C$9</f>
        <v>2015</v>
      </c>
      <c r="Q6" s="2"/>
      <c r="T6" s="324" t="s">
        <v>323</v>
      </c>
      <c r="U6" s="324"/>
      <c r="V6" s="231">
        <f>'Base de Datos'!$C$9</f>
        <v>2015</v>
      </c>
      <c r="W6" s="2"/>
      <c r="Z6" s="324" t="s">
        <v>323</v>
      </c>
      <c r="AA6" s="324"/>
      <c r="AB6" s="231">
        <f>'Base de Datos'!$C$9</f>
        <v>2015</v>
      </c>
      <c r="AC6" s="2"/>
      <c r="AF6" s="324" t="s">
        <v>323</v>
      </c>
      <c r="AG6" s="324"/>
      <c r="AH6" s="231">
        <f>'Base de Datos'!$C$9</f>
        <v>2015</v>
      </c>
      <c r="AI6" s="2"/>
      <c r="AL6" s="324" t="s">
        <v>323</v>
      </c>
      <c r="AM6" s="324"/>
      <c r="AN6" s="231">
        <f>'Base de Datos'!$C$9</f>
        <v>2015</v>
      </c>
      <c r="AO6" s="2"/>
      <c r="AR6" s="324" t="s">
        <v>323</v>
      </c>
      <c r="AS6" s="324"/>
      <c r="AT6" s="231">
        <f>'Base de Datos'!$C$9</f>
        <v>2015</v>
      </c>
      <c r="AU6" s="2"/>
      <c r="AX6" s="324" t="s">
        <v>323</v>
      </c>
      <c r="AY6" s="324"/>
      <c r="AZ6" s="231">
        <f>'Base de Datos'!$C$9</f>
        <v>2015</v>
      </c>
      <c r="BA6" s="2"/>
    </row>
    <row r="7" spans="2:54" x14ac:dyDescent="0.25">
      <c r="C7" s="2"/>
      <c r="D7" s="2"/>
      <c r="E7" s="2"/>
      <c r="I7" s="2"/>
      <c r="J7" s="2"/>
      <c r="K7" s="2"/>
      <c r="O7" s="2"/>
      <c r="P7" s="2"/>
      <c r="Q7" s="2"/>
      <c r="U7" s="2"/>
      <c r="V7" s="2"/>
      <c r="W7" s="2"/>
      <c r="AA7" s="2"/>
      <c r="AB7" s="2"/>
      <c r="AC7" s="2"/>
      <c r="AG7" s="2"/>
      <c r="AH7" s="2"/>
      <c r="AI7" s="2"/>
      <c r="AM7" s="2"/>
      <c r="AN7" s="2"/>
      <c r="AO7" s="2"/>
      <c r="AS7" s="2"/>
      <c r="AT7" s="2"/>
      <c r="AU7" s="2"/>
      <c r="AY7" s="2"/>
      <c r="AZ7" s="2"/>
      <c r="BA7" s="2"/>
    </row>
    <row r="8" spans="2:54" ht="15.6" x14ac:dyDescent="0.25">
      <c r="B8" s="324" t="s">
        <v>324</v>
      </c>
      <c r="C8" s="324"/>
      <c r="D8" s="316">
        <f>'Base de Datos'!$C$6</f>
        <v>20411074561</v>
      </c>
      <c r="E8" s="316"/>
      <c r="H8" s="324" t="s">
        <v>324</v>
      </c>
      <c r="I8" s="324"/>
      <c r="J8" s="316">
        <f>'Base de Datos'!$C$6</f>
        <v>20411074561</v>
      </c>
      <c r="K8" s="316"/>
      <c r="N8" s="324" t="s">
        <v>324</v>
      </c>
      <c r="O8" s="324"/>
      <c r="P8" s="316">
        <f>'Base de Datos'!$C$6</f>
        <v>20411074561</v>
      </c>
      <c r="Q8" s="316"/>
      <c r="T8" s="324" t="s">
        <v>324</v>
      </c>
      <c r="U8" s="324"/>
      <c r="V8" s="316">
        <f>'Base de Datos'!$C$6</f>
        <v>20411074561</v>
      </c>
      <c r="W8" s="316"/>
      <c r="Z8" s="324" t="s">
        <v>324</v>
      </c>
      <c r="AA8" s="324"/>
      <c r="AB8" s="316">
        <f>'Base de Datos'!$C$6</f>
        <v>20411074561</v>
      </c>
      <c r="AC8" s="316"/>
      <c r="AF8" s="324" t="s">
        <v>324</v>
      </c>
      <c r="AG8" s="324"/>
      <c r="AH8" s="316">
        <f>'Base de Datos'!$C$6</f>
        <v>20411074561</v>
      </c>
      <c r="AI8" s="316"/>
      <c r="AL8" s="324" t="s">
        <v>324</v>
      </c>
      <c r="AM8" s="324"/>
      <c r="AN8" s="316">
        <f>'Base de Datos'!$C$6</f>
        <v>20411074561</v>
      </c>
      <c r="AO8" s="316"/>
      <c r="AR8" s="324" t="s">
        <v>324</v>
      </c>
      <c r="AS8" s="324"/>
      <c r="AT8" s="316">
        <f>'Base de Datos'!$C$6</f>
        <v>20411074561</v>
      </c>
      <c r="AU8" s="316"/>
      <c r="AX8" s="324" t="s">
        <v>324</v>
      </c>
      <c r="AY8" s="324"/>
      <c r="AZ8" s="316">
        <f>'Base de Datos'!$C$6</f>
        <v>20411074561</v>
      </c>
      <c r="BA8" s="316"/>
    </row>
    <row r="9" spans="2:54" x14ac:dyDescent="0.25">
      <c r="C9" s="2"/>
      <c r="D9" s="2"/>
      <c r="E9" s="2"/>
      <c r="I9" s="2"/>
      <c r="J9" s="2"/>
      <c r="K9" s="2"/>
      <c r="O9" s="2"/>
      <c r="P9" s="2"/>
      <c r="Q9" s="2"/>
      <c r="U9" s="2"/>
      <c r="V9" s="2"/>
      <c r="W9" s="2"/>
      <c r="AA9" s="2"/>
      <c r="AB9" s="2"/>
      <c r="AC9" s="2"/>
      <c r="AG9" s="2"/>
      <c r="AH9" s="2"/>
      <c r="AI9" s="2"/>
      <c r="AM9" s="2"/>
      <c r="AN9" s="2"/>
      <c r="AO9" s="2"/>
      <c r="AS9" s="2"/>
      <c r="AT9" s="2"/>
      <c r="AU9" s="2"/>
      <c r="AY9" s="2"/>
      <c r="AZ9" s="2"/>
      <c r="BA9" s="2"/>
    </row>
    <row r="10" spans="2:54" ht="15.6" x14ac:dyDescent="0.25">
      <c r="B10" s="324" t="s">
        <v>325</v>
      </c>
      <c r="C10" s="324"/>
      <c r="D10" s="234" t="str">
        <f>'Base de Datos'!$C$5</f>
        <v>LOS BAILARINES SRL</v>
      </c>
      <c r="E10" s="2"/>
      <c r="H10" s="324" t="s">
        <v>325</v>
      </c>
      <c r="I10" s="324"/>
      <c r="J10" s="234" t="str">
        <f>'Base de Datos'!$C$5</f>
        <v>LOS BAILARINES SRL</v>
      </c>
      <c r="K10" s="2"/>
      <c r="N10" s="324" t="s">
        <v>325</v>
      </c>
      <c r="O10" s="324"/>
      <c r="P10" s="234" t="str">
        <f>'Base de Datos'!$C$5</f>
        <v>LOS BAILARINES SRL</v>
      </c>
      <c r="Q10" s="2"/>
      <c r="T10" s="324" t="s">
        <v>325</v>
      </c>
      <c r="U10" s="324"/>
      <c r="V10" s="234" t="str">
        <f>'Base de Datos'!$C$5</f>
        <v>LOS BAILARINES SRL</v>
      </c>
      <c r="W10" s="2"/>
      <c r="Z10" s="324" t="s">
        <v>325</v>
      </c>
      <c r="AA10" s="324"/>
      <c r="AB10" s="234" t="str">
        <f>'Base de Datos'!$C$5</f>
        <v>LOS BAILARINES SRL</v>
      </c>
      <c r="AC10" s="2"/>
      <c r="AF10" s="324" t="s">
        <v>325</v>
      </c>
      <c r="AG10" s="324"/>
      <c r="AH10" s="234" t="str">
        <f>'Base de Datos'!$C$5</f>
        <v>LOS BAILARINES SRL</v>
      </c>
      <c r="AI10" s="2"/>
      <c r="AL10" s="324" t="s">
        <v>325</v>
      </c>
      <c r="AM10" s="324"/>
      <c r="AN10" s="234" t="str">
        <f>'Base de Datos'!$C$5</f>
        <v>LOS BAILARINES SRL</v>
      </c>
      <c r="AO10" s="2"/>
      <c r="AR10" s="324" t="s">
        <v>325</v>
      </c>
      <c r="AS10" s="324"/>
      <c r="AT10" s="234" t="str">
        <f>'Base de Datos'!$C$5</f>
        <v>LOS BAILARINES SRL</v>
      </c>
      <c r="AU10" s="2"/>
      <c r="AX10" s="324" t="s">
        <v>325</v>
      </c>
      <c r="AY10" s="324"/>
      <c r="AZ10" s="234" t="str">
        <f>'Base de Datos'!$C$5</f>
        <v>LOS BAILARINES SRL</v>
      </c>
      <c r="BA10" s="2"/>
    </row>
    <row r="11" spans="2:54" x14ac:dyDescent="0.25">
      <c r="B11" s="160"/>
      <c r="C11" s="160"/>
      <c r="D11" s="160"/>
      <c r="E11" s="160"/>
      <c r="H11" s="160"/>
      <c r="I11" s="160"/>
      <c r="J11" s="160"/>
      <c r="K11" s="160"/>
      <c r="N11" s="160"/>
      <c r="O11" s="160"/>
      <c r="P11" s="160"/>
      <c r="Q11" s="160"/>
      <c r="T11" s="160"/>
      <c r="U11" s="160"/>
      <c r="V11" s="160"/>
      <c r="W11" s="160"/>
      <c r="Z11" s="160"/>
      <c r="AA11" s="160"/>
      <c r="AB11" s="160"/>
      <c r="AC11" s="160"/>
      <c r="AF11" s="160"/>
      <c r="AG11" s="160"/>
      <c r="AH11" s="160"/>
      <c r="AI11" s="160"/>
      <c r="AL11" s="160"/>
      <c r="AM11" s="160"/>
      <c r="AN11" s="160"/>
      <c r="AO11" s="160"/>
      <c r="AR11" s="160"/>
      <c r="AS11" s="160"/>
      <c r="AT11" s="160"/>
      <c r="AU11" s="160"/>
      <c r="AX11" s="160"/>
      <c r="AY11" s="160"/>
      <c r="AZ11" s="160"/>
      <c r="BA11" s="160"/>
    </row>
    <row r="12" spans="2:54" ht="15.6" x14ac:dyDescent="0.25">
      <c r="B12" s="324" t="s">
        <v>472</v>
      </c>
      <c r="C12" s="324"/>
      <c r="D12" s="175">
        <v>10</v>
      </c>
      <c r="H12" s="324" t="s">
        <v>472</v>
      </c>
      <c r="I12" s="324"/>
      <c r="J12" s="175">
        <v>11</v>
      </c>
      <c r="K12" s="160"/>
      <c r="N12" s="324" t="s">
        <v>472</v>
      </c>
      <c r="O12" s="324"/>
      <c r="P12" s="175">
        <v>12</v>
      </c>
      <c r="Q12" s="160"/>
      <c r="T12" s="324" t="s">
        <v>472</v>
      </c>
      <c r="U12" s="324"/>
      <c r="V12" s="175">
        <v>13</v>
      </c>
      <c r="W12" s="160"/>
      <c r="Z12" s="324" t="s">
        <v>472</v>
      </c>
      <c r="AA12" s="324"/>
      <c r="AB12" s="175">
        <v>14</v>
      </c>
      <c r="AC12" s="160"/>
      <c r="AF12" s="324" t="s">
        <v>472</v>
      </c>
      <c r="AG12" s="324"/>
      <c r="AH12" s="175">
        <v>16</v>
      </c>
      <c r="AI12" s="160"/>
      <c r="AL12" s="324" t="s">
        <v>472</v>
      </c>
      <c r="AM12" s="324"/>
      <c r="AN12" s="175">
        <v>17</v>
      </c>
      <c r="AO12" s="160"/>
      <c r="AR12" s="324" t="s">
        <v>472</v>
      </c>
      <c r="AS12" s="324"/>
      <c r="AT12" s="175">
        <v>18</v>
      </c>
      <c r="AU12" s="160"/>
      <c r="AX12" s="324" t="s">
        <v>472</v>
      </c>
      <c r="AY12" s="324"/>
      <c r="AZ12" s="175">
        <v>19</v>
      </c>
      <c r="BA12" s="160"/>
    </row>
    <row r="13" spans="2:54" x14ac:dyDescent="0.25">
      <c r="B13" s="160"/>
      <c r="C13" s="160"/>
      <c r="D13" s="160"/>
      <c r="E13" s="160"/>
      <c r="H13" s="160"/>
      <c r="I13" s="160"/>
      <c r="J13" s="160"/>
      <c r="K13" s="160"/>
      <c r="N13" s="160"/>
      <c r="O13" s="160"/>
      <c r="P13" s="160"/>
      <c r="Q13" s="160"/>
      <c r="T13" s="160"/>
      <c r="U13" s="160"/>
      <c r="V13" s="160"/>
      <c r="W13" s="160"/>
      <c r="Z13" s="160"/>
      <c r="AA13" s="160"/>
      <c r="AB13" s="160"/>
      <c r="AC13" s="160"/>
      <c r="AF13" s="160"/>
      <c r="AG13" s="160"/>
      <c r="AH13" s="160"/>
      <c r="AI13" s="160"/>
      <c r="AL13" s="160"/>
      <c r="AM13" s="160"/>
      <c r="AN13" s="160"/>
      <c r="AO13" s="160"/>
      <c r="AR13" s="160"/>
      <c r="AS13" s="160"/>
      <c r="AT13" s="160"/>
      <c r="AU13" s="160"/>
      <c r="AX13" s="160"/>
      <c r="AY13" s="160"/>
      <c r="AZ13" s="160"/>
      <c r="BA13" s="160"/>
    </row>
    <row r="14" spans="2:54" ht="15.6" x14ac:dyDescent="0.25">
      <c r="B14" s="324" t="s">
        <v>473</v>
      </c>
      <c r="C14" s="324"/>
      <c r="D14" s="234" t="str">
        <f>VLOOKUP(D12,CuentasContables,5,FALSE)</f>
        <v>EFECTIVO Y EQUIVALENTES DE EFECTIVO</v>
      </c>
      <c r="E14" s="160"/>
      <c r="H14" s="324" t="s">
        <v>473</v>
      </c>
      <c r="I14" s="324"/>
      <c r="J14" s="234" t="str">
        <f>VLOOKUP(J12,CuentasContables,5,FALSE)</f>
        <v>INVERSIONES FINANCIERAS</v>
      </c>
      <c r="K14" s="160"/>
      <c r="N14" s="324" t="s">
        <v>473</v>
      </c>
      <c r="O14" s="324"/>
      <c r="P14" s="234" t="str">
        <f>VLOOKUP(P12,CuentasContables,5,FALSE)</f>
        <v>CUENTAS POR COBRAR COMERCIALES - TERCEROS</v>
      </c>
      <c r="Q14" s="160"/>
      <c r="T14" s="324" t="s">
        <v>473</v>
      </c>
      <c r="U14" s="324"/>
      <c r="V14" s="234" t="str">
        <f>VLOOKUP(V12,CuentasContables,5,FALSE)</f>
        <v>CUENTAS POR COBRAR COMERCIALES - RELACIONADAS</v>
      </c>
      <c r="W14" s="160"/>
      <c r="Z14" s="324" t="s">
        <v>473</v>
      </c>
      <c r="AA14" s="324"/>
      <c r="AB14" s="234" t="str">
        <f>VLOOKUP(AB12,CuentasContables,5,FALSE)</f>
        <v>CUENTAS POR COBRAR AL PERSONAL, A LOS ACCIONISTAS (SOCIOS), DIRECTORES Y GERENTES</v>
      </c>
      <c r="AC14" s="160"/>
      <c r="AF14" s="324" t="s">
        <v>473</v>
      </c>
      <c r="AG14" s="324"/>
      <c r="AH14" s="234" t="str">
        <f>VLOOKUP(AH12,CuentasContables,5,FALSE)</f>
        <v>CUENTAS POR COBRAR DIVERSAS - TERCEROS</v>
      </c>
      <c r="AI14" s="160"/>
      <c r="AL14" s="324" t="s">
        <v>473</v>
      </c>
      <c r="AM14" s="324"/>
      <c r="AN14" s="234" t="str">
        <f>VLOOKUP(AN12,CuentasContables,5,FALSE)</f>
        <v>CUENTAS POR COBRAR DIVERSAS - RELACIONADAS</v>
      </c>
      <c r="AO14" s="160"/>
      <c r="AR14" s="324" t="s">
        <v>473</v>
      </c>
      <c r="AS14" s="324"/>
      <c r="AT14" s="234" t="str">
        <f>VLOOKUP(AT12,CuentasContables,5,FALSE)</f>
        <v>SERVICIOS Y OTROS CONTRATADOS POR ANTICIPADO</v>
      </c>
      <c r="AU14" s="160"/>
      <c r="AX14" s="324" t="s">
        <v>473</v>
      </c>
      <c r="AY14" s="324"/>
      <c r="AZ14" s="234" t="str">
        <f>VLOOKUP(AZ12,CuentasContables,5,FALSE)</f>
        <v>ESTIMACIÓN DE CUENTAS DE COBRANZA DUDOSA</v>
      </c>
      <c r="BA14" s="160"/>
    </row>
    <row r="15" spans="2:54" ht="14.4" thickBot="1" x14ac:dyDescent="0.3">
      <c r="B15" s="160"/>
      <c r="C15" s="160"/>
      <c r="D15" s="160"/>
      <c r="E15" s="160"/>
      <c r="H15" s="160"/>
      <c r="I15" s="160"/>
      <c r="J15" s="160"/>
      <c r="K15" s="160"/>
      <c r="N15" s="160"/>
      <c r="O15" s="160"/>
      <c r="P15" s="160"/>
      <c r="Q15" s="160"/>
      <c r="T15" s="160"/>
      <c r="U15" s="160"/>
      <c r="V15" s="160"/>
      <c r="W15" s="160"/>
      <c r="Z15" s="160"/>
      <c r="AA15" s="160"/>
      <c r="AB15" s="160"/>
      <c r="AC15" s="160"/>
      <c r="AF15" s="160"/>
      <c r="AG15" s="160"/>
      <c r="AH15" s="160"/>
      <c r="AI15" s="160"/>
      <c r="AL15" s="160"/>
      <c r="AM15" s="160"/>
      <c r="AN15" s="160"/>
      <c r="AO15" s="160"/>
      <c r="AR15" s="160"/>
      <c r="AS15" s="160"/>
      <c r="AT15" s="160"/>
      <c r="AU15" s="160"/>
      <c r="AX15" s="160"/>
      <c r="AY15" s="160"/>
      <c r="AZ15" s="160"/>
      <c r="BA15" s="160"/>
    </row>
    <row r="16" spans="2:54" x14ac:dyDescent="0.25">
      <c r="B16" s="331" t="s">
        <v>466</v>
      </c>
      <c r="C16" s="333" t="s">
        <v>467</v>
      </c>
      <c r="D16" s="333" t="s">
        <v>468</v>
      </c>
      <c r="E16" s="333" t="s">
        <v>469</v>
      </c>
      <c r="F16" s="335"/>
      <c r="H16" s="331" t="s">
        <v>466</v>
      </c>
      <c r="I16" s="333" t="s">
        <v>467</v>
      </c>
      <c r="J16" s="333" t="s">
        <v>468</v>
      </c>
      <c r="K16" s="333" t="s">
        <v>469</v>
      </c>
      <c r="L16" s="335"/>
      <c r="N16" s="331" t="s">
        <v>466</v>
      </c>
      <c r="O16" s="333" t="s">
        <v>467</v>
      </c>
      <c r="P16" s="333" t="s">
        <v>468</v>
      </c>
      <c r="Q16" s="333" t="s">
        <v>469</v>
      </c>
      <c r="R16" s="335"/>
      <c r="T16" s="331" t="s">
        <v>466</v>
      </c>
      <c r="U16" s="333" t="s">
        <v>467</v>
      </c>
      <c r="V16" s="333" t="s">
        <v>468</v>
      </c>
      <c r="W16" s="333" t="s">
        <v>469</v>
      </c>
      <c r="X16" s="335"/>
      <c r="Z16" s="331" t="s">
        <v>466</v>
      </c>
      <c r="AA16" s="333" t="s">
        <v>467</v>
      </c>
      <c r="AB16" s="333" t="s">
        <v>468</v>
      </c>
      <c r="AC16" s="333" t="s">
        <v>469</v>
      </c>
      <c r="AD16" s="335"/>
      <c r="AF16" s="331" t="s">
        <v>466</v>
      </c>
      <c r="AG16" s="333" t="s">
        <v>467</v>
      </c>
      <c r="AH16" s="333" t="s">
        <v>468</v>
      </c>
      <c r="AI16" s="333" t="s">
        <v>469</v>
      </c>
      <c r="AJ16" s="335"/>
      <c r="AL16" s="331" t="s">
        <v>466</v>
      </c>
      <c r="AM16" s="333" t="s">
        <v>467</v>
      </c>
      <c r="AN16" s="333" t="s">
        <v>468</v>
      </c>
      <c r="AO16" s="333" t="s">
        <v>469</v>
      </c>
      <c r="AP16" s="335"/>
      <c r="AR16" s="331" t="s">
        <v>466</v>
      </c>
      <c r="AS16" s="333" t="s">
        <v>467</v>
      </c>
      <c r="AT16" s="333" t="s">
        <v>468</v>
      </c>
      <c r="AU16" s="333" t="s">
        <v>469</v>
      </c>
      <c r="AV16" s="335"/>
      <c r="AX16" s="331" t="s">
        <v>466</v>
      </c>
      <c r="AY16" s="333" t="s">
        <v>467</v>
      </c>
      <c r="AZ16" s="333" t="s">
        <v>468</v>
      </c>
      <c r="BA16" s="333" t="s">
        <v>469</v>
      </c>
      <c r="BB16" s="335"/>
    </row>
    <row r="17" spans="2:63" ht="14.4" thickBot="1" x14ac:dyDescent="0.3">
      <c r="B17" s="332"/>
      <c r="C17" s="334"/>
      <c r="D17" s="334"/>
      <c r="E17" s="232" t="s">
        <v>403</v>
      </c>
      <c r="F17" s="174" t="s">
        <v>402</v>
      </c>
      <c r="H17" s="332"/>
      <c r="I17" s="334"/>
      <c r="J17" s="334"/>
      <c r="K17" s="232" t="s">
        <v>403</v>
      </c>
      <c r="L17" s="174" t="s">
        <v>402</v>
      </c>
      <c r="N17" s="332"/>
      <c r="O17" s="334"/>
      <c r="P17" s="334"/>
      <c r="Q17" s="232" t="s">
        <v>403</v>
      </c>
      <c r="R17" s="174" t="s">
        <v>402</v>
      </c>
      <c r="T17" s="332"/>
      <c r="U17" s="334"/>
      <c r="V17" s="334"/>
      <c r="W17" s="232" t="s">
        <v>403</v>
      </c>
      <c r="X17" s="174" t="s">
        <v>402</v>
      </c>
      <c r="Z17" s="332"/>
      <c r="AA17" s="334"/>
      <c r="AB17" s="334"/>
      <c r="AC17" s="232" t="s">
        <v>403</v>
      </c>
      <c r="AD17" s="174" t="s">
        <v>402</v>
      </c>
      <c r="AF17" s="332"/>
      <c r="AG17" s="334"/>
      <c r="AH17" s="334"/>
      <c r="AI17" s="232" t="s">
        <v>403</v>
      </c>
      <c r="AJ17" s="174" t="s">
        <v>402</v>
      </c>
      <c r="AL17" s="332"/>
      <c r="AM17" s="334"/>
      <c r="AN17" s="334"/>
      <c r="AO17" s="232" t="s">
        <v>403</v>
      </c>
      <c r="AP17" s="174" t="s">
        <v>402</v>
      </c>
      <c r="AR17" s="332"/>
      <c r="AS17" s="334"/>
      <c r="AT17" s="334"/>
      <c r="AU17" s="232" t="s">
        <v>403</v>
      </c>
      <c r="AV17" s="174" t="s">
        <v>402</v>
      </c>
      <c r="AX17" s="332"/>
      <c r="AY17" s="334"/>
      <c r="AZ17" s="334"/>
      <c r="BA17" s="232" t="s">
        <v>403</v>
      </c>
      <c r="BB17" s="174" t="s">
        <v>402</v>
      </c>
    </row>
    <row r="18" spans="2:63" ht="14.4" thickTop="1" x14ac:dyDescent="0.25">
      <c r="B18" s="236">
        <v>41670</v>
      </c>
      <c r="C18" s="171"/>
      <c r="D18" s="166" t="s">
        <v>470</v>
      </c>
      <c r="E18" s="167">
        <f>SUMIF('Libro Diario Convencional'!$B$15:$B$167,D12,'Libro Diario Convencional'!$I$15:$I$167)</f>
        <v>1018450</v>
      </c>
      <c r="F18" s="168">
        <f>SUMIF('Libro Diario Convencional'!$B$15:$B$167,D12,'Libro Diario Convencional'!$J$15:$J$167)</f>
        <v>191809</v>
      </c>
      <c r="G18" s="9"/>
      <c r="H18" s="236">
        <v>41670</v>
      </c>
      <c r="I18" s="171"/>
      <c r="J18" s="166" t="s">
        <v>470</v>
      </c>
      <c r="K18" s="167">
        <f>SUMIF('Libro Diario Convencional'!$B$15:$B$167,J12,'Libro Diario Convencional'!$I$15:$I$167)</f>
        <v>0</v>
      </c>
      <c r="L18" s="168">
        <f>SUMIF('Libro Diario Convencional'!$B$15:$B$167,J12,'Libro Diario Convencional'!$J$15:$J$167)</f>
        <v>0</v>
      </c>
      <c r="M18" s="9"/>
      <c r="N18" s="236">
        <v>41670</v>
      </c>
      <c r="O18" s="171"/>
      <c r="P18" s="166" t="s">
        <v>470</v>
      </c>
      <c r="Q18" s="167">
        <f>SUMIF('Libro Diario Convencional'!$B$15:$B$167,P12,'Libro Diario Convencional'!$I$15:$I$167)</f>
        <v>726880</v>
      </c>
      <c r="R18" s="168">
        <f>SUMIF('Libro Diario Convencional'!$B$15:$B$167,P12,'Libro Diario Convencional'!$J$15:$J$167)</f>
        <v>0</v>
      </c>
      <c r="S18" s="9"/>
      <c r="T18" s="236">
        <v>41670</v>
      </c>
      <c r="U18" s="171"/>
      <c r="V18" s="166" t="s">
        <v>470</v>
      </c>
      <c r="W18" s="167">
        <f>SUMIF('Libro Diario Convencional'!$B$15:$B$167,V12,'Libro Diario Convencional'!$I$15:$I$167)</f>
        <v>0</v>
      </c>
      <c r="X18" s="168">
        <f>SUMIF('Libro Diario Convencional'!$B$15:$B$167,V12,'Libro Diario Convencional'!$J$15:$J$167)</f>
        <v>0</v>
      </c>
      <c r="Y18" s="9"/>
      <c r="Z18" s="236">
        <v>41670</v>
      </c>
      <c r="AA18" s="171"/>
      <c r="AB18" s="166" t="s">
        <v>470</v>
      </c>
      <c r="AC18" s="167">
        <f>SUMIF('Libro Diario Convencional'!$B$15:$B$167,AB12,'Libro Diario Convencional'!$I$15:$I$167)</f>
        <v>0</v>
      </c>
      <c r="AD18" s="168">
        <f>SUMIF('Libro Diario Convencional'!$B$15:$B$167,AB12,'Libro Diario Convencional'!$J$15:$J$167)</f>
        <v>0</v>
      </c>
      <c r="AE18" s="9"/>
      <c r="AF18" s="236">
        <v>41670</v>
      </c>
      <c r="AG18" s="171"/>
      <c r="AH18" s="166" t="s">
        <v>470</v>
      </c>
      <c r="AI18" s="167">
        <f>SUMIF('Libro Diario Convencional'!$B$15:$B$167,AH12,'Libro Diario Convencional'!$I$15:$I$167)</f>
        <v>0</v>
      </c>
      <c r="AJ18" s="168">
        <f>SUMIF('Libro Diario Convencional'!$B$15:$B$167,AH12,'Libro Diario Convencional'!$J$15:$J$167)</f>
        <v>0</v>
      </c>
      <c r="AK18" s="9"/>
      <c r="AL18" s="236">
        <v>41670</v>
      </c>
      <c r="AM18" s="171"/>
      <c r="AN18" s="166" t="s">
        <v>470</v>
      </c>
      <c r="AO18" s="167">
        <f>SUMIF('Libro Diario Convencional'!$B$15:$B$167,AN12,'Libro Diario Convencional'!$I$15:$I$167)</f>
        <v>0</v>
      </c>
      <c r="AP18" s="168">
        <f>SUMIF('Libro Diario Convencional'!$B$15:$B$167,AN12,'Libro Diario Convencional'!$J$15:$J$167)</f>
        <v>0</v>
      </c>
      <c r="AQ18" s="9"/>
      <c r="AR18" s="236">
        <v>41670</v>
      </c>
      <c r="AS18" s="171"/>
      <c r="AT18" s="166" t="s">
        <v>470</v>
      </c>
      <c r="AU18" s="167">
        <f>SUMIF('Libro Diario Convencional'!$B$15:$B$167,AT12,'Libro Diario Convencional'!$I$15:$I$167)</f>
        <v>0</v>
      </c>
      <c r="AV18" s="168">
        <f>SUMIF('Libro Diario Convencional'!$B$15:$B$167,AT12,'Libro Diario Convencional'!$J$15:$J$167)</f>
        <v>0</v>
      </c>
      <c r="AW18" s="9"/>
      <c r="AX18" s="236">
        <v>41670</v>
      </c>
      <c r="AY18" s="171"/>
      <c r="AZ18" s="166" t="s">
        <v>470</v>
      </c>
      <c r="BA18" s="167">
        <f>SUMIF('Libro Diario Convencional'!$B$15:$B$167,AZ12,'Libro Diario Convencional'!$I$15:$I$167)</f>
        <v>0</v>
      </c>
      <c r="BB18" s="168">
        <f>SUMIF('Libro Diario Convencional'!$B$15:$B$167,AZ12,'Libro Diario Convencional'!$J$15:$J$167)</f>
        <v>0</v>
      </c>
    </row>
    <row r="19" spans="2:63" x14ac:dyDescent="0.25">
      <c r="B19" s="169"/>
      <c r="C19" s="172"/>
      <c r="D19" s="161"/>
      <c r="E19" s="162"/>
      <c r="F19" s="163"/>
      <c r="G19" s="9"/>
      <c r="H19" s="169"/>
      <c r="I19" s="172"/>
      <c r="J19" s="161"/>
      <c r="K19" s="162"/>
      <c r="L19" s="163"/>
      <c r="M19" s="9"/>
      <c r="N19" s="169"/>
      <c r="O19" s="172"/>
      <c r="P19" s="161"/>
      <c r="Q19" s="162"/>
      <c r="R19" s="163"/>
      <c r="S19" s="9"/>
      <c r="T19" s="169"/>
      <c r="U19" s="172"/>
      <c r="V19" s="161"/>
      <c r="W19" s="162"/>
      <c r="X19" s="163"/>
      <c r="Y19" s="9"/>
      <c r="Z19" s="169"/>
      <c r="AA19" s="172"/>
      <c r="AB19" s="161"/>
      <c r="AC19" s="162"/>
      <c r="AD19" s="163"/>
      <c r="AE19" s="9"/>
      <c r="AF19" s="169"/>
      <c r="AG19" s="172"/>
      <c r="AH19" s="161"/>
      <c r="AI19" s="162"/>
      <c r="AJ19" s="163"/>
      <c r="AK19" s="9"/>
      <c r="AL19" s="169"/>
      <c r="AM19" s="172"/>
      <c r="AN19" s="161"/>
      <c r="AO19" s="162"/>
      <c r="AP19" s="163"/>
      <c r="AQ19" s="9"/>
      <c r="AR19" s="169"/>
      <c r="AS19" s="172"/>
      <c r="AT19" s="161"/>
      <c r="AU19" s="162"/>
      <c r="AV19" s="163"/>
      <c r="AW19" s="9"/>
      <c r="AX19" s="169"/>
      <c r="AY19" s="172"/>
      <c r="AZ19" s="161"/>
      <c r="BA19" s="162"/>
      <c r="BB19" s="163"/>
    </row>
    <row r="20" spans="2:63" x14ac:dyDescent="0.25">
      <c r="B20" s="169"/>
      <c r="C20" s="172"/>
      <c r="D20" s="161"/>
      <c r="E20" s="162"/>
      <c r="F20" s="163"/>
      <c r="G20" s="9"/>
      <c r="H20" s="169"/>
      <c r="I20" s="172"/>
      <c r="J20" s="161"/>
      <c r="K20" s="162"/>
      <c r="L20" s="163"/>
      <c r="M20" s="9"/>
      <c r="N20" s="169"/>
      <c r="O20" s="172"/>
      <c r="P20" s="161"/>
      <c r="Q20" s="162"/>
      <c r="R20" s="163"/>
      <c r="S20" s="9"/>
      <c r="T20" s="169"/>
      <c r="U20" s="172"/>
      <c r="V20" s="161"/>
      <c r="W20" s="162"/>
      <c r="X20" s="163"/>
      <c r="Y20" s="9"/>
      <c r="Z20" s="169"/>
      <c r="AA20" s="172"/>
      <c r="AB20" s="161"/>
      <c r="AC20" s="162"/>
      <c r="AD20" s="163"/>
      <c r="AE20" s="9"/>
      <c r="AF20" s="169"/>
      <c r="AG20" s="172"/>
      <c r="AH20" s="161"/>
      <c r="AI20" s="162"/>
      <c r="AJ20" s="163"/>
      <c r="AK20" s="9"/>
      <c r="AL20" s="169"/>
      <c r="AM20" s="172"/>
      <c r="AN20" s="161"/>
      <c r="AO20" s="162"/>
      <c r="AP20" s="163"/>
      <c r="AQ20" s="9"/>
      <c r="AR20" s="169"/>
      <c r="AS20" s="172"/>
      <c r="AT20" s="161"/>
      <c r="AU20" s="162"/>
      <c r="AV20" s="163"/>
      <c r="AW20" s="9"/>
      <c r="AX20" s="169"/>
      <c r="AY20" s="172"/>
      <c r="AZ20" s="161"/>
      <c r="BA20" s="162"/>
      <c r="BB20" s="163"/>
    </row>
    <row r="21" spans="2:63" ht="14.4" thickBot="1" x14ac:dyDescent="0.3">
      <c r="B21" s="169"/>
      <c r="C21" s="172"/>
      <c r="D21" s="161"/>
      <c r="E21" s="162"/>
      <c r="F21" s="163"/>
      <c r="G21" s="9"/>
      <c r="H21" s="169"/>
      <c r="I21" s="172"/>
      <c r="J21" s="161"/>
      <c r="K21" s="162"/>
      <c r="L21" s="163"/>
      <c r="M21" s="9"/>
      <c r="N21" s="169"/>
      <c r="O21" s="172"/>
      <c r="P21" s="161"/>
      <c r="Q21" s="162"/>
      <c r="R21" s="163"/>
      <c r="S21" s="9"/>
      <c r="T21" s="169"/>
      <c r="U21" s="172"/>
      <c r="V21" s="161"/>
      <c r="W21" s="162"/>
      <c r="X21" s="163"/>
      <c r="Y21" s="9"/>
      <c r="Z21" s="169"/>
      <c r="AA21" s="172"/>
      <c r="AB21" s="161"/>
      <c r="AC21" s="162"/>
      <c r="AD21" s="163"/>
      <c r="AE21" s="9"/>
      <c r="AF21" s="169"/>
      <c r="AG21" s="172"/>
      <c r="AH21" s="161"/>
      <c r="AI21" s="162"/>
      <c r="AJ21" s="163"/>
      <c r="AK21" s="9"/>
      <c r="AL21" s="169"/>
      <c r="AM21" s="172"/>
      <c r="AN21" s="161"/>
      <c r="AO21" s="162"/>
      <c r="AP21" s="163"/>
      <c r="AQ21" s="9"/>
      <c r="AR21" s="169"/>
      <c r="AS21" s="172"/>
      <c r="AT21" s="161"/>
      <c r="AU21" s="162"/>
      <c r="AV21" s="163"/>
      <c r="AW21" s="9"/>
      <c r="AX21" s="169"/>
      <c r="AY21" s="172"/>
      <c r="AZ21" s="161"/>
      <c r="BA21" s="162"/>
      <c r="BB21" s="163"/>
    </row>
    <row r="22" spans="2:63" ht="15" thickBot="1" x14ac:dyDescent="0.3">
      <c r="B22" s="169"/>
      <c r="C22" s="172"/>
      <c r="D22" s="161" t="s">
        <v>471</v>
      </c>
      <c r="E22" s="162">
        <f>SUM(E18:E21)</f>
        <v>1018450</v>
      </c>
      <c r="F22" s="163">
        <f>SUM(F18:F21)</f>
        <v>191809</v>
      </c>
      <c r="G22" s="9"/>
      <c r="H22" s="169"/>
      <c r="I22" s="172"/>
      <c r="J22" s="161" t="s">
        <v>471</v>
      </c>
      <c r="K22" s="162">
        <f>SUM(K18:K21)</f>
        <v>0</v>
      </c>
      <c r="L22" s="163">
        <f>SUM(L18:L21)</f>
        <v>0</v>
      </c>
      <c r="M22" s="9"/>
      <c r="N22" s="169"/>
      <c r="O22" s="172"/>
      <c r="P22" s="161" t="s">
        <v>471</v>
      </c>
      <c r="Q22" s="162">
        <f>SUM(Q18:Q21)</f>
        <v>726880</v>
      </c>
      <c r="R22" s="163">
        <f>SUM(R18:R21)</f>
        <v>0</v>
      </c>
      <c r="S22" s="9"/>
      <c r="T22" s="169"/>
      <c r="U22" s="172"/>
      <c r="V22" s="161" t="s">
        <v>471</v>
      </c>
      <c r="W22" s="162">
        <f>SUM(W18:W21)</f>
        <v>0</v>
      </c>
      <c r="X22" s="163">
        <f>SUM(X18:X21)</f>
        <v>0</v>
      </c>
      <c r="Y22" s="9"/>
      <c r="Z22" s="169"/>
      <c r="AA22" s="172"/>
      <c r="AB22" s="161" t="s">
        <v>471</v>
      </c>
      <c r="AC22" s="162">
        <f>SUM(AC18:AC21)</f>
        <v>0</v>
      </c>
      <c r="AD22" s="163">
        <f>SUM(AD18:AD21)</f>
        <v>0</v>
      </c>
      <c r="AE22" s="9"/>
      <c r="AF22" s="169"/>
      <c r="AG22" s="172"/>
      <c r="AH22" s="161" t="s">
        <v>471</v>
      </c>
      <c r="AI22" s="162">
        <f>SUM(AI18:AI21)</f>
        <v>0</v>
      </c>
      <c r="AJ22" s="163">
        <f>SUM(AJ18:AJ21)</f>
        <v>0</v>
      </c>
      <c r="AK22" s="9"/>
      <c r="AL22" s="169"/>
      <c r="AM22" s="172"/>
      <c r="AN22" s="161" t="s">
        <v>471</v>
      </c>
      <c r="AO22" s="162">
        <f>SUM(AO18:AO21)</f>
        <v>0</v>
      </c>
      <c r="AP22" s="163">
        <f>SUM(AP18:AP21)</f>
        <v>0</v>
      </c>
      <c r="AQ22" s="9"/>
      <c r="AR22" s="169"/>
      <c r="AS22" s="172"/>
      <c r="AT22" s="161" t="s">
        <v>471</v>
      </c>
      <c r="AU22" s="162">
        <f>SUM(AU18:AU21)</f>
        <v>0</v>
      </c>
      <c r="AV22" s="163">
        <f>SUM(AV18:AV21)</f>
        <v>0</v>
      </c>
      <c r="AW22" s="9"/>
      <c r="AX22" s="169"/>
      <c r="AY22" s="172"/>
      <c r="AZ22" s="161" t="s">
        <v>471</v>
      </c>
      <c r="BA22" s="162">
        <f>SUM(BA18:BA21)</f>
        <v>0</v>
      </c>
      <c r="BB22" s="163">
        <f>SUM(BB18:BB21)</f>
        <v>0</v>
      </c>
      <c r="BJ22" s="157">
        <f>SUM(E22,K22,Q22,W22,AC22,AI22,AO22,AU22,BA22,BG22)</f>
        <v>1745330</v>
      </c>
      <c r="BK22" s="158">
        <f>SUM(F22,L22,R22,X22,AD22,AJ22,AP22,AV22,BB22,BH22)</f>
        <v>191809</v>
      </c>
    </row>
    <row r="23" spans="2:63" ht="14.4" thickBot="1" x14ac:dyDescent="0.3">
      <c r="B23" s="170"/>
      <c r="C23" s="173"/>
      <c r="D23" s="164" t="str">
        <f>IF(E22=F22,"",IF(E22&gt;F22,"Saldo Deudor","Saldo Acreedor"))</f>
        <v>Saldo Deudor</v>
      </c>
      <c r="E23" s="165">
        <f>IF(E22&gt;F22,E22-F22,"")</f>
        <v>826641</v>
      </c>
      <c r="F23" s="176" t="str">
        <f>IF(E22&lt;F22,F22-E22,"")</f>
        <v/>
      </c>
      <c r="H23" s="170"/>
      <c r="I23" s="173"/>
      <c r="J23" s="164" t="str">
        <f>IF(K22=L22,"",IF(K22&gt;L22,"Saldo Deudor","Saldo Acreedor"))</f>
        <v/>
      </c>
      <c r="K23" s="165" t="str">
        <f>IF(K22&gt;L22,K22-L22,"")</f>
        <v/>
      </c>
      <c r="L23" s="176" t="str">
        <f>IF(K22&lt;L22,L22-K22,"")</f>
        <v/>
      </c>
      <c r="N23" s="170"/>
      <c r="O23" s="173"/>
      <c r="P23" s="164" t="str">
        <f>IF(Q22=R22,"",IF(Q22&gt;R22,"Saldo Deudor","Saldo Acreedor"))</f>
        <v>Saldo Deudor</v>
      </c>
      <c r="Q23" s="165">
        <f>IF(Q22&gt;R22,Q22-R22,"")</f>
        <v>726880</v>
      </c>
      <c r="R23" s="176" t="str">
        <f>IF(Q22&lt;R22,R22-Q22,"")</f>
        <v/>
      </c>
      <c r="T23" s="170"/>
      <c r="U23" s="173"/>
      <c r="V23" s="164" t="str">
        <f>IF(W22=X22,"",IF(W22&gt;X22,"Saldo Deudor","Saldo Acreedor"))</f>
        <v/>
      </c>
      <c r="W23" s="165" t="str">
        <f>IF(W22&gt;X22,W22-X22,"")</f>
        <v/>
      </c>
      <c r="X23" s="176" t="str">
        <f>IF(W22&lt;X22,X22-W22,"")</f>
        <v/>
      </c>
      <c r="Z23" s="170"/>
      <c r="AA23" s="173"/>
      <c r="AB23" s="164" t="str">
        <f>IF(AC22=AD22,"",IF(AC22&gt;AD22,"Saldo Deudor","Saldo Acreedor"))</f>
        <v/>
      </c>
      <c r="AC23" s="165" t="str">
        <f>IF(AC22&gt;AD22,AC22-AD22,"")</f>
        <v/>
      </c>
      <c r="AD23" s="176" t="str">
        <f>IF(AC22&lt;AD22,AD22-AC22,"")</f>
        <v/>
      </c>
      <c r="AF23" s="170"/>
      <c r="AG23" s="173"/>
      <c r="AH23" s="164" t="str">
        <f>IF(AI22=AJ22,"",IF(AI22&gt;AJ22,"Saldo Deudor","Saldo Acreedor"))</f>
        <v/>
      </c>
      <c r="AI23" s="165" t="str">
        <f>IF(AI22&gt;AJ22,AI22-AJ22,"")</f>
        <v/>
      </c>
      <c r="AJ23" s="176" t="str">
        <f>IF(AI22&lt;AJ22,AJ22-AI22,"")</f>
        <v/>
      </c>
      <c r="AL23" s="170"/>
      <c r="AM23" s="173"/>
      <c r="AN23" s="164" t="str">
        <f>IF(AO22=AP22,"",IF(AO22&gt;AP22,"Saldo Deudor","Saldo Acreedor"))</f>
        <v/>
      </c>
      <c r="AO23" s="165" t="str">
        <f>IF(AO22&gt;AP22,AO22-AP22,"")</f>
        <v/>
      </c>
      <c r="AP23" s="176" t="str">
        <f>IF(AO22&lt;AP22,AP22-AO22,"")</f>
        <v/>
      </c>
      <c r="AR23" s="170"/>
      <c r="AS23" s="173"/>
      <c r="AT23" s="164" t="str">
        <f>IF(AU22=AV22,"",IF(AU22&gt;AV22,"Saldo Deudor","Saldo Acreedor"))</f>
        <v/>
      </c>
      <c r="AU23" s="165" t="str">
        <f>IF(AU22&gt;AV22,AU22-AV22,"")</f>
        <v/>
      </c>
      <c r="AV23" s="176" t="str">
        <f>IF(AU22&lt;AV22,AV22-AU22,"")</f>
        <v/>
      </c>
      <c r="AX23" s="170"/>
      <c r="AY23" s="173"/>
      <c r="AZ23" s="164" t="str">
        <f>IF(BA22=BB22,"",IF(BA22&gt;BB22,"Saldo Deudor","Saldo Acreedor"))</f>
        <v/>
      </c>
      <c r="BA23" s="165" t="str">
        <f>IF(BA22&gt;BB22,BA22-BB22,"")</f>
        <v/>
      </c>
      <c r="BB23" s="176" t="str">
        <f>IF(BA22&lt;BB22,BB22-BA22,"")</f>
        <v/>
      </c>
    </row>
    <row r="26" spans="2:63" ht="15.6" x14ac:dyDescent="0.25">
      <c r="B26" s="324" t="s">
        <v>321</v>
      </c>
      <c r="C26" s="324"/>
      <c r="D26" s="233" t="str">
        <f>'Base de Datos'!$C$756</f>
        <v>LIBRO MAYOR</v>
      </c>
      <c r="H26" s="324" t="s">
        <v>321</v>
      </c>
      <c r="I26" s="324"/>
      <c r="J26" s="233" t="str">
        <f>'Base de Datos'!$C$756</f>
        <v>LIBRO MAYOR</v>
      </c>
      <c r="N26" s="324" t="s">
        <v>321</v>
      </c>
      <c r="O26" s="324"/>
      <c r="P26" s="233" t="str">
        <f>'Base de Datos'!$C$756</f>
        <v>LIBRO MAYOR</v>
      </c>
      <c r="T26" s="324" t="s">
        <v>321</v>
      </c>
      <c r="U26" s="324"/>
      <c r="V26" s="233" t="str">
        <f>'Base de Datos'!$C$756</f>
        <v>LIBRO MAYOR</v>
      </c>
      <c r="Z26" s="324" t="s">
        <v>321</v>
      </c>
      <c r="AA26" s="324"/>
      <c r="AB26" s="233" t="str">
        <f>'Base de Datos'!$C$756</f>
        <v>LIBRO MAYOR</v>
      </c>
      <c r="AF26" s="324" t="s">
        <v>321</v>
      </c>
      <c r="AG26" s="324"/>
      <c r="AH26" s="233" t="str">
        <f>'Base de Datos'!$C$756</f>
        <v>LIBRO MAYOR</v>
      </c>
      <c r="AL26" s="324" t="s">
        <v>321</v>
      </c>
      <c r="AM26" s="324"/>
      <c r="AN26" s="233" t="str">
        <f>'Base de Datos'!$C$756</f>
        <v>LIBRO MAYOR</v>
      </c>
      <c r="AR26" s="324" t="s">
        <v>321</v>
      </c>
      <c r="AS26" s="324"/>
      <c r="AT26" s="233" t="str">
        <f>'Base de Datos'!$C$756</f>
        <v>LIBRO MAYOR</v>
      </c>
      <c r="AX26" s="324" t="s">
        <v>321</v>
      </c>
      <c r="AY26" s="324"/>
      <c r="AZ26" s="233" t="str">
        <f>'Base de Datos'!$C$756</f>
        <v>LIBRO MAYOR</v>
      </c>
      <c r="BD26" s="324" t="s">
        <v>321</v>
      </c>
      <c r="BE26" s="324"/>
      <c r="BF26" s="233" t="str">
        <f>'Base de Datos'!$C$756</f>
        <v>LIBRO MAYOR</v>
      </c>
    </row>
    <row r="27" spans="2:63" x14ac:dyDescent="0.25">
      <c r="C27" s="2"/>
      <c r="D27" s="2"/>
      <c r="E27" s="2"/>
      <c r="I27" s="2"/>
      <c r="J27" s="2"/>
      <c r="K27" s="2"/>
      <c r="O27" s="2"/>
      <c r="P27" s="2"/>
      <c r="Q27" s="2"/>
      <c r="U27" s="2"/>
      <c r="V27" s="2"/>
      <c r="W27" s="2"/>
      <c r="AA27" s="2"/>
      <c r="AB27" s="2"/>
      <c r="AC27" s="2"/>
      <c r="AG27" s="2"/>
      <c r="AH27" s="2"/>
      <c r="AI27" s="2"/>
      <c r="AM27" s="2"/>
      <c r="AN27" s="2"/>
      <c r="AO27" s="2"/>
      <c r="AS27" s="2"/>
      <c r="AT27" s="2"/>
      <c r="AU27" s="2"/>
      <c r="AY27" s="2"/>
      <c r="AZ27" s="2"/>
      <c r="BA27" s="2"/>
      <c r="BE27" s="2"/>
      <c r="BF27" s="2"/>
      <c r="BG27" s="2"/>
    </row>
    <row r="28" spans="2:63" ht="15.6" x14ac:dyDescent="0.25">
      <c r="B28" s="324" t="s">
        <v>322</v>
      </c>
      <c r="C28" s="324"/>
      <c r="D28" s="234" t="str">
        <f>'Base de Datos'!$C$8</f>
        <v>MARZO</v>
      </c>
      <c r="E28" s="160"/>
      <c r="H28" s="324" t="s">
        <v>322</v>
      </c>
      <c r="I28" s="324"/>
      <c r="J28" s="234" t="str">
        <f>'Base de Datos'!$C$8</f>
        <v>MARZO</v>
      </c>
      <c r="K28" s="160"/>
      <c r="N28" s="324" t="s">
        <v>322</v>
      </c>
      <c r="O28" s="324"/>
      <c r="P28" s="234" t="str">
        <f>'Base de Datos'!$C$8</f>
        <v>MARZO</v>
      </c>
      <c r="Q28" s="160"/>
      <c r="T28" s="324" t="s">
        <v>322</v>
      </c>
      <c r="U28" s="324"/>
      <c r="V28" s="234" t="str">
        <f>'Base de Datos'!$C$8</f>
        <v>MARZO</v>
      </c>
      <c r="W28" s="160"/>
      <c r="Z28" s="324" t="s">
        <v>322</v>
      </c>
      <c r="AA28" s="324"/>
      <c r="AB28" s="234" t="str">
        <f>'Base de Datos'!$C$8</f>
        <v>MARZO</v>
      </c>
      <c r="AC28" s="160"/>
      <c r="AF28" s="324" t="s">
        <v>322</v>
      </c>
      <c r="AG28" s="324"/>
      <c r="AH28" s="234" t="str">
        <f>'Base de Datos'!$C$8</f>
        <v>MARZO</v>
      </c>
      <c r="AI28" s="160"/>
      <c r="AL28" s="324" t="s">
        <v>322</v>
      </c>
      <c r="AM28" s="324"/>
      <c r="AN28" s="234" t="str">
        <f>'Base de Datos'!$C$8</f>
        <v>MARZO</v>
      </c>
      <c r="AO28" s="160"/>
      <c r="AR28" s="324" t="s">
        <v>322</v>
      </c>
      <c r="AS28" s="324"/>
      <c r="AT28" s="234" t="str">
        <f>'Base de Datos'!$C$8</f>
        <v>MARZO</v>
      </c>
      <c r="AU28" s="160"/>
      <c r="AX28" s="324" t="s">
        <v>322</v>
      </c>
      <c r="AY28" s="324"/>
      <c r="AZ28" s="234" t="str">
        <f>'Base de Datos'!$C$8</f>
        <v>MARZO</v>
      </c>
      <c r="BA28" s="160"/>
      <c r="BD28" s="324" t="s">
        <v>322</v>
      </c>
      <c r="BE28" s="324"/>
      <c r="BF28" s="234" t="str">
        <f>'Base de Datos'!$C$8</f>
        <v>MARZO</v>
      </c>
      <c r="BG28" s="160"/>
    </row>
    <row r="29" spans="2:63" x14ac:dyDescent="0.25">
      <c r="C29" s="2"/>
      <c r="D29" s="2"/>
      <c r="E29" s="2"/>
      <c r="I29" s="2"/>
      <c r="J29" s="2"/>
      <c r="K29" s="2"/>
      <c r="O29" s="2"/>
      <c r="P29" s="2"/>
      <c r="Q29" s="2"/>
      <c r="U29" s="2"/>
      <c r="V29" s="2"/>
      <c r="W29" s="2"/>
      <c r="AA29" s="2"/>
      <c r="AB29" s="2"/>
      <c r="AC29" s="2"/>
      <c r="AG29" s="2"/>
      <c r="AH29" s="2"/>
      <c r="AI29" s="2"/>
      <c r="AM29" s="2"/>
      <c r="AN29" s="2"/>
      <c r="AO29" s="2"/>
      <c r="AS29" s="2"/>
      <c r="AT29" s="2"/>
      <c r="AU29" s="2"/>
      <c r="AY29" s="2"/>
      <c r="AZ29" s="2"/>
      <c r="BA29" s="2"/>
      <c r="BE29" s="2"/>
      <c r="BF29" s="2"/>
      <c r="BG29" s="2"/>
    </row>
    <row r="30" spans="2:63" ht="15.6" x14ac:dyDescent="0.25">
      <c r="B30" s="324" t="s">
        <v>323</v>
      </c>
      <c r="C30" s="324"/>
      <c r="D30" s="231">
        <f>'Base de Datos'!$C$9</f>
        <v>2015</v>
      </c>
      <c r="E30" s="2"/>
      <c r="H30" s="324" t="s">
        <v>323</v>
      </c>
      <c r="I30" s="324"/>
      <c r="J30" s="231">
        <f>'Base de Datos'!$C$9</f>
        <v>2015</v>
      </c>
      <c r="K30" s="2"/>
      <c r="N30" s="324" t="s">
        <v>323</v>
      </c>
      <c r="O30" s="324"/>
      <c r="P30" s="231">
        <f>'Base de Datos'!$C$9</f>
        <v>2015</v>
      </c>
      <c r="Q30" s="2"/>
      <c r="T30" s="324" t="s">
        <v>323</v>
      </c>
      <c r="U30" s="324"/>
      <c r="V30" s="231">
        <f>'Base de Datos'!$C$9</f>
        <v>2015</v>
      </c>
      <c r="W30" s="2"/>
      <c r="Z30" s="324" t="s">
        <v>323</v>
      </c>
      <c r="AA30" s="324"/>
      <c r="AB30" s="231">
        <f>'Base de Datos'!$C$9</f>
        <v>2015</v>
      </c>
      <c r="AC30" s="2"/>
      <c r="AF30" s="324" t="s">
        <v>323</v>
      </c>
      <c r="AG30" s="324"/>
      <c r="AH30" s="231">
        <f>'Base de Datos'!$C$9</f>
        <v>2015</v>
      </c>
      <c r="AI30" s="2"/>
      <c r="AL30" s="324" t="s">
        <v>323</v>
      </c>
      <c r="AM30" s="324"/>
      <c r="AN30" s="231">
        <f>'Base de Datos'!$C$9</f>
        <v>2015</v>
      </c>
      <c r="AO30" s="2"/>
      <c r="AR30" s="324" t="s">
        <v>323</v>
      </c>
      <c r="AS30" s="324"/>
      <c r="AT30" s="231">
        <f>'Base de Datos'!$C$9</f>
        <v>2015</v>
      </c>
      <c r="AU30" s="2"/>
      <c r="AX30" s="324" t="s">
        <v>323</v>
      </c>
      <c r="AY30" s="324"/>
      <c r="AZ30" s="231">
        <f>'Base de Datos'!$C$9</f>
        <v>2015</v>
      </c>
      <c r="BA30" s="2"/>
      <c r="BD30" s="324" t="s">
        <v>323</v>
      </c>
      <c r="BE30" s="324"/>
      <c r="BF30" s="231">
        <f>'Base de Datos'!$C$9</f>
        <v>2015</v>
      </c>
      <c r="BG30" s="2"/>
    </row>
    <row r="31" spans="2:63" x14ac:dyDescent="0.25">
      <c r="C31" s="2"/>
      <c r="D31" s="2"/>
      <c r="E31" s="2"/>
      <c r="I31" s="2"/>
      <c r="J31" s="2"/>
      <c r="K31" s="2"/>
      <c r="O31" s="2"/>
      <c r="P31" s="2"/>
      <c r="Q31" s="2"/>
      <c r="U31" s="2"/>
      <c r="V31" s="2"/>
      <c r="W31" s="2"/>
      <c r="AA31" s="2"/>
      <c r="AB31" s="2"/>
      <c r="AC31" s="2"/>
      <c r="AG31" s="2"/>
      <c r="AH31" s="2"/>
      <c r="AI31" s="2"/>
      <c r="AM31" s="2"/>
      <c r="AN31" s="2"/>
      <c r="AO31" s="2"/>
      <c r="AS31" s="2"/>
      <c r="AT31" s="2"/>
      <c r="AU31" s="2"/>
      <c r="AY31" s="2"/>
      <c r="AZ31" s="2"/>
      <c r="BA31" s="2"/>
      <c r="BE31" s="2"/>
      <c r="BF31" s="2"/>
      <c r="BG31" s="2"/>
    </row>
    <row r="32" spans="2:63" ht="15.6" x14ac:dyDescent="0.25">
      <c r="B32" s="324" t="s">
        <v>324</v>
      </c>
      <c r="C32" s="324"/>
      <c r="D32" s="316">
        <f>'Base de Datos'!$C$6</f>
        <v>20411074561</v>
      </c>
      <c r="E32" s="316"/>
      <c r="H32" s="324" t="s">
        <v>324</v>
      </c>
      <c r="I32" s="324"/>
      <c r="J32" s="316">
        <f>'Base de Datos'!$C$6</f>
        <v>20411074561</v>
      </c>
      <c r="K32" s="316"/>
      <c r="N32" s="324" t="s">
        <v>324</v>
      </c>
      <c r="O32" s="324"/>
      <c r="P32" s="316">
        <f>'Base de Datos'!$C$6</f>
        <v>20411074561</v>
      </c>
      <c r="Q32" s="316"/>
      <c r="T32" s="324" t="s">
        <v>324</v>
      </c>
      <c r="U32" s="324"/>
      <c r="V32" s="316">
        <f>'Base de Datos'!$C$6</f>
        <v>20411074561</v>
      </c>
      <c r="W32" s="316"/>
      <c r="Z32" s="324" t="s">
        <v>324</v>
      </c>
      <c r="AA32" s="324"/>
      <c r="AB32" s="316">
        <f>'Base de Datos'!$C$6</f>
        <v>20411074561</v>
      </c>
      <c r="AC32" s="316"/>
      <c r="AF32" s="324" t="s">
        <v>324</v>
      </c>
      <c r="AG32" s="324"/>
      <c r="AH32" s="316">
        <f>'Base de Datos'!$C$6</f>
        <v>20411074561</v>
      </c>
      <c r="AI32" s="316"/>
      <c r="AL32" s="324" t="s">
        <v>324</v>
      </c>
      <c r="AM32" s="324"/>
      <c r="AN32" s="316">
        <f>'Base de Datos'!$C$6</f>
        <v>20411074561</v>
      </c>
      <c r="AO32" s="316"/>
      <c r="AR32" s="324" t="s">
        <v>324</v>
      </c>
      <c r="AS32" s="324"/>
      <c r="AT32" s="316">
        <f>'Base de Datos'!$C$6</f>
        <v>20411074561</v>
      </c>
      <c r="AU32" s="316"/>
      <c r="AX32" s="324" t="s">
        <v>324</v>
      </c>
      <c r="AY32" s="324"/>
      <c r="AZ32" s="316">
        <f>'Base de Datos'!$C$6</f>
        <v>20411074561</v>
      </c>
      <c r="BA32" s="316"/>
      <c r="BD32" s="324" t="s">
        <v>324</v>
      </c>
      <c r="BE32" s="324"/>
      <c r="BF32" s="316">
        <f>'Base de Datos'!$C$6</f>
        <v>20411074561</v>
      </c>
      <c r="BG32" s="316"/>
    </row>
    <row r="33" spans="2:63" x14ac:dyDescent="0.25">
      <c r="C33" s="2"/>
      <c r="D33" s="2"/>
      <c r="E33" s="2"/>
      <c r="I33" s="2"/>
      <c r="J33" s="2"/>
      <c r="K33" s="2"/>
      <c r="O33" s="2"/>
      <c r="P33" s="2"/>
      <c r="Q33" s="2"/>
      <c r="U33" s="2"/>
      <c r="V33" s="2"/>
      <c r="W33" s="2"/>
      <c r="AA33" s="2"/>
      <c r="AB33" s="2"/>
      <c r="AC33" s="2"/>
      <c r="AG33" s="2"/>
      <c r="AH33" s="2"/>
      <c r="AI33" s="2"/>
      <c r="AM33" s="2"/>
      <c r="AN33" s="2"/>
      <c r="AO33" s="2"/>
      <c r="AS33" s="2"/>
      <c r="AT33" s="2"/>
      <c r="AU33" s="2"/>
      <c r="AY33" s="2"/>
      <c r="AZ33" s="2"/>
      <c r="BA33" s="2"/>
      <c r="BE33" s="2"/>
      <c r="BF33" s="2"/>
      <c r="BG33" s="2"/>
    </row>
    <row r="34" spans="2:63" ht="15.6" x14ac:dyDescent="0.25">
      <c r="B34" s="324" t="s">
        <v>325</v>
      </c>
      <c r="C34" s="324"/>
      <c r="D34" s="234" t="str">
        <f>'Base de Datos'!$C$5</f>
        <v>LOS BAILARINES SRL</v>
      </c>
      <c r="E34" s="2"/>
      <c r="H34" s="324" t="s">
        <v>325</v>
      </c>
      <c r="I34" s="324"/>
      <c r="J34" s="234" t="str">
        <f>'Base de Datos'!$C$5</f>
        <v>LOS BAILARINES SRL</v>
      </c>
      <c r="K34" s="2"/>
      <c r="N34" s="324" t="s">
        <v>325</v>
      </c>
      <c r="O34" s="324"/>
      <c r="P34" s="234" t="str">
        <f>'Base de Datos'!$C$5</f>
        <v>LOS BAILARINES SRL</v>
      </c>
      <c r="Q34" s="2"/>
      <c r="T34" s="324" t="s">
        <v>325</v>
      </c>
      <c r="U34" s="324"/>
      <c r="V34" s="234" t="str">
        <f>'Base de Datos'!$C$5</f>
        <v>LOS BAILARINES SRL</v>
      </c>
      <c r="W34" s="2"/>
      <c r="Z34" s="324" t="s">
        <v>325</v>
      </c>
      <c r="AA34" s="324"/>
      <c r="AB34" s="234" t="str">
        <f>'Base de Datos'!$C$5</f>
        <v>LOS BAILARINES SRL</v>
      </c>
      <c r="AC34" s="2"/>
      <c r="AF34" s="324" t="s">
        <v>325</v>
      </c>
      <c r="AG34" s="324"/>
      <c r="AH34" s="234" t="str">
        <f>'Base de Datos'!$C$5</f>
        <v>LOS BAILARINES SRL</v>
      </c>
      <c r="AI34" s="2"/>
      <c r="AL34" s="324" t="s">
        <v>325</v>
      </c>
      <c r="AM34" s="324"/>
      <c r="AN34" s="234" t="str">
        <f>'Base de Datos'!$C$5</f>
        <v>LOS BAILARINES SRL</v>
      </c>
      <c r="AO34" s="2"/>
      <c r="AR34" s="324" t="s">
        <v>325</v>
      </c>
      <c r="AS34" s="324"/>
      <c r="AT34" s="234" t="str">
        <f>'Base de Datos'!$C$5</f>
        <v>LOS BAILARINES SRL</v>
      </c>
      <c r="AU34" s="2"/>
      <c r="AX34" s="324" t="s">
        <v>325</v>
      </c>
      <c r="AY34" s="324"/>
      <c r="AZ34" s="234" t="str">
        <f>'Base de Datos'!$C$5</f>
        <v>LOS BAILARINES SRL</v>
      </c>
      <c r="BA34" s="2"/>
      <c r="BD34" s="324" t="s">
        <v>325</v>
      </c>
      <c r="BE34" s="324"/>
      <c r="BF34" s="234" t="str">
        <f>'Base de Datos'!$C$5</f>
        <v>LOS BAILARINES SRL</v>
      </c>
      <c r="BG34" s="2"/>
    </row>
    <row r="35" spans="2:63" x14ac:dyDescent="0.25">
      <c r="B35" s="160"/>
      <c r="C35" s="160"/>
      <c r="D35" s="160"/>
      <c r="E35" s="160"/>
      <c r="H35" s="160"/>
      <c r="I35" s="160"/>
      <c r="J35" s="160"/>
      <c r="K35" s="160"/>
      <c r="N35" s="160"/>
      <c r="O35" s="160"/>
      <c r="P35" s="160"/>
      <c r="Q35" s="160"/>
      <c r="T35" s="160"/>
      <c r="U35" s="160"/>
      <c r="V35" s="160"/>
      <c r="W35" s="160"/>
      <c r="Z35" s="160"/>
      <c r="AA35" s="160"/>
      <c r="AB35" s="160"/>
      <c r="AC35" s="160"/>
      <c r="AF35" s="160"/>
      <c r="AG35" s="160"/>
      <c r="AH35" s="160"/>
      <c r="AI35" s="160"/>
      <c r="AL35" s="160"/>
      <c r="AM35" s="160"/>
      <c r="AN35" s="160"/>
      <c r="AO35" s="160"/>
      <c r="AR35" s="160"/>
      <c r="AS35" s="160"/>
      <c r="AT35" s="160"/>
      <c r="AU35" s="160"/>
      <c r="AX35" s="160"/>
      <c r="AY35" s="160"/>
      <c r="AZ35" s="160"/>
      <c r="BA35" s="160"/>
      <c r="BD35" s="160"/>
      <c r="BE35" s="160"/>
      <c r="BF35" s="160"/>
      <c r="BG35" s="160"/>
    </row>
    <row r="36" spans="2:63" ht="15.6" x14ac:dyDescent="0.25">
      <c r="B36" s="324" t="s">
        <v>472</v>
      </c>
      <c r="C36" s="324"/>
      <c r="D36" s="175">
        <v>20</v>
      </c>
      <c r="H36" s="324" t="s">
        <v>472</v>
      </c>
      <c r="I36" s="324"/>
      <c r="J36" s="175">
        <v>21</v>
      </c>
      <c r="N36" s="324" t="s">
        <v>472</v>
      </c>
      <c r="O36" s="324"/>
      <c r="P36" s="175">
        <v>22</v>
      </c>
      <c r="T36" s="324" t="s">
        <v>472</v>
      </c>
      <c r="U36" s="324"/>
      <c r="V36" s="175">
        <v>23</v>
      </c>
      <c r="Z36" s="324" t="s">
        <v>472</v>
      </c>
      <c r="AA36" s="324"/>
      <c r="AB36" s="175">
        <v>24</v>
      </c>
      <c r="AF36" s="324" t="s">
        <v>472</v>
      </c>
      <c r="AG36" s="324"/>
      <c r="AH36" s="175">
        <v>25</v>
      </c>
      <c r="AL36" s="324" t="s">
        <v>472</v>
      </c>
      <c r="AM36" s="324"/>
      <c r="AN36" s="175">
        <v>26</v>
      </c>
      <c r="AR36" s="324" t="s">
        <v>472</v>
      </c>
      <c r="AS36" s="324"/>
      <c r="AT36" s="175">
        <v>27</v>
      </c>
      <c r="AX36" s="324" t="s">
        <v>472</v>
      </c>
      <c r="AY36" s="324"/>
      <c r="AZ36" s="175">
        <v>28</v>
      </c>
      <c r="BD36" s="324" t="s">
        <v>472</v>
      </c>
      <c r="BE36" s="324"/>
      <c r="BF36" s="175">
        <v>29</v>
      </c>
    </row>
    <row r="37" spans="2:63" x14ac:dyDescent="0.25">
      <c r="B37" s="160"/>
      <c r="C37" s="160"/>
      <c r="D37" s="160"/>
      <c r="E37" s="160"/>
      <c r="H37" s="160"/>
      <c r="I37" s="160"/>
      <c r="J37" s="160"/>
      <c r="K37" s="160"/>
      <c r="N37" s="160"/>
      <c r="O37" s="160"/>
      <c r="P37" s="160"/>
      <c r="Q37" s="160"/>
      <c r="T37" s="160"/>
      <c r="U37" s="160"/>
      <c r="V37" s="160"/>
      <c r="W37" s="160"/>
      <c r="Z37" s="160"/>
      <c r="AA37" s="160"/>
      <c r="AB37" s="160"/>
      <c r="AC37" s="160"/>
      <c r="AF37" s="160"/>
      <c r="AG37" s="160"/>
      <c r="AH37" s="160"/>
      <c r="AI37" s="160"/>
      <c r="AL37" s="160"/>
      <c r="AM37" s="160"/>
      <c r="AN37" s="160"/>
      <c r="AO37" s="160"/>
      <c r="AR37" s="160"/>
      <c r="AS37" s="160"/>
      <c r="AT37" s="160"/>
      <c r="AU37" s="160"/>
      <c r="AX37" s="160"/>
      <c r="AY37" s="160"/>
      <c r="AZ37" s="160"/>
      <c r="BA37" s="160"/>
      <c r="BD37" s="160"/>
      <c r="BE37" s="160"/>
      <c r="BF37" s="160"/>
      <c r="BG37" s="160"/>
    </row>
    <row r="38" spans="2:63" ht="15.6" x14ac:dyDescent="0.25">
      <c r="B38" s="324" t="s">
        <v>473</v>
      </c>
      <c r="C38" s="324"/>
      <c r="D38" s="234" t="str">
        <f>VLOOKUP(D36,CuentasContables,5,FALSE)</f>
        <v>MERCADERÍAS</v>
      </c>
      <c r="E38" s="160"/>
      <c r="H38" s="324" t="s">
        <v>473</v>
      </c>
      <c r="I38" s="324"/>
      <c r="J38" s="234" t="str">
        <f>VLOOKUP(J36,CuentasContables,5,FALSE)</f>
        <v>PRODUCTOS TERMINADOS</v>
      </c>
      <c r="K38" s="160"/>
      <c r="N38" s="324" t="s">
        <v>473</v>
      </c>
      <c r="O38" s="324"/>
      <c r="P38" s="234" t="str">
        <f>VLOOKUP(P36,CuentasContables,5,FALSE)</f>
        <v>SUB-PRODUCTOS, DESECHOS Y DESPERDICIOS</v>
      </c>
      <c r="Q38" s="160"/>
      <c r="T38" s="324" t="s">
        <v>473</v>
      </c>
      <c r="U38" s="324"/>
      <c r="V38" s="234" t="str">
        <f>VLOOKUP(V36,CuentasContables,5,FALSE)</f>
        <v>PRODUCTOS EN PROCESO</v>
      </c>
      <c r="W38" s="160"/>
      <c r="Z38" s="324" t="s">
        <v>473</v>
      </c>
      <c r="AA38" s="324"/>
      <c r="AB38" s="234" t="str">
        <f>VLOOKUP(AB36,CuentasContables,5,FALSE)</f>
        <v>MATERIAS PRIMAS</v>
      </c>
      <c r="AC38" s="160"/>
      <c r="AF38" s="324" t="s">
        <v>473</v>
      </c>
      <c r="AG38" s="324"/>
      <c r="AH38" s="234" t="str">
        <f>VLOOKUP(AH36,CuentasContables,5,FALSE)</f>
        <v>MATERIALES AUXILIARES, SUMINISTROS Y REPUESTOS</v>
      </c>
      <c r="AI38" s="160"/>
      <c r="AL38" s="324" t="s">
        <v>473</v>
      </c>
      <c r="AM38" s="324"/>
      <c r="AN38" s="234" t="str">
        <f>VLOOKUP(AN36,CuentasContables,5,FALSE)</f>
        <v>ENVASES Y EMBALAJES</v>
      </c>
      <c r="AO38" s="160"/>
      <c r="AR38" s="324" t="s">
        <v>473</v>
      </c>
      <c r="AS38" s="324"/>
      <c r="AT38" s="234" t="str">
        <f>VLOOKUP(AT36,CuentasContables,5,FALSE)</f>
        <v>ACTIVOS NO CORRIENTES MANTENIDOS PARA LA VENTA</v>
      </c>
      <c r="AU38" s="160"/>
      <c r="AX38" s="324" t="s">
        <v>473</v>
      </c>
      <c r="AY38" s="324"/>
      <c r="AZ38" s="234" t="str">
        <f>VLOOKUP(AZ36,CuentasContables,5,FALSE)</f>
        <v>EXISTENCIAS POR RECIBIR</v>
      </c>
      <c r="BA38" s="160"/>
      <c r="BD38" s="324" t="s">
        <v>473</v>
      </c>
      <c r="BE38" s="324"/>
      <c r="BF38" s="234" t="str">
        <f>VLOOKUP(BF36,CuentasContables,5,FALSE)</f>
        <v>DESVALORIZACIÓN DE EXISTENCIAS</v>
      </c>
      <c r="BG38" s="160"/>
    </row>
    <row r="39" spans="2:63" ht="14.4" thickBot="1" x14ac:dyDescent="0.3">
      <c r="B39" s="160"/>
      <c r="C39" s="160"/>
      <c r="D39" s="160"/>
      <c r="E39" s="160"/>
      <c r="H39" s="160"/>
      <c r="I39" s="160"/>
      <c r="J39" s="160"/>
      <c r="K39" s="160"/>
      <c r="N39" s="160"/>
      <c r="O39" s="160"/>
      <c r="P39" s="160"/>
      <c r="Q39" s="160"/>
      <c r="T39" s="160"/>
      <c r="U39" s="160"/>
      <c r="V39" s="160"/>
      <c r="W39" s="160"/>
      <c r="Z39" s="160"/>
      <c r="AA39" s="160"/>
      <c r="AB39" s="160"/>
      <c r="AC39" s="160"/>
      <c r="AF39" s="160"/>
      <c r="AG39" s="160"/>
      <c r="AH39" s="160"/>
      <c r="AI39" s="160"/>
      <c r="AL39" s="160"/>
      <c r="AM39" s="160"/>
      <c r="AN39" s="160"/>
      <c r="AO39" s="160"/>
      <c r="AR39" s="160"/>
      <c r="AS39" s="160"/>
      <c r="AT39" s="160"/>
      <c r="AU39" s="160"/>
      <c r="AX39" s="160"/>
      <c r="AY39" s="160"/>
      <c r="AZ39" s="160"/>
      <c r="BA39" s="160"/>
      <c r="BD39" s="160"/>
      <c r="BE39" s="160"/>
      <c r="BF39" s="160"/>
      <c r="BG39" s="160"/>
    </row>
    <row r="40" spans="2:63" x14ac:dyDescent="0.25">
      <c r="B40" s="331" t="s">
        <v>466</v>
      </c>
      <c r="C40" s="333" t="s">
        <v>467</v>
      </c>
      <c r="D40" s="333" t="s">
        <v>468</v>
      </c>
      <c r="E40" s="333" t="s">
        <v>469</v>
      </c>
      <c r="F40" s="335"/>
      <c r="H40" s="331" t="s">
        <v>466</v>
      </c>
      <c r="I40" s="333" t="s">
        <v>467</v>
      </c>
      <c r="J40" s="333" t="s">
        <v>468</v>
      </c>
      <c r="K40" s="333" t="s">
        <v>469</v>
      </c>
      <c r="L40" s="335"/>
      <c r="N40" s="331" t="s">
        <v>466</v>
      </c>
      <c r="O40" s="333" t="s">
        <v>467</v>
      </c>
      <c r="P40" s="333" t="s">
        <v>468</v>
      </c>
      <c r="Q40" s="333" t="s">
        <v>469</v>
      </c>
      <c r="R40" s="335"/>
      <c r="T40" s="331" t="s">
        <v>466</v>
      </c>
      <c r="U40" s="333" t="s">
        <v>467</v>
      </c>
      <c r="V40" s="333" t="s">
        <v>468</v>
      </c>
      <c r="W40" s="333" t="s">
        <v>469</v>
      </c>
      <c r="X40" s="335"/>
      <c r="Z40" s="331" t="s">
        <v>466</v>
      </c>
      <c r="AA40" s="333" t="s">
        <v>467</v>
      </c>
      <c r="AB40" s="333" t="s">
        <v>468</v>
      </c>
      <c r="AC40" s="333" t="s">
        <v>469</v>
      </c>
      <c r="AD40" s="335"/>
      <c r="AF40" s="331" t="s">
        <v>466</v>
      </c>
      <c r="AG40" s="333" t="s">
        <v>467</v>
      </c>
      <c r="AH40" s="333" t="s">
        <v>468</v>
      </c>
      <c r="AI40" s="333" t="s">
        <v>469</v>
      </c>
      <c r="AJ40" s="335"/>
      <c r="AL40" s="331" t="s">
        <v>466</v>
      </c>
      <c r="AM40" s="333" t="s">
        <v>467</v>
      </c>
      <c r="AN40" s="333" t="s">
        <v>468</v>
      </c>
      <c r="AO40" s="333" t="s">
        <v>469</v>
      </c>
      <c r="AP40" s="335"/>
      <c r="AR40" s="331" t="s">
        <v>466</v>
      </c>
      <c r="AS40" s="333" t="s">
        <v>467</v>
      </c>
      <c r="AT40" s="333" t="s">
        <v>468</v>
      </c>
      <c r="AU40" s="333" t="s">
        <v>469</v>
      </c>
      <c r="AV40" s="335"/>
      <c r="AX40" s="331" t="s">
        <v>466</v>
      </c>
      <c r="AY40" s="333" t="s">
        <v>467</v>
      </c>
      <c r="AZ40" s="333" t="s">
        <v>468</v>
      </c>
      <c r="BA40" s="333" t="s">
        <v>469</v>
      </c>
      <c r="BB40" s="335"/>
      <c r="BD40" s="325" t="s">
        <v>466</v>
      </c>
      <c r="BE40" s="327" t="s">
        <v>467</v>
      </c>
      <c r="BF40" s="327" t="s">
        <v>468</v>
      </c>
      <c r="BG40" s="329" t="s">
        <v>469</v>
      </c>
      <c r="BH40" s="330"/>
    </row>
    <row r="41" spans="2:63" ht="14.4" thickBot="1" x14ac:dyDescent="0.3">
      <c r="B41" s="332"/>
      <c r="C41" s="334"/>
      <c r="D41" s="334"/>
      <c r="E41" s="232" t="s">
        <v>403</v>
      </c>
      <c r="F41" s="174" t="s">
        <v>402</v>
      </c>
      <c r="H41" s="332"/>
      <c r="I41" s="334"/>
      <c r="J41" s="334"/>
      <c r="K41" s="232" t="s">
        <v>403</v>
      </c>
      <c r="L41" s="174" t="s">
        <v>402</v>
      </c>
      <c r="N41" s="332"/>
      <c r="O41" s="334"/>
      <c r="P41" s="334"/>
      <c r="Q41" s="232" t="s">
        <v>403</v>
      </c>
      <c r="R41" s="174" t="s">
        <v>402</v>
      </c>
      <c r="T41" s="332"/>
      <c r="U41" s="334"/>
      <c r="V41" s="334"/>
      <c r="W41" s="232" t="s">
        <v>403</v>
      </c>
      <c r="X41" s="174" t="s">
        <v>402</v>
      </c>
      <c r="Z41" s="332"/>
      <c r="AA41" s="334"/>
      <c r="AB41" s="334"/>
      <c r="AC41" s="232" t="s">
        <v>403</v>
      </c>
      <c r="AD41" s="174" t="s">
        <v>402</v>
      </c>
      <c r="AF41" s="332"/>
      <c r="AG41" s="334"/>
      <c r="AH41" s="334"/>
      <c r="AI41" s="232" t="s">
        <v>403</v>
      </c>
      <c r="AJ41" s="174" t="s">
        <v>402</v>
      </c>
      <c r="AL41" s="332"/>
      <c r="AM41" s="334"/>
      <c r="AN41" s="334"/>
      <c r="AO41" s="232" t="s">
        <v>403</v>
      </c>
      <c r="AP41" s="174" t="s">
        <v>402</v>
      </c>
      <c r="AR41" s="332"/>
      <c r="AS41" s="334"/>
      <c r="AT41" s="334"/>
      <c r="AU41" s="232" t="s">
        <v>403</v>
      </c>
      <c r="AV41" s="174" t="s">
        <v>402</v>
      </c>
      <c r="AX41" s="332"/>
      <c r="AY41" s="334"/>
      <c r="AZ41" s="334"/>
      <c r="BA41" s="232" t="s">
        <v>403</v>
      </c>
      <c r="BB41" s="174" t="s">
        <v>402</v>
      </c>
      <c r="BD41" s="326"/>
      <c r="BE41" s="328"/>
      <c r="BF41" s="328"/>
      <c r="BG41" s="232" t="s">
        <v>403</v>
      </c>
      <c r="BH41" s="174" t="s">
        <v>402</v>
      </c>
    </row>
    <row r="42" spans="2:63" ht="14.4" thickTop="1" x14ac:dyDescent="0.25">
      <c r="B42" s="236">
        <v>41670</v>
      </c>
      <c r="C42" s="171"/>
      <c r="D42" s="166" t="s">
        <v>470</v>
      </c>
      <c r="E42" s="167">
        <f>SUMIF('Libro Diario Convencional'!$B$15:$B$167,D36,'Libro Diario Convencional'!$I$15:$I$167)</f>
        <v>154100</v>
      </c>
      <c r="F42" s="168">
        <f>SUMIF('Libro Diario Convencional'!$B$15:$B$167,D36,'Libro Diario Convencional'!$J$15:$J$167)</f>
        <v>128800</v>
      </c>
      <c r="G42" s="9"/>
      <c r="H42" s="236">
        <v>41670</v>
      </c>
      <c r="I42" s="171"/>
      <c r="J42" s="166" t="s">
        <v>470</v>
      </c>
      <c r="K42" s="167">
        <f>SUMIF('Libro Diario Convencional'!$B$15:$B$167,J36,'Libro Diario Convencional'!$I$15:$I$167)</f>
        <v>0</v>
      </c>
      <c r="L42" s="168">
        <f>SUMIF('Libro Diario Convencional'!$B$15:$B$167,J36,'Libro Diario Convencional'!$J$15:$J$167)</f>
        <v>0</v>
      </c>
      <c r="M42" s="9"/>
      <c r="N42" s="236">
        <v>41670</v>
      </c>
      <c r="O42" s="171"/>
      <c r="P42" s="166" t="s">
        <v>470</v>
      </c>
      <c r="Q42" s="167">
        <f>SUMIF('Libro Diario Convencional'!$B$15:$B$167,P36,'Libro Diario Convencional'!$I$15:$I$167)</f>
        <v>0</v>
      </c>
      <c r="R42" s="168">
        <f>SUMIF('Libro Diario Convencional'!$B$15:$B$167,P36,'Libro Diario Convencional'!$J$15:$J$167)</f>
        <v>0</v>
      </c>
      <c r="S42" s="9"/>
      <c r="T42" s="236">
        <v>41670</v>
      </c>
      <c r="U42" s="171"/>
      <c r="V42" s="166" t="s">
        <v>470</v>
      </c>
      <c r="W42" s="167">
        <f>SUMIF('Libro Diario Convencional'!$B$15:$B$167,V36,'Libro Diario Convencional'!$I$15:$I$167)</f>
        <v>0</v>
      </c>
      <c r="X42" s="168">
        <f>SUMIF('Libro Diario Convencional'!$B$15:$B$167,V36,'Libro Diario Convencional'!$J$15:$J$167)</f>
        <v>0</v>
      </c>
      <c r="Y42" s="9"/>
      <c r="Z42" s="236">
        <v>41670</v>
      </c>
      <c r="AA42" s="171"/>
      <c r="AB42" s="166" t="s">
        <v>470</v>
      </c>
      <c r="AC42" s="167">
        <f>SUMIF('Libro Diario Convencional'!$B$15:$B$167,AB36,'Libro Diario Convencional'!$I$15:$I$167)</f>
        <v>0</v>
      </c>
      <c r="AD42" s="168">
        <f>SUMIF('Libro Diario Convencional'!$B$15:$B$167,AB36,'Libro Diario Convencional'!$J$15:$J$167)</f>
        <v>0</v>
      </c>
      <c r="AE42" s="9"/>
      <c r="AF42" s="236">
        <v>41670</v>
      </c>
      <c r="AG42" s="171"/>
      <c r="AH42" s="166" t="s">
        <v>470</v>
      </c>
      <c r="AI42" s="167">
        <f>SUMIF('Libro Diario Convencional'!$B$15:$B$167,AH36,'Libro Diario Convencional'!$I$15:$I$167)</f>
        <v>0</v>
      </c>
      <c r="AJ42" s="168">
        <f>SUMIF('Libro Diario Convencional'!$B$15:$B$167,AH36,'Libro Diario Convencional'!$J$15:$J$167)</f>
        <v>0</v>
      </c>
      <c r="AK42" s="9"/>
      <c r="AL42" s="236">
        <v>41670</v>
      </c>
      <c r="AM42" s="171"/>
      <c r="AN42" s="166" t="s">
        <v>470</v>
      </c>
      <c r="AO42" s="167">
        <f>SUMIF('Libro Diario Convencional'!$B$15:$B$167,AN36,'Libro Diario Convencional'!$I$15:$I$167)</f>
        <v>0</v>
      </c>
      <c r="AP42" s="168">
        <f>SUMIF('Libro Diario Convencional'!$B$15:$B$167,AN36,'Libro Diario Convencional'!$J$15:$J$167)</f>
        <v>0</v>
      </c>
      <c r="AQ42" s="9"/>
      <c r="AR42" s="236">
        <v>41670</v>
      </c>
      <c r="AS42" s="171"/>
      <c r="AT42" s="166" t="s">
        <v>470</v>
      </c>
      <c r="AU42" s="167">
        <f>SUMIF('Libro Diario Convencional'!$B$15:$B$167,AT36,'Libro Diario Convencional'!$I$15:$I$167)</f>
        <v>0</v>
      </c>
      <c r="AV42" s="168">
        <f>SUMIF('Libro Diario Convencional'!$B$15:$B$167,AT36,'Libro Diario Convencional'!$J$15:$J$167)</f>
        <v>0</v>
      </c>
      <c r="AW42" s="9"/>
      <c r="AX42" s="236">
        <v>41670</v>
      </c>
      <c r="AY42" s="171"/>
      <c r="AZ42" s="166" t="s">
        <v>470</v>
      </c>
      <c r="BA42" s="167">
        <f>SUMIF('Libro Diario Convencional'!$B$15:$B$167,AZ36,'Libro Diario Convencional'!$I$15:$I$167)</f>
        <v>0</v>
      </c>
      <c r="BB42" s="168">
        <f>SUMIF('Libro Diario Convencional'!$B$15:$B$167,AZ36,'Libro Diario Convencional'!$J$15:$J$167)</f>
        <v>0</v>
      </c>
      <c r="BD42" s="236">
        <v>41670</v>
      </c>
      <c r="BE42" s="171"/>
      <c r="BF42" s="166" t="s">
        <v>470</v>
      </c>
      <c r="BG42" s="167">
        <f>SUMIF('Libro Diario Convencional'!$B$15:$B$167,BF36,'Libro Diario Convencional'!$I$15:$I$167)</f>
        <v>0</v>
      </c>
      <c r="BH42" s="168">
        <f>SUMIF('Libro Diario Convencional'!$B$15:$B$167,BF36,'Libro Diario Convencional'!$J$15:$J$167)</f>
        <v>0</v>
      </c>
    </row>
    <row r="43" spans="2:63" x14ac:dyDescent="0.25">
      <c r="B43" s="169"/>
      <c r="C43" s="172"/>
      <c r="D43" s="161"/>
      <c r="E43" s="162"/>
      <c r="F43" s="163"/>
      <c r="G43" s="9"/>
      <c r="H43" s="169"/>
      <c r="I43" s="172"/>
      <c r="J43" s="161"/>
      <c r="K43" s="162"/>
      <c r="L43" s="163"/>
      <c r="M43" s="9"/>
      <c r="N43" s="169"/>
      <c r="O43" s="172"/>
      <c r="P43" s="161"/>
      <c r="Q43" s="162"/>
      <c r="R43" s="163"/>
      <c r="S43" s="9"/>
      <c r="T43" s="169"/>
      <c r="U43" s="172"/>
      <c r="V43" s="161"/>
      <c r="W43" s="162"/>
      <c r="X43" s="163"/>
      <c r="Y43" s="9"/>
      <c r="Z43" s="169"/>
      <c r="AA43" s="172"/>
      <c r="AB43" s="161"/>
      <c r="AC43" s="162"/>
      <c r="AD43" s="163"/>
      <c r="AE43" s="9"/>
      <c r="AF43" s="169"/>
      <c r="AG43" s="172"/>
      <c r="AH43" s="161"/>
      <c r="AI43" s="162"/>
      <c r="AJ43" s="163"/>
      <c r="AK43" s="9"/>
      <c r="AL43" s="169"/>
      <c r="AM43" s="172"/>
      <c r="AN43" s="161"/>
      <c r="AO43" s="162"/>
      <c r="AP43" s="163"/>
      <c r="AQ43" s="9"/>
      <c r="AR43" s="169"/>
      <c r="AS43" s="172"/>
      <c r="AT43" s="161"/>
      <c r="AU43" s="162"/>
      <c r="AV43" s="163"/>
      <c r="AW43" s="9"/>
      <c r="AX43" s="169"/>
      <c r="AY43" s="172"/>
      <c r="AZ43" s="161"/>
      <c r="BA43" s="162"/>
      <c r="BB43" s="163"/>
      <c r="BD43" s="169"/>
      <c r="BE43" s="172"/>
      <c r="BF43" s="161"/>
      <c r="BG43" s="162"/>
      <c r="BH43" s="163"/>
    </row>
    <row r="44" spans="2:63" x14ac:dyDescent="0.25">
      <c r="B44" s="169"/>
      <c r="C44" s="172"/>
      <c r="D44" s="161"/>
      <c r="E44" s="162"/>
      <c r="F44" s="163"/>
      <c r="G44" s="9"/>
      <c r="H44" s="169"/>
      <c r="I44" s="172"/>
      <c r="J44" s="161"/>
      <c r="K44" s="162"/>
      <c r="L44" s="163"/>
      <c r="M44" s="9"/>
      <c r="N44" s="169"/>
      <c r="O44" s="172"/>
      <c r="P44" s="161"/>
      <c r="Q44" s="162"/>
      <c r="R44" s="163"/>
      <c r="S44" s="9"/>
      <c r="T44" s="169"/>
      <c r="U44" s="172"/>
      <c r="V44" s="161"/>
      <c r="W44" s="162"/>
      <c r="X44" s="163"/>
      <c r="Y44" s="9"/>
      <c r="Z44" s="169"/>
      <c r="AA44" s="172"/>
      <c r="AB44" s="161"/>
      <c r="AC44" s="162"/>
      <c r="AD44" s="163"/>
      <c r="AE44" s="9"/>
      <c r="AF44" s="169"/>
      <c r="AG44" s="172"/>
      <c r="AH44" s="161"/>
      <c r="AI44" s="162"/>
      <c r="AJ44" s="163"/>
      <c r="AK44" s="9"/>
      <c r="AL44" s="169"/>
      <c r="AM44" s="172"/>
      <c r="AN44" s="161"/>
      <c r="AO44" s="162"/>
      <c r="AP44" s="163"/>
      <c r="AQ44" s="9"/>
      <c r="AR44" s="169"/>
      <c r="AS44" s="172"/>
      <c r="AT44" s="161"/>
      <c r="AU44" s="162"/>
      <c r="AV44" s="163"/>
      <c r="AW44" s="9"/>
      <c r="AX44" s="169"/>
      <c r="AY44" s="172"/>
      <c r="AZ44" s="161"/>
      <c r="BA44" s="162"/>
      <c r="BB44" s="163"/>
      <c r="BD44" s="169"/>
      <c r="BE44" s="172"/>
      <c r="BF44" s="161"/>
      <c r="BG44" s="162"/>
      <c r="BH44" s="163"/>
    </row>
    <row r="45" spans="2:63" ht="14.4" thickBot="1" x14ac:dyDescent="0.3">
      <c r="B45" s="169"/>
      <c r="C45" s="172"/>
      <c r="D45" s="161"/>
      <c r="E45" s="162"/>
      <c r="F45" s="163"/>
      <c r="G45" s="9"/>
      <c r="H45" s="169"/>
      <c r="I45" s="172"/>
      <c r="J45" s="161"/>
      <c r="K45" s="162"/>
      <c r="L45" s="163"/>
      <c r="M45" s="9"/>
      <c r="N45" s="169"/>
      <c r="O45" s="172"/>
      <c r="P45" s="161"/>
      <c r="Q45" s="162"/>
      <c r="R45" s="163"/>
      <c r="S45" s="9"/>
      <c r="T45" s="169"/>
      <c r="U45" s="172"/>
      <c r="V45" s="161"/>
      <c r="W45" s="162"/>
      <c r="X45" s="163"/>
      <c r="Y45" s="9"/>
      <c r="Z45" s="169"/>
      <c r="AA45" s="172"/>
      <c r="AB45" s="161"/>
      <c r="AC45" s="162"/>
      <c r="AD45" s="163"/>
      <c r="AE45" s="9"/>
      <c r="AF45" s="169"/>
      <c r="AG45" s="172"/>
      <c r="AH45" s="161"/>
      <c r="AI45" s="162"/>
      <c r="AJ45" s="163"/>
      <c r="AK45" s="9"/>
      <c r="AL45" s="169"/>
      <c r="AM45" s="172"/>
      <c r="AN45" s="161"/>
      <c r="AO45" s="162"/>
      <c r="AP45" s="163"/>
      <c r="AQ45" s="9"/>
      <c r="AR45" s="169"/>
      <c r="AS45" s="172"/>
      <c r="AT45" s="161"/>
      <c r="AU45" s="162"/>
      <c r="AV45" s="163"/>
      <c r="AW45" s="9"/>
      <c r="AX45" s="169"/>
      <c r="AY45" s="172"/>
      <c r="AZ45" s="161"/>
      <c r="BA45" s="162"/>
      <c r="BB45" s="163"/>
      <c r="BD45" s="169"/>
      <c r="BE45" s="172"/>
      <c r="BF45" s="161"/>
      <c r="BG45" s="162"/>
      <c r="BH45" s="163"/>
    </row>
    <row r="46" spans="2:63" ht="15" thickBot="1" x14ac:dyDescent="0.3">
      <c r="B46" s="169"/>
      <c r="C46" s="172"/>
      <c r="D46" s="161" t="s">
        <v>471</v>
      </c>
      <c r="E46" s="162">
        <f>SUM(E42:E45)</f>
        <v>154100</v>
      </c>
      <c r="F46" s="163">
        <f>SUM(F42:F45)</f>
        <v>128800</v>
      </c>
      <c r="G46" s="9"/>
      <c r="H46" s="169"/>
      <c r="I46" s="172"/>
      <c r="J46" s="161" t="s">
        <v>471</v>
      </c>
      <c r="K46" s="162">
        <f>SUM(K42:K45)</f>
        <v>0</v>
      </c>
      <c r="L46" s="163">
        <f>SUM(L42:L45)</f>
        <v>0</v>
      </c>
      <c r="M46" s="9"/>
      <c r="N46" s="169"/>
      <c r="O46" s="172"/>
      <c r="P46" s="161" t="s">
        <v>471</v>
      </c>
      <c r="Q46" s="162">
        <f>SUM(Q42:Q45)</f>
        <v>0</v>
      </c>
      <c r="R46" s="163">
        <f>SUM(R42:R45)</f>
        <v>0</v>
      </c>
      <c r="S46" s="9"/>
      <c r="T46" s="169"/>
      <c r="U46" s="172"/>
      <c r="V46" s="161" t="s">
        <v>471</v>
      </c>
      <c r="W46" s="162">
        <f>SUM(W42:W45)</f>
        <v>0</v>
      </c>
      <c r="X46" s="163">
        <f>SUM(X42:X45)</f>
        <v>0</v>
      </c>
      <c r="Y46" s="9"/>
      <c r="Z46" s="169"/>
      <c r="AA46" s="172"/>
      <c r="AB46" s="161" t="s">
        <v>471</v>
      </c>
      <c r="AC46" s="162">
        <f>SUM(AC42:AC45)</f>
        <v>0</v>
      </c>
      <c r="AD46" s="163">
        <f>SUM(AD42:AD45)</f>
        <v>0</v>
      </c>
      <c r="AE46" s="9"/>
      <c r="AF46" s="169"/>
      <c r="AG46" s="172"/>
      <c r="AH46" s="161" t="s">
        <v>471</v>
      </c>
      <c r="AI46" s="162">
        <f>SUM(AI42:AI45)</f>
        <v>0</v>
      </c>
      <c r="AJ46" s="163">
        <f>SUM(AJ42:AJ45)</f>
        <v>0</v>
      </c>
      <c r="AK46" s="9"/>
      <c r="AL46" s="169"/>
      <c r="AM46" s="172"/>
      <c r="AN46" s="161" t="s">
        <v>471</v>
      </c>
      <c r="AO46" s="162">
        <f>SUM(AO42:AO45)</f>
        <v>0</v>
      </c>
      <c r="AP46" s="163">
        <f>SUM(AP42:AP45)</f>
        <v>0</v>
      </c>
      <c r="AQ46" s="9"/>
      <c r="AR46" s="169"/>
      <c r="AS46" s="172"/>
      <c r="AT46" s="161" t="s">
        <v>471</v>
      </c>
      <c r="AU46" s="162">
        <f>SUM(AU42:AU45)</f>
        <v>0</v>
      </c>
      <c r="AV46" s="163">
        <f>SUM(AV42:AV45)</f>
        <v>0</v>
      </c>
      <c r="AW46" s="9"/>
      <c r="AX46" s="169"/>
      <c r="AY46" s="172"/>
      <c r="AZ46" s="161" t="s">
        <v>471</v>
      </c>
      <c r="BA46" s="162">
        <f>SUM(BA42:BA45)</f>
        <v>0</v>
      </c>
      <c r="BB46" s="163">
        <f>SUM(BB42:BB45)</f>
        <v>0</v>
      </c>
      <c r="BD46" s="169"/>
      <c r="BE46" s="172"/>
      <c r="BF46" s="161" t="s">
        <v>471</v>
      </c>
      <c r="BG46" s="162">
        <f>SUM(BG42:BG45)</f>
        <v>0</v>
      </c>
      <c r="BH46" s="163">
        <f>SUM(BH42:BH45)</f>
        <v>0</v>
      </c>
      <c r="BJ46" s="157">
        <f>SUM(E46,K46,Q46,W46,AC46,AI46,AO46,AU46,BA46,BG46)</f>
        <v>154100</v>
      </c>
      <c r="BK46" s="158">
        <f>SUM(F46,L46,R46,X46,AD46,AJ46,AP46,AV46,BB46,BH46)</f>
        <v>128800</v>
      </c>
    </row>
    <row r="47" spans="2:63" ht="14.4" thickBot="1" x14ac:dyDescent="0.3">
      <c r="B47" s="170"/>
      <c r="C47" s="173"/>
      <c r="D47" s="164" t="str">
        <f>IF(E46=F46,"",IF(E46&gt;F46,"Saldo Deudor","Saldo Acreedor"))</f>
        <v>Saldo Deudor</v>
      </c>
      <c r="E47" s="165">
        <f>IF(E46&gt;F46,E46-F46,"")</f>
        <v>25300</v>
      </c>
      <c r="F47" s="176" t="str">
        <f>IF(E46&lt;F46,F46-E46,"")</f>
        <v/>
      </c>
      <c r="H47" s="170"/>
      <c r="I47" s="173"/>
      <c r="J47" s="164" t="str">
        <f>IF(K46=L46,"",IF(K46&gt;L46,"Saldo Deudor","Saldo Acreedor"))</f>
        <v/>
      </c>
      <c r="K47" s="165" t="str">
        <f>IF(K46&gt;L46,K46-L46,"")</f>
        <v/>
      </c>
      <c r="L47" s="176" t="str">
        <f>IF(K46&lt;L46,L46-K46,"")</f>
        <v/>
      </c>
      <c r="N47" s="170"/>
      <c r="O47" s="173"/>
      <c r="P47" s="164" t="str">
        <f>IF(Q46=R46,"",IF(Q46&gt;R46,"Saldo Deudor","Saldo Acreedor"))</f>
        <v/>
      </c>
      <c r="Q47" s="165" t="str">
        <f>IF(Q46&gt;R46,Q46-R46,"")</f>
        <v/>
      </c>
      <c r="R47" s="176" t="str">
        <f>IF(Q46&lt;R46,R46-Q46,"")</f>
        <v/>
      </c>
      <c r="T47" s="170"/>
      <c r="U47" s="173"/>
      <c r="V47" s="164" t="str">
        <f>IF(W46=X46,"",IF(W46&gt;X46,"Saldo Deudor","Saldo Acreedor"))</f>
        <v/>
      </c>
      <c r="W47" s="165" t="str">
        <f>IF(W46&gt;X46,W46-X46,"")</f>
        <v/>
      </c>
      <c r="X47" s="176" t="str">
        <f>IF(W46&lt;X46,X46-W46,"")</f>
        <v/>
      </c>
      <c r="Z47" s="170"/>
      <c r="AA47" s="173"/>
      <c r="AB47" s="164" t="str">
        <f>IF(AC46=AD46,"",IF(AC46&gt;AD46,"Saldo Deudor","Saldo Acreedor"))</f>
        <v/>
      </c>
      <c r="AC47" s="165" t="str">
        <f>IF(AC46&gt;AD46,AC46-AD46,"")</f>
        <v/>
      </c>
      <c r="AD47" s="176" t="str">
        <f>IF(AC46&lt;AD46,AD46-AC46,"")</f>
        <v/>
      </c>
      <c r="AF47" s="170"/>
      <c r="AG47" s="173"/>
      <c r="AH47" s="164" t="str">
        <f>IF(AI46=AJ46,"",IF(AI46&gt;AJ46,"Saldo Deudor","Saldo Acreedor"))</f>
        <v/>
      </c>
      <c r="AI47" s="165" t="str">
        <f>IF(AI46&gt;AJ46,AI46-AJ46,"")</f>
        <v/>
      </c>
      <c r="AJ47" s="176" t="str">
        <f>IF(AI46&lt;AJ46,AJ46-AI46,"")</f>
        <v/>
      </c>
      <c r="AL47" s="170"/>
      <c r="AM47" s="173"/>
      <c r="AN47" s="164" t="str">
        <f>IF(AO46=AP46,"",IF(AO46&gt;AP46,"Saldo Deudor","Saldo Acreedor"))</f>
        <v/>
      </c>
      <c r="AO47" s="165" t="str">
        <f>IF(AO46&gt;AP46,AO46-AP46,"")</f>
        <v/>
      </c>
      <c r="AP47" s="176" t="str">
        <f>IF(AO46&lt;AP46,AP46-AO46,"")</f>
        <v/>
      </c>
      <c r="AR47" s="170"/>
      <c r="AS47" s="173"/>
      <c r="AT47" s="164" t="str">
        <f>IF(AU46=AV46,"",IF(AU46&gt;AV46,"Saldo Deudor","Saldo Acreedor"))</f>
        <v/>
      </c>
      <c r="AU47" s="165" t="str">
        <f>IF(AU46&gt;AV46,AU46-AV46,"")</f>
        <v/>
      </c>
      <c r="AV47" s="176" t="str">
        <f>IF(AU46&lt;AV46,AV46-AU46,"")</f>
        <v/>
      </c>
      <c r="AX47" s="170"/>
      <c r="AY47" s="173"/>
      <c r="AZ47" s="164" t="str">
        <f>IF(BA46=BB46,"",IF(BA46&gt;BB46,"Saldo Deudor","Saldo Acreedor"))</f>
        <v/>
      </c>
      <c r="BA47" s="165" t="str">
        <f>IF(BA46&gt;BB46,BA46-BB46,"")</f>
        <v/>
      </c>
      <c r="BB47" s="176" t="str">
        <f>IF(BA46&lt;BB46,BB46-BA46,"")</f>
        <v/>
      </c>
      <c r="BD47" s="170"/>
      <c r="BE47" s="173"/>
      <c r="BF47" s="164" t="str">
        <f>IF(BG46=BH46,"",IF(BG46&gt;BH46,"Saldo Deudor","Saldo Acreedor"))</f>
        <v/>
      </c>
      <c r="BG47" s="165" t="str">
        <f>IF(BG46&gt;BH46,BG46-BH46,"")</f>
        <v/>
      </c>
      <c r="BH47" s="176" t="str">
        <f>IF(BG46&lt;BH46,BH46-BG46,"")</f>
        <v/>
      </c>
    </row>
    <row r="50" spans="2:60" ht="15.6" x14ac:dyDescent="0.25">
      <c r="B50" s="324" t="s">
        <v>321</v>
      </c>
      <c r="C50" s="324"/>
      <c r="D50" s="233" t="str">
        <f>'Base de Datos'!$C$756</f>
        <v>LIBRO MAYOR</v>
      </c>
      <c r="H50" s="324" t="s">
        <v>321</v>
      </c>
      <c r="I50" s="324"/>
      <c r="J50" s="233" t="str">
        <f>'Base de Datos'!$C$756</f>
        <v>LIBRO MAYOR</v>
      </c>
      <c r="N50" s="324" t="s">
        <v>321</v>
      </c>
      <c r="O50" s="324"/>
      <c r="P50" s="233" t="str">
        <f>'Base de Datos'!$C$756</f>
        <v>LIBRO MAYOR</v>
      </c>
      <c r="T50" s="324" t="s">
        <v>321</v>
      </c>
      <c r="U50" s="324"/>
      <c r="V50" s="233" t="str">
        <f>'Base de Datos'!$C$756</f>
        <v>LIBRO MAYOR</v>
      </c>
      <c r="Z50" s="324" t="s">
        <v>321</v>
      </c>
      <c r="AA50" s="324"/>
      <c r="AB50" s="233" t="str">
        <f>'Base de Datos'!$C$756</f>
        <v>LIBRO MAYOR</v>
      </c>
      <c r="AF50" s="324" t="s">
        <v>321</v>
      </c>
      <c r="AG50" s="324"/>
      <c r="AH50" s="233" t="str">
        <f>'Base de Datos'!$C$756</f>
        <v>LIBRO MAYOR</v>
      </c>
      <c r="AL50" s="324" t="s">
        <v>321</v>
      </c>
      <c r="AM50" s="324"/>
      <c r="AN50" s="233" t="str">
        <f>'Base de Datos'!$C$756</f>
        <v>LIBRO MAYOR</v>
      </c>
      <c r="AR50" s="324" t="s">
        <v>321</v>
      </c>
      <c r="AS50" s="324"/>
      <c r="AT50" s="233" t="str">
        <f>'Base de Datos'!$C$756</f>
        <v>LIBRO MAYOR</v>
      </c>
      <c r="AX50" s="324" t="s">
        <v>321</v>
      </c>
      <c r="AY50" s="324"/>
      <c r="AZ50" s="233" t="str">
        <f>'Base de Datos'!$C$756</f>
        <v>LIBRO MAYOR</v>
      </c>
      <c r="BD50" s="324" t="s">
        <v>321</v>
      </c>
      <c r="BE50" s="324"/>
      <c r="BF50" s="233" t="str">
        <f>'Base de Datos'!$C$756</f>
        <v>LIBRO MAYOR</v>
      </c>
    </row>
    <row r="51" spans="2:60" x14ac:dyDescent="0.25">
      <c r="C51" s="2"/>
      <c r="D51" s="2"/>
      <c r="E51" s="2"/>
      <c r="I51" s="2"/>
      <c r="J51" s="2"/>
      <c r="K51" s="2"/>
      <c r="O51" s="2"/>
      <c r="P51" s="2"/>
      <c r="Q51" s="2"/>
      <c r="U51" s="2"/>
      <c r="V51" s="2"/>
      <c r="W51" s="2"/>
      <c r="AA51" s="2"/>
      <c r="AB51" s="2"/>
      <c r="AC51" s="2"/>
      <c r="AG51" s="2"/>
      <c r="AH51" s="2"/>
      <c r="AI51" s="2"/>
      <c r="AM51" s="2"/>
      <c r="AN51" s="2"/>
      <c r="AO51" s="2"/>
      <c r="AS51" s="2"/>
      <c r="AT51" s="2"/>
      <c r="AU51" s="2"/>
      <c r="AY51" s="2"/>
      <c r="AZ51" s="2"/>
      <c r="BA51" s="2"/>
      <c r="BE51" s="2"/>
      <c r="BF51" s="2"/>
      <c r="BG51" s="2"/>
    </row>
    <row r="52" spans="2:60" ht="15.6" x14ac:dyDescent="0.25">
      <c r="B52" s="324" t="s">
        <v>322</v>
      </c>
      <c r="C52" s="324"/>
      <c r="D52" s="234" t="str">
        <f>'Base de Datos'!$C$8</f>
        <v>MARZO</v>
      </c>
      <c r="E52" s="160"/>
      <c r="H52" s="324" t="s">
        <v>322</v>
      </c>
      <c r="I52" s="324"/>
      <c r="J52" s="234" t="str">
        <f>'Base de Datos'!$C$8</f>
        <v>MARZO</v>
      </c>
      <c r="K52" s="160"/>
      <c r="N52" s="324" t="s">
        <v>322</v>
      </c>
      <c r="O52" s="324"/>
      <c r="P52" s="234" t="str">
        <f>'Base de Datos'!$C$8</f>
        <v>MARZO</v>
      </c>
      <c r="Q52" s="160"/>
      <c r="T52" s="324" t="s">
        <v>322</v>
      </c>
      <c r="U52" s="324"/>
      <c r="V52" s="234" t="str">
        <f>'Base de Datos'!$C$8</f>
        <v>MARZO</v>
      </c>
      <c r="W52" s="160"/>
      <c r="Z52" s="324" t="s">
        <v>322</v>
      </c>
      <c r="AA52" s="324"/>
      <c r="AB52" s="234" t="str">
        <f>'Base de Datos'!$C$8</f>
        <v>MARZO</v>
      </c>
      <c r="AC52" s="160"/>
      <c r="AF52" s="324" t="s">
        <v>322</v>
      </c>
      <c r="AG52" s="324"/>
      <c r="AH52" s="234" t="str">
        <f>'Base de Datos'!$C$8</f>
        <v>MARZO</v>
      </c>
      <c r="AI52" s="160"/>
      <c r="AL52" s="324" t="s">
        <v>322</v>
      </c>
      <c r="AM52" s="324"/>
      <c r="AN52" s="234" t="str">
        <f>'Base de Datos'!$C$8</f>
        <v>MARZO</v>
      </c>
      <c r="AO52" s="160"/>
      <c r="AR52" s="324" t="s">
        <v>322</v>
      </c>
      <c r="AS52" s="324"/>
      <c r="AT52" s="234" t="str">
        <f>'Base de Datos'!$C$8</f>
        <v>MARZO</v>
      </c>
      <c r="AU52" s="160"/>
      <c r="AX52" s="324" t="s">
        <v>322</v>
      </c>
      <c r="AY52" s="324"/>
      <c r="AZ52" s="234" t="str">
        <f>'Base de Datos'!$C$8</f>
        <v>MARZO</v>
      </c>
      <c r="BA52" s="160"/>
      <c r="BD52" s="324" t="s">
        <v>322</v>
      </c>
      <c r="BE52" s="324"/>
      <c r="BF52" s="234" t="str">
        <f>'Base de Datos'!$C$8</f>
        <v>MARZO</v>
      </c>
      <c r="BG52" s="160"/>
    </row>
    <row r="53" spans="2:60" x14ac:dyDescent="0.25">
      <c r="C53" s="2"/>
      <c r="D53" s="2"/>
      <c r="E53" s="2"/>
      <c r="I53" s="2"/>
      <c r="J53" s="2"/>
      <c r="K53" s="2"/>
      <c r="O53" s="2"/>
      <c r="P53" s="2"/>
      <c r="Q53" s="2"/>
      <c r="U53" s="2"/>
      <c r="V53" s="2"/>
      <c r="W53" s="2"/>
      <c r="AA53" s="2"/>
      <c r="AB53" s="2"/>
      <c r="AC53" s="2"/>
      <c r="AG53" s="2"/>
      <c r="AH53" s="2"/>
      <c r="AI53" s="2"/>
      <c r="AM53" s="2"/>
      <c r="AN53" s="2"/>
      <c r="AO53" s="2"/>
      <c r="AS53" s="2"/>
      <c r="AT53" s="2"/>
      <c r="AU53" s="2"/>
      <c r="AY53" s="2"/>
      <c r="AZ53" s="2"/>
      <c r="BA53" s="2"/>
      <c r="BE53" s="2"/>
      <c r="BF53" s="2"/>
      <c r="BG53" s="2"/>
    </row>
    <row r="54" spans="2:60" ht="15.6" x14ac:dyDescent="0.25">
      <c r="B54" s="324" t="s">
        <v>323</v>
      </c>
      <c r="C54" s="324"/>
      <c r="D54" s="231">
        <f>'Base de Datos'!$C$9</f>
        <v>2015</v>
      </c>
      <c r="E54" s="2"/>
      <c r="H54" s="324" t="s">
        <v>323</v>
      </c>
      <c r="I54" s="324"/>
      <c r="J54" s="231">
        <f>'Base de Datos'!$C$9</f>
        <v>2015</v>
      </c>
      <c r="K54" s="2"/>
      <c r="N54" s="324" t="s">
        <v>323</v>
      </c>
      <c r="O54" s="324"/>
      <c r="P54" s="231">
        <f>'Base de Datos'!$C$9</f>
        <v>2015</v>
      </c>
      <c r="Q54" s="2"/>
      <c r="T54" s="324" t="s">
        <v>323</v>
      </c>
      <c r="U54" s="324"/>
      <c r="V54" s="231">
        <f>'Base de Datos'!$C$9</f>
        <v>2015</v>
      </c>
      <c r="W54" s="2"/>
      <c r="Z54" s="324" t="s">
        <v>323</v>
      </c>
      <c r="AA54" s="324"/>
      <c r="AB54" s="231">
        <f>'Base de Datos'!$C$9</f>
        <v>2015</v>
      </c>
      <c r="AC54" s="2"/>
      <c r="AF54" s="324" t="s">
        <v>323</v>
      </c>
      <c r="AG54" s="324"/>
      <c r="AH54" s="231">
        <f>'Base de Datos'!$C$9</f>
        <v>2015</v>
      </c>
      <c r="AI54" s="2"/>
      <c r="AL54" s="324" t="s">
        <v>323</v>
      </c>
      <c r="AM54" s="324"/>
      <c r="AN54" s="231">
        <f>'Base de Datos'!$C$9</f>
        <v>2015</v>
      </c>
      <c r="AO54" s="2"/>
      <c r="AR54" s="324" t="s">
        <v>323</v>
      </c>
      <c r="AS54" s="324"/>
      <c r="AT54" s="231">
        <f>'Base de Datos'!$C$9</f>
        <v>2015</v>
      </c>
      <c r="AU54" s="2"/>
      <c r="AX54" s="324" t="s">
        <v>323</v>
      </c>
      <c r="AY54" s="324"/>
      <c r="AZ54" s="231">
        <f>'Base de Datos'!$C$9</f>
        <v>2015</v>
      </c>
      <c r="BA54" s="2"/>
      <c r="BD54" s="324" t="s">
        <v>323</v>
      </c>
      <c r="BE54" s="324"/>
      <c r="BF54" s="231">
        <f>'Base de Datos'!$C$9</f>
        <v>2015</v>
      </c>
      <c r="BG54" s="2"/>
    </row>
    <row r="55" spans="2:60" x14ac:dyDescent="0.25">
      <c r="C55" s="2"/>
      <c r="D55" s="2"/>
      <c r="E55" s="2"/>
      <c r="I55" s="2"/>
      <c r="J55" s="2"/>
      <c r="K55" s="2"/>
      <c r="O55" s="2"/>
      <c r="P55" s="2"/>
      <c r="Q55" s="2"/>
      <c r="U55" s="2"/>
      <c r="V55" s="2"/>
      <c r="W55" s="2"/>
      <c r="AA55" s="2"/>
      <c r="AB55" s="2"/>
      <c r="AC55" s="2"/>
      <c r="AG55" s="2"/>
      <c r="AH55" s="2"/>
      <c r="AI55" s="2"/>
      <c r="AM55" s="2"/>
      <c r="AN55" s="2"/>
      <c r="AO55" s="2"/>
      <c r="AS55" s="2"/>
      <c r="AT55" s="2"/>
      <c r="AU55" s="2"/>
      <c r="AY55" s="2"/>
      <c r="AZ55" s="2"/>
      <c r="BA55" s="2"/>
      <c r="BE55" s="2"/>
      <c r="BF55" s="2"/>
      <c r="BG55" s="2"/>
    </row>
    <row r="56" spans="2:60" ht="15.6" x14ac:dyDescent="0.25">
      <c r="B56" s="324" t="s">
        <v>324</v>
      </c>
      <c r="C56" s="324"/>
      <c r="D56" s="316">
        <f>'Base de Datos'!$C$6</f>
        <v>20411074561</v>
      </c>
      <c r="E56" s="316"/>
      <c r="H56" s="324" t="s">
        <v>324</v>
      </c>
      <c r="I56" s="324"/>
      <c r="J56" s="316">
        <f>'Base de Datos'!$C$6</f>
        <v>20411074561</v>
      </c>
      <c r="K56" s="316"/>
      <c r="N56" s="324" t="s">
        <v>324</v>
      </c>
      <c r="O56" s="324"/>
      <c r="P56" s="316">
        <f>'Base de Datos'!$C$6</f>
        <v>20411074561</v>
      </c>
      <c r="Q56" s="316"/>
      <c r="T56" s="324" t="s">
        <v>324</v>
      </c>
      <c r="U56" s="324"/>
      <c r="V56" s="316">
        <f>'Base de Datos'!$C$6</f>
        <v>20411074561</v>
      </c>
      <c r="W56" s="316"/>
      <c r="Z56" s="324" t="s">
        <v>324</v>
      </c>
      <c r="AA56" s="324"/>
      <c r="AB56" s="316">
        <f>'Base de Datos'!$C$6</f>
        <v>20411074561</v>
      </c>
      <c r="AC56" s="316"/>
      <c r="AF56" s="324" t="s">
        <v>324</v>
      </c>
      <c r="AG56" s="324"/>
      <c r="AH56" s="316">
        <f>'Base de Datos'!$C$6</f>
        <v>20411074561</v>
      </c>
      <c r="AI56" s="316"/>
      <c r="AL56" s="324" t="s">
        <v>324</v>
      </c>
      <c r="AM56" s="324"/>
      <c r="AN56" s="316">
        <f>'Base de Datos'!$C$6</f>
        <v>20411074561</v>
      </c>
      <c r="AO56" s="316"/>
      <c r="AR56" s="324" t="s">
        <v>324</v>
      </c>
      <c r="AS56" s="324"/>
      <c r="AT56" s="316">
        <f>'Base de Datos'!$C$6</f>
        <v>20411074561</v>
      </c>
      <c r="AU56" s="316"/>
      <c r="AX56" s="324" t="s">
        <v>324</v>
      </c>
      <c r="AY56" s="324"/>
      <c r="AZ56" s="316">
        <f>'Base de Datos'!$C$6</f>
        <v>20411074561</v>
      </c>
      <c r="BA56" s="316"/>
      <c r="BD56" s="324" t="s">
        <v>324</v>
      </c>
      <c r="BE56" s="324"/>
      <c r="BF56" s="316">
        <f>'Base de Datos'!$C$6</f>
        <v>20411074561</v>
      </c>
      <c r="BG56" s="316"/>
    </row>
    <row r="57" spans="2:60" x14ac:dyDescent="0.25">
      <c r="C57" s="2"/>
      <c r="D57" s="2"/>
      <c r="E57" s="2"/>
      <c r="I57" s="2"/>
      <c r="J57" s="2"/>
      <c r="K57" s="2"/>
      <c r="O57" s="2"/>
      <c r="P57" s="2"/>
      <c r="Q57" s="2"/>
      <c r="U57" s="2"/>
      <c r="V57" s="2"/>
      <c r="W57" s="2"/>
      <c r="AA57" s="2"/>
      <c r="AB57" s="2"/>
      <c r="AC57" s="2"/>
      <c r="AG57" s="2"/>
      <c r="AH57" s="2"/>
      <c r="AI57" s="2"/>
      <c r="AM57" s="2"/>
      <c r="AN57" s="2"/>
      <c r="AO57" s="2"/>
      <c r="AS57" s="2"/>
      <c r="AT57" s="2"/>
      <c r="AU57" s="2"/>
      <c r="AY57" s="2"/>
      <c r="AZ57" s="2"/>
      <c r="BA57" s="2"/>
      <c r="BE57" s="2"/>
      <c r="BF57" s="2"/>
      <c r="BG57" s="2"/>
    </row>
    <row r="58" spans="2:60" ht="15.6" x14ac:dyDescent="0.25">
      <c r="B58" s="324" t="s">
        <v>325</v>
      </c>
      <c r="C58" s="324"/>
      <c r="D58" s="234" t="str">
        <f>'Base de Datos'!$C$5</f>
        <v>LOS BAILARINES SRL</v>
      </c>
      <c r="E58" s="2"/>
      <c r="H58" s="324" t="s">
        <v>325</v>
      </c>
      <c r="I58" s="324"/>
      <c r="J58" s="234" t="str">
        <f>'Base de Datos'!$C$5</f>
        <v>LOS BAILARINES SRL</v>
      </c>
      <c r="K58" s="2"/>
      <c r="N58" s="324" t="s">
        <v>325</v>
      </c>
      <c r="O58" s="324"/>
      <c r="P58" s="234" t="str">
        <f>'Base de Datos'!$C$5</f>
        <v>LOS BAILARINES SRL</v>
      </c>
      <c r="Q58" s="2"/>
      <c r="T58" s="324" t="s">
        <v>325</v>
      </c>
      <c r="U58" s="324"/>
      <c r="V58" s="234" t="str">
        <f>'Base de Datos'!$C$5</f>
        <v>LOS BAILARINES SRL</v>
      </c>
      <c r="W58" s="2"/>
      <c r="Z58" s="324" t="s">
        <v>325</v>
      </c>
      <c r="AA58" s="324"/>
      <c r="AB58" s="234" t="str">
        <f>'Base de Datos'!$C$5</f>
        <v>LOS BAILARINES SRL</v>
      </c>
      <c r="AC58" s="2"/>
      <c r="AF58" s="324" t="s">
        <v>325</v>
      </c>
      <c r="AG58" s="324"/>
      <c r="AH58" s="234" t="str">
        <f>'Base de Datos'!$C$5</f>
        <v>LOS BAILARINES SRL</v>
      </c>
      <c r="AI58" s="2"/>
      <c r="AL58" s="324" t="s">
        <v>325</v>
      </c>
      <c r="AM58" s="324"/>
      <c r="AN58" s="234" t="str">
        <f>'Base de Datos'!$C$5</f>
        <v>LOS BAILARINES SRL</v>
      </c>
      <c r="AO58" s="2"/>
      <c r="AR58" s="324" t="s">
        <v>325</v>
      </c>
      <c r="AS58" s="324"/>
      <c r="AT58" s="234" t="str">
        <f>'Base de Datos'!$C$5</f>
        <v>LOS BAILARINES SRL</v>
      </c>
      <c r="AU58" s="2"/>
      <c r="AX58" s="324" t="s">
        <v>325</v>
      </c>
      <c r="AY58" s="324"/>
      <c r="AZ58" s="234" t="str">
        <f>'Base de Datos'!$C$5</f>
        <v>LOS BAILARINES SRL</v>
      </c>
      <c r="BA58" s="2"/>
      <c r="BD58" s="324" t="s">
        <v>325</v>
      </c>
      <c r="BE58" s="324"/>
      <c r="BF58" s="234" t="str">
        <f>'Base de Datos'!$C$5</f>
        <v>LOS BAILARINES SRL</v>
      </c>
      <c r="BG58" s="2"/>
    </row>
    <row r="59" spans="2:60" x14ac:dyDescent="0.25">
      <c r="B59" s="160"/>
      <c r="C59" s="160"/>
      <c r="D59" s="160"/>
      <c r="E59" s="160"/>
      <c r="H59" s="160"/>
      <c r="I59" s="160"/>
      <c r="J59" s="160"/>
      <c r="K59" s="160"/>
      <c r="N59" s="160"/>
      <c r="O59" s="160"/>
      <c r="P59" s="160"/>
      <c r="Q59" s="160"/>
      <c r="T59" s="160"/>
      <c r="U59" s="160"/>
      <c r="V59" s="160"/>
      <c r="W59" s="160"/>
      <c r="Z59" s="160"/>
      <c r="AA59" s="160"/>
      <c r="AB59" s="160"/>
      <c r="AC59" s="160"/>
      <c r="AF59" s="160"/>
      <c r="AG59" s="160"/>
      <c r="AH59" s="160"/>
      <c r="AI59" s="160"/>
      <c r="AL59" s="160"/>
      <c r="AM59" s="160"/>
      <c r="AN59" s="160"/>
      <c r="AO59" s="160"/>
      <c r="AR59" s="160"/>
      <c r="AS59" s="160"/>
      <c r="AT59" s="160"/>
      <c r="AU59" s="160"/>
      <c r="AX59" s="160"/>
      <c r="AY59" s="160"/>
      <c r="AZ59" s="160"/>
      <c r="BA59" s="160"/>
      <c r="BD59" s="160"/>
      <c r="BE59" s="160"/>
      <c r="BF59" s="160"/>
      <c r="BG59" s="160"/>
    </row>
    <row r="60" spans="2:60" ht="15.6" x14ac:dyDescent="0.25">
      <c r="B60" s="324" t="s">
        <v>472</v>
      </c>
      <c r="C60" s="324"/>
      <c r="D60" s="175">
        <v>30</v>
      </c>
      <c r="H60" s="324" t="s">
        <v>472</v>
      </c>
      <c r="I60" s="324"/>
      <c r="J60" s="175">
        <v>31</v>
      </c>
      <c r="N60" s="324" t="s">
        <v>472</v>
      </c>
      <c r="O60" s="324"/>
      <c r="P60" s="175">
        <v>32</v>
      </c>
      <c r="T60" s="324" t="s">
        <v>472</v>
      </c>
      <c r="U60" s="324"/>
      <c r="V60" s="175">
        <v>33</v>
      </c>
      <c r="Z60" s="324" t="s">
        <v>472</v>
      </c>
      <c r="AA60" s="324"/>
      <c r="AB60" s="175">
        <v>34</v>
      </c>
      <c r="AF60" s="324" t="s">
        <v>472</v>
      </c>
      <c r="AG60" s="324"/>
      <c r="AH60" s="175">
        <v>35</v>
      </c>
      <c r="AL60" s="324" t="s">
        <v>472</v>
      </c>
      <c r="AM60" s="324"/>
      <c r="AN60" s="175">
        <v>36</v>
      </c>
      <c r="AR60" s="324" t="s">
        <v>472</v>
      </c>
      <c r="AS60" s="324"/>
      <c r="AT60" s="175">
        <v>37</v>
      </c>
      <c r="AX60" s="324" t="s">
        <v>472</v>
      </c>
      <c r="AY60" s="324"/>
      <c r="AZ60" s="175">
        <v>38</v>
      </c>
      <c r="BD60" s="324" t="s">
        <v>472</v>
      </c>
      <c r="BE60" s="324"/>
      <c r="BF60" s="175">
        <v>39</v>
      </c>
    </row>
    <row r="61" spans="2:60" x14ac:dyDescent="0.25">
      <c r="B61" s="160"/>
      <c r="C61" s="160"/>
      <c r="D61" s="160"/>
      <c r="E61" s="160"/>
      <c r="H61" s="160"/>
      <c r="I61" s="160"/>
      <c r="J61" s="160"/>
      <c r="K61" s="160"/>
      <c r="N61" s="160"/>
      <c r="O61" s="160"/>
      <c r="P61" s="160"/>
      <c r="Q61" s="160"/>
      <c r="T61" s="160"/>
      <c r="U61" s="160"/>
      <c r="V61" s="160"/>
      <c r="W61" s="160"/>
      <c r="Z61" s="160"/>
      <c r="AA61" s="160"/>
      <c r="AB61" s="160"/>
      <c r="AC61" s="160"/>
      <c r="AF61" s="160"/>
      <c r="AG61" s="160"/>
      <c r="AH61" s="160"/>
      <c r="AI61" s="160"/>
      <c r="AL61" s="160"/>
      <c r="AM61" s="160"/>
      <c r="AN61" s="160"/>
      <c r="AO61" s="160"/>
      <c r="AR61" s="160"/>
      <c r="AS61" s="160"/>
      <c r="AT61" s="160"/>
      <c r="AU61" s="160"/>
      <c r="AX61" s="160"/>
      <c r="AY61" s="160"/>
      <c r="AZ61" s="160"/>
      <c r="BA61" s="160"/>
      <c r="BD61" s="160"/>
      <c r="BE61" s="160"/>
      <c r="BF61" s="160"/>
      <c r="BG61" s="160"/>
    </row>
    <row r="62" spans="2:60" ht="15.6" x14ac:dyDescent="0.25">
      <c r="B62" s="324" t="s">
        <v>473</v>
      </c>
      <c r="C62" s="324"/>
      <c r="D62" s="234" t="str">
        <f>VLOOKUP(D60,CuentasContables,5,FALSE)</f>
        <v>INVERSIONES MOBILIARIAS</v>
      </c>
      <c r="E62" s="160"/>
      <c r="H62" s="324" t="s">
        <v>473</v>
      </c>
      <c r="I62" s="324"/>
      <c r="J62" s="234" t="str">
        <f>VLOOKUP(J60,CuentasContables,5,FALSE)</f>
        <v>INVERSIONES INMOBILIARIAS</v>
      </c>
      <c r="K62" s="160"/>
      <c r="N62" s="324" t="s">
        <v>473</v>
      </c>
      <c r="O62" s="324"/>
      <c r="P62" s="234" t="str">
        <f>VLOOKUP(P60,CuentasContables,5,FALSE)</f>
        <v>ACTIVOS ADQUIRIDOS EN ARRENDAMIENTO FINANCIERO</v>
      </c>
      <c r="Q62" s="160"/>
      <c r="T62" s="324" t="s">
        <v>473</v>
      </c>
      <c r="U62" s="324"/>
      <c r="V62" s="234" t="str">
        <f>VLOOKUP(V60,CuentasContables,5,FALSE)</f>
        <v>INMUEBLES, MAQUINARIA Y EQUIPO</v>
      </c>
      <c r="W62" s="160"/>
      <c r="Z62" s="324" t="s">
        <v>473</v>
      </c>
      <c r="AA62" s="324"/>
      <c r="AB62" s="234" t="str">
        <f>VLOOKUP(AB60,CuentasContables,5,FALSE)</f>
        <v>INTANGIBLES</v>
      </c>
      <c r="AC62" s="160"/>
      <c r="AF62" s="324" t="s">
        <v>473</v>
      </c>
      <c r="AG62" s="324"/>
      <c r="AH62" s="234" t="str">
        <f>VLOOKUP(AH60,CuentasContables,5,FALSE)</f>
        <v>ACTIVOS BIOLÓGICOS</v>
      </c>
      <c r="AI62" s="160"/>
      <c r="AL62" s="324" t="s">
        <v>473</v>
      </c>
      <c r="AM62" s="324"/>
      <c r="AN62" s="234" t="str">
        <f>VLOOKUP(AN60,CuentasContables,5,FALSE)</f>
        <v>DESVALORIZACIÓN DE ACTIVO INMOVILIZADO</v>
      </c>
      <c r="AO62" s="160"/>
      <c r="AR62" s="324" t="s">
        <v>473</v>
      </c>
      <c r="AS62" s="324"/>
      <c r="AT62" s="234" t="str">
        <f>VLOOKUP(AT60,CuentasContables,5,FALSE)</f>
        <v>ACTIVO DIFERIDO</v>
      </c>
      <c r="AU62" s="160"/>
      <c r="AX62" s="324" t="s">
        <v>473</v>
      </c>
      <c r="AY62" s="324"/>
      <c r="AZ62" s="234" t="str">
        <f>VLOOKUP(AZ60,CuentasContables,5,FALSE)</f>
        <v>OTROS ACTIVOS</v>
      </c>
      <c r="BA62" s="160"/>
      <c r="BD62" s="324" t="s">
        <v>473</v>
      </c>
      <c r="BE62" s="324"/>
      <c r="BF62" s="234" t="str">
        <f>VLOOKUP(BF60,CuentasContables,5,FALSE)</f>
        <v>DEPRECIACIÓN, AMORTIZACIÓN Y AGOTAMIENTO ACUMULADOS</v>
      </c>
      <c r="BG62" s="160"/>
    </row>
    <row r="63" spans="2:60" ht="14.4" thickBot="1" x14ac:dyDescent="0.3">
      <c r="B63" s="160"/>
      <c r="C63" s="160"/>
      <c r="D63" s="160"/>
      <c r="E63" s="160"/>
      <c r="H63" s="160"/>
      <c r="I63" s="160"/>
      <c r="J63" s="160"/>
      <c r="K63" s="160"/>
      <c r="N63" s="160"/>
      <c r="O63" s="160"/>
      <c r="P63" s="160"/>
      <c r="Q63" s="160"/>
      <c r="T63" s="160"/>
      <c r="U63" s="160"/>
      <c r="V63" s="160"/>
      <c r="W63" s="160"/>
      <c r="Z63" s="160"/>
      <c r="AA63" s="160"/>
      <c r="AB63" s="160"/>
      <c r="AC63" s="160"/>
      <c r="AF63" s="160"/>
      <c r="AG63" s="160"/>
      <c r="AH63" s="160"/>
      <c r="AI63" s="160"/>
      <c r="AL63" s="160"/>
      <c r="AM63" s="160"/>
      <c r="AN63" s="160"/>
      <c r="AO63" s="160"/>
      <c r="AR63" s="160"/>
      <c r="AS63" s="160"/>
      <c r="AT63" s="160"/>
      <c r="AU63" s="160"/>
      <c r="AX63" s="160"/>
      <c r="AY63" s="160"/>
      <c r="AZ63" s="160"/>
      <c r="BA63" s="160"/>
      <c r="BD63" s="160"/>
      <c r="BE63" s="160"/>
      <c r="BF63" s="160"/>
      <c r="BG63" s="160"/>
    </row>
    <row r="64" spans="2:60" x14ac:dyDescent="0.25">
      <c r="B64" s="331" t="s">
        <v>466</v>
      </c>
      <c r="C64" s="333" t="s">
        <v>467</v>
      </c>
      <c r="D64" s="333" t="s">
        <v>468</v>
      </c>
      <c r="E64" s="333" t="s">
        <v>469</v>
      </c>
      <c r="F64" s="335"/>
      <c r="H64" s="331" t="s">
        <v>466</v>
      </c>
      <c r="I64" s="333" t="s">
        <v>467</v>
      </c>
      <c r="J64" s="333" t="s">
        <v>468</v>
      </c>
      <c r="K64" s="333" t="s">
        <v>469</v>
      </c>
      <c r="L64" s="335"/>
      <c r="N64" s="331" t="s">
        <v>466</v>
      </c>
      <c r="O64" s="333" t="s">
        <v>467</v>
      </c>
      <c r="P64" s="333" t="s">
        <v>468</v>
      </c>
      <c r="Q64" s="333" t="s">
        <v>469</v>
      </c>
      <c r="R64" s="335"/>
      <c r="T64" s="331" t="s">
        <v>466</v>
      </c>
      <c r="U64" s="333" t="s">
        <v>467</v>
      </c>
      <c r="V64" s="333" t="s">
        <v>468</v>
      </c>
      <c r="W64" s="333" t="s">
        <v>469</v>
      </c>
      <c r="X64" s="335"/>
      <c r="Z64" s="331" t="s">
        <v>466</v>
      </c>
      <c r="AA64" s="333" t="s">
        <v>467</v>
      </c>
      <c r="AB64" s="333" t="s">
        <v>468</v>
      </c>
      <c r="AC64" s="333" t="s">
        <v>469</v>
      </c>
      <c r="AD64" s="335"/>
      <c r="AF64" s="331" t="s">
        <v>466</v>
      </c>
      <c r="AG64" s="333" t="s">
        <v>467</v>
      </c>
      <c r="AH64" s="333" t="s">
        <v>468</v>
      </c>
      <c r="AI64" s="333" t="s">
        <v>469</v>
      </c>
      <c r="AJ64" s="335"/>
      <c r="AL64" s="331" t="s">
        <v>466</v>
      </c>
      <c r="AM64" s="333" t="s">
        <v>467</v>
      </c>
      <c r="AN64" s="333" t="s">
        <v>468</v>
      </c>
      <c r="AO64" s="333" t="s">
        <v>469</v>
      </c>
      <c r="AP64" s="335"/>
      <c r="AR64" s="331" t="s">
        <v>466</v>
      </c>
      <c r="AS64" s="333" t="s">
        <v>467</v>
      </c>
      <c r="AT64" s="333" t="s">
        <v>468</v>
      </c>
      <c r="AU64" s="333" t="s">
        <v>469</v>
      </c>
      <c r="AV64" s="335"/>
      <c r="AX64" s="331" t="s">
        <v>466</v>
      </c>
      <c r="AY64" s="333" t="s">
        <v>467</v>
      </c>
      <c r="AZ64" s="333" t="s">
        <v>468</v>
      </c>
      <c r="BA64" s="333" t="s">
        <v>469</v>
      </c>
      <c r="BB64" s="335"/>
      <c r="BD64" s="331" t="s">
        <v>466</v>
      </c>
      <c r="BE64" s="333" t="s">
        <v>467</v>
      </c>
      <c r="BF64" s="333" t="s">
        <v>468</v>
      </c>
      <c r="BG64" s="333" t="s">
        <v>469</v>
      </c>
      <c r="BH64" s="335"/>
    </row>
    <row r="65" spans="2:63" ht="14.4" thickBot="1" x14ac:dyDescent="0.3">
      <c r="B65" s="332"/>
      <c r="C65" s="334"/>
      <c r="D65" s="334"/>
      <c r="E65" s="232" t="s">
        <v>403</v>
      </c>
      <c r="F65" s="174" t="s">
        <v>402</v>
      </c>
      <c r="H65" s="332"/>
      <c r="I65" s="334"/>
      <c r="J65" s="334"/>
      <c r="K65" s="232" t="s">
        <v>403</v>
      </c>
      <c r="L65" s="174" t="s">
        <v>402</v>
      </c>
      <c r="N65" s="332"/>
      <c r="O65" s="334"/>
      <c r="P65" s="334"/>
      <c r="Q65" s="232" t="s">
        <v>403</v>
      </c>
      <c r="R65" s="174" t="s">
        <v>402</v>
      </c>
      <c r="T65" s="332"/>
      <c r="U65" s="334"/>
      <c r="V65" s="334"/>
      <c r="W65" s="232" t="s">
        <v>403</v>
      </c>
      <c r="X65" s="174" t="s">
        <v>402</v>
      </c>
      <c r="Z65" s="332"/>
      <c r="AA65" s="334"/>
      <c r="AB65" s="334"/>
      <c r="AC65" s="232" t="s">
        <v>403</v>
      </c>
      <c r="AD65" s="174" t="s">
        <v>402</v>
      </c>
      <c r="AF65" s="332"/>
      <c r="AG65" s="334"/>
      <c r="AH65" s="334"/>
      <c r="AI65" s="232" t="s">
        <v>403</v>
      </c>
      <c r="AJ65" s="174" t="s">
        <v>402</v>
      </c>
      <c r="AL65" s="332"/>
      <c r="AM65" s="334"/>
      <c r="AN65" s="334"/>
      <c r="AO65" s="232" t="s">
        <v>403</v>
      </c>
      <c r="AP65" s="174" t="s">
        <v>402</v>
      </c>
      <c r="AR65" s="332"/>
      <c r="AS65" s="334"/>
      <c r="AT65" s="334"/>
      <c r="AU65" s="232" t="s">
        <v>403</v>
      </c>
      <c r="AV65" s="174" t="s">
        <v>402</v>
      </c>
      <c r="AX65" s="332"/>
      <c r="AY65" s="334"/>
      <c r="AZ65" s="334"/>
      <c r="BA65" s="232" t="s">
        <v>403</v>
      </c>
      <c r="BB65" s="174" t="s">
        <v>402</v>
      </c>
      <c r="BD65" s="332"/>
      <c r="BE65" s="334"/>
      <c r="BF65" s="334"/>
      <c r="BG65" s="232" t="s">
        <v>403</v>
      </c>
      <c r="BH65" s="174" t="s">
        <v>402</v>
      </c>
    </row>
    <row r="66" spans="2:63" ht="14.4" thickTop="1" x14ac:dyDescent="0.25">
      <c r="B66" s="236">
        <v>41670</v>
      </c>
      <c r="C66" s="171"/>
      <c r="D66" s="166" t="s">
        <v>470</v>
      </c>
      <c r="E66" s="167">
        <f>SUMIF('Libro Diario Convencional'!$B$15:$B$167,D60,'Libro Diario Convencional'!$I$15:$I$167)</f>
        <v>0</v>
      </c>
      <c r="F66" s="168">
        <f>SUMIF('Libro Diario Convencional'!$B$15:$B$167,D60,'Libro Diario Convencional'!$J$15:$J$167)</f>
        <v>0</v>
      </c>
      <c r="G66" s="9"/>
      <c r="H66" s="236">
        <v>41670</v>
      </c>
      <c r="I66" s="171"/>
      <c r="J66" s="166" t="s">
        <v>470</v>
      </c>
      <c r="K66" s="167">
        <f>SUMIF('Libro Diario Convencional'!$B$15:$B$167,J60,'Libro Diario Convencional'!$I$15:$I$167)</f>
        <v>0</v>
      </c>
      <c r="L66" s="168">
        <f>SUMIF('Libro Diario Convencional'!$B$15:$B$167,J60,'Libro Diario Convencional'!$J$15:$J$167)</f>
        <v>0</v>
      </c>
      <c r="M66" s="9"/>
      <c r="N66" s="236">
        <v>41670</v>
      </c>
      <c r="O66" s="171"/>
      <c r="P66" s="166" t="s">
        <v>470</v>
      </c>
      <c r="Q66" s="167">
        <f>SUMIF('Libro Diario Convencional'!$B$15:$B$167,P60,'Libro Diario Convencional'!$I$15:$I$167)</f>
        <v>0</v>
      </c>
      <c r="R66" s="168">
        <f>SUMIF('Libro Diario Convencional'!$B$15:$B$167,P60,'Libro Diario Convencional'!$J$15:$J$167)</f>
        <v>0</v>
      </c>
      <c r="S66" s="9"/>
      <c r="T66" s="236">
        <v>41670</v>
      </c>
      <c r="U66" s="171"/>
      <c r="V66" s="166" t="s">
        <v>470</v>
      </c>
      <c r="W66" s="167">
        <f>SUMIF('Libro Diario Convencional'!$B$15:$B$167,V60,'Libro Diario Convencional'!$I$15:$I$167)</f>
        <v>188450</v>
      </c>
      <c r="X66" s="168">
        <f>SUMIF('Libro Diario Convencional'!$B$15:$B$167,V60,'Libro Diario Convencional'!$J$15:$J$167)</f>
        <v>0</v>
      </c>
      <c r="Y66" s="9"/>
      <c r="Z66" s="236">
        <v>41670</v>
      </c>
      <c r="AA66" s="171"/>
      <c r="AB66" s="166" t="s">
        <v>470</v>
      </c>
      <c r="AC66" s="167">
        <f>SUMIF('Libro Diario Convencional'!$B$15:$B$167,AB60,'Libro Diario Convencional'!$I$15:$I$167)</f>
        <v>0</v>
      </c>
      <c r="AD66" s="168">
        <f>SUMIF('Libro Diario Convencional'!$B$15:$B$167,AB60,'Libro Diario Convencional'!$J$15:$J$167)</f>
        <v>0</v>
      </c>
      <c r="AE66" s="9"/>
      <c r="AF66" s="236">
        <v>41670</v>
      </c>
      <c r="AG66" s="171"/>
      <c r="AH66" s="166" t="s">
        <v>470</v>
      </c>
      <c r="AI66" s="167">
        <f>SUMIF('Libro Diario Convencional'!$B$15:$B$167,AH60,'Libro Diario Convencional'!$I$15:$I$167)</f>
        <v>0</v>
      </c>
      <c r="AJ66" s="168">
        <f>SUMIF('Libro Diario Convencional'!$B$15:$B$167,AH60,'Libro Diario Convencional'!$J$15:$J$167)</f>
        <v>0</v>
      </c>
      <c r="AK66" s="9"/>
      <c r="AL66" s="236">
        <v>41670</v>
      </c>
      <c r="AM66" s="171"/>
      <c r="AN66" s="166" t="s">
        <v>470</v>
      </c>
      <c r="AO66" s="167">
        <f>SUMIF('Libro Diario Convencional'!$B$15:$B$167,AN60,'Libro Diario Convencional'!$I$15:$I$167)</f>
        <v>0</v>
      </c>
      <c r="AP66" s="168">
        <f>SUMIF('Libro Diario Convencional'!$B$15:$B$167,AN60,'Libro Diario Convencional'!$J$15:$J$167)</f>
        <v>0</v>
      </c>
      <c r="AQ66" s="9"/>
      <c r="AR66" s="236">
        <v>41670</v>
      </c>
      <c r="AS66" s="171"/>
      <c r="AT66" s="166" t="s">
        <v>470</v>
      </c>
      <c r="AU66" s="167">
        <f>SUMIF('Libro Diario Convencional'!$B$15:$B$167,AT60,'Libro Diario Convencional'!$I$15:$I$167)</f>
        <v>0</v>
      </c>
      <c r="AV66" s="168">
        <f>SUMIF('Libro Diario Convencional'!$B$15:$B$167,AT60,'Libro Diario Convencional'!$J$15:$J$167)</f>
        <v>0</v>
      </c>
      <c r="AW66" s="9"/>
      <c r="AX66" s="236">
        <v>41670</v>
      </c>
      <c r="AY66" s="171"/>
      <c r="AZ66" s="166" t="s">
        <v>470</v>
      </c>
      <c r="BA66" s="167">
        <f>SUMIF('Libro Diario Convencional'!$B$15:$B$167,AZ60,'Libro Diario Convencional'!$I$15:$I$167)</f>
        <v>0</v>
      </c>
      <c r="BB66" s="168">
        <f>SUMIF('Libro Diario Convencional'!$B$15:$B$167,AZ60,'Libro Diario Convencional'!$J$15:$J$167)</f>
        <v>0</v>
      </c>
      <c r="BD66" s="236">
        <v>41670</v>
      </c>
      <c r="BE66" s="171"/>
      <c r="BF66" s="166" t="s">
        <v>470</v>
      </c>
      <c r="BG66" s="167">
        <f>SUMIF('Libro Diario Convencional'!$B$15:$B$167,BF60,'Libro Diario Convencional'!$I$15:$I$167)</f>
        <v>0</v>
      </c>
      <c r="BH66" s="168">
        <f>SUMIF('Libro Diario Convencional'!$B$15:$B$167,BF60,'Libro Diario Convencional'!$J$15:$J$167)</f>
        <v>31542.5</v>
      </c>
    </row>
    <row r="67" spans="2:63" x14ac:dyDescent="0.25">
      <c r="B67" s="169"/>
      <c r="C67" s="172"/>
      <c r="D67" s="161"/>
      <c r="E67" s="162"/>
      <c r="F67" s="163"/>
      <c r="G67" s="9"/>
      <c r="H67" s="169"/>
      <c r="I67" s="172"/>
      <c r="J67" s="161"/>
      <c r="K67" s="162"/>
      <c r="L67" s="163"/>
      <c r="M67" s="9"/>
      <c r="N67" s="169"/>
      <c r="O67" s="172"/>
      <c r="P67" s="161"/>
      <c r="Q67" s="162"/>
      <c r="R67" s="163"/>
      <c r="S67" s="9"/>
      <c r="T67" s="169"/>
      <c r="U67" s="172"/>
      <c r="V67" s="161"/>
      <c r="W67" s="162"/>
      <c r="X67" s="163"/>
      <c r="Y67" s="9"/>
      <c r="Z67" s="169"/>
      <c r="AA67" s="172"/>
      <c r="AB67" s="161"/>
      <c r="AC67" s="162"/>
      <c r="AD67" s="163"/>
      <c r="AE67" s="9"/>
      <c r="AF67" s="169"/>
      <c r="AG67" s="172"/>
      <c r="AH67" s="161"/>
      <c r="AI67" s="162"/>
      <c r="AJ67" s="163"/>
      <c r="AK67" s="9"/>
      <c r="AL67" s="169"/>
      <c r="AM67" s="172"/>
      <c r="AN67" s="161"/>
      <c r="AO67" s="162"/>
      <c r="AP67" s="163"/>
      <c r="AQ67" s="9"/>
      <c r="AR67" s="169"/>
      <c r="AS67" s="172"/>
      <c r="AT67" s="161"/>
      <c r="AU67" s="162"/>
      <c r="AV67" s="163"/>
      <c r="AW67" s="9"/>
      <c r="AX67" s="169"/>
      <c r="AY67" s="172"/>
      <c r="AZ67" s="161"/>
      <c r="BA67" s="162"/>
      <c r="BB67" s="163"/>
      <c r="BD67" s="169"/>
      <c r="BE67" s="172"/>
      <c r="BF67" s="161"/>
      <c r="BG67" s="162"/>
      <c r="BH67" s="163"/>
    </row>
    <row r="68" spans="2:63" x14ac:dyDescent="0.25">
      <c r="B68" s="169"/>
      <c r="C68" s="172"/>
      <c r="D68" s="161"/>
      <c r="E68" s="162"/>
      <c r="F68" s="163"/>
      <c r="G68" s="9"/>
      <c r="H68" s="169"/>
      <c r="I68" s="172"/>
      <c r="J68" s="161"/>
      <c r="K68" s="162"/>
      <c r="L68" s="163"/>
      <c r="M68" s="9"/>
      <c r="N68" s="169"/>
      <c r="O68" s="172"/>
      <c r="P68" s="161"/>
      <c r="Q68" s="162"/>
      <c r="R68" s="163"/>
      <c r="S68" s="9"/>
      <c r="T68" s="169"/>
      <c r="U68" s="172"/>
      <c r="V68" s="161"/>
      <c r="W68" s="162"/>
      <c r="X68" s="163"/>
      <c r="Y68" s="9"/>
      <c r="Z68" s="169"/>
      <c r="AA68" s="172"/>
      <c r="AB68" s="161"/>
      <c r="AC68" s="162"/>
      <c r="AD68" s="163"/>
      <c r="AE68" s="9"/>
      <c r="AF68" s="169"/>
      <c r="AG68" s="172"/>
      <c r="AH68" s="161"/>
      <c r="AI68" s="162"/>
      <c r="AJ68" s="163"/>
      <c r="AK68" s="9"/>
      <c r="AL68" s="169"/>
      <c r="AM68" s="172"/>
      <c r="AN68" s="161"/>
      <c r="AO68" s="162"/>
      <c r="AP68" s="163"/>
      <c r="AQ68" s="9"/>
      <c r="AR68" s="169"/>
      <c r="AS68" s="172"/>
      <c r="AT68" s="161"/>
      <c r="AU68" s="162"/>
      <c r="AV68" s="163"/>
      <c r="AW68" s="9"/>
      <c r="AX68" s="169"/>
      <c r="AY68" s="172"/>
      <c r="AZ68" s="161"/>
      <c r="BA68" s="162"/>
      <c r="BB68" s="163"/>
      <c r="BD68" s="169"/>
      <c r="BE68" s="172"/>
      <c r="BF68" s="161"/>
      <c r="BG68" s="162"/>
      <c r="BH68" s="163"/>
    </row>
    <row r="69" spans="2:63" ht="14.4" thickBot="1" x14ac:dyDescent="0.3">
      <c r="B69" s="169"/>
      <c r="C69" s="172"/>
      <c r="D69" s="161"/>
      <c r="E69" s="162"/>
      <c r="F69" s="163"/>
      <c r="G69" s="9"/>
      <c r="H69" s="169"/>
      <c r="I69" s="172"/>
      <c r="J69" s="161"/>
      <c r="K69" s="162"/>
      <c r="L69" s="163"/>
      <c r="M69" s="9"/>
      <c r="N69" s="169"/>
      <c r="O69" s="172"/>
      <c r="P69" s="161"/>
      <c r="Q69" s="162"/>
      <c r="R69" s="163"/>
      <c r="S69" s="9"/>
      <c r="T69" s="169"/>
      <c r="U69" s="172"/>
      <c r="V69" s="161"/>
      <c r="W69" s="162"/>
      <c r="X69" s="163"/>
      <c r="Y69" s="9"/>
      <c r="Z69" s="169"/>
      <c r="AA69" s="172"/>
      <c r="AB69" s="161"/>
      <c r="AC69" s="162"/>
      <c r="AD69" s="163"/>
      <c r="AE69" s="9"/>
      <c r="AF69" s="169"/>
      <c r="AG69" s="172"/>
      <c r="AH69" s="161"/>
      <c r="AI69" s="162"/>
      <c r="AJ69" s="163"/>
      <c r="AK69" s="9"/>
      <c r="AL69" s="169"/>
      <c r="AM69" s="172"/>
      <c r="AN69" s="161"/>
      <c r="AO69" s="162"/>
      <c r="AP69" s="163"/>
      <c r="AQ69" s="9"/>
      <c r="AR69" s="169"/>
      <c r="AS69" s="172"/>
      <c r="AT69" s="161"/>
      <c r="AU69" s="162"/>
      <c r="AV69" s="163"/>
      <c r="AW69" s="9"/>
      <c r="AX69" s="169"/>
      <c r="AY69" s="172"/>
      <c r="AZ69" s="161"/>
      <c r="BA69" s="162"/>
      <c r="BB69" s="163"/>
      <c r="BD69" s="169"/>
      <c r="BE69" s="172"/>
      <c r="BF69" s="161"/>
      <c r="BG69" s="162"/>
      <c r="BH69" s="163"/>
    </row>
    <row r="70" spans="2:63" ht="15" thickBot="1" x14ac:dyDescent="0.3">
      <c r="B70" s="169"/>
      <c r="C70" s="172"/>
      <c r="D70" s="161" t="s">
        <v>471</v>
      </c>
      <c r="E70" s="162">
        <f>SUM(E66:E69)</f>
        <v>0</v>
      </c>
      <c r="F70" s="163">
        <f>SUM(F66:F69)</f>
        <v>0</v>
      </c>
      <c r="G70" s="9"/>
      <c r="H70" s="169"/>
      <c r="I70" s="172"/>
      <c r="J70" s="161" t="s">
        <v>471</v>
      </c>
      <c r="K70" s="162">
        <f>SUM(K66:K69)</f>
        <v>0</v>
      </c>
      <c r="L70" s="163">
        <f>SUM(L66:L69)</f>
        <v>0</v>
      </c>
      <c r="M70" s="9"/>
      <c r="N70" s="169"/>
      <c r="O70" s="172"/>
      <c r="P70" s="161" t="s">
        <v>471</v>
      </c>
      <c r="Q70" s="162">
        <f>SUM(Q66:Q69)</f>
        <v>0</v>
      </c>
      <c r="R70" s="163">
        <f>SUM(R66:R69)</f>
        <v>0</v>
      </c>
      <c r="S70" s="9"/>
      <c r="T70" s="169"/>
      <c r="U70" s="172"/>
      <c r="V70" s="161" t="s">
        <v>471</v>
      </c>
      <c r="W70" s="162">
        <f>SUM(W66:W69)</f>
        <v>188450</v>
      </c>
      <c r="X70" s="163">
        <f>SUM(X66:X69)</f>
        <v>0</v>
      </c>
      <c r="Y70" s="9"/>
      <c r="Z70" s="169"/>
      <c r="AA70" s="172"/>
      <c r="AB70" s="161" t="s">
        <v>471</v>
      </c>
      <c r="AC70" s="162">
        <f>SUM(AC66:AC69)</f>
        <v>0</v>
      </c>
      <c r="AD70" s="163">
        <f>SUM(AD66:AD69)</f>
        <v>0</v>
      </c>
      <c r="AE70" s="9"/>
      <c r="AF70" s="169"/>
      <c r="AG70" s="172"/>
      <c r="AH70" s="161" t="s">
        <v>471</v>
      </c>
      <c r="AI70" s="162">
        <f>SUM(AI66:AI69)</f>
        <v>0</v>
      </c>
      <c r="AJ70" s="163">
        <f>SUM(AJ66:AJ69)</f>
        <v>0</v>
      </c>
      <c r="AK70" s="9"/>
      <c r="AL70" s="169"/>
      <c r="AM70" s="172"/>
      <c r="AN70" s="161" t="s">
        <v>471</v>
      </c>
      <c r="AO70" s="162">
        <f>SUM(AO66:AO69)</f>
        <v>0</v>
      </c>
      <c r="AP70" s="163">
        <f>SUM(AP66:AP69)</f>
        <v>0</v>
      </c>
      <c r="AQ70" s="9"/>
      <c r="AR70" s="169"/>
      <c r="AS70" s="172"/>
      <c r="AT70" s="161" t="s">
        <v>471</v>
      </c>
      <c r="AU70" s="162">
        <f>SUM(AU66:AU69)</f>
        <v>0</v>
      </c>
      <c r="AV70" s="163">
        <f>SUM(AV66:AV69)</f>
        <v>0</v>
      </c>
      <c r="AW70" s="9"/>
      <c r="AX70" s="169"/>
      <c r="AY70" s="172"/>
      <c r="AZ70" s="161" t="s">
        <v>471</v>
      </c>
      <c r="BA70" s="162">
        <f>SUM(BA66:BA69)</f>
        <v>0</v>
      </c>
      <c r="BB70" s="163">
        <f>SUM(BB66:BB69)</f>
        <v>0</v>
      </c>
      <c r="BD70" s="169"/>
      <c r="BE70" s="172"/>
      <c r="BF70" s="161" t="s">
        <v>471</v>
      </c>
      <c r="BG70" s="162">
        <f>SUM(BG66:BG69)</f>
        <v>0</v>
      </c>
      <c r="BH70" s="163">
        <f>SUM(BH66:BH69)</f>
        <v>31542.5</v>
      </c>
      <c r="BJ70" s="157">
        <f>SUM(E70,K70,Q70,W70,AC70,AI70,AO70,AU70,BA70,BG70)</f>
        <v>188450</v>
      </c>
      <c r="BK70" s="158">
        <f>SUM(F70,L70,R70,X70,AD70,AJ70,AP70,AV70,BB70,BH70)</f>
        <v>31542.5</v>
      </c>
    </row>
    <row r="71" spans="2:63" ht="14.4" thickBot="1" x14ac:dyDescent="0.3">
      <c r="B71" s="170"/>
      <c r="C71" s="173"/>
      <c r="D71" s="164" t="str">
        <f>IF(E70=F70,"",IF(E70&gt;F70,"Saldo Deudor","Saldo Acreedor"))</f>
        <v/>
      </c>
      <c r="E71" s="165" t="str">
        <f>IF(E70&gt;F70,E70-F70,"")</f>
        <v/>
      </c>
      <c r="F71" s="176" t="str">
        <f>IF(E70&lt;F70,F70-E70,"")</f>
        <v/>
      </c>
      <c r="H71" s="170"/>
      <c r="I71" s="173"/>
      <c r="J71" s="164" t="str">
        <f>IF(K70=L70,"",IF(K70&gt;L70,"Saldo Deudor","Saldo Acreedor"))</f>
        <v/>
      </c>
      <c r="K71" s="165" t="str">
        <f>IF(K70&gt;L70,K70-L70,"")</f>
        <v/>
      </c>
      <c r="L71" s="176" t="str">
        <f>IF(K70&lt;L70,L70-K70,"")</f>
        <v/>
      </c>
      <c r="N71" s="170"/>
      <c r="O71" s="173"/>
      <c r="P71" s="164" t="str">
        <f>IF(Q70=R70,"",IF(Q70&gt;R70,"Saldo Deudor","Saldo Acreedor"))</f>
        <v/>
      </c>
      <c r="Q71" s="165" t="str">
        <f>IF(Q70&gt;R70,Q70-R70,"")</f>
        <v/>
      </c>
      <c r="R71" s="176" t="str">
        <f>IF(Q70&lt;R70,R70-Q70,"")</f>
        <v/>
      </c>
      <c r="T71" s="170"/>
      <c r="U71" s="173"/>
      <c r="V71" s="164" t="str">
        <f>IF(W70=X70,"",IF(W70&gt;X70,"Saldo Deudor","Saldo Acreedor"))</f>
        <v>Saldo Deudor</v>
      </c>
      <c r="W71" s="165">
        <f>IF(W70&gt;X70,W70-X70,"")</f>
        <v>188450</v>
      </c>
      <c r="X71" s="176" t="str">
        <f>IF(W70&lt;X70,X70-W70,"")</f>
        <v/>
      </c>
      <c r="Z71" s="170"/>
      <c r="AA71" s="173"/>
      <c r="AB71" s="164" t="str">
        <f>IF(AC70=AD70,"",IF(AC70&gt;AD70,"Saldo Deudor","Saldo Acreedor"))</f>
        <v/>
      </c>
      <c r="AC71" s="165" t="str">
        <f>IF(AC70&gt;AD70,AC70-AD70,"")</f>
        <v/>
      </c>
      <c r="AD71" s="176" t="str">
        <f>IF(AC70&lt;AD70,AD70-AC70,"")</f>
        <v/>
      </c>
      <c r="AF71" s="170"/>
      <c r="AG71" s="173"/>
      <c r="AH71" s="164" t="str">
        <f>IF(AI70=AJ70,"",IF(AI70&gt;AJ70,"Saldo Deudor","Saldo Acreedor"))</f>
        <v/>
      </c>
      <c r="AI71" s="165" t="str">
        <f>IF(AI70&gt;AJ70,AI70-AJ70,"")</f>
        <v/>
      </c>
      <c r="AJ71" s="176" t="str">
        <f>IF(AI70&lt;AJ70,AJ70-AI70,"")</f>
        <v/>
      </c>
      <c r="AL71" s="170"/>
      <c r="AM71" s="173"/>
      <c r="AN71" s="164" t="str">
        <f>IF(AO70=AP70,"",IF(AO70&gt;AP70,"Saldo Deudor","Saldo Acreedor"))</f>
        <v/>
      </c>
      <c r="AO71" s="165" t="str">
        <f>IF(AO70&gt;AP70,AO70-AP70,"")</f>
        <v/>
      </c>
      <c r="AP71" s="176" t="str">
        <f>IF(AO70&lt;AP70,AP70-AO70,"")</f>
        <v/>
      </c>
      <c r="AR71" s="170"/>
      <c r="AS71" s="173"/>
      <c r="AT71" s="164" t="str">
        <f>IF(AU70=AV70,"",IF(AU70&gt;AV70,"Saldo Deudor","Saldo Acreedor"))</f>
        <v/>
      </c>
      <c r="AU71" s="165" t="str">
        <f>IF(AU70&gt;AV70,AU70-AV70,"")</f>
        <v/>
      </c>
      <c r="AV71" s="176" t="str">
        <f>IF(AU70&lt;AV70,AV70-AU70,"")</f>
        <v/>
      </c>
      <c r="AX71" s="170"/>
      <c r="AY71" s="173"/>
      <c r="AZ71" s="164" t="str">
        <f>IF(BA70=BB70,"",IF(BA70&gt;BB70,"Saldo Deudor","Saldo Acreedor"))</f>
        <v/>
      </c>
      <c r="BA71" s="165" t="str">
        <f>IF(BA70&gt;BB70,BA70-BB70,"")</f>
        <v/>
      </c>
      <c r="BB71" s="176" t="str">
        <f>IF(BA70&lt;BB70,BB70-BA70,"")</f>
        <v/>
      </c>
      <c r="BD71" s="170"/>
      <c r="BE71" s="173"/>
      <c r="BF71" s="164" t="str">
        <f>IF(BG70=BH70,"",IF(BG70&gt;BH70,"Saldo Deudor","Saldo Acreedor"))</f>
        <v>Saldo Acreedor</v>
      </c>
      <c r="BG71" s="165" t="str">
        <f>IF(BG70&gt;BH70,BG70-BH70,"")</f>
        <v/>
      </c>
      <c r="BH71" s="176">
        <f>IF(BG70&lt;BH70,BH70-BG70,"")</f>
        <v>31542.5</v>
      </c>
    </row>
    <row r="74" spans="2:63" ht="15.6" x14ac:dyDescent="0.25">
      <c r="B74" s="324" t="s">
        <v>321</v>
      </c>
      <c r="C74" s="324"/>
      <c r="D74" s="233" t="str">
        <f>'Base de Datos'!$C$756</f>
        <v>LIBRO MAYOR</v>
      </c>
      <c r="H74" s="324" t="s">
        <v>321</v>
      </c>
      <c r="I74" s="324"/>
      <c r="J74" s="233" t="str">
        <f>'Base de Datos'!$C$756</f>
        <v>LIBRO MAYOR</v>
      </c>
      <c r="N74" s="324" t="s">
        <v>321</v>
      </c>
      <c r="O74" s="324"/>
      <c r="P74" s="233" t="str">
        <f>'Base de Datos'!$C$756</f>
        <v>LIBRO MAYOR</v>
      </c>
      <c r="T74" s="324" t="s">
        <v>321</v>
      </c>
      <c r="U74" s="324"/>
      <c r="V74" s="233" t="str">
        <f>'Base de Datos'!$C$756</f>
        <v>LIBRO MAYOR</v>
      </c>
      <c r="Z74" s="324" t="s">
        <v>321</v>
      </c>
      <c r="AA74" s="324"/>
      <c r="AB74" s="233" t="str">
        <f>'Base de Datos'!$C$756</f>
        <v>LIBRO MAYOR</v>
      </c>
      <c r="AF74" s="324" t="s">
        <v>321</v>
      </c>
      <c r="AG74" s="324"/>
      <c r="AH74" s="233" t="str">
        <f>'Base de Datos'!$C$756</f>
        <v>LIBRO MAYOR</v>
      </c>
      <c r="AL74" s="324" t="s">
        <v>321</v>
      </c>
      <c r="AM74" s="324"/>
      <c r="AN74" s="233" t="str">
        <f>'Base de Datos'!$C$756</f>
        <v>LIBRO MAYOR</v>
      </c>
      <c r="AR74" s="324" t="s">
        <v>321</v>
      </c>
      <c r="AS74" s="324"/>
      <c r="AT74" s="233" t="str">
        <f>'Base de Datos'!$C$756</f>
        <v>LIBRO MAYOR</v>
      </c>
      <c r="AX74" s="324" t="s">
        <v>321</v>
      </c>
      <c r="AY74" s="324"/>
      <c r="AZ74" s="233" t="str">
        <f>'Base de Datos'!$C$756</f>
        <v>LIBRO MAYOR</v>
      </c>
      <c r="BD74" s="324" t="s">
        <v>321</v>
      </c>
      <c r="BE74" s="324"/>
      <c r="BF74" s="233" t="str">
        <f>'Base de Datos'!$C$756</f>
        <v>LIBRO MAYOR</v>
      </c>
    </row>
    <row r="75" spans="2:63" x14ac:dyDescent="0.25">
      <c r="C75" s="2"/>
      <c r="D75" s="2"/>
      <c r="E75" s="2"/>
      <c r="I75" s="2"/>
      <c r="J75" s="2"/>
      <c r="K75" s="2"/>
      <c r="O75" s="2"/>
      <c r="P75" s="2"/>
      <c r="Q75" s="2"/>
      <c r="U75" s="2"/>
      <c r="V75" s="2"/>
      <c r="W75" s="2"/>
      <c r="AA75" s="2"/>
      <c r="AB75" s="2"/>
      <c r="AC75" s="2"/>
      <c r="AG75" s="2"/>
      <c r="AH75" s="2"/>
      <c r="AI75" s="2"/>
      <c r="AM75" s="2"/>
      <c r="AN75" s="2"/>
      <c r="AO75" s="2"/>
      <c r="AS75" s="2"/>
      <c r="AT75" s="2"/>
      <c r="AU75" s="2"/>
      <c r="AY75" s="2"/>
      <c r="AZ75" s="2"/>
      <c r="BA75" s="2"/>
      <c r="BE75" s="2"/>
      <c r="BF75" s="2"/>
      <c r="BG75" s="2"/>
    </row>
    <row r="76" spans="2:63" ht="15.6" x14ac:dyDescent="0.25">
      <c r="B76" s="324" t="s">
        <v>322</v>
      </c>
      <c r="C76" s="324"/>
      <c r="D76" s="234" t="str">
        <f>'Base de Datos'!$C$8</f>
        <v>MARZO</v>
      </c>
      <c r="E76" s="160"/>
      <c r="H76" s="324" t="s">
        <v>322</v>
      </c>
      <c r="I76" s="324"/>
      <c r="J76" s="234" t="str">
        <f>'Base de Datos'!$C$8</f>
        <v>MARZO</v>
      </c>
      <c r="K76" s="160"/>
      <c r="N76" s="324" t="s">
        <v>322</v>
      </c>
      <c r="O76" s="324"/>
      <c r="P76" s="234" t="str">
        <f>'Base de Datos'!$C$8</f>
        <v>MARZO</v>
      </c>
      <c r="Q76" s="160"/>
      <c r="T76" s="324" t="s">
        <v>322</v>
      </c>
      <c r="U76" s="324"/>
      <c r="V76" s="234" t="str">
        <f>'Base de Datos'!$C$8</f>
        <v>MARZO</v>
      </c>
      <c r="W76" s="160"/>
      <c r="Z76" s="324" t="s">
        <v>322</v>
      </c>
      <c r="AA76" s="324"/>
      <c r="AB76" s="234" t="str">
        <f>'Base de Datos'!$C$8</f>
        <v>MARZO</v>
      </c>
      <c r="AC76" s="160"/>
      <c r="AF76" s="324" t="s">
        <v>322</v>
      </c>
      <c r="AG76" s="324"/>
      <c r="AH76" s="234" t="str">
        <f>'Base de Datos'!$C$8</f>
        <v>MARZO</v>
      </c>
      <c r="AI76" s="160"/>
      <c r="AL76" s="324" t="s">
        <v>322</v>
      </c>
      <c r="AM76" s="324"/>
      <c r="AN76" s="234" t="str">
        <f>'Base de Datos'!$C$8</f>
        <v>MARZO</v>
      </c>
      <c r="AO76" s="160"/>
      <c r="AR76" s="324" t="s">
        <v>322</v>
      </c>
      <c r="AS76" s="324"/>
      <c r="AT76" s="234" t="str">
        <f>'Base de Datos'!$C$8</f>
        <v>MARZO</v>
      </c>
      <c r="AU76" s="160"/>
      <c r="AX76" s="324" t="s">
        <v>322</v>
      </c>
      <c r="AY76" s="324"/>
      <c r="AZ76" s="234" t="str">
        <f>'Base de Datos'!$C$8</f>
        <v>MARZO</v>
      </c>
      <c r="BA76" s="160"/>
      <c r="BD76" s="324" t="s">
        <v>322</v>
      </c>
      <c r="BE76" s="324"/>
      <c r="BF76" s="234" t="str">
        <f>'Base de Datos'!$C$8</f>
        <v>MARZO</v>
      </c>
      <c r="BG76" s="160"/>
    </row>
    <row r="77" spans="2:63" x14ac:dyDescent="0.25">
      <c r="C77" s="2"/>
      <c r="D77" s="2"/>
      <c r="E77" s="2"/>
      <c r="I77" s="2"/>
      <c r="J77" s="2"/>
      <c r="K77" s="2"/>
      <c r="O77" s="2"/>
      <c r="P77" s="2"/>
      <c r="Q77" s="2"/>
      <c r="U77" s="2"/>
      <c r="V77" s="2"/>
      <c r="W77" s="2"/>
      <c r="AA77" s="2"/>
      <c r="AB77" s="2"/>
      <c r="AC77" s="2"/>
      <c r="AG77" s="2"/>
      <c r="AH77" s="2"/>
      <c r="AI77" s="2"/>
      <c r="AM77" s="2"/>
      <c r="AN77" s="2"/>
      <c r="AO77" s="2"/>
      <c r="AS77" s="2"/>
      <c r="AT77" s="2"/>
      <c r="AU77" s="2"/>
      <c r="AY77" s="2"/>
      <c r="AZ77" s="2"/>
      <c r="BA77" s="2"/>
      <c r="BE77" s="2"/>
      <c r="BF77" s="2"/>
      <c r="BG77" s="2"/>
    </row>
    <row r="78" spans="2:63" ht="15.6" x14ac:dyDescent="0.25">
      <c r="B78" s="324" t="s">
        <v>323</v>
      </c>
      <c r="C78" s="324"/>
      <c r="D78" s="231">
        <f>'Base de Datos'!$C$9</f>
        <v>2015</v>
      </c>
      <c r="E78" s="2"/>
      <c r="H78" s="324" t="s">
        <v>323</v>
      </c>
      <c r="I78" s="324"/>
      <c r="J78" s="231">
        <f>'Base de Datos'!$C$9</f>
        <v>2015</v>
      </c>
      <c r="K78" s="2"/>
      <c r="N78" s="324" t="s">
        <v>323</v>
      </c>
      <c r="O78" s="324"/>
      <c r="P78" s="231">
        <f>'Base de Datos'!$C$9</f>
        <v>2015</v>
      </c>
      <c r="Q78" s="2"/>
      <c r="T78" s="324" t="s">
        <v>323</v>
      </c>
      <c r="U78" s="324"/>
      <c r="V78" s="231">
        <f>'Base de Datos'!$C$9</f>
        <v>2015</v>
      </c>
      <c r="W78" s="2"/>
      <c r="Z78" s="324" t="s">
        <v>323</v>
      </c>
      <c r="AA78" s="324"/>
      <c r="AB78" s="231">
        <f>'Base de Datos'!$C$9</f>
        <v>2015</v>
      </c>
      <c r="AC78" s="2"/>
      <c r="AF78" s="324" t="s">
        <v>323</v>
      </c>
      <c r="AG78" s="324"/>
      <c r="AH78" s="231">
        <f>'Base de Datos'!$C$9</f>
        <v>2015</v>
      </c>
      <c r="AI78" s="2"/>
      <c r="AL78" s="324" t="s">
        <v>323</v>
      </c>
      <c r="AM78" s="324"/>
      <c r="AN78" s="231">
        <f>'Base de Datos'!$C$9</f>
        <v>2015</v>
      </c>
      <c r="AO78" s="2"/>
      <c r="AR78" s="324" t="s">
        <v>323</v>
      </c>
      <c r="AS78" s="324"/>
      <c r="AT78" s="231">
        <f>'Base de Datos'!$C$9</f>
        <v>2015</v>
      </c>
      <c r="AU78" s="2"/>
      <c r="AX78" s="324" t="s">
        <v>323</v>
      </c>
      <c r="AY78" s="324"/>
      <c r="AZ78" s="231">
        <f>'Base de Datos'!$C$9</f>
        <v>2015</v>
      </c>
      <c r="BA78" s="2"/>
      <c r="BD78" s="324" t="s">
        <v>323</v>
      </c>
      <c r="BE78" s="324"/>
      <c r="BF78" s="231">
        <f>'Base de Datos'!$C$9</f>
        <v>2015</v>
      </c>
      <c r="BG78" s="2"/>
    </row>
    <row r="79" spans="2:63" x14ac:dyDescent="0.25">
      <c r="C79" s="2"/>
      <c r="D79" s="2"/>
      <c r="E79" s="2"/>
      <c r="I79" s="2"/>
      <c r="J79" s="2"/>
      <c r="K79" s="2"/>
      <c r="O79" s="2"/>
      <c r="P79" s="2"/>
      <c r="Q79" s="2"/>
      <c r="U79" s="2"/>
      <c r="V79" s="2"/>
      <c r="W79" s="2"/>
      <c r="AA79" s="2"/>
      <c r="AB79" s="2"/>
      <c r="AC79" s="2"/>
      <c r="AG79" s="2"/>
      <c r="AH79" s="2"/>
      <c r="AI79" s="2"/>
      <c r="AM79" s="2"/>
      <c r="AN79" s="2"/>
      <c r="AO79" s="2"/>
      <c r="AS79" s="2"/>
      <c r="AT79" s="2"/>
      <c r="AU79" s="2"/>
      <c r="AY79" s="2"/>
      <c r="AZ79" s="2"/>
      <c r="BA79" s="2"/>
      <c r="BE79" s="2"/>
      <c r="BF79" s="2"/>
      <c r="BG79" s="2"/>
    </row>
    <row r="80" spans="2:63" ht="15.6" x14ac:dyDescent="0.25">
      <c r="B80" s="324" t="s">
        <v>324</v>
      </c>
      <c r="C80" s="324"/>
      <c r="D80" s="316">
        <f>'Base de Datos'!$C$6</f>
        <v>20411074561</v>
      </c>
      <c r="E80" s="316"/>
      <c r="H80" s="324" t="s">
        <v>324</v>
      </c>
      <c r="I80" s="324"/>
      <c r="J80" s="316">
        <f>'Base de Datos'!$C$6</f>
        <v>20411074561</v>
      </c>
      <c r="K80" s="316"/>
      <c r="N80" s="324" t="s">
        <v>324</v>
      </c>
      <c r="O80" s="324"/>
      <c r="P80" s="316">
        <f>'Base de Datos'!$C$6</f>
        <v>20411074561</v>
      </c>
      <c r="Q80" s="316"/>
      <c r="T80" s="324" t="s">
        <v>324</v>
      </c>
      <c r="U80" s="324"/>
      <c r="V80" s="316">
        <f>'Base de Datos'!$C$6</f>
        <v>20411074561</v>
      </c>
      <c r="W80" s="316"/>
      <c r="Z80" s="324" t="s">
        <v>324</v>
      </c>
      <c r="AA80" s="324"/>
      <c r="AB80" s="316">
        <f>'Base de Datos'!$C$6</f>
        <v>20411074561</v>
      </c>
      <c r="AC80" s="316"/>
      <c r="AF80" s="324" t="s">
        <v>324</v>
      </c>
      <c r="AG80" s="324"/>
      <c r="AH80" s="316">
        <f>'Base de Datos'!$C$6</f>
        <v>20411074561</v>
      </c>
      <c r="AI80" s="316"/>
      <c r="AL80" s="324" t="s">
        <v>324</v>
      </c>
      <c r="AM80" s="324"/>
      <c r="AN80" s="316">
        <f>'Base de Datos'!$C$6</f>
        <v>20411074561</v>
      </c>
      <c r="AO80" s="316"/>
      <c r="AR80" s="324" t="s">
        <v>324</v>
      </c>
      <c r="AS80" s="324"/>
      <c r="AT80" s="316">
        <f>'Base de Datos'!$C$6</f>
        <v>20411074561</v>
      </c>
      <c r="AU80" s="316"/>
      <c r="AX80" s="324" t="s">
        <v>324</v>
      </c>
      <c r="AY80" s="324"/>
      <c r="AZ80" s="316">
        <f>'Base de Datos'!$C$6</f>
        <v>20411074561</v>
      </c>
      <c r="BA80" s="316"/>
      <c r="BD80" s="324" t="s">
        <v>324</v>
      </c>
      <c r="BE80" s="324"/>
      <c r="BF80" s="316">
        <f>'Base de Datos'!$C$6</f>
        <v>20411074561</v>
      </c>
      <c r="BG80" s="316"/>
    </row>
    <row r="81" spans="2:63" x14ac:dyDescent="0.25">
      <c r="C81" s="2"/>
      <c r="D81" s="2"/>
      <c r="E81" s="2"/>
      <c r="I81" s="2"/>
      <c r="J81" s="2"/>
      <c r="K81" s="2"/>
      <c r="O81" s="2"/>
      <c r="P81" s="2"/>
      <c r="Q81" s="2"/>
      <c r="U81" s="2"/>
      <c r="V81" s="2"/>
      <c r="W81" s="2"/>
      <c r="AA81" s="2"/>
      <c r="AB81" s="2"/>
      <c r="AC81" s="2"/>
      <c r="AG81" s="2"/>
      <c r="AH81" s="2"/>
      <c r="AI81" s="2"/>
      <c r="AM81" s="2"/>
      <c r="AN81" s="2"/>
      <c r="AO81" s="2"/>
      <c r="AS81" s="2"/>
      <c r="AT81" s="2"/>
      <c r="AU81" s="2"/>
      <c r="AY81" s="2"/>
      <c r="AZ81" s="2"/>
      <c r="BA81" s="2"/>
      <c r="BE81" s="2"/>
      <c r="BF81" s="2"/>
      <c r="BG81" s="2"/>
    </row>
    <row r="82" spans="2:63" ht="15.6" x14ac:dyDescent="0.25">
      <c r="B82" s="324" t="s">
        <v>325</v>
      </c>
      <c r="C82" s="324"/>
      <c r="D82" s="234" t="str">
        <f>'Base de Datos'!$C$5</f>
        <v>LOS BAILARINES SRL</v>
      </c>
      <c r="E82" s="2"/>
      <c r="H82" s="324" t="s">
        <v>325</v>
      </c>
      <c r="I82" s="324"/>
      <c r="J82" s="234" t="str">
        <f>'Base de Datos'!$C$5</f>
        <v>LOS BAILARINES SRL</v>
      </c>
      <c r="K82" s="2"/>
      <c r="N82" s="324" t="s">
        <v>325</v>
      </c>
      <c r="O82" s="324"/>
      <c r="P82" s="234" t="str">
        <f>'Base de Datos'!$C$5</f>
        <v>LOS BAILARINES SRL</v>
      </c>
      <c r="Q82" s="2"/>
      <c r="T82" s="324" t="s">
        <v>325</v>
      </c>
      <c r="U82" s="324"/>
      <c r="V82" s="234" t="str">
        <f>'Base de Datos'!$C$5</f>
        <v>LOS BAILARINES SRL</v>
      </c>
      <c r="W82" s="2"/>
      <c r="Z82" s="324" t="s">
        <v>325</v>
      </c>
      <c r="AA82" s="324"/>
      <c r="AB82" s="234" t="str">
        <f>'Base de Datos'!$C$5</f>
        <v>LOS BAILARINES SRL</v>
      </c>
      <c r="AC82" s="2"/>
      <c r="AF82" s="324" t="s">
        <v>325</v>
      </c>
      <c r="AG82" s="324"/>
      <c r="AH82" s="234" t="str">
        <f>'Base de Datos'!$C$5</f>
        <v>LOS BAILARINES SRL</v>
      </c>
      <c r="AI82" s="2"/>
      <c r="AL82" s="324" t="s">
        <v>325</v>
      </c>
      <c r="AM82" s="324"/>
      <c r="AN82" s="234" t="str">
        <f>'Base de Datos'!$C$5</f>
        <v>LOS BAILARINES SRL</v>
      </c>
      <c r="AO82" s="2"/>
      <c r="AR82" s="324" t="s">
        <v>325</v>
      </c>
      <c r="AS82" s="324"/>
      <c r="AT82" s="234" t="str">
        <f>'Base de Datos'!$C$5</f>
        <v>LOS BAILARINES SRL</v>
      </c>
      <c r="AU82" s="2"/>
      <c r="AX82" s="324" t="s">
        <v>325</v>
      </c>
      <c r="AY82" s="324"/>
      <c r="AZ82" s="234" t="str">
        <f>'Base de Datos'!$C$5</f>
        <v>LOS BAILARINES SRL</v>
      </c>
      <c r="BA82" s="2"/>
      <c r="BD82" s="324" t="s">
        <v>325</v>
      </c>
      <c r="BE82" s="324"/>
      <c r="BF82" s="234" t="str">
        <f>'Base de Datos'!$C$5</f>
        <v>LOS BAILARINES SRL</v>
      </c>
      <c r="BG82" s="2"/>
    </row>
    <row r="83" spans="2:63" x14ac:dyDescent="0.25">
      <c r="B83" s="160"/>
      <c r="C83" s="160"/>
      <c r="D83" s="160"/>
      <c r="E83" s="160"/>
      <c r="H83" s="160"/>
      <c r="I83" s="160"/>
      <c r="J83" s="160"/>
      <c r="K83" s="160"/>
      <c r="N83" s="160"/>
      <c r="O83" s="160"/>
      <c r="P83" s="160"/>
      <c r="Q83" s="160"/>
      <c r="T83" s="160"/>
      <c r="U83" s="160"/>
      <c r="V83" s="160"/>
      <c r="W83" s="160"/>
      <c r="Z83" s="160"/>
      <c r="AA83" s="160"/>
      <c r="AB83" s="160"/>
      <c r="AC83" s="160"/>
      <c r="AF83" s="160"/>
      <c r="AG83" s="160"/>
      <c r="AH83" s="160"/>
      <c r="AI83" s="160"/>
      <c r="AL83" s="160"/>
      <c r="AM83" s="160"/>
      <c r="AN83" s="160"/>
      <c r="AO83" s="160"/>
      <c r="AR83" s="160"/>
      <c r="AS83" s="160"/>
      <c r="AT83" s="160"/>
      <c r="AU83" s="160"/>
      <c r="AX83" s="160"/>
      <c r="AY83" s="160"/>
      <c r="AZ83" s="160"/>
      <c r="BA83" s="160"/>
      <c r="BD83" s="160"/>
      <c r="BE83" s="160"/>
      <c r="BF83" s="160"/>
      <c r="BG83" s="160"/>
    </row>
    <row r="84" spans="2:63" ht="15.6" x14ac:dyDescent="0.25">
      <c r="B84" s="324" t="s">
        <v>472</v>
      </c>
      <c r="C84" s="324"/>
      <c r="D84" s="175">
        <v>40</v>
      </c>
      <c r="H84" s="324" t="s">
        <v>472</v>
      </c>
      <c r="I84" s="324"/>
      <c r="J84" s="175">
        <v>41</v>
      </c>
      <c r="N84" s="324" t="s">
        <v>472</v>
      </c>
      <c r="O84" s="324"/>
      <c r="P84" s="175">
        <v>42</v>
      </c>
      <c r="T84" s="324" t="s">
        <v>472</v>
      </c>
      <c r="U84" s="324"/>
      <c r="V84" s="175">
        <v>43</v>
      </c>
      <c r="Z84" s="324" t="s">
        <v>472</v>
      </c>
      <c r="AA84" s="324"/>
      <c r="AB84" s="175">
        <v>44</v>
      </c>
      <c r="AF84" s="324" t="s">
        <v>472</v>
      </c>
      <c r="AG84" s="324"/>
      <c r="AH84" s="175">
        <v>45</v>
      </c>
      <c r="AL84" s="324" t="s">
        <v>472</v>
      </c>
      <c r="AM84" s="324"/>
      <c r="AN84" s="175">
        <v>46</v>
      </c>
      <c r="AR84" s="324" t="s">
        <v>472</v>
      </c>
      <c r="AS84" s="324"/>
      <c r="AT84" s="175">
        <v>47</v>
      </c>
      <c r="AX84" s="324" t="s">
        <v>472</v>
      </c>
      <c r="AY84" s="324"/>
      <c r="AZ84" s="175">
        <v>48</v>
      </c>
      <c r="BD84" s="324" t="s">
        <v>472</v>
      </c>
      <c r="BE84" s="324"/>
      <c r="BF84" s="175">
        <v>49</v>
      </c>
    </row>
    <row r="85" spans="2:63" x14ac:dyDescent="0.25">
      <c r="B85" s="160"/>
      <c r="C85" s="160"/>
      <c r="D85" s="160"/>
      <c r="E85" s="160"/>
      <c r="H85" s="160"/>
      <c r="I85" s="160"/>
      <c r="J85" s="160"/>
      <c r="K85" s="160"/>
      <c r="N85" s="160"/>
      <c r="O85" s="160"/>
      <c r="P85" s="160"/>
      <c r="Q85" s="160"/>
      <c r="T85" s="160"/>
      <c r="U85" s="160"/>
      <c r="V85" s="160"/>
      <c r="W85" s="160"/>
      <c r="Z85" s="160"/>
      <c r="AA85" s="160"/>
      <c r="AB85" s="160"/>
      <c r="AC85" s="160"/>
      <c r="AF85" s="160"/>
      <c r="AG85" s="160"/>
      <c r="AH85" s="160"/>
      <c r="AI85" s="160"/>
      <c r="AL85" s="160"/>
      <c r="AM85" s="160"/>
      <c r="AN85" s="160"/>
      <c r="AO85" s="160"/>
      <c r="AR85" s="160"/>
      <c r="AS85" s="160"/>
      <c r="AT85" s="160"/>
      <c r="AU85" s="160"/>
      <c r="AX85" s="160"/>
      <c r="AY85" s="160"/>
      <c r="AZ85" s="160"/>
      <c r="BA85" s="160"/>
      <c r="BD85" s="160"/>
      <c r="BE85" s="160"/>
      <c r="BF85" s="160"/>
      <c r="BG85" s="160"/>
    </row>
    <row r="86" spans="2:63" ht="15.6" x14ac:dyDescent="0.25">
      <c r="B86" s="324" t="s">
        <v>473</v>
      </c>
      <c r="C86" s="324"/>
      <c r="D86" s="234" t="str">
        <f>VLOOKUP(D84,CuentasContables,5,FALSE)</f>
        <v>TRIBUTOS, CONTRAPRESTACIONES Y APORTES AL SISTEMA DE PENSIONES Y DE SALUD POR PAGAR</v>
      </c>
      <c r="E86" s="160"/>
      <c r="H86" s="324" t="s">
        <v>473</v>
      </c>
      <c r="I86" s="324"/>
      <c r="J86" s="234" t="str">
        <f>VLOOKUP(J84,CuentasContables,5,FALSE)</f>
        <v>REMUNERACIONES Y PARTICIPACIONES POR PAGAR</v>
      </c>
      <c r="K86" s="160"/>
      <c r="N86" s="324" t="s">
        <v>473</v>
      </c>
      <c r="O86" s="324"/>
      <c r="P86" s="234" t="str">
        <f>VLOOKUP(P84,CuentasContables,5,FALSE)</f>
        <v>CUENTAS POR PAGAR COMERCIALES - TERCEROS</v>
      </c>
      <c r="Q86" s="160"/>
      <c r="T86" s="324" t="s">
        <v>473</v>
      </c>
      <c r="U86" s="324"/>
      <c r="V86" s="234" t="str">
        <f>VLOOKUP(V84,CuentasContables,5,FALSE)</f>
        <v>CUENTAS POR PAGAR COMERCIALES - RELACIONADAS</v>
      </c>
      <c r="W86" s="160"/>
      <c r="Z86" s="324" t="s">
        <v>473</v>
      </c>
      <c r="AA86" s="324"/>
      <c r="AB86" s="234" t="str">
        <f>VLOOKUP(AB84,CuentasContables,5,FALSE)</f>
        <v>CUENTAS POR PAGAR A LOS ACCIONISTAS (SOCIOS), DIRECTORES Y GERENTES</v>
      </c>
      <c r="AC86" s="160"/>
      <c r="AF86" s="324" t="s">
        <v>473</v>
      </c>
      <c r="AG86" s="324"/>
      <c r="AH86" s="234" t="str">
        <f>VLOOKUP(AH84,CuentasContables,5,FALSE)</f>
        <v>OBLIGACIONES FINANCIERAS</v>
      </c>
      <c r="AI86" s="160"/>
      <c r="AL86" s="324" t="s">
        <v>473</v>
      </c>
      <c r="AM86" s="324"/>
      <c r="AN86" s="234" t="str">
        <f>VLOOKUP(AN84,CuentasContables,5,FALSE)</f>
        <v>CUENTAS POR PAGAR DIVERSAS - TERCEROS</v>
      </c>
      <c r="AO86" s="160"/>
      <c r="AR86" s="324" t="s">
        <v>473</v>
      </c>
      <c r="AS86" s="324"/>
      <c r="AT86" s="234" t="str">
        <f>VLOOKUP(AT84,CuentasContables,5,FALSE)</f>
        <v>CUENTAS POR PAGAR DIVERSAS - RELACIONADAS</v>
      </c>
      <c r="AU86" s="160"/>
      <c r="AX86" s="324" t="s">
        <v>473</v>
      </c>
      <c r="AY86" s="324"/>
      <c r="AZ86" s="234" t="str">
        <f>VLOOKUP(AZ84,CuentasContables,5,FALSE)</f>
        <v>PROVISIONES</v>
      </c>
      <c r="BA86" s="160"/>
      <c r="BD86" s="324" t="s">
        <v>473</v>
      </c>
      <c r="BE86" s="324"/>
      <c r="BF86" s="234" t="str">
        <f>VLOOKUP(BF84,CuentasContables,5,FALSE)</f>
        <v>PASIVO DIFERIDO</v>
      </c>
      <c r="BG86" s="160"/>
    </row>
    <row r="87" spans="2:63" ht="14.4" thickBot="1" x14ac:dyDescent="0.3">
      <c r="B87" s="160"/>
      <c r="C87" s="160"/>
      <c r="D87" s="160"/>
      <c r="E87" s="160"/>
      <c r="H87" s="160"/>
      <c r="I87" s="160"/>
      <c r="J87" s="160"/>
      <c r="K87" s="160"/>
      <c r="N87" s="160"/>
      <c r="O87" s="160"/>
      <c r="P87" s="160"/>
      <c r="Q87" s="160"/>
      <c r="T87" s="160"/>
      <c r="U87" s="160"/>
      <c r="V87" s="160"/>
      <c r="W87" s="160"/>
      <c r="Z87" s="160"/>
      <c r="AA87" s="160"/>
      <c r="AB87" s="160"/>
      <c r="AC87" s="160"/>
      <c r="AF87" s="160"/>
      <c r="AG87" s="160"/>
      <c r="AH87" s="160"/>
      <c r="AI87" s="160"/>
      <c r="AL87" s="160"/>
      <c r="AM87" s="160"/>
      <c r="AN87" s="160"/>
      <c r="AO87" s="160"/>
      <c r="AR87" s="160"/>
      <c r="AS87" s="160"/>
      <c r="AT87" s="160"/>
      <c r="AU87" s="160"/>
      <c r="AX87" s="160"/>
      <c r="AY87" s="160"/>
      <c r="AZ87" s="160"/>
      <c r="BA87" s="160"/>
      <c r="BD87" s="160"/>
      <c r="BE87" s="160"/>
      <c r="BF87" s="160"/>
      <c r="BG87" s="160"/>
    </row>
    <row r="88" spans="2:63" x14ac:dyDescent="0.25">
      <c r="B88" s="325" t="s">
        <v>466</v>
      </c>
      <c r="C88" s="327" t="s">
        <v>467</v>
      </c>
      <c r="D88" s="327" t="s">
        <v>468</v>
      </c>
      <c r="E88" s="329" t="s">
        <v>469</v>
      </c>
      <c r="F88" s="330"/>
      <c r="H88" s="331" t="s">
        <v>466</v>
      </c>
      <c r="I88" s="333" t="s">
        <v>467</v>
      </c>
      <c r="J88" s="333" t="s">
        <v>468</v>
      </c>
      <c r="K88" s="333" t="s">
        <v>469</v>
      </c>
      <c r="L88" s="335"/>
      <c r="N88" s="331" t="s">
        <v>466</v>
      </c>
      <c r="O88" s="333" t="s">
        <v>467</v>
      </c>
      <c r="P88" s="333" t="s">
        <v>468</v>
      </c>
      <c r="Q88" s="333" t="s">
        <v>469</v>
      </c>
      <c r="R88" s="335"/>
      <c r="T88" s="331" t="s">
        <v>466</v>
      </c>
      <c r="U88" s="333" t="s">
        <v>467</v>
      </c>
      <c r="V88" s="333" t="s">
        <v>468</v>
      </c>
      <c r="W88" s="333" t="s">
        <v>469</v>
      </c>
      <c r="X88" s="335"/>
      <c r="Z88" s="331" t="s">
        <v>466</v>
      </c>
      <c r="AA88" s="333" t="s">
        <v>467</v>
      </c>
      <c r="AB88" s="333" t="s">
        <v>468</v>
      </c>
      <c r="AC88" s="333" t="s">
        <v>469</v>
      </c>
      <c r="AD88" s="335"/>
      <c r="AF88" s="331" t="s">
        <v>466</v>
      </c>
      <c r="AG88" s="333" t="s">
        <v>467</v>
      </c>
      <c r="AH88" s="333" t="s">
        <v>468</v>
      </c>
      <c r="AI88" s="333" t="s">
        <v>469</v>
      </c>
      <c r="AJ88" s="335"/>
      <c r="AL88" s="331" t="s">
        <v>466</v>
      </c>
      <c r="AM88" s="333" t="s">
        <v>467</v>
      </c>
      <c r="AN88" s="333" t="s">
        <v>468</v>
      </c>
      <c r="AO88" s="333" t="s">
        <v>469</v>
      </c>
      <c r="AP88" s="335"/>
      <c r="AR88" s="331" t="s">
        <v>466</v>
      </c>
      <c r="AS88" s="333" t="s">
        <v>467</v>
      </c>
      <c r="AT88" s="333" t="s">
        <v>468</v>
      </c>
      <c r="AU88" s="333" t="s">
        <v>469</v>
      </c>
      <c r="AV88" s="335"/>
      <c r="AX88" s="331" t="s">
        <v>466</v>
      </c>
      <c r="AY88" s="333" t="s">
        <v>467</v>
      </c>
      <c r="AZ88" s="333" t="s">
        <v>468</v>
      </c>
      <c r="BA88" s="333" t="s">
        <v>469</v>
      </c>
      <c r="BB88" s="335"/>
      <c r="BD88" s="331" t="s">
        <v>466</v>
      </c>
      <c r="BE88" s="333" t="s">
        <v>467</v>
      </c>
      <c r="BF88" s="333" t="s">
        <v>468</v>
      </c>
      <c r="BG88" s="333" t="s">
        <v>469</v>
      </c>
      <c r="BH88" s="335"/>
    </row>
    <row r="89" spans="2:63" ht="14.4" thickBot="1" x14ac:dyDescent="0.3">
      <c r="B89" s="326"/>
      <c r="C89" s="328"/>
      <c r="D89" s="328"/>
      <c r="E89" s="232" t="s">
        <v>403</v>
      </c>
      <c r="F89" s="174" t="s">
        <v>402</v>
      </c>
      <c r="H89" s="332"/>
      <c r="I89" s="334"/>
      <c r="J89" s="334"/>
      <c r="K89" s="232" t="s">
        <v>403</v>
      </c>
      <c r="L89" s="174" t="s">
        <v>402</v>
      </c>
      <c r="N89" s="332"/>
      <c r="O89" s="334"/>
      <c r="P89" s="334"/>
      <c r="Q89" s="232" t="s">
        <v>403</v>
      </c>
      <c r="R89" s="174" t="s">
        <v>402</v>
      </c>
      <c r="T89" s="332"/>
      <c r="U89" s="334"/>
      <c r="V89" s="334"/>
      <c r="W89" s="232" t="s">
        <v>403</v>
      </c>
      <c r="X89" s="174" t="s">
        <v>402</v>
      </c>
      <c r="Z89" s="332"/>
      <c r="AA89" s="334"/>
      <c r="AB89" s="334"/>
      <c r="AC89" s="232" t="s">
        <v>403</v>
      </c>
      <c r="AD89" s="174" t="s">
        <v>402</v>
      </c>
      <c r="AF89" s="332"/>
      <c r="AG89" s="334"/>
      <c r="AH89" s="334"/>
      <c r="AI89" s="232" t="s">
        <v>403</v>
      </c>
      <c r="AJ89" s="174" t="s">
        <v>402</v>
      </c>
      <c r="AL89" s="332"/>
      <c r="AM89" s="334"/>
      <c r="AN89" s="334"/>
      <c r="AO89" s="232" t="s">
        <v>403</v>
      </c>
      <c r="AP89" s="174" t="s">
        <v>402</v>
      </c>
      <c r="AR89" s="332"/>
      <c r="AS89" s="334"/>
      <c r="AT89" s="334"/>
      <c r="AU89" s="232" t="s">
        <v>403</v>
      </c>
      <c r="AV89" s="174" t="s">
        <v>402</v>
      </c>
      <c r="AX89" s="332"/>
      <c r="AY89" s="334"/>
      <c r="AZ89" s="334"/>
      <c r="BA89" s="232" t="s">
        <v>403</v>
      </c>
      <c r="BB89" s="174" t="s">
        <v>402</v>
      </c>
      <c r="BD89" s="332"/>
      <c r="BE89" s="334"/>
      <c r="BF89" s="334"/>
      <c r="BG89" s="232" t="s">
        <v>403</v>
      </c>
      <c r="BH89" s="174" t="s">
        <v>402</v>
      </c>
    </row>
    <row r="90" spans="2:63" ht="14.4" thickTop="1" x14ac:dyDescent="0.25">
      <c r="B90" s="236">
        <v>41670</v>
      </c>
      <c r="C90" s="171"/>
      <c r="D90" s="166" t="s">
        <v>470</v>
      </c>
      <c r="E90" s="167">
        <f>SUMIF('Libro Diario Convencional'!$B$15:$B$167,D84,'Libro Diario Convencional'!$I$15:$I$167)</f>
        <v>30796.627118644068</v>
      </c>
      <c r="F90" s="168">
        <f>SUMIF('Libro Diario Convencional'!$B$15:$B$167,D84,'Libro Diario Convencional'!$J$15:$J$167)</f>
        <v>176982</v>
      </c>
      <c r="G90" s="9"/>
      <c r="H90" s="236">
        <v>41670</v>
      </c>
      <c r="I90" s="171"/>
      <c r="J90" s="166" t="s">
        <v>470</v>
      </c>
      <c r="K90" s="167">
        <f>SUMIF('Libro Diario Convencional'!$B$15:$B$167,J84,'Libro Diario Convencional'!$I$15:$I$167)</f>
        <v>0</v>
      </c>
      <c r="L90" s="168">
        <f>SUMIF('Libro Diario Convencional'!$B$15:$B$167,J84,'Libro Diario Convencional'!$J$15:$J$167)</f>
        <v>261858</v>
      </c>
      <c r="M90" s="9"/>
      <c r="N90" s="236">
        <v>41670</v>
      </c>
      <c r="O90" s="171"/>
      <c r="P90" s="166" t="s">
        <v>470</v>
      </c>
      <c r="Q90" s="167">
        <f>SUMIF('Libro Diario Convencional'!$B$15:$B$167,P84,'Libro Diario Convencional'!$I$15:$I$167)</f>
        <v>181838</v>
      </c>
      <c r="R90" s="168">
        <f>SUMIF('Libro Diario Convencional'!$B$15:$B$167,P84,'Libro Diario Convencional'!$J$15:$J$167)</f>
        <v>192878</v>
      </c>
      <c r="S90" s="9"/>
      <c r="T90" s="236">
        <v>41670</v>
      </c>
      <c r="U90" s="171"/>
      <c r="V90" s="166" t="s">
        <v>470</v>
      </c>
      <c r="W90" s="167">
        <f>SUMIF('Libro Diario Convencional'!$B$15:$B$167,V84,'Libro Diario Convencional'!$I$15:$I$167)</f>
        <v>0</v>
      </c>
      <c r="X90" s="168">
        <f>SUMIF('Libro Diario Convencional'!$B$15:$B$167,V84,'Libro Diario Convencional'!$J$15:$J$167)</f>
        <v>0</v>
      </c>
      <c r="Y90" s="9"/>
      <c r="Z90" s="236">
        <v>41670</v>
      </c>
      <c r="AA90" s="171"/>
      <c r="AB90" s="166" t="s">
        <v>470</v>
      </c>
      <c r="AC90" s="167">
        <f>SUMIF('Libro Diario Convencional'!$B$15:$B$167,AB84,'Libro Diario Convencional'!$I$15:$I$167)</f>
        <v>0</v>
      </c>
      <c r="AD90" s="168">
        <f>SUMIF('Libro Diario Convencional'!$B$15:$B$167,AB84,'Libro Diario Convencional'!$J$15:$J$167)</f>
        <v>0</v>
      </c>
      <c r="AE90" s="9"/>
      <c r="AF90" s="236">
        <v>41670</v>
      </c>
      <c r="AG90" s="171"/>
      <c r="AH90" s="166" t="s">
        <v>470</v>
      </c>
      <c r="AI90" s="167">
        <f>SUMIF('Libro Diario Convencional'!$B$15:$B$167,AH84,'Libro Diario Convencional'!$I$15:$I$167)</f>
        <v>0</v>
      </c>
      <c r="AJ90" s="168">
        <f>SUMIF('Libro Diario Convencional'!$B$15:$B$167,AH84,'Libro Diario Convencional'!$J$15:$J$167)</f>
        <v>0</v>
      </c>
      <c r="AK90" s="9"/>
      <c r="AL90" s="236">
        <v>41670</v>
      </c>
      <c r="AM90" s="171"/>
      <c r="AN90" s="166" t="s">
        <v>470</v>
      </c>
      <c r="AO90" s="167">
        <f>SUMIF('Libro Diario Convencional'!$B$15:$B$167,AN84,'Libro Diario Convencional'!$I$15:$I$167)</f>
        <v>9971</v>
      </c>
      <c r="AP90" s="168">
        <f>SUMIF('Libro Diario Convencional'!$B$15:$B$167,AN84,'Libro Diario Convencional'!$J$15:$J$167)</f>
        <v>20051</v>
      </c>
      <c r="AQ90" s="9"/>
      <c r="AR90" s="236">
        <v>41670</v>
      </c>
      <c r="AS90" s="171"/>
      <c r="AT90" s="166" t="s">
        <v>470</v>
      </c>
      <c r="AU90" s="167">
        <f>SUMIF('Libro Diario Convencional'!$B$15:$B$167,AT84,'Libro Diario Convencional'!$I$15:$I$167)</f>
        <v>0</v>
      </c>
      <c r="AV90" s="168">
        <f>SUMIF('Libro Diario Convencional'!$B$15:$B$167,AT84,'Libro Diario Convencional'!$J$15:$J$167)</f>
        <v>0</v>
      </c>
      <c r="AW90" s="9"/>
      <c r="AX90" s="236">
        <v>41670</v>
      </c>
      <c r="AY90" s="171"/>
      <c r="AZ90" s="166" t="s">
        <v>470</v>
      </c>
      <c r="BA90" s="167">
        <f>SUMIF('Libro Diario Convencional'!$B$15:$B$167,AZ84,'Libro Diario Convencional'!$I$15:$I$167)</f>
        <v>0</v>
      </c>
      <c r="BB90" s="168">
        <f>SUMIF('Libro Diario Convencional'!$B$15:$B$167,AZ84,'Libro Diario Convencional'!$J$15:$J$167)</f>
        <v>0</v>
      </c>
      <c r="BD90" s="236">
        <v>41670</v>
      </c>
      <c r="BE90" s="171"/>
      <c r="BF90" s="166" t="s">
        <v>470</v>
      </c>
      <c r="BG90" s="167">
        <f>SUMIF('Libro Diario Convencional'!$B$15:$B$167,BF84,'Libro Diario Convencional'!$I$15:$I$167)</f>
        <v>0</v>
      </c>
      <c r="BH90" s="168">
        <f>SUMIF('Libro Diario Convencional'!$B$15:$B$167,BF84,'Libro Diario Convencional'!$J$15:$J$167)</f>
        <v>0</v>
      </c>
    </row>
    <row r="91" spans="2:63" x14ac:dyDescent="0.25">
      <c r="B91" s="169"/>
      <c r="C91" s="172"/>
      <c r="D91" s="161"/>
      <c r="E91" s="162"/>
      <c r="F91" s="163"/>
      <c r="G91" s="9"/>
      <c r="H91" s="169"/>
      <c r="I91" s="172"/>
      <c r="J91" s="161"/>
      <c r="K91" s="162"/>
      <c r="L91" s="163"/>
      <c r="M91" s="9"/>
      <c r="N91" s="169"/>
      <c r="O91" s="172"/>
      <c r="P91" s="161"/>
      <c r="Q91" s="162"/>
      <c r="R91" s="163"/>
      <c r="S91" s="9"/>
      <c r="T91" s="169"/>
      <c r="U91" s="172"/>
      <c r="V91" s="161"/>
      <c r="W91" s="162"/>
      <c r="X91" s="163"/>
      <c r="Y91" s="9"/>
      <c r="Z91" s="169"/>
      <c r="AA91" s="172"/>
      <c r="AB91" s="161"/>
      <c r="AC91" s="162"/>
      <c r="AD91" s="163"/>
      <c r="AE91" s="9"/>
      <c r="AF91" s="169"/>
      <c r="AG91" s="172"/>
      <c r="AH91" s="161"/>
      <c r="AI91" s="162"/>
      <c r="AJ91" s="163"/>
      <c r="AK91" s="9"/>
      <c r="AL91" s="169"/>
      <c r="AM91" s="172"/>
      <c r="AN91" s="161"/>
      <c r="AO91" s="162"/>
      <c r="AP91" s="163"/>
      <c r="AQ91" s="9"/>
      <c r="AR91" s="169"/>
      <c r="AS91" s="172"/>
      <c r="AT91" s="161"/>
      <c r="AU91" s="162"/>
      <c r="AV91" s="163"/>
      <c r="AW91" s="9"/>
      <c r="AX91" s="169"/>
      <c r="AY91" s="172"/>
      <c r="AZ91" s="161"/>
      <c r="BA91" s="162"/>
      <c r="BB91" s="163"/>
      <c r="BD91" s="169"/>
      <c r="BE91" s="172"/>
      <c r="BF91" s="161"/>
      <c r="BG91" s="162"/>
      <c r="BH91" s="163"/>
    </row>
    <row r="92" spans="2:63" x14ac:dyDescent="0.25">
      <c r="B92" s="169"/>
      <c r="C92" s="172"/>
      <c r="D92" s="161"/>
      <c r="E92" s="162"/>
      <c r="F92" s="163"/>
      <c r="G92" s="9"/>
      <c r="H92" s="169"/>
      <c r="I92" s="172"/>
      <c r="J92" s="161"/>
      <c r="K92" s="162"/>
      <c r="L92" s="163"/>
      <c r="M92" s="9"/>
      <c r="N92" s="169"/>
      <c r="O92" s="172"/>
      <c r="P92" s="161"/>
      <c r="Q92" s="162"/>
      <c r="R92" s="163"/>
      <c r="S92" s="9"/>
      <c r="T92" s="169"/>
      <c r="U92" s="172"/>
      <c r="V92" s="161"/>
      <c r="W92" s="162"/>
      <c r="X92" s="163"/>
      <c r="Y92" s="9"/>
      <c r="Z92" s="169"/>
      <c r="AA92" s="172"/>
      <c r="AB92" s="161"/>
      <c r="AC92" s="162"/>
      <c r="AD92" s="163"/>
      <c r="AE92" s="9"/>
      <c r="AF92" s="169"/>
      <c r="AG92" s="172"/>
      <c r="AH92" s="161"/>
      <c r="AI92" s="162"/>
      <c r="AJ92" s="163"/>
      <c r="AK92" s="9"/>
      <c r="AL92" s="169"/>
      <c r="AM92" s="172"/>
      <c r="AN92" s="161"/>
      <c r="AO92" s="162"/>
      <c r="AP92" s="163"/>
      <c r="AQ92" s="9"/>
      <c r="AR92" s="169"/>
      <c r="AS92" s="172"/>
      <c r="AT92" s="161"/>
      <c r="AU92" s="162"/>
      <c r="AV92" s="163"/>
      <c r="AW92" s="9"/>
      <c r="AX92" s="169"/>
      <c r="AY92" s="172"/>
      <c r="AZ92" s="161"/>
      <c r="BA92" s="162"/>
      <c r="BB92" s="163"/>
      <c r="BD92" s="169"/>
      <c r="BE92" s="172"/>
      <c r="BF92" s="161"/>
      <c r="BG92" s="162"/>
      <c r="BH92" s="163"/>
    </row>
    <row r="93" spans="2:63" ht="14.4" thickBot="1" x14ac:dyDescent="0.3">
      <c r="B93" s="169"/>
      <c r="C93" s="172"/>
      <c r="D93" s="161"/>
      <c r="E93" s="162"/>
      <c r="F93" s="163"/>
      <c r="G93" s="9"/>
      <c r="H93" s="169"/>
      <c r="I93" s="172"/>
      <c r="J93" s="161"/>
      <c r="K93" s="162"/>
      <c r="L93" s="163"/>
      <c r="M93" s="9"/>
      <c r="N93" s="169"/>
      <c r="O93" s="172"/>
      <c r="P93" s="161"/>
      <c r="Q93" s="162"/>
      <c r="R93" s="163"/>
      <c r="S93" s="9"/>
      <c r="T93" s="169"/>
      <c r="U93" s="172"/>
      <c r="V93" s="161"/>
      <c r="W93" s="162"/>
      <c r="X93" s="163"/>
      <c r="Y93" s="9"/>
      <c r="Z93" s="169"/>
      <c r="AA93" s="172"/>
      <c r="AB93" s="161"/>
      <c r="AC93" s="162"/>
      <c r="AD93" s="163"/>
      <c r="AE93" s="9"/>
      <c r="AF93" s="169"/>
      <c r="AG93" s="172"/>
      <c r="AH93" s="161"/>
      <c r="AI93" s="162"/>
      <c r="AJ93" s="163"/>
      <c r="AK93" s="9"/>
      <c r="AL93" s="169"/>
      <c r="AM93" s="172"/>
      <c r="AN93" s="161"/>
      <c r="AO93" s="162"/>
      <c r="AP93" s="163"/>
      <c r="AQ93" s="9"/>
      <c r="AR93" s="169"/>
      <c r="AS93" s="172"/>
      <c r="AT93" s="161"/>
      <c r="AU93" s="162"/>
      <c r="AV93" s="163"/>
      <c r="AW93" s="9"/>
      <c r="AX93" s="169"/>
      <c r="AY93" s="172"/>
      <c r="AZ93" s="161"/>
      <c r="BA93" s="162"/>
      <c r="BB93" s="163"/>
      <c r="BD93" s="169"/>
      <c r="BE93" s="172"/>
      <c r="BF93" s="161"/>
      <c r="BG93" s="162"/>
      <c r="BH93" s="163"/>
    </row>
    <row r="94" spans="2:63" ht="15" thickBot="1" x14ac:dyDescent="0.3">
      <c r="B94" s="169"/>
      <c r="C94" s="172"/>
      <c r="D94" s="161" t="s">
        <v>471</v>
      </c>
      <c r="E94" s="162">
        <f>SUM(E90:E93)</f>
        <v>30796.627118644068</v>
      </c>
      <c r="F94" s="163">
        <f>SUM(F90:F93)</f>
        <v>176982</v>
      </c>
      <c r="G94" s="9"/>
      <c r="H94" s="169"/>
      <c r="I94" s="172"/>
      <c r="J94" s="161" t="s">
        <v>471</v>
      </c>
      <c r="K94" s="162">
        <f>SUM(K90:K93)</f>
        <v>0</v>
      </c>
      <c r="L94" s="163">
        <f>SUM(L90:L93)</f>
        <v>261858</v>
      </c>
      <c r="M94" s="9"/>
      <c r="N94" s="169"/>
      <c r="O94" s="172"/>
      <c r="P94" s="161" t="s">
        <v>471</v>
      </c>
      <c r="Q94" s="162">
        <f>SUM(Q90:Q93)</f>
        <v>181838</v>
      </c>
      <c r="R94" s="163">
        <f>SUM(R90:R93)</f>
        <v>192878</v>
      </c>
      <c r="S94" s="9"/>
      <c r="T94" s="169"/>
      <c r="U94" s="172"/>
      <c r="V94" s="161" t="s">
        <v>471</v>
      </c>
      <c r="W94" s="162">
        <f>SUM(W90:W93)</f>
        <v>0</v>
      </c>
      <c r="X94" s="163">
        <f>SUM(X90:X93)</f>
        <v>0</v>
      </c>
      <c r="Y94" s="9"/>
      <c r="Z94" s="169"/>
      <c r="AA94" s="172"/>
      <c r="AB94" s="161" t="s">
        <v>471</v>
      </c>
      <c r="AC94" s="162">
        <f>SUM(AC90:AC93)</f>
        <v>0</v>
      </c>
      <c r="AD94" s="163">
        <f>SUM(AD90:AD93)</f>
        <v>0</v>
      </c>
      <c r="AE94" s="9"/>
      <c r="AF94" s="169"/>
      <c r="AG94" s="172"/>
      <c r="AH94" s="161" t="s">
        <v>471</v>
      </c>
      <c r="AI94" s="162">
        <f>SUM(AI90:AI93)</f>
        <v>0</v>
      </c>
      <c r="AJ94" s="163">
        <f>SUM(AJ90:AJ93)</f>
        <v>0</v>
      </c>
      <c r="AK94" s="9"/>
      <c r="AL94" s="169"/>
      <c r="AM94" s="172"/>
      <c r="AN94" s="161" t="s">
        <v>471</v>
      </c>
      <c r="AO94" s="162">
        <f>SUM(AO90:AO93)</f>
        <v>9971</v>
      </c>
      <c r="AP94" s="163">
        <f>SUM(AP90:AP93)</f>
        <v>20051</v>
      </c>
      <c r="AQ94" s="9"/>
      <c r="AR94" s="169"/>
      <c r="AS94" s="172"/>
      <c r="AT94" s="161" t="s">
        <v>471</v>
      </c>
      <c r="AU94" s="162">
        <f>SUM(AU90:AU93)</f>
        <v>0</v>
      </c>
      <c r="AV94" s="163">
        <f>SUM(AV90:AV93)</f>
        <v>0</v>
      </c>
      <c r="AW94" s="9"/>
      <c r="AX94" s="169"/>
      <c r="AY94" s="172"/>
      <c r="AZ94" s="161" t="s">
        <v>471</v>
      </c>
      <c r="BA94" s="162">
        <f>SUM(BA90:BA93)</f>
        <v>0</v>
      </c>
      <c r="BB94" s="163">
        <f>SUM(BB90:BB93)</f>
        <v>0</v>
      </c>
      <c r="BD94" s="169"/>
      <c r="BE94" s="172"/>
      <c r="BF94" s="161" t="s">
        <v>471</v>
      </c>
      <c r="BG94" s="162">
        <f>SUM(BG90:BG93)</f>
        <v>0</v>
      </c>
      <c r="BH94" s="163">
        <f>SUM(BH90:BH93)</f>
        <v>0</v>
      </c>
      <c r="BJ94" s="157">
        <f>SUM(E94,K94,Q94,W94,AC94,AI94,AO94,AU94,BA94,BG94)</f>
        <v>222605.62711864407</v>
      </c>
      <c r="BK94" s="158">
        <f>SUM(F94,L94,R94,X94,AD94,AJ94,AP94,AV94,BB94,BH94)</f>
        <v>651769</v>
      </c>
    </row>
    <row r="95" spans="2:63" ht="14.4" thickBot="1" x14ac:dyDescent="0.3">
      <c r="B95" s="170"/>
      <c r="C95" s="173"/>
      <c r="D95" s="164" t="str">
        <f>IF(E94=F94,"",IF(E94&gt;F94,"Saldo Deudor","Saldo Acreedor"))</f>
        <v>Saldo Acreedor</v>
      </c>
      <c r="E95" s="165" t="str">
        <f>IF(E94&gt;F94,E94-F94,"")</f>
        <v/>
      </c>
      <c r="F95" s="176">
        <f>IF(E94&lt;F94,F94-E94,"")</f>
        <v>146185.37288135593</v>
      </c>
      <c r="H95" s="170"/>
      <c r="I95" s="173"/>
      <c r="J95" s="164" t="str">
        <f>IF(K94=L94,"",IF(K94&gt;L94,"Saldo Deudor","Saldo Acreedor"))</f>
        <v>Saldo Acreedor</v>
      </c>
      <c r="K95" s="165" t="str">
        <f>IF(K94&gt;L94,K94-L94,"")</f>
        <v/>
      </c>
      <c r="L95" s="176">
        <f>IF(K94&lt;L94,L94-K94,"")</f>
        <v>261858</v>
      </c>
      <c r="N95" s="170"/>
      <c r="O95" s="173"/>
      <c r="P95" s="164" t="str">
        <f>IF(Q94=R94,"",IF(Q94&gt;R94,"Saldo Deudor","Saldo Acreedor"))</f>
        <v>Saldo Acreedor</v>
      </c>
      <c r="Q95" s="165" t="str">
        <f>IF(Q94&gt;R94,Q94-R94,"")</f>
        <v/>
      </c>
      <c r="R95" s="176">
        <f>IF(Q94&lt;R94,R94-Q94,"")</f>
        <v>11040</v>
      </c>
      <c r="T95" s="170"/>
      <c r="U95" s="173"/>
      <c r="V95" s="164" t="str">
        <f>IF(W94=X94,"",IF(W94&gt;X94,"Saldo Deudor","Saldo Acreedor"))</f>
        <v/>
      </c>
      <c r="W95" s="165" t="str">
        <f>IF(W94&gt;X94,W94-X94,"")</f>
        <v/>
      </c>
      <c r="X95" s="176" t="str">
        <f>IF(W94&lt;X94,X94-W94,"")</f>
        <v/>
      </c>
      <c r="Z95" s="170"/>
      <c r="AA95" s="173"/>
      <c r="AB95" s="164" t="str">
        <f>IF(AC94=AD94,"",IF(AC94&gt;AD94,"Saldo Deudor","Saldo Acreedor"))</f>
        <v/>
      </c>
      <c r="AC95" s="165" t="str">
        <f>IF(AC94&gt;AD94,AC94-AD94,"")</f>
        <v/>
      </c>
      <c r="AD95" s="176" t="str">
        <f>IF(AC94&lt;AD94,AD94-AC94,"")</f>
        <v/>
      </c>
      <c r="AF95" s="170"/>
      <c r="AG95" s="173"/>
      <c r="AH95" s="164" t="str">
        <f>IF(AI94=AJ94,"",IF(AI94&gt;AJ94,"Saldo Deudor","Saldo Acreedor"))</f>
        <v/>
      </c>
      <c r="AI95" s="165" t="str">
        <f>IF(AI94&gt;AJ94,AI94-AJ94,"")</f>
        <v/>
      </c>
      <c r="AJ95" s="176" t="str">
        <f>IF(AI94&lt;AJ94,AJ94-AI94,"")</f>
        <v/>
      </c>
      <c r="AL95" s="170"/>
      <c r="AM95" s="173"/>
      <c r="AN95" s="164" t="str">
        <f>IF(AO94=AP94,"",IF(AO94&gt;AP94,"Saldo Deudor","Saldo Acreedor"))</f>
        <v>Saldo Acreedor</v>
      </c>
      <c r="AO95" s="165" t="str">
        <f>IF(AO94&gt;AP94,AO94-AP94,"")</f>
        <v/>
      </c>
      <c r="AP95" s="176">
        <f>IF(AO94&lt;AP94,AP94-AO94,"")</f>
        <v>10080</v>
      </c>
      <c r="AR95" s="170"/>
      <c r="AS95" s="173"/>
      <c r="AT95" s="164" t="str">
        <f>IF(AU94=AV94,"",IF(AU94&gt;AV94,"Saldo Deudor","Saldo Acreedor"))</f>
        <v/>
      </c>
      <c r="AU95" s="165" t="str">
        <f>IF(AU94&gt;AV94,AU94-AV94,"")</f>
        <v/>
      </c>
      <c r="AV95" s="176" t="str">
        <f>IF(AU94&lt;AV94,AV94-AU94,"")</f>
        <v/>
      </c>
      <c r="AX95" s="170"/>
      <c r="AY95" s="173"/>
      <c r="AZ95" s="164" t="str">
        <f>IF(BA94=BB94,"",IF(BA94&gt;BB94,"Saldo Deudor","Saldo Acreedor"))</f>
        <v/>
      </c>
      <c r="BA95" s="165" t="str">
        <f>IF(BA94&gt;BB94,BA94-BB94,"")</f>
        <v/>
      </c>
      <c r="BB95" s="176" t="str">
        <f>IF(BA94&lt;BB94,BB94-BA94,"")</f>
        <v/>
      </c>
      <c r="BD95" s="170"/>
      <c r="BE95" s="173"/>
      <c r="BF95" s="164" t="str">
        <f>IF(BG94=BH94,"",IF(BG94&gt;BH94,"Saldo Deudor","Saldo Acreedor"))</f>
        <v/>
      </c>
      <c r="BG95" s="165" t="str">
        <f>IF(BG94&gt;BH94,BG94-BH94,"")</f>
        <v/>
      </c>
      <c r="BH95" s="176" t="str">
        <f>IF(BG94&lt;BH94,BH94-BG94,"")</f>
        <v/>
      </c>
    </row>
    <row r="98" spans="2:42" ht="15.6" x14ac:dyDescent="0.25">
      <c r="B98" s="324" t="s">
        <v>321</v>
      </c>
      <c r="C98" s="324"/>
      <c r="D98" s="233" t="str">
        <f>'Base de Datos'!$C$756</f>
        <v>LIBRO MAYOR</v>
      </c>
      <c r="H98" s="324" t="s">
        <v>321</v>
      </c>
      <c r="I98" s="324"/>
      <c r="J98" s="233" t="str">
        <f>'Base de Datos'!$C$756</f>
        <v>LIBRO MAYOR</v>
      </c>
      <c r="N98" s="324" t="s">
        <v>321</v>
      </c>
      <c r="O98" s="324"/>
      <c r="P98" s="233" t="str">
        <f>'Base de Datos'!$C$756</f>
        <v>LIBRO MAYOR</v>
      </c>
      <c r="T98" s="324" t="s">
        <v>321</v>
      </c>
      <c r="U98" s="324"/>
      <c r="V98" s="233" t="str">
        <f>'Base de Datos'!$C$756</f>
        <v>LIBRO MAYOR</v>
      </c>
      <c r="Z98" s="324" t="s">
        <v>321</v>
      </c>
      <c r="AA98" s="324"/>
      <c r="AB98" s="233" t="str">
        <f>'Base de Datos'!$C$756</f>
        <v>LIBRO MAYOR</v>
      </c>
      <c r="AF98" s="324" t="s">
        <v>321</v>
      </c>
      <c r="AG98" s="324"/>
      <c r="AH98" s="233" t="str">
        <f>'Base de Datos'!$C$756</f>
        <v>LIBRO MAYOR</v>
      </c>
      <c r="AL98" s="324" t="s">
        <v>321</v>
      </c>
      <c r="AM98" s="324"/>
      <c r="AN98" s="233" t="str">
        <f>'Base de Datos'!$C$756</f>
        <v>LIBRO MAYOR</v>
      </c>
    </row>
    <row r="99" spans="2:42" x14ac:dyDescent="0.25">
      <c r="C99" s="2"/>
      <c r="D99" s="2"/>
      <c r="E99" s="2"/>
      <c r="I99" s="2"/>
      <c r="J99" s="2"/>
      <c r="K99" s="2"/>
      <c r="O99" s="2"/>
      <c r="P99" s="2"/>
      <c r="Q99" s="2"/>
      <c r="U99" s="2"/>
      <c r="V99" s="2"/>
      <c r="W99" s="2"/>
      <c r="AA99" s="2"/>
      <c r="AB99" s="2"/>
      <c r="AC99" s="2"/>
      <c r="AG99" s="2"/>
      <c r="AH99" s="2"/>
      <c r="AI99" s="2"/>
      <c r="AM99" s="2"/>
      <c r="AN99" s="2"/>
      <c r="AO99" s="2"/>
    </row>
    <row r="100" spans="2:42" ht="15.6" x14ac:dyDescent="0.25">
      <c r="B100" s="324" t="s">
        <v>322</v>
      </c>
      <c r="C100" s="324"/>
      <c r="D100" s="234" t="str">
        <f>'Base de Datos'!$C$8</f>
        <v>MARZO</v>
      </c>
      <c r="E100" s="160"/>
      <c r="H100" s="324" t="s">
        <v>322</v>
      </c>
      <c r="I100" s="324"/>
      <c r="J100" s="234" t="str">
        <f>'Base de Datos'!$C$8</f>
        <v>MARZO</v>
      </c>
      <c r="K100" s="160"/>
      <c r="N100" s="324" t="s">
        <v>322</v>
      </c>
      <c r="O100" s="324"/>
      <c r="P100" s="234" t="str">
        <f>'Base de Datos'!$C$8</f>
        <v>MARZO</v>
      </c>
      <c r="Q100" s="160"/>
      <c r="T100" s="324" t="s">
        <v>322</v>
      </c>
      <c r="U100" s="324"/>
      <c r="V100" s="234" t="str">
        <f>'Base de Datos'!$C$8</f>
        <v>MARZO</v>
      </c>
      <c r="W100" s="160"/>
      <c r="Z100" s="324" t="s">
        <v>322</v>
      </c>
      <c r="AA100" s="324"/>
      <c r="AB100" s="234" t="str">
        <f>'Base de Datos'!$C$8</f>
        <v>MARZO</v>
      </c>
      <c r="AC100" s="160"/>
      <c r="AF100" s="324" t="s">
        <v>322</v>
      </c>
      <c r="AG100" s="324"/>
      <c r="AH100" s="234" t="str">
        <f>'Base de Datos'!$C$8</f>
        <v>MARZO</v>
      </c>
      <c r="AI100" s="160"/>
      <c r="AL100" s="324" t="s">
        <v>322</v>
      </c>
      <c r="AM100" s="324"/>
      <c r="AN100" s="234" t="str">
        <f>'Base de Datos'!$C$8</f>
        <v>MARZO</v>
      </c>
      <c r="AO100" s="160"/>
    </row>
    <row r="101" spans="2:42" x14ac:dyDescent="0.25">
      <c r="C101" s="2"/>
      <c r="D101" s="2"/>
      <c r="E101" s="2"/>
      <c r="I101" s="2"/>
      <c r="J101" s="2"/>
      <c r="K101" s="2"/>
      <c r="O101" s="2"/>
      <c r="P101" s="2"/>
      <c r="Q101" s="2"/>
      <c r="U101" s="2"/>
      <c r="V101" s="2"/>
      <c r="W101" s="2"/>
      <c r="AA101" s="2"/>
      <c r="AB101" s="2"/>
      <c r="AC101" s="2"/>
      <c r="AG101" s="2"/>
      <c r="AH101" s="2"/>
      <c r="AI101" s="2"/>
      <c r="AM101" s="2"/>
      <c r="AN101" s="2"/>
      <c r="AO101" s="2"/>
    </row>
    <row r="102" spans="2:42" ht="15.6" x14ac:dyDescent="0.25">
      <c r="B102" s="324" t="s">
        <v>323</v>
      </c>
      <c r="C102" s="324"/>
      <c r="D102" s="231">
        <f>'Base de Datos'!$C$9</f>
        <v>2015</v>
      </c>
      <c r="E102" s="2"/>
      <c r="H102" s="324" t="s">
        <v>323</v>
      </c>
      <c r="I102" s="324"/>
      <c r="J102" s="231">
        <f>'Base de Datos'!$C$9</f>
        <v>2015</v>
      </c>
      <c r="K102" s="2"/>
      <c r="N102" s="324" t="s">
        <v>323</v>
      </c>
      <c r="O102" s="324"/>
      <c r="P102" s="231">
        <f>'Base de Datos'!$C$9</f>
        <v>2015</v>
      </c>
      <c r="Q102" s="2"/>
      <c r="T102" s="324" t="s">
        <v>323</v>
      </c>
      <c r="U102" s="324"/>
      <c r="V102" s="231">
        <f>'Base de Datos'!$C$9</f>
        <v>2015</v>
      </c>
      <c r="W102" s="2"/>
      <c r="Z102" s="324" t="s">
        <v>323</v>
      </c>
      <c r="AA102" s="324"/>
      <c r="AB102" s="231">
        <f>'Base de Datos'!$C$9</f>
        <v>2015</v>
      </c>
      <c r="AC102" s="2"/>
      <c r="AF102" s="324" t="s">
        <v>323</v>
      </c>
      <c r="AG102" s="324"/>
      <c r="AH102" s="231">
        <f>'Base de Datos'!$C$9</f>
        <v>2015</v>
      </c>
      <c r="AI102" s="2"/>
      <c r="AL102" s="324" t="s">
        <v>323</v>
      </c>
      <c r="AM102" s="324"/>
      <c r="AN102" s="231">
        <f>'Base de Datos'!$C$9</f>
        <v>2015</v>
      </c>
      <c r="AO102" s="2"/>
    </row>
    <row r="103" spans="2:42" x14ac:dyDescent="0.25">
      <c r="C103" s="2"/>
      <c r="D103" s="2"/>
      <c r="E103" s="2"/>
      <c r="I103" s="2"/>
      <c r="J103" s="2"/>
      <c r="K103" s="2"/>
      <c r="O103" s="2"/>
      <c r="P103" s="2"/>
      <c r="Q103" s="2"/>
      <c r="U103" s="2"/>
      <c r="V103" s="2"/>
      <c r="W103" s="2"/>
      <c r="AA103" s="2"/>
      <c r="AB103" s="2"/>
      <c r="AC103" s="2"/>
      <c r="AG103" s="2"/>
      <c r="AH103" s="2"/>
      <c r="AI103" s="2"/>
      <c r="AM103" s="2"/>
      <c r="AN103" s="2"/>
      <c r="AO103" s="2"/>
    </row>
    <row r="104" spans="2:42" ht="15.6" x14ac:dyDescent="0.25">
      <c r="B104" s="324" t="s">
        <v>324</v>
      </c>
      <c r="C104" s="324"/>
      <c r="D104" s="316">
        <f>'Base de Datos'!$C$6</f>
        <v>20411074561</v>
      </c>
      <c r="E104" s="316"/>
      <c r="H104" s="324" t="s">
        <v>324</v>
      </c>
      <c r="I104" s="324"/>
      <c r="J104" s="316">
        <f>'Base de Datos'!$C$6</f>
        <v>20411074561</v>
      </c>
      <c r="K104" s="316"/>
      <c r="N104" s="324" t="s">
        <v>324</v>
      </c>
      <c r="O104" s="324"/>
      <c r="P104" s="316">
        <f>'Base de Datos'!$C$6</f>
        <v>20411074561</v>
      </c>
      <c r="Q104" s="316"/>
      <c r="T104" s="324" t="s">
        <v>324</v>
      </c>
      <c r="U104" s="324"/>
      <c r="V104" s="316">
        <f>'Base de Datos'!$C$6</f>
        <v>20411074561</v>
      </c>
      <c r="W104" s="316"/>
      <c r="Z104" s="324" t="s">
        <v>324</v>
      </c>
      <c r="AA104" s="324"/>
      <c r="AB104" s="316">
        <f>'Base de Datos'!$C$6</f>
        <v>20411074561</v>
      </c>
      <c r="AC104" s="316"/>
      <c r="AF104" s="324" t="s">
        <v>324</v>
      </c>
      <c r="AG104" s="324"/>
      <c r="AH104" s="316">
        <f>'Base de Datos'!$C$6</f>
        <v>20411074561</v>
      </c>
      <c r="AI104" s="316"/>
      <c r="AL104" s="324" t="s">
        <v>324</v>
      </c>
      <c r="AM104" s="324"/>
      <c r="AN104" s="316">
        <f>'Base de Datos'!$C$6</f>
        <v>20411074561</v>
      </c>
      <c r="AO104" s="316"/>
    </row>
    <row r="105" spans="2:42" x14ac:dyDescent="0.25">
      <c r="C105" s="2"/>
      <c r="D105" s="2"/>
      <c r="E105" s="2"/>
      <c r="I105" s="2"/>
      <c r="J105" s="2"/>
      <c r="K105" s="2"/>
      <c r="O105" s="2"/>
      <c r="P105" s="2"/>
      <c r="Q105" s="2"/>
      <c r="U105" s="2"/>
      <c r="V105" s="2"/>
      <c r="W105" s="2"/>
      <c r="AA105" s="2"/>
      <c r="AB105" s="2"/>
      <c r="AC105" s="2"/>
      <c r="AG105" s="2"/>
      <c r="AH105" s="2"/>
      <c r="AI105" s="2"/>
      <c r="AM105" s="2"/>
      <c r="AN105" s="2"/>
      <c r="AO105" s="2"/>
    </row>
    <row r="106" spans="2:42" ht="15.6" x14ac:dyDescent="0.25">
      <c r="B106" s="324" t="s">
        <v>325</v>
      </c>
      <c r="C106" s="324"/>
      <c r="D106" s="234" t="str">
        <f>'Base de Datos'!$C$5</f>
        <v>LOS BAILARINES SRL</v>
      </c>
      <c r="E106" s="2"/>
      <c r="H106" s="324" t="s">
        <v>325</v>
      </c>
      <c r="I106" s="324"/>
      <c r="J106" s="234" t="str">
        <f>'Base de Datos'!$C$5</f>
        <v>LOS BAILARINES SRL</v>
      </c>
      <c r="K106" s="2"/>
      <c r="N106" s="324" t="s">
        <v>325</v>
      </c>
      <c r="O106" s="324"/>
      <c r="P106" s="234" t="str">
        <f>'Base de Datos'!$C$5</f>
        <v>LOS BAILARINES SRL</v>
      </c>
      <c r="Q106" s="2"/>
      <c r="T106" s="324" t="s">
        <v>325</v>
      </c>
      <c r="U106" s="324"/>
      <c r="V106" s="234" t="str">
        <f>'Base de Datos'!$C$5</f>
        <v>LOS BAILARINES SRL</v>
      </c>
      <c r="W106" s="2"/>
      <c r="Z106" s="324" t="s">
        <v>325</v>
      </c>
      <c r="AA106" s="324"/>
      <c r="AB106" s="234" t="str">
        <f>'Base de Datos'!$C$5</f>
        <v>LOS BAILARINES SRL</v>
      </c>
      <c r="AC106" s="2"/>
      <c r="AF106" s="324" t="s">
        <v>325</v>
      </c>
      <c r="AG106" s="324"/>
      <c r="AH106" s="234" t="str">
        <f>'Base de Datos'!$C$5</f>
        <v>LOS BAILARINES SRL</v>
      </c>
      <c r="AI106" s="2"/>
      <c r="AL106" s="324" t="s">
        <v>325</v>
      </c>
      <c r="AM106" s="324"/>
      <c r="AN106" s="234" t="str">
        <f>'Base de Datos'!$C$5</f>
        <v>LOS BAILARINES SRL</v>
      </c>
      <c r="AO106" s="2"/>
    </row>
    <row r="107" spans="2:42" x14ac:dyDescent="0.25">
      <c r="B107" s="160"/>
      <c r="C107" s="160"/>
      <c r="D107" s="160"/>
      <c r="E107" s="160"/>
      <c r="H107" s="160"/>
      <c r="I107" s="160"/>
      <c r="J107" s="160"/>
      <c r="K107" s="160"/>
      <c r="N107" s="160"/>
      <c r="O107" s="160"/>
      <c r="P107" s="160"/>
      <c r="Q107" s="160"/>
      <c r="T107" s="160"/>
      <c r="U107" s="160"/>
      <c r="V107" s="160"/>
      <c r="W107" s="160"/>
      <c r="Z107" s="160"/>
      <c r="AA107" s="160"/>
      <c r="AB107" s="160"/>
      <c r="AC107" s="160"/>
      <c r="AF107" s="160"/>
      <c r="AG107" s="160"/>
      <c r="AH107" s="160"/>
      <c r="AI107" s="160"/>
      <c r="AL107" s="160"/>
      <c r="AM107" s="160"/>
      <c r="AN107" s="160"/>
      <c r="AO107" s="160"/>
    </row>
    <row r="108" spans="2:42" ht="15.6" x14ac:dyDescent="0.25">
      <c r="B108" s="324" t="s">
        <v>472</v>
      </c>
      <c r="C108" s="324"/>
      <c r="D108" s="175">
        <v>50</v>
      </c>
      <c r="H108" s="324" t="s">
        <v>472</v>
      </c>
      <c r="I108" s="324"/>
      <c r="J108" s="175">
        <v>51</v>
      </c>
      <c r="N108" s="324" t="s">
        <v>472</v>
      </c>
      <c r="O108" s="324"/>
      <c r="P108" s="175">
        <v>52</v>
      </c>
      <c r="T108" s="324" t="s">
        <v>472</v>
      </c>
      <c r="U108" s="324"/>
      <c r="V108" s="175">
        <v>56</v>
      </c>
      <c r="Z108" s="324" t="s">
        <v>472</v>
      </c>
      <c r="AA108" s="324"/>
      <c r="AB108" s="175">
        <v>57</v>
      </c>
      <c r="AF108" s="324" t="s">
        <v>472</v>
      </c>
      <c r="AG108" s="324"/>
      <c r="AH108" s="175">
        <v>58</v>
      </c>
      <c r="AL108" s="324" t="s">
        <v>472</v>
      </c>
      <c r="AM108" s="324"/>
      <c r="AN108" s="175">
        <v>59</v>
      </c>
    </row>
    <row r="109" spans="2:42" x14ac:dyDescent="0.25">
      <c r="B109" s="160"/>
      <c r="C109" s="160"/>
      <c r="D109" s="160"/>
      <c r="E109" s="160"/>
      <c r="H109" s="160"/>
      <c r="I109" s="160"/>
      <c r="J109" s="160"/>
      <c r="K109" s="160"/>
      <c r="N109" s="160"/>
      <c r="O109" s="160"/>
      <c r="P109" s="160"/>
      <c r="Q109" s="160"/>
      <c r="T109" s="160"/>
      <c r="U109" s="160"/>
      <c r="V109" s="160"/>
      <c r="W109" s="160"/>
      <c r="Z109" s="160"/>
      <c r="AA109" s="160"/>
      <c r="AB109" s="160"/>
      <c r="AC109" s="160"/>
      <c r="AF109" s="160"/>
      <c r="AG109" s="160"/>
      <c r="AH109" s="160"/>
      <c r="AI109" s="160"/>
      <c r="AL109" s="160"/>
      <c r="AM109" s="160"/>
      <c r="AN109" s="160"/>
      <c r="AO109" s="160"/>
    </row>
    <row r="110" spans="2:42" ht="15.6" x14ac:dyDescent="0.25">
      <c r="B110" s="324" t="s">
        <v>473</v>
      </c>
      <c r="C110" s="324"/>
      <c r="D110" s="234" t="str">
        <f>VLOOKUP(D108,CuentasContables,5,FALSE)</f>
        <v>CAPITAL</v>
      </c>
      <c r="E110" s="160"/>
      <c r="H110" s="324" t="s">
        <v>473</v>
      </c>
      <c r="I110" s="324"/>
      <c r="J110" s="234" t="str">
        <f>VLOOKUP(J108,CuentasContables,5,FALSE)</f>
        <v>ACCIONES DE INVERSIÓN</v>
      </c>
      <c r="K110" s="160"/>
      <c r="N110" s="324" t="s">
        <v>473</v>
      </c>
      <c r="O110" s="324"/>
      <c r="P110" s="234" t="str">
        <f>VLOOKUP(P108,CuentasContables,5,FALSE)</f>
        <v>CAPITAL ADICIONAL</v>
      </c>
      <c r="Q110" s="160"/>
      <c r="T110" s="324" t="s">
        <v>473</v>
      </c>
      <c r="U110" s="324"/>
      <c r="V110" s="234" t="str">
        <f>VLOOKUP(V108,CuentasContables,5,FALSE)</f>
        <v>RESULTADOS NO REALIZADOS</v>
      </c>
      <c r="W110" s="160"/>
      <c r="Z110" s="324" t="s">
        <v>473</v>
      </c>
      <c r="AA110" s="324"/>
      <c r="AB110" s="234" t="str">
        <f>VLOOKUP(AB108,CuentasContables,5,FALSE)</f>
        <v>EXCEDENTE DE REVALUACIÓN</v>
      </c>
      <c r="AC110" s="160"/>
      <c r="AF110" s="324" t="s">
        <v>473</v>
      </c>
      <c r="AG110" s="324"/>
      <c r="AH110" s="234" t="str">
        <f>VLOOKUP(AH108,CuentasContables,5,FALSE)</f>
        <v>RESERVAS</v>
      </c>
      <c r="AI110" s="160"/>
      <c r="AL110" s="324" t="s">
        <v>473</v>
      </c>
      <c r="AM110" s="324"/>
      <c r="AN110" s="234" t="str">
        <f>VLOOKUP(AN108,CuentasContables,5,FALSE)</f>
        <v>RESULTADOS  ACUMULADOS</v>
      </c>
      <c r="AO110" s="160"/>
    </row>
    <row r="111" spans="2:42" ht="14.4" thickBot="1" x14ac:dyDescent="0.3">
      <c r="B111" s="160"/>
      <c r="C111" s="160"/>
      <c r="D111" s="160"/>
      <c r="E111" s="160"/>
      <c r="H111" s="160"/>
      <c r="I111" s="160"/>
      <c r="J111" s="160"/>
      <c r="K111" s="160"/>
      <c r="N111" s="160"/>
      <c r="O111" s="160"/>
      <c r="P111" s="160"/>
      <c r="Q111" s="160"/>
      <c r="T111" s="160"/>
      <c r="U111" s="160"/>
      <c r="V111" s="160"/>
      <c r="W111" s="160"/>
      <c r="Z111" s="160"/>
      <c r="AA111" s="160"/>
      <c r="AB111" s="160"/>
      <c r="AC111" s="160"/>
      <c r="AF111" s="160"/>
      <c r="AG111" s="160"/>
      <c r="AH111" s="160"/>
      <c r="AI111" s="160"/>
      <c r="AL111" s="160"/>
      <c r="AM111" s="160"/>
      <c r="AN111" s="160"/>
      <c r="AO111" s="160"/>
    </row>
    <row r="112" spans="2:42" x14ac:dyDescent="0.25">
      <c r="B112" s="325" t="s">
        <v>466</v>
      </c>
      <c r="C112" s="327" t="s">
        <v>467</v>
      </c>
      <c r="D112" s="327" t="s">
        <v>468</v>
      </c>
      <c r="E112" s="329" t="s">
        <v>469</v>
      </c>
      <c r="F112" s="330"/>
      <c r="H112" s="325" t="s">
        <v>466</v>
      </c>
      <c r="I112" s="327" t="s">
        <v>467</v>
      </c>
      <c r="J112" s="327" t="s">
        <v>468</v>
      </c>
      <c r="K112" s="329" t="s">
        <v>469</v>
      </c>
      <c r="L112" s="330"/>
      <c r="N112" s="325" t="s">
        <v>466</v>
      </c>
      <c r="O112" s="327" t="s">
        <v>467</v>
      </c>
      <c r="P112" s="327" t="s">
        <v>468</v>
      </c>
      <c r="Q112" s="329" t="s">
        <v>469</v>
      </c>
      <c r="R112" s="330"/>
      <c r="T112" s="325" t="s">
        <v>466</v>
      </c>
      <c r="U112" s="327" t="s">
        <v>467</v>
      </c>
      <c r="V112" s="327" t="s">
        <v>468</v>
      </c>
      <c r="W112" s="329" t="s">
        <v>469</v>
      </c>
      <c r="X112" s="330"/>
      <c r="Z112" s="325" t="s">
        <v>466</v>
      </c>
      <c r="AA112" s="327" t="s">
        <v>467</v>
      </c>
      <c r="AB112" s="327" t="s">
        <v>468</v>
      </c>
      <c r="AC112" s="329" t="s">
        <v>469</v>
      </c>
      <c r="AD112" s="330"/>
      <c r="AF112" s="325" t="s">
        <v>466</v>
      </c>
      <c r="AG112" s="327" t="s">
        <v>467</v>
      </c>
      <c r="AH112" s="327" t="s">
        <v>468</v>
      </c>
      <c r="AI112" s="329" t="s">
        <v>469</v>
      </c>
      <c r="AJ112" s="330"/>
      <c r="AL112" s="325" t="s">
        <v>466</v>
      </c>
      <c r="AM112" s="327" t="s">
        <v>467</v>
      </c>
      <c r="AN112" s="327" t="s">
        <v>468</v>
      </c>
      <c r="AO112" s="329" t="s">
        <v>469</v>
      </c>
      <c r="AP112" s="330"/>
    </row>
    <row r="113" spans="2:63" ht="14.4" thickBot="1" x14ac:dyDescent="0.3">
      <c r="B113" s="326"/>
      <c r="C113" s="328"/>
      <c r="D113" s="328"/>
      <c r="E113" s="232" t="s">
        <v>403</v>
      </c>
      <c r="F113" s="174" t="s">
        <v>402</v>
      </c>
      <c r="H113" s="326"/>
      <c r="I113" s="328"/>
      <c r="J113" s="328"/>
      <c r="K113" s="232" t="s">
        <v>403</v>
      </c>
      <c r="L113" s="174" t="s">
        <v>402</v>
      </c>
      <c r="N113" s="326"/>
      <c r="O113" s="328"/>
      <c r="P113" s="328"/>
      <c r="Q113" s="232" t="s">
        <v>403</v>
      </c>
      <c r="R113" s="174" t="s">
        <v>402</v>
      </c>
      <c r="T113" s="326"/>
      <c r="U113" s="328"/>
      <c r="V113" s="328"/>
      <c r="W113" s="232" t="s">
        <v>403</v>
      </c>
      <c r="X113" s="174" t="s">
        <v>402</v>
      </c>
      <c r="Z113" s="326"/>
      <c r="AA113" s="328"/>
      <c r="AB113" s="328"/>
      <c r="AC113" s="232" t="s">
        <v>403</v>
      </c>
      <c r="AD113" s="174" t="s">
        <v>402</v>
      </c>
      <c r="AF113" s="326"/>
      <c r="AG113" s="328"/>
      <c r="AH113" s="328"/>
      <c r="AI113" s="232" t="s">
        <v>403</v>
      </c>
      <c r="AJ113" s="174" t="s">
        <v>402</v>
      </c>
      <c r="AL113" s="326"/>
      <c r="AM113" s="328"/>
      <c r="AN113" s="328"/>
      <c r="AO113" s="232" t="s">
        <v>403</v>
      </c>
      <c r="AP113" s="174" t="s">
        <v>402</v>
      </c>
    </row>
    <row r="114" spans="2:63" ht="14.4" thickTop="1" x14ac:dyDescent="0.25">
      <c r="B114" s="236">
        <v>41670</v>
      </c>
      <c r="C114" s="171"/>
      <c r="D114" s="166" t="s">
        <v>470</v>
      </c>
      <c r="E114" s="167">
        <f>SUMIF('Libro Diario Convencional'!$B$15:$B$167,D108,'Libro Diario Convencional'!$I$15:$I$167)</f>
        <v>0</v>
      </c>
      <c r="F114" s="168">
        <f>SUMIF('Libro Diario Convencional'!$B$15:$B$167,D108,'Libro Diario Convencional'!$J$15:$J$167)</f>
        <v>1206900</v>
      </c>
      <c r="G114" s="9"/>
      <c r="H114" s="236">
        <v>41670</v>
      </c>
      <c r="I114" s="171"/>
      <c r="J114" s="166" t="s">
        <v>470</v>
      </c>
      <c r="K114" s="167">
        <f>SUMIF('Libro Diario Convencional'!$B$15:$B$167,J108,'Libro Diario Convencional'!$I$15:$I$167)</f>
        <v>0</v>
      </c>
      <c r="L114" s="168">
        <f>SUMIF('Libro Diario Convencional'!$B$15:$B$167,J108,'Libro Diario Convencional'!$J$15:$J$167)</f>
        <v>0</v>
      </c>
      <c r="M114" s="9"/>
      <c r="N114" s="236">
        <v>41670</v>
      </c>
      <c r="O114" s="171"/>
      <c r="P114" s="166" t="s">
        <v>470</v>
      </c>
      <c r="Q114" s="167">
        <f>SUMIF('Libro Diario Convencional'!$B$15:$B$167,P108,'Libro Diario Convencional'!$I$15:$I$167)</f>
        <v>0</v>
      </c>
      <c r="R114" s="168">
        <f>SUMIF('Libro Diario Convencional'!$B$15:$B$167,P108,'Libro Diario Convencional'!$J$15:$J$167)</f>
        <v>0</v>
      </c>
      <c r="S114" s="9"/>
      <c r="T114" s="236">
        <v>41670</v>
      </c>
      <c r="U114" s="171"/>
      <c r="V114" s="166" t="s">
        <v>470</v>
      </c>
      <c r="W114" s="167">
        <f>SUMIF('Libro Diario Convencional'!$B$15:$B$167,V108,'Libro Diario Convencional'!$I$15:$I$167)</f>
        <v>0</v>
      </c>
      <c r="X114" s="168">
        <f>SUMIF('Libro Diario Convencional'!$B$15:$B$167,V108,'Libro Diario Convencional'!$J$15:$J$167)</f>
        <v>0</v>
      </c>
      <c r="Y114" s="9"/>
      <c r="Z114" s="236">
        <v>41670</v>
      </c>
      <c r="AA114" s="171"/>
      <c r="AB114" s="166" t="s">
        <v>470</v>
      </c>
      <c r="AC114" s="167">
        <f>SUMIF('Libro Diario Convencional'!$B$15:$B$167,AB108,'Libro Diario Convencional'!$I$15:$I$167)</f>
        <v>0</v>
      </c>
      <c r="AD114" s="168">
        <f>SUMIF('Libro Diario Convencional'!$B$15:$B$167,AB108,'Libro Diario Convencional'!$J$15:$J$167)</f>
        <v>0</v>
      </c>
      <c r="AE114" s="9"/>
      <c r="AF114" s="236">
        <v>41670</v>
      </c>
      <c r="AG114" s="171"/>
      <c r="AH114" s="166" t="s">
        <v>470</v>
      </c>
      <c r="AI114" s="167">
        <f>SUMIF('Libro Diario Convencional'!$B$15:$B$167,AH108,'Libro Diario Convencional'!$I$15:$I$167)</f>
        <v>0</v>
      </c>
      <c r="AJ114" s="168">
        <f>SUMIF('Libro Diario Convencional'!$B$15:$B$167,AH108,'Libro Diario Convencional'!$J$15:$J$167)</f>
        <v>0</v>
      </c>
      <c r="AK114" s="9"/>
      <c r="AL114" s="236">
        <v>41670</v>
      </c>
      <c r="AM114" s="171"/>
      <c r="AN114" s="166" t="s">
        <v>470</v>
      </c>
      <c r="AO114" s="167">
        <f>SUMIF('Libro Diario Convencional'!$B$15:$B$167,AN108,'Libro Diario Convencional'!$I$15:$I$167)</f>
        <v>0</v>
      </c>
      <c r="AP114" s="168">
        <f>SUMIF('Libro Diario Convencional'!$B$15:$B$167,AN108,'Libro Diario Convencional'!$J$15:$J$167)</f>
        <v>0</v>
      </c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2:63" x14ac:dyDescent="0.25">
      <c r="B115" s="169"/>
      <c r="C115" s="172"/>
      <c r="D115" s="161"/>
      <c r="E115" s="162"/>
      <c r="F115" s="163"/>
      <c r="G115" s="9"/>
      <c r="H115" s="169"/>
      <c r="I115" s="172"/>
      <c r="J115" s="161"/>
      <c r="K115" s="162"/>
      <c r="L115" s="163"/>
      <c r="M115" s="9"/>
      <c r="N115" s="169"/>
      <c r="O115" s="172"/>
      <c r="P115" s="161"/>
      <c r="Q115" s="162"/>
      <c r="R115" s="163"/>
      <c r="S115" s="9"/>
      <c r="T115" s="169"/>
      <c r="U115" s="172"/>
      <c r="V115" s="161"/>
      <c r="W115" s="162"/>
      <c r="X115" s="163"/>
      <c r="Y115" s="9"/>
      <c r="Z115" s="169"/>
      <c r="AA115" s="172"/>
      <c r="AB115" s="161"/>
      <c r="AC115" s="162"/>
      <c r="AD115" s="163"/>
      <c r="AE115" s="9"/>
      <c r="AF115" s="169"/>
      <c r="AG115" s="172"/>
      <c r="AH115" s="161"/>
      <c r="AI115" s="162"/>
      <c r="AJ115" s="163"/>
      <c r="AK115" s="9"/>
      <c r="AL115" s="169"/>
      <c r="AM115" s="172"/>
      <c r="AN115" s="161"/>
      <c r="AO115" s="162"/>
      <c r="AP115" s="163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2:63" x14ac:dyDescent="0.25">
      <c r="B116" s="169"/>
      <c r="C116" s="172"/>
      <c r="D116" s="161"/>
      <c r="E116" s="162"/>
      <c r="F116" s="163"/>
      <c r="G116" s="9"/>
      <c r="H116" s="169"/>
      <c r="I116" s="172"/>
      <c r="J116" s="161"/>
      <c r="K116" s="162"/>
      <c r="L116" s="163"/>
      <c r="M116" s="9"/>
      <c r="N116" s="169"/>
      <c r="O116" s="172"/>
      <c r="P116" s="161"/>
      <c r="Q116" s="162"/>
      <c r="R116" s="163"/>
      <c r="S116" s="9"/>
      <c r="T116" s="169"/>
      <c r="U116" s="172"/>
      <c r="V116" s="161"/>
      <c r="W116" s="162"/>
      <c r="X116" s="163"/>
      <c r="Y116" s="9"/>
      <c r="Z116" s="169"/>
      <c r="AA116" s="172"/>
      <c r="AB116" s="161"/>
      <c r="AC116" s="162"/>
      <c r="AD116" s="163"/>
      <c r="AE116" s="9"/>
      <c r="AF116" s="169"/>
      <c r="AG116" s="172"/>
      <c r="AH116" s="161"/>
      <c r="AI116" s="162"/>
      <c r="AJ116" s="163"/>
      <c r="AK116" s="9"/>
      <c r="AL116" s="169"/>
      <c r="AM116" s="172"/>
      <c r="AN116" s="161"/>
      <c r="AO116" s="162"/>
      <c r="AP116" s="163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2:63" ht="14.4" thickBot="1" x14ac:dyDescent="0.3">
      <c r="B117" s="169"/>
      <c r="C117" s="172"/>
      <c r="D117" s="161"/>
      <c r="E117" s="162"/>
      <c r="F117" s="163"/>
      <c r="G117" s="9"/>
      <c r="H117" s="169"/>
      <c r="I117" s="172"/>
      <c r="J117" s="161"/>
      <c r="K117" s="162"/>
      <c r="L117" s="163"/>
      <c r="M117" s="9"/>
      <c r="N117" s="169"/>
      <c r="O117" s="172"/>
      <c r="P117" s="161"/>
      <c r="Q117" s="162"/>
      <c r="R117" s="163"/>
      <c r="S117" s="9"/>
      <c r="T117" s="169"/>
      <c r="U117" s="172"/>
      <c r="V117" s="161"/>
      <c r="W117" s="162"/>
      <c r="X117" s="163"/>
      <c r="Y117" s="9"/>
      <c r="Z117" s="169"/>
      <c r="AA117" s="172"/>
      <c r="AB117" s="161"/>
      <c r="AC117" s="162"/>
      <c r="AD117" s="163"/>
      <c r="AE117" s="9"/>
      <c r="AF117" s="169"/>
      <c r="AG117" s="172"/>
      <c r="AH117" s="161"/>
      <c r="AI117" s="162"/>
      <c r="AJ117" s="163"/>
      <c r="AK117" s="9"/>
      <c r="AL117" s="169"/>
      <c r="AM117" s="172"/>
      <c r="AN117" s="161"/>
      <c r="AO117" s="162"/>
      <c r="AP117" s="163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2:63" ht="15" thickBot="1" x14ac:dyDescent="0.3">
      <c r="B118" s="169"/>
      <c r="C118" s="172"/>
      <c r="D118" s="161" t="s">
        <v>471</v>
      </c>
      <c r="E118" s="162">
        <f>SUM(E114:E117)</f>
        <v>0</v>
      </c>
      <c r="F118" s="163">
        <f>SUM(F114:F117)</f>
        <v>1206900</v>
      </c>
      <c r="G118" s="9"/>
      <c r="H118" s="169"/>
      <c r="I118" s="172"/>
      <c r="J118" s="161" t="s">
        <v>471</v>
      </c>
      <c r="K118" s="162">
        <f>SUM(K114:K117)</f>
        <v>0</v>
      </c>
      <c r="L118" s="163">
        <f>SUM(L114:L117)</f>
        <v>0</v>
      </c>
      <c r="M118" s="9"/>
      <c r="N118" s="169"/>
      <c r="O118" s="172"/>
      <c r="P118" s="161" t="s">
        <v>471</v>
      </c>
      <c r="Q118" s="162">
        <f>SUM(Q114:Q117)</f>
        <v>0</v>
      </c>
      <c r="R118" s="163">
        <f>SUM(R114:R117)</f>
        <v>0</v>
      </c>
      <c r="S118" s="9"/>
      <c r="T118" s="169"/>
      <c r="U118" s="172"/>
      <c r="V118" s="161" t="s">
        <v>471</v>
      </c>
      <c r="W118" s="162">
        <f>SUM(W114:W117)</f>
        <v>0</v>
      </c>
      <c r="X118" s="163">
        <f>SUM(X114:X117)</f>
        <v>0</v>
      </c>
      <c r="Y118" s="9"/>
      <c r="Z118" s="169"/>
      <c r="AA118" s="172"/>
      <c r="AB118" s="161" t="s">
        <v>471</v>
      </c>
      <c r="AC118" s="162">
        <f>SUM(AC114:AC117)</f>
        <v>0</v>
      </c>
      <c r="AD118" s="163">
        <f>SUM(AD114:AD117)</f>
        <v>0</v>
      </c>
      <c r="AE118" s="9"/>
      <c r="AF118" s="169"/>
      <c r="AG118" s="172"/>
      <c r="AH118" s="161" t="s">
        <v>471</v>
      </c>
      <c r="AI118" s="162">
        <f>SUM(AI114:AI117)</f>
        <v>0</v>
      </c>
      <c r="AJ118" s="163">
        <f>SUM(AJ114:AJ117)</f>
        <v>0</v>
      </c>
      <c r="AK118" s="9"/>
      <c r="AL118" s="169"/>
      <c r="AM118" s="172"/>
      <c r="AN118" s="161" t="s">
        <v>471</v>
      </c>
      <c r="AO118" s="162">
        <f>SUM(AO114:AO117)</f>
        <v>0</v>
      </c>
      <c r="AP118" s="163">
        <f>SUM(AP114:AP117)</f>
        <v>0</v>
      </c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J118" s="157">
        <f>SUM(E118,K118,Q118,W118,AC118,AI118,AO118,AU118,BA118,BG118)</f>
        <v>0</v>
      </c>
      <c r="BK118" s="158">
        <f>SUM(F118,L118,R118,X118,AD118,AJ118,AP118,AV118,BB118,BH118)</f>
        <v>1206900</v>
      </c>
    </row>
    <row r="119" spans="2:63" ht="14.4" thickBot="1" x14ac:dyDescent="0.3">
      <c r="B119" s="170"/>
      <c r="C119" s="173"/>
      <c r="D119" s="164" t="str">
        <f>IF(E118=F118,"",IF(E118&gt;F118,"Saldo Deudor","Saldo Acreedor"))</f>
        <v>Saldo Acreedor</v>
      </c>
      <c r="E119" s="165" t="str">
        <f>IF(E118&gt;F118,E118-F118,"")</f>
        <v/>
      </c>
      <c r="F119" s="176">
        <f>IF(E118&lt;F118,F118-E118,"")</f>
        <v>1206900</v>
      </c>
      <c r="H119" s="170"/>
      <c r="I119" s="173"/>
      <c r="J119" s="164" t="str">
        <f>IF(K118=L118,"",IF(K118&gt;L118,"Saldo Deudor","Saldo Acreedor"))</f>
        <v/>
      </c>
      <c r="K119" s="165" t="str">
        <f>IF(K118&gt;L118,K118-L118,"")</f>
        <v/>
      </c>
      <c r="L119" s="176" t="str">
        <f>IF(K118&lt;L118,L118-K118,"")</f>
        <v/>
      </c>
      <c r="N119" s="170"/>
      <c r="O119" s="173"/>
      <c r="P119" s="164" t="str">
        <f>IF(Q118=R118,"",IF(Q118&gt;R118,"Saldo Deudor","Saldo Acreedor"))</f>
        <v/>
      </c>
      <c r="Q119" s="165" t="str">
        <f>IF(Q118&gt;R118,Q118-R118,"")</f>
        <v/>
      </c>
      <c r="R119" s="176" t="str">
        <f>IF(Q118&lt;R118,R118-Q118,"")</f>
        <v/>
      </c>
      <c r="T119" s="170"/>
      <c r="U119" s="173"/>
      <c r="V119" s="164" t="str">
        <f>IF(W118=X118,"",IF(W118&gt;X118,"Saldo Deudor","Saldo Acreedor"))</f>
        <v/>
      </c>
      <c r="W119" s="165" t="str">
        <f>IF(W118&gt;X118,W118-X118,"")</f>
        <v/>
      </c>
      <c r="X119" s="176" t="str">
        <f>IF(W118&lt;X118,X118-W118,"")</f>
        <v/>
      </c>
      <c r="Z119" s="170"/>
      <c r="AA119" s="173"/>
      <c r="AB119" s="164" t="str">
        <f>IF(AC118=AD118,"",IF(AC118&gt;AD118,"Saldo Deudor","Saldo Acreedor"))</f>
        <v/>
      </c>
      <c r="AC119" s="165" t="str">
        <f>IF(AC118&gt;AD118,AC118-AD118,"")</f>
        <v/>
      </c>
      <c r="AD119" s="176" t="str">
        <f>IF(AC118&lt;AD118,AD118-AC118,"")</f>
        <v/>
      </c>
      <c r="AF119" s="170"/>
      <c r="AG119" s="173"/>
      <c r="AH119" s="164" t="str">
        <f>IF(AI118=AJ118,"",IF(AI118&gt;AJ118,"Saldo Deudor","Saldo Acreedor"))</f>
        <v/>
      </c>
      <c r="AI119" s="165" t="str">
        <f>IF(AI118&gt;AJ118,AI118-AJ118,"")</f>
        <v/>
      </c>
      <c r="AJ119" s="176" t="str">
        <f>IF(AI118&lt;AJ118,AJ118-AI118,"")</f>
        <v/>
      </c>
      <c r="AL119" s="170"/>
      <c r="AM119" s="173"/>
      <c r="AN119" s="164" t="str">
        <f>IF(AO118=AP118,"",IF(AO118&gt;AP118,"Saldo Deudor","Saldo Acreedor"))</f>
        <v/>
      </c>
      <c r="AO119" s="165" t="str">
        <f>IF(AO118&gt;AP118,AO118-AP118,"")</f>
        <v/>
      </c>
      <c r="AP119" s="176" t="str">
        <f>IF(AO118&lt;AP118,AP118-AO118,"")</f>
        <v/>
      </c>
    </row>
    <row r="122" spans="2:63" ht="15.6" x14ac:dyDescent="0.25">
      <c r="B122" s="324" t="s">
        <v>321</v>
      </c>
      <c r="C122" s="324"/>
      <c r="D122" s="233" t="str">
        <f>'Base de Datos'!$C$756</f>
        <v>LIBRO MAYOR</v>
      </c>
      <c r="H122" s="324" t="s">
        <v>321</v>
      </c>
      <c r="I122" s="324"/>
      <c r="J122" s="233" t="str">
        <f>'Base de Datos'!$C$756</f>
        <v>LIBRO MAYOR</v>
      </c>
      <c r="N122" s="324" t="s">
        <v>321</v>
      </c>
      <c r="O122" s="324"/>
      <c r="P122" s="233" t="str">
        <f>'Base de Datos'!$C$756</f>
        <v>LIBRO MAYOR</v>
      </c>
      <c r="T122" s="324" t="s">
        <v>321</v>
      </c>
      <c r="U122" s="324"/>
      <c r="V122" s="233" t="str">
        <f>'Base de Datos'!$C$756</f>
        <v>LIBRO MAYOR</v>
      </c>
      <c r="Z122" s="324" t="s">
        <v>321</v>
      </c>
      <c r="AA122" s="324"/>
      <c r="AB122" s="233" t="str">
        <f>'Base de Datos'!$C$756</f>
        <v>LIBRO MAYOR</v>
      </c>
      <c r="AF122" s="324" t="s">
        <v>321</v>
      </c>
      <c r="AG122" s="324"/>
      <c r="AH122" s="233" t="str">
        <f>'Base de Datos'!$C$756</f>
        <v>LIBRO MAYOR</v>
      </c>
      <c r="AL122" s="324" t="s">
        <v>321</v>
      </c>
      <c r="AM122" s="324"/>
      <c r="AN122" s="233" t="str">
        <f>'Base de Datos'!$C$756</f>
        <v>LIBRO MAYOR</v>
      </c>
      <c r="AR122" s="324" t="s">
        <v>321</v>
      </c>
      <c r="AS122" s="324"/>
      <c r="AT122" s="233" t="str">
        <f>'Base de Datos'!$C$756</f>
        <v>LIBRO MAYOR</v>
      </c>
      <c r="AX122" s="324" t="s">
        <v>321</v>
      </c>
      <c r="AY122" s="324"/>
      <c r="AZ122" s="233" t="str">
        <f>'Base de Datos'!$C$756</f>
        <v>LIBRO MAYOR</v>
      </c>
      <c r="BD122" s="324" t="s">
        <v>321</v>
      </c>
      <c r="BE122" s="324"/>
      <c r="BF122" s="233" t="str">
        <f>'Base de Datos'!$C$756</f>
        <v>LIBRO MAYOR</v>
      </c>
    </row>
    <row r="123" spans="2:63" x14ac:dyDescent="0.25">
      <c r="C123" s="2"/>
      <c r="D123" s="2"/>
      <c r="E123" s="2"/>
      <c r="I123" s="2"/>
      <c r="J123" s="2"/>
      <c r="K123" s="2"/>
      <c r="O123" s="2"/>
      <c r="P123" s="2"/>
      <c r="Q123" s="2"/>
      <c r="U123" s="2"/>
      <c r="V123" s="2"/>
      <c r="W123" s="2"/>
      <c r="AA123" s="2"/>
      <c r="AB123" s="2"/>
      <c r="AC123" s="2"/>
      <c r="AG123" s="2"/>
      <c r="AH123" s="2"/>
      <c r="AI123" s="2"/>
      <c r="AM123" s="2"/>
      <c r="AN123" s="2"/>
      <c r="AO123" s="2"/>
      <c r="AS123" s="2"/>
      <c r="AT123" s="2"/>
      <c r="AU123" s="2"/>
      <c r="AY123" s="2"/>
      <c r="AZ123" s="2"/>
      <c r="BA123" s="2"/>
      <c r="BE123" s="2"/>
      <c r="BF123" s="2"/>
      <c r="BG123" s="2"/>
    </row>
    <row r="124" spans="2:63" ht="15.6" x14ac:dyDescent="0.25">
      <c r="B124" s="324" t="s">
        <v>322</v>
      </c>
      <c r="C124" s="324"/>
      <c r="D124" s="234" t="str">
        <f>'Base de Datos'!$C$8</f>
        <v>MARZO</v>
      </c>
      <c r="E124" s="160"/>
      <c r="H124" s="324" t="s">
        <v>322</v>
      </c>
      <c r="I124" s="324"/>
      <c r="J124" s="234" t="str">
        <f>'Base de Datos'!$C$8</f>
        <v>MARZO</v>
      </c>
      <c r="K124" s="160"/>
      <c r="N124" s="324" t="s">
        <v>322</v>
      </c>
      <c r="O124" s="324"/>
      <c r="P124" s="234" t="str">
        <f>'Base de Datos'!$C$8</f>
        <v>MARZO</v>
      </c>
      <c r="Q124" s="160"/>
      <c r="T124" s="324" t="s">
        <v>322</v>
      </c>
      <c r="U124" s="324"/>
      <c r="V124" s="234" t="str">
        <f>'Base de Datos'!$C$8</f>
        <v>MARZO</v>
      </c>
      <c r="W124" s="160"/>
      <c r="Z124" s="324" t="s">
        <v>322</v>
      </c>
      <c r="AA124" s="324"/>
      <c r="AB124" s="234" t="str">
        <f>'Base de Datos'!$C$8</f>
        <v>MARZO</v>
      </c>
      <c r="AC124" s="160"/>
      <c r="AF124" s="324" t="s">
        <v>322</v>
      </c>
      <c r="AG124" s="324"/>
      <c r="AH124" s="234" t="str">
        <f>'Base de Datos'!$C$8</f>
        <v>MARZO</v>
      </c>
      <c r="AI124" s="160"/>
      <c r="AL124" s="324" t="s">
        <v>322</v>
      </c>
      <c r="AM124" s="324"/>
      <c r="AN124" s="234" t="str">
        <f>'Base de Datos'!$C$8</f>
        <v>MARZO</v>
      </c>
      <c r="AO124" s="160"/>
      <c r="AR124" s="324" t="s">
        <v>322</v>
      </c>
      <c r="AS124" s="324"/>
      <c r="AT124" s="234" t="str">
        <f>'Base de Datos'!$C$8</f>
        <v>MARZO</v>
      </c>
      <c r="AU124" s="160"/>
      <c r="AX124" s="324" t="s">
        <v>322</v>
      </c>
      <c r="AY124" s="324"/>
      <c r="AZ124" s="234" t="str">
        <f>'Base de Datos'!$C$8</f>
        <v>MARZO</v>
      </c>
      <c r="BA124" s="160"/>
      <c r="BD124" s="324" t="s">
        <v>322</v>
      </c>
      <c r="BE124" s="324"/>
      <c r="BF124" s="234" t="str">
        <f>'Base de Datos'!$C$8</f>
        <v>MARZO</v>
      </c>
      <c r="BG124" s="160"/>
    </row>
    <row r="125" spans="2:63" x14ac:dyDescent="0.25">
      <c r="C125" s="2"/>
      <c r="D125" s="2"/>
      <c r="E125" s="2"/>
      <c r="I125" s="2"/>
      <c r="J125" s="2"/>
      <c r="K125" s="2"/>
      <c r="O125" s="2"/>
      <c r="P125" s="2"/>
      <c r="Q125" s="2"/>
      <c r="U125" s="2"/>
      <c r="V125" s="2"/>
      <c r="W125" s="2"/>
      <c r="AA125" s="2"/>
      <c r="AB125" s="2"/>
      <c r="AC125" s="2"/>
      <c r="AG125" s="2"/>
      <c r="AH125" s="2"/>
      <c r="AI125" s="2"/>
      <c r="AM125" s="2"/>
      <c r="AN125" s="2"/>
      <c r="AO125" s="2"/>
      <c r="AS125" s="2"/>
      <c r="AT125" s="2"/>
      <c r="AU125" s="2"/>
      <c r="AY125" s="2"/>
      <c r="AZ125" s="2"/>
      <c r="BA125" s="2"/>
      <c r="BE125" s="2"/>
      <c r="BF125" s="2"/>
      <c r="BG125" s="2"/>
    </row>
    <row r="126" spans="2:63" ht="15.6" x14ac:dyDescent="0.25">
      <c r="B126" s="324" t="s">
        <v>323</v>
      </c>
      <c r="C126" s="324"/>
      <c r="D126" s="231">
        <f>'Base de Datos'!$C$9</f>
        <v>2015</v>
      </c>
      <c r="E126" s="2"/>
      <c r="H126" s="324" t="s">
        <v>323</v>
      </c>
      <c r="I126" s="324"/>
      <c r="J126" s="231">
        <f>'Base de Datos'!$C$9</f>
        <v>2015</v>
      </c>
      <c r="K126" s="2"/>
      <c r="N126" s="324" t="s">
        <v>323</v>
      </c>
      <c r="O126" s="324"/>
      <c r="P126" s="231">
        <f>'Base de Datos'!$C$9</f>
        <v>2015</v>
      </c>
      <c r="Q126" s="2"/>
      <c r="T126" s="324" t="s">
        <v>323</v>
      </c>
      <c r="U126" s="324"/>
      <c r="V126" s="231">
        <f>'Base de Datos'!$C$9</f>
        <v>2015</v>
      </c>
      <c r="W126" s="2"/>
      <c r="Z126" s="324" t="s">
        <v>323</v>
      </c>
      <c r="AA126" s="324"/>
      <c r="AB126" s="231">
        <f>'Base de Datos'!$C$9</f>
        <v>2015</v>
      </c>
      <c r="AC126" s="2"/>
      <c r="AF126" s="324" t="s">
        <v>323</v>
      </c>
      <c r="AG126" s="324"/>
      <c r="AH126" s="231">
        <f>'Base de Datos'!$C$9</f>
        <v>2015</v>
      </c>
      <c r="AI126" s="2"/>
      <c r="AL126" s="324" t="s">
        <v>323</v>
      </c>
      <c r="AM126" s="324"/>
      <c r="AN126" s="231">
        <f>'Base de Datos'!$C$9</f>
        <v>2015</v>
      </c>
      <c r="AO126" s="2"/>
      <c r="AR126" s="324" t="s">
        <v>323</v>
      </c>
      <c r="AS126" s="324"/>
      <c r="AT126" s="231">
        <f>'Base de Datos'!$C$9</f>
        <v>2015</v>
      </c>
      <c r="AU126" s="2"/>
      <c r="AX126" s="324" t="s">
        <v>323</v>
      </c>
      <c r="AY126" s="324"/>
      <c r="AZ126" s="231">
        <f>'Base de Datos'!$C$9</f>
        <v>2015</v>
      </c>
      <c r="BA126" s="2"/>
      <c r="BD126" s="324" t="s">
        <v>323</v>
      </c>
      <c r="BE126" s="324"/>
      <c r="BF126" s="231">
        <f>'Base de Datos'!$C$9</f>
        <v>2015</v>
      </c>
      <c r="BG126" s="2"/>
    </row>
    <row r="127" spans="2:63" x14ac:dyDescent="0.25">
      <c r="C127" s="2"/>
      <c r="D127" s="2"/>
      <c r="E127" s="2"/>
      <c r="I127" s="2"/>
      <c r="J127" s="2"/>
      <c r="K127" s="2"/>
      <c r="O127" s="2"/>
      <c r="P127" s="2"/>
      <c r="Q127" s="2"/>
      <c r="U127" s="2"/>
      <c r="V127" s="2"/>
      <c r="W127" s="2"/>
      <c r="AA127" s="2"/>
      <c r="AB127" s="2"/>
      <c r="AC127" s="2"/>
      <c r="AG127" s="2"/>
      <c r="AH127" s="2"/>
      <c r="AI127" s="2"/>
      <c r="AM127" s="2"/>
      <c r="AN127" s="2"/>
      <c r="AO127" s="2"/>
      <c r="AS127" s="2"/>
      <c r="AT127" s="2"/>
      <c r="AU127" s="2"/>
      <c r="AY127" s="2"/>
      <c r="AZ127" s="2"/>
      <c r="BA127" s="2"/>
      <c r="BE127" s="2"/>
      <c r="BF127" s="2"/>
      <c r="BG127" s="2"/>
    </row>
    <row r="128" spans="2:63" ht="15.6" x14ac:dyDescent="0.25">
      <c r="B128" s="324" t="s">
        <v>324</v>
      </c>
      <c r="C128" s="324"/>
      <c r="D128" s="316">
        <f>'Base de Datos'!$C$6</f>
        <v>20411074561</v>
      </c>
      <c r="E128" s="316"/>
      <c r="H128" s="324" t="s">
        <v>324</v>
      </c>
      <c r="I128" s="324"/>
      <c r="J128" s="316">
        <f>'Base de Datos'!$C$6</f>
        <v>20411074561</v>
      </c>
      <c r="K128" s="316"/>
      <c r="N128" s="324" t="s">
        <v>324</v>
      </c>
      <c r="O128" s="324"/>
      <c r="P128" s="316">
        <f>'Base de Datos'!$C$6</f>
        <v>20411074561</v>
      </c>
      <c r="Q128" s="316"/>
      <c r="T128" s="324" t="s">
        <v>324</v>
      </c>
      <c r="U128" s="324"/>
      <c r="V128" s="316">
        <f>'Base de Datos'!$C$6</f>
        <v>20411074561</v>
      </c>
      <c r="W128" s="316"/>
      <c r="Z128" s="324" t="s">
        <v>324</v>
      </c>
      <c r="AA128" s="324"/>
      <c r="AB128" s="316">
        <f>'Base de Datos'!$C$6</f>
        <v>20411074561</v>
      </c>
      <c r="AC128" s="316"/>
      <c r="AF128" s="324" t="s">
        <v>324</v>
      </c>
      <c r="AG128" s="324"/>
      <c r="AH128" s="316">
        <f>'Base de Datos'!$C$6</f>
        <v>20411074561</v>
      </c>
      <c r="AI128" s="316"/>
      <c r="AL128" s="324" t="s">
        <v>324</v>
      </c>
      <c r="AM128" s="324"/>
      <c r="AN128" s="316">
        <f>'Base de Datos'!$C$6</f>
        <v>20411074561</v>
      </c>
      <c r="AO128" s="316"/>
      <c r="AR128" s="324" t="s">
        <v>324</v>
      </c>
      <c r="AS128" s="324"/>
      <c r="AT128" s="316">
        <f>'Base de Datos'!$C$6</f>
        <v>20411074561</v>
      </c>
      <c r="AU128" s="316"/>
      <c r="AX128" s="324" t="s">
        <v>324</v>
      </c>
      <c r="AY128" s="324"/>
      <c r="AZ128" s="316">
        <f>'Base de Datos'!$C$6</f>
        <v>20411074561</v>
      </c>
      <c r="BA128" s="316"/>
      <c r="BD128" s="324" t="s">
        <v>324</v>
      </c>
      <c r="BE128" s="324"/>
      <c r="BF128" s="316">
        <f>'Base de Datos'!$C$6</f>
        <v>20411074561</v>
      </c>
      <c r="BG128" s="316"/>
    </row>
    <row r="129" spans="2:63" x14ac:dyDescent="0.25">
      <c r="C129" s="2"/>
      <c r="D129" s="2"/>
      <c r="E129" s="2"/>
      <c r="I129" s="2"/>
      <c r="J129" s="2"/>
      <c r="K129" s="2"/>
      <c r="O129" s="2"/>
      <c r="P129" s="2"/>
      <c r="Q129" s="2"/>
      <c r="U129" s="2"/>
      <c r="V129" s="2"/>
      <c r="W129" s="2"/>
      <c r="AA129" s="2"/>
      <c r="AB129" s="2"/>
      <c r="AC129" s="2"/>
      <c r="AG129" s="2"/>
      <c r="AH129" s="2"/>
      <c r="AI129" s="2"/>
      <c r="AM129" s="2"/>
      <c r="AN129" s="2"/>
      <c r="AO129" s="2"/>
      <c r="AS129" s="2"/>
      <c r="AT129" s="2"/>
      <c r="AU129" s="2"/>
      <c r="AY129" s="2"/>
      <c r="AZ129" s="2"/>
      <c r="BA129" s="2"/>
      <c r="BE129" s="2"/>
      <c r="BF129" s="2"/>
      <c r="BG129" s="2"/>
    </row>
    <row r="130" spans="2:63" ht="15.6" x14ac:dyDescent="0.25">
      <c r="B130" s="324" t="s">
        <v>325</v>
      </c>
      <c r="C130" s="324"/>
      <c r="D130" s="234" t="str">
        <f>'Base de Datos'!$C$5</f>
        <v>LOS BAILARINES SRL</v>
      </c>
      <c r="E130" s="2"/>
      <c r="H130" s="324" t="s">
        <v>325</v>
      </c>
      <c r="I130" s="324"/>
      <c r="J130" s="234" t="str">
        <f>'Base de Datos'!$C$5</f>
        <v>LOS BAILARINES SRL</v>
      </c>
      <c r="K130" s="2"/>
      <c r="N130" s="324" t="s">
        <v>325</v>
      </c>
      <c r="O130" s="324"/>
      <c r="P130" s="234" t="str">
        <f>'Base de Datos'!$C$5</f>
        <v>LOS BAILARINES SRL</v>
      </c>
      <c r="Q130" s="2"/>
      <c r="T130" s="324" t="s">
        <v>325</v>
      </c>
      <c r="U130" s="324"/>
      <c r="V130" s="234" t="str">
        <f>'Base de Datos'!$C$5</f>
        <v>LOS BAILARINES SRL</v>
      </c>
      <c r="W130" s="2"/>
      <c r="Z130" s="324" t="s">
        <v>325</v>
      </c>
      <c r="AA130" s="324"/>
      <c r="AB130" s="234" t="str">
        <f>'Base de Datos'!$C$5</f>
        <v>LOS BAILARINES SRL</v>
      </c>
      <c r="AC130" s="2"/>
      <c r="AF130" s="324" t="s">
        <v>325</v>
      </c>
      <c r="AG130" s="324"/>
      <c r="AH130" s="234" t="str">
        <f>'Base de Datos'!$C$5</f>
        <v>LOS BAILARINES SRL</v>
      </c>
      <c r="AI130" s="2"/>
      <c r="AL130" s="324" t="s">
        <v>325</v>
      </c>
      <c r="AM130" s="324"/>
      <c r="AN130" s="234" t="str">
        <f>'Base de Datos'!$C$5</f>
        <v>LOS BAILARINES SRL</v>
      </c>
      <c r="AO130" s="2"/>
      <c r="AR130" s="324" t="s">
        <v>325</v>
      </c>
      <c r="AS130" s="324"/>
      <c r="AT130" s="234" t="str">
        <f>'Base de Datos'!$C$5</f>
        <v>LOS BAILARINES SRL</v>
      </c>
      <c r="AU130" s="2"/>
      <c r="AX130" s="324" t="s">
        <v>325</v>
      </c>
      <c r="AY130" s="324"/>
      <c r="AZ130" s="234" t="str">
        <f>'Base de Datos'!$C$5</f>
        <v>LOS BAILARINES SRL</v>
      </c>
      <c r="BA130" s="2"/>
      <c r="BD130" s="324" t="s">
        <v>325</v>
      </c>
      <c r="BE130" s="324"/>
      <c r="BF130" s="234" t="str">
        <f>'Base de Datos'!$C$5</f>
        <v>LOS BAILARINES SRL</v>
      </c>
      <c r="BG130" s="2"/>
    </row>
    <row r="131" spans="2:63" x14ac:dyDescent="0.25">
      <c r="B131" s="160"/>
      <c r="C131" s="160"/>
      <c r="D131" s="160"/>
      <c r="E131" s="160"/>
      <c r="H131" s="160"/>
      <c r="I131" s="160"/>
      <c r="J131" s="160"/>
      <c r="K131" s="160"/>
      <c r="N131" s="160"/>
      <c r="O131" s="160"/>
      <c r="P131" s="160"/>
      <c r="Q131" s="160"/>
      <c r="T131" s="160"/>
      <c r="U131" s="160"/>
      <c r="V131" s="160"/>
      <c r="W131" s="160"/>
      <c r="Z131" s="160"/>
      <c r="AA131" s="160"/>
      <c r="AB131" s="160"/>
      <c r="AC131" s="160"/>
      <c r="AF131" s="160"/>
      <c r="AG131" s="160"/>
      <c r="AH131" s="160"/>
      <c r="AI131" s="160"/>
      <c r="AL131" s="160"/>
      <c r="AM131" s="160"/>
      <c r="AN131" s="160"/>
      <c r="AO131" s="160"/>
      <c r="AR131" s="160"/>
      <c r="AS131" s="160"/>
      <c r="AT131" s="160"/>
      <c r="AU131" s="160"/>
      <c r="AX131" s="160"/>
      <c r="AY131" s="160"/>
      <c r="AZ131" s="160"/>
      <c r="BA131" s="160"/>
      <c r="BD131" s="160"/>
      <c r="BE131" s="160"/>
      <c r="BF131" s="160"/>
      <c r="BG131" s="160"/>
    </row>
    <row r="132" spans="2:63" ht="15.6" x14ac:dyDescent="0.25">
      <c r="B132" s="324" t="s">
        <v>472</v>
      </c>
      <c r="C132" s="324"/>
      <c r="D132" s="175">
        <v>60</v>
      </c>
      <c r="H132" s="324" t="s">
        <v>472</v>
      </c>
      <c r="I132" s="324"/>
      <c r="J132" s="175">
        <v>61</v>
      </c>
      <c r="N132" s="324" t="s">
        <v>472</v>
      </c>
      <c r="O132" s="324"/>
      <c r="P132" s="175">
        <v>62</v>
      </c>
      <c r="T132" s="324" t="s">
        <v>472</v>
      </c>
      <c r="U132" s="324"/>
      <c r="V132" s="175">
        <v>63</v>
      </c>
      <c r="Z132" s="324" t="s">
        <v>472</v>
      </c>
      <c r="AA132" s="324"/>
      <c r="AB132" s="175">
        <v>64</v>
      </c>
      <c r="AF132" s="324" t="s">
        <v>472</v>
      </c>
      <c r="AG132" s="324"/>
      <c r="AH132" s="175">
        <v>65</v>
      </c>
      <c r="AL132" s="324" t="s">
        <v>472</v>
      </c>
      <c r="AM132" s="324"/>
      <c r="AN132" s="175">
        <v>66</v>
      </c>
      <c r="AR132" s="324" t="s">
        <v>472</v>
      </c>
      <c r="AS132" s="324"/>
      <c r="AT132" s="175">
        <v>67</v>
      </c>
      <c r="AX132" s="324" t="s">
        <v>472</v>
      </c>
      <c r="AY132" s="324"/>
      <c r="AZ132" s="175">
        <v>68</v>
      </c>
      <c r="BD132" s="324" t="s">
        <v>472</v>
      </c>
      <c r="BE132" s="324"/>
      <c r="BF132" s="175">
        <v>69</v>
      </c>
    </row>
    <row r="133" spans="2:63" x14ac:dyDescent="0.25">
      <c r="B133" s="160"/>
      <c r="C133" s="160"/>
      <c r="D133" s="160"/>
      <c r="E133" s="160"/>
      <c r="H133" s="160"/>
      <c r="I133" s="160"/>
      <c r="J133" s="160"/>
      <c r="K133" s="160"/>
      <c r="N133" s="160"/>
      <c r="O133" s="160"/>
      <c r="P133" s="160"/>
      <c r="Q133" s="160"/>
      <c r="T133" s="160"/>
      <c r="U133" s="160"/>
      <c r="V133" s="160"/>
      <c r="W133" s="160"/>
      <c r="Z133" s="160"/>
      <c r="AA133" s="160"/>
      <c r="AB133" s="160"/>
      <c r="AC133" s="160"/>
      <c r="AF133" s="160"/>
      <c r="AG133" s="160"/>
      <c r="AH133" s="160"/>
      <c r="AI133" s="160"/>
      <c r="AL133" s="160"/>
      <c r="AM133" s="160"/>
      <c r="AN133" s="160"/>
      <c r="AO133" s="160"/>
      <c r="AR133" s="160"/>
      <c r="AS133" s="160"/>
      <c r="AT133" s="160"/>
      <c r="AU133" s="160"/>
      <c r="AX133" s="160"/>
      <c r="AY133" s="160"/>
      <c r="AZ133" s="160"/>
      <c r="BA133" s="160"/>
      <c r="BD133" s="160"/>
      <c r="BE133" s="160"/>
      <c r="BF133" s="160"/>
      <c r="BG133" s="160"/>
    </row>
    <row r="134" spans="2:63" ht="15.6" x14ac:dyDescent="0.25">
      <c r="B134" s="324" t="s">
        <v>473</v>
      </c>
      <c r="C134" s="324"/>
      <c r="D134" s="234" t="str">
        <f>VLOOKUP(D132,CuentasContables,5,FALSE)</f>
        <v>COMPRAS</v>
      </c>
      <c r="E134" s="160"/>
      <c r="H134" s="324" t="s">
        <v>473</v>
      </c>
      <c r="I134" s="324"/>
      <c r="J134" s="234" t="str">
        <f>VLOOKUP(J132,CuentasContables,5,FALSE)</f>
        <v>VARIACIÓN DE EXISTENCIAS</v>
      </c>
      <c r="K134" s="160"/>
      <c r="N134" s="324" t="s">
        <v>473</v>
      </c>
      <c r="O134" s="324"/>
      <c r="P134" s="234" t="str">
        <f>VLOOKUP(P132,CuentasContables,5,FALSE)</f>
        <v>GASTOS DE PERSONAL, DIRECTORES Y GERENTES</v>
      </c>
      <c r="Q134" s="160"/>
      <c r="T134" s="324" t="s">
        <v>473</v>
      </c>
      <c r="U134" s="324"/>
      <c r="V134" s="234" t="str">
        <f>VLOOKUP(V132,CuentasContables,5,FALSE)</f>
        <v>GASTOS DE SERVICIOS PRESTADOS POR TERCEROS</v>
      </c>
      <c r="W134" s="160"/>
      <c r="Z134" s="324" t="s">
        <v>473</v>
      </c>
      <c r="AA134" s="324"/>
      <c r="AB134" s="234" t="str">
        <f>VLOOKUP(AB132,CuentasContables,5,FALSE)</f>
        <v>GASTOS POR TRIBUTOS</v>
      </c>
      <c r="AC134" s="160"/>
      <c r="AF134" s="324" t="s">
        <v>473</v>
      </c>
      <c r="AG134" s="324"/>
      <c r="AH134" s="234" t="str">
        <f>VLOOKUP(AH132,CuentasContables,5,FALSE)</f>
        <v>OTROS GASTOS DE GESTIÓN</v>
      </c>
      <c r="AI134" s="160"/>
      <c r="AL134" s="324" t="s">
        <v>473</v>
      </c>
      <c r="AM134" s="324"/>
      <c r="AN134" s="234" t="str">
        <f>VLOOKUP(AN132,CuentasContables,5,FALSE)</f>
        <v>PÉRDIDA POR MEDICIÓN DE ACTIVOS NO FINANCIEROS AL VALOR RAZONABLE</v>
      </c>
      <c r="AO134" s="160"/>
      <c r="AR134" s="324" t="s">
        <v>473</v>
      </c>
      <c r="AS134" s="324"/>
      <c r="AT134" s="234" t="str">
        <f>VLOOKUP(AT132,CuentasContables,5,FALSE)</f>
        <v>GASTOS FINANCIEROS</v>
      </c>
      <c r="AU134" s="160"/>
      <c r="AX134" s="324" t="s">
        <v>473</v>
      </c>
      <c r="AY134" s="324"/>
      <c r="AZ134" s="234" t="str">
        <f>VLOOKUP(AZ132,CuentasContables,5,FALSE)</f>
        <v>VALUACIÓN Y DETERIORO DE ACTIVOS Y PROVISIONES</v>
      </c>
      <c r="BA134" s="160"/>
      <c r="BD134" s="324" t="s">
        <v>473</v>
      </c>
      <c r="BE134" s="324"/>
      <c r="BF134" s="234" t="str">
        <f>VLOOKUP(BF132,CuentasContables,5,FALSE)</f>
        <v>COSTO DE VENTAS</v>
      </c>
      <c r="BG134" s="160"/>
    </row>
    <row r="135" spans="2:63" ht="14.4" thickBot="1" x14ac:dyDescent="0.3">
      <c r="B135" s="160"/>
      <c r="C135" s="160"/>
      <c r="D135" s="160"/>
      <c r="E135" s="160"/>
      <c r="H135" s="160"/>
      <c r="I135" s="160"/>
      <c r="J135" s="160"/>
      <c r="K135" s="160"/>
      <c r="N135" s="160"/>
      <c r="O135" s="160"/>
      <c r="P135" s="160"/>
      <c r="Q135" s="160"/>
      <c r="T135" s="160"/>
      <c r="U135" s="160"/>
      <c r="V135" s="160"/>
      <c r="W135" s="160"/>
      <c r="Z135" s="160"/>
      <c r="AA135" s="160"/>
      <c r="AB135" s="160"/>
      <c r="AC135" s="160"/>
      <c r="AF135" s="160"/>
      <c r="AG135" s="160"/>
      <c r="AH135" s="160"/>
      <c r="AI135" s="160"/>
      <c r="AL135" s="160"/>
      <c r="AM135" s="160"/>
      <c r="AN135" s="160"/>
      <c r="AO135" s="160"/>
      <c r="AR135" s="160"/>
      <c r="AS135" s="160"/>
      <c r="AT135" s="160"/>
      <c r="AU135" s="160"/>
      <c r="AX135" s="160"/>
      <c r="AY135" s="160"/>
      <c r="AZ135" s="160"/>
      <c r="BA135" s="160"/>
      <c r="BD135" s="160"/>
      <c r="BE135" s="160"/>
      <c r="BF135" s="160"/>
      <c r="BG135" s="160"/>
    </row>
    <row r="136" spans="2:63" x14ac:dyDescent="0.25">
      <c r="B136" s="325" t="s">
        <v>466</v>
      </c>
      <c r="C136" s="327" t="s">
        <v>467</v>
      </c>
      <c r="D136" s="327" t="s">
        <v>468</v>
      </c>
      <c r="E136" s="329" t="s">
        <v>469</v>
      </c>
      <c r="F136" s="330"/>
      <c r="H136" s="325" t="s">
        <v>466</v>
      </c>
      <c r="I136" s="327" t="s">
        <v>467</v>
      </c>
      <c r="J136" s="327" t="s">
        <v>468</v>
      </c>
      <c r="K136" s="329" t="s">
        <v>469</v>
      </c>
      <c r="L136" s="330"/>
      <c r="N136" s="325" t="s">
        <v>466</v>
      </c>
      <c r="O136" s="327" t="s">
        <v>467</v>
      </c>
      <c r="P136" s="327" t="s">
        <v>468</v>
      </c>
      <c r="Q136" s="329" t="s">
        <v>469</v>
      </c>
      <c r="R136" s="330"/>
      <c r="T136" s="325" t="s">
        <v>466</v>
      </c>
      <c r="U136" s="327" t="s">
        <v>467</v>
      </c>
      <c r="V136" s="327" t="s">
        <v>468</v>
      </c>
      <c r="W136" s="329" t="s">
        <v>469</v>
      </c>
      <c r="X136" s="330"/>
      <c r="Z136" s="325" t="s">
        <v>466</v>
      </c>
      <c r="AA136" s="327" t="s">
        <v>467</v>
      </c>
      <c r="AB136" s="327" t="s">
        <v>468</v>
      </c>
      <c r="AC136" s="329" t="s">
        <v>469</v>
      </c>
      <c r="AD136" s="330"/>
      <c r="AF136" s="325" t="s">
        <v>466</v>
      </c>
      <c r="AG136" s="327" t="s">
        <v>467</v>
      </c>
      <c r="AH136" s="327" t="s">
        <v>468</v>
      </c>
      <c r="AI136" s="329" t="s">
        <v>469</v>
      </c>
      <c r="AJ136" s="330"/>
      <c r="AL136" s="325" t="s">
        <v>466</v>
      </c>
      <c r="AM136" s="327" t="s">
        <v>467</v>
      </c>
      <c r="AN136" s="327" t="s">
        <v>468</v>
      </c>
      <c r="AO136" s="329" t="s">
        <v>469</v>
      </c>
      <c r="AP136" s="330"/>
      <c r="AR136" s="325" t="s">
        <v>466</v>
      </c>
      <c r="AS136" s="327" t="s">
        <v>467</v>
      </c>
      <c r="AT136" s="327" t="s">
        <v>468</v>
      </c>
      <c r="AU136" s="329" t="s">
        <v>469</v>
      </c>
      <c r="AV136" s="330"/>
      <c r="AX136" s="325" t="s">
        <v>466</v>
      </c>
      <c r="AY136" s="327" t="s">
        <v>467</v>
      </c>
      <c r="AZ136" s="327" t="s">
        <v>468</v>
      </c>
      <c r="BA136" s="329" t="s">
        <v>469</v>
      </c>
      <c r="BB136" s="330"/>
      <c r="BD136" s="325" t="s">
        <v>466</v>
      </c>
      <c r="BE136" s="327" t="s">
        <v>467</v>
      </c>
      <c r="BF136" s="327" t="s">
        <v>468</v>
      </c>
      <c r="BG136" s="329" t="s">
        <v>469</v>
      </c>
      <c r="BH136" s="330"/>
    </row>
    <row r="137" spans="2:63" ht="14.4" thickBot="1" x14ac:dyDescent="0.3">
      <c r="B137" s="326"/>
      <c r="C137" s="328"/>
      <c r="D137" s="328"/>
      <c r="E137" s="232" t="s">
        <v>403</v>
      </c>
      <c r="F137" s="174" t="s">
        <v>402</v>
      </c>
      <c r="H137" s="326"/>
      <c r="I137" s="328"/>
      <c r="J137" s="328"/>
      <c r="K137" s="232" t="s">
        <v>403</v>
      </c>
      <c r="L137" s="174" t="s">
        <v>402</v>
      </c>
      <c r="N137" s="326"/>
      <c r="O137" s="328"/>
      <c r="P137" s="328"/>
      <c r="Q137" s="232" t="s">
        <v>403</v>
      </c>
      <c r="R137" s="174" t="s">
        <v>402</v>
      </c>
      <c r="T137" s="326"/>
      <c r="U137" s="328"/>
      <c r="V137" s="328"/>
      <c r="W137" s="232" t="s">
        <v>403</v>
      </c>
      <c r="X137" s="174" t="s">
        <v>402</v>
      </c>
      <c r="Z137" s="326"/>
      <c r="AA137" s="328"/>
      <c r="AB137" s="328"/>
      <c r="AC137" s="232" t="s">
        <v>403</v>
      </c>
      <c r="AD137" s="174" t="s">
        <v>402</v>
      </c>
      <c r="AF137" s="326"/>
      <c r="AG137" s="328"/>
      <c r="AH137" s="328"/>
      <c r="AI137" s="232" t="s">
        <v>403</v>
      </c>
      <c r="AJ137" s="174" t="s">
        <v>402</v>
      </c>
      <c r="AL137" s="326"/>
      <c r="AM137" s="328"/>
      <c r="AN137" s="328"/>
      <c r="AO137" s="232" t="s">
        <v>403</v>
      </c>
      <c r="AP137" s="174" t="s">
        <v>402</v>
      </c>
      <c r="AR137" s="326"/>
      <c r="AS137" s="328"/>
      <c r="AT137" s="328"/>
      <c r="AU137" s="232" t="s">
        <v>403</v>
      </c>
      <c r="AV137" s="174" t="s">
        <v>402</v>
      </c>
      <c r="AX137" s="326"/>
      <c r="AY137" s="328"/>
      <c r="AZ137" s="328"/>
      <c r="BA137" s="232" t="s">
        <v>403</v>
      </c>
      <c r="BB137" s="174" t="s">
        <v>402</v>
      </c>
      <c r="BD137" s="326"/>
      <c r="BE137" s="328"/>
      <c r="BF137" s="328"/>
      <c r="BG137" s="232" t="s">
        <v>403</v>
      </c>
      <c r="BH137" s="174" t="s">
        <v>402</v>
      </c>
    </row>
    <row r="138" spans="2:63" ht="14.4" thickTop="1" x14ac:dyDescent="0.25">
      <c r="B138" s="236">
        <v>41670</v>
      </c>
      <c r="C138" s="171"/>
      <c r="D138" s="166" t="s">
        <v>470</v>
      </c>
      <c r="E138" s="167">
        <f>SUMIF('Libro Diario Convencional'!$B$15:$B$167,D132,'Libro Diario Convencional'!$I$15:$I$167)</f>
        <v>154100</v>
      </c>
      <c r="F138" s="168">
        <f>SUMIF('Libro Diario Convencional'!$B$15:$B$167,D132,'Libro Diario Convencional'!$J$15:$J$167)</f>
        <v>0</v>
      </c>
      <c r="G138" s="9"/>
      <c r="H138" s="236">
        <v>41670</v>
      </c>
      <c r="I138" s="171"/>
      <c r="J138" s="166" t="s">
        <v>470</v>
      </c>
      <c r="K138" s="167">
        <f>SUMIF('Libro Diario Convencional'!$B$15:$B$167,J132,'Libro Diario Convencional'!$I$15:$I$167)</f>
        <v>0</v>
      </c>
      <c r="L138" s="168">
        <f>SUMIF('Libro Diario Convencional'!$B$15:$B$167,J132,'Libro Diario Convencional'!$J$15:$J$167)</f>
        <v>0</v>
      </c>
      <c r="M138" s="9"/>
      <c r="N138" s="236">
        <v>41670</v>
      </c>
      <c r="O138" s="171"/>
      <c r="P138" s="166" t="s">
        <v>470</v>
      </c>
      <c r="Q138" s="167">
        <f>SUMIF('Libro Diario Convencional'!$B$15:$B$167,P132,'Libro Diario Convencional'!$I$15:$I$167)</f>
        <v>327000</v>
      </c>
      <c r="R138" s="168">
        <f>SUMIF('Libro Diario Convencional'!$B$15:$B$167,P132,'Libro Diario Convencional'!$J$15:$J$167)</f>
        <v>0</v>
      </c>
      <c r="S138" s="9"/>
      <c r="T138" s="236">
        <v>41670</v>
      </c>
      <c r="U138" s="171"/>
      <c r="V138" s="166" t="s">
        <v>470</v>
      </c>
      <c r="W138" s="167">
        <f>SUMIF('Libro Diario Convencional'!$B$15:$B$167,V132,'Libro Diario Convencional'!$I$15:$I$167)</f>
        <v>20542.372881355932</v>
      </c>
      <c r="X138" s="168">
        <f>SUMIF('Libro Diario Convencional'!$B$15:$B$167,V132,'Libro Diario Convencional'!$J$15:$J$167)</f>
        <v>0</v>
      </c>
      <c r="Y138" s="9"/>
      <c r="Z138" s="236">
        <v>41670</v>
      </c>
      <c r="AA138" s="171"/>
      <c r="AB138" s="166" t="s">
        <v>470</v>
      </c>
      <c r="AC138" s="167">
        <f>SUMIF('Libro Diario Convencional'!$B$15:$B$167,AB132,'Libro Diario Convencional'!$I$15:$I$167)</f>
        <v>0</v>
      </c>
      <c r="AD138" s="168">
        <f>SUMIF('Libro Diario Convencional'!$B$15:$B$167,AB132,'Libro Diario Convencional'!$J$15:$J$167)</f>
        <v>0</v>
      </c>
      <c r="AE138" s="9"/>
      <c r="AF138" s="236">
        <v>41670</v>
      </c>
      <c r="AG138" s="171"/>
      <c r="AH138" s="166" t="s">
        <v>470</v>
      </c>
      <c r="AI138" s="167">
        <f>SUMIF('Libro Diario Convencional'!$B$15:$B$167,AH132,'Libro Diario Convencional'!$I$15:$I$167)</f>
        <v>8450</v>
      </c>
      <c r="AJ138" s="168">
        <f>SUMIF('Libro Diario Convencional'!$B$15:$B$167,AH132,'Libro Diario Convencional'!$J$15:$J$167)</f>
        <v>0</v>
      </c>
      <c r="AK138" s="9"/>
      <c r="AL138" s="236">
        <v>41670</v>
      </c>
      <c r="AM138" s="171"/>
      <c r="AN138" s="166" t="s">
        <v>470</v>
      </c>
      <c r="AO138" s="167">
        <f>SUMIF('Libro Diario Convencional'!$B$15:$B$167,AN132,'Libro Diario Convencional'!$I$15:$I$167)</f>
        <v>0</v>
      </c>
      <c r="AP138" s="168">
        <f>SUMIF('Libro Diario Convencional'!$B$15:$B$167,AN132,'Libro Diario Convencional'!$J$15:$J$167)</f>
        <v>0</v>
      </c>
      <c r="AQ138" s="9"/>
      <c r="AR138" s="236">
        <v>41670</v>
      </c>
      <c r="AS138" s="171"/>
      <c r="AT138" s="166" t="s">
        <v>470</v>
      </c>
      <c r="AU138" s="167">
        <f>SUMIF('Libro Diario Convencional'!$B$15:$B$167,AT132,'Libro Diario Convencional'!$I$15:$I$167)</f>
        <v>0</v>
      </c>
      <c r="AV138" s="168">
        <f>SUMIF('Libro Diario Convencional'!$B$15:$B$167,AT132,'Libro Diario Convencional'!$J$15:$J$167)</f>
        <v>0</v>
      </c>
      <c r="AW138" s="9"/>
      <c r="AX138" s="236">
        <v>41670</v>
      </c>
      <c r="AY138" s="171"/>
      <c r="AZ138" s="166" t="s">
        <v>470</v>
      </c>
      <c r="BA138" s="167">
        <f>SUMIF('Libro Diario Convencional'!$B$15:$B$167,AZ132,'Libro Diario Convencional'!$I$15:$I$167)</f>
        <v>31542.5</v>
      </c>
      <c r="BB138" s="168">
        <f>SUMIF('Libro Diario Convencional'!$B$15:$B$167,AZ132,'Libro Diario Convencional'!$J$15:$J$167)</f>
        <v>0</v>
      </c>
      <c r="BC138" s="9"/>
      <c r="BD138" s="236">
        <v>41670</v>
      </c>
      <c r="BE138" s="171"/>
      <c r="BF138" s="166" t="s">
        <v>470</v>
      </c>
      <c r="BG138" s="167">
        <f>SUMIF('Libro Diario Convencional'!$B$15:$B$167,BF132,'Libro Diario Convencional'!$I$15:$I$167)</f>
        <v>128800</v>
      </c>
      <c r="BH138" s="168">
        <f>SUMIF('Libro Diario Convencional'!$B$15:$B$167,BF132,'Libro Diario Convencional'!$J$15:$J$167)</f>
        <v>0</v>
      </c>
    </row>
    <row r="139" spans="2:63" x14ac:dyDescent="0.25">
      <c r="B139" s="169"/>
      <c r="C139" s="172"/>
      <c r="D139" s="161"/>
      <c r="E139" s="162"/>
      <c r="F139" s="163"/>
      <c r="G139" s="9"/>
      <c r="H139" s="169"/>
      <c r="I139" s="172"/>
      <c r="J139" s="161"/>
      <c r="K139" s="162"/>
      <c r="L139" s="163"/>
      <c r="M139" s="9"/>
      <c r="N139" s="169"/>
      <c r="O139" s="172"/>
      <c r="P139" s="161"/>
      <c r="Q139" s="162"/>
      <c r="R139" s="163"/>
      <c r="S139" s="9"/>
      <c r="T139" s="169"/>
      <c r="U139" s="172"/>
      <c r="V139" s="161"/>
      <c r="W139" s="162"/>
      <c r="X139" s="163"/>
      <c r="Y139" s="9"/>
      <c r="Z139" s="169"/>
      <c r="AA139" s="172"/>
      <c r="AB139" s="161"/>
      <c r="AC139" s="162"/>
      <c r="AD139" s="163"/>
      <c r="AE139" s="9"/>
      <c r="AF139" s="169"/>
      <c r="AG139" s="172"/>
      <c r="AH139" s="161"/>
      <c r="AI139" s="162"/>
      <c r="AJ139" s="163"/>
      <c r="AK139" s="9"/>
      <c r="AL139" s="169"/>
      <c r="AM139" s="172"/>
      <c r="AN139" s="161"/>
      <c r="AO139" s="162"/>
      <c r="AP139" s="163"/>
      <c r="AQ139" s="9"/>
      <c r="AR139" s="169"/>
      <c r="AS139" s="172"/>
      <c r="AT139" s="161"/>
      <c r="AU139" s="162"/>
      <c r="AV139" s="163"/>
      <c r="AW139" s="9"/>
      <c r="AX139" s="169"/>
      <c r="AY139" s="172"/>
      <c r="AZ139" s="161"/>
      <c r="BA139" s="162"/>
      <c r="BB139" s="163"/>
      <c r="BC139" s="9"/>
      <c r="BD139" s="169"/>
      <c r="BE139" s="172"/>
      <c r="BF139" s="161"/>
      <c r="BG139" s="162"/>
      <c r="BH139" s="163"/>
    </row>
    <row r="140" spans="2:63" x14ac:dyDescent="0.25">
      <c r="B140" s="169"/>
      <c r="C140" s="172"/>
      <c r="D140" s="161"/>
      <c r="E140" s="162"/>
      <c r="F140" s="163"/>
      <c r="G140" s="9"/>
      <c r="H140" s="169"/>
      <c r="I140" s="172"/>
      <c r="J140" s="161"/>
      <c r="K140" s="162"/>
      <c r="L140" s="163"/>
      <c r="M140" s="9"/>
      <c r="N140" s="169"/>
      <c r="O140" s="172"/>
      <c r="P140" s="161"/>
      <c r="Q140" s="162"/>
      <c r="R140" s="163"/>
      <c r="S140" s="9"/>
      <c r="T140" s="169"/>
      <c r="U140" s="172"/>
      <c r="V140" s="161"/>
      <c r="W140" s="162"/>
      <c r="X140" s="163"/>
      <c r="Y140" s="9"/>
      <c r="Z140" s="169"/>
      <c r="AA140" s="172"/>
      <c r="AB140" s="161"/>
      <c r="AC140" s="162"/>
      <c r="AD140" s="163"/>
      <c r="AE140" s="9"/>
      <c r="AF140" s="169"/>
      <c r="AG140" s="172"/>
      <c r="AH140" s="161"/>
      <c r="AI140" s="162"/>
      <c r="AJ140" s="163"/>
      <c r="AK140" s="9"/>
      <c r="AL140" s="169"/>
      <c r="AM140" s="172"/>
      <c r="AN140" s="161"/>
      <c r="AO140" s="162"/>
      <c r="AP140" s="163"/>
      <c r="AQ140" s="9"/>
      <c r="AR140" s="169"/>
      <c r="AS140" s="172"/>
      <c r="AT140" s="161"/>
      <c r="AU140" s="162"/>
      <c r="AV140" s="163"/>
      <c r="AW140" s="9"/>
      <c r="AX140" s="169"/>
      <c r="AY140" s="172"/>
      <c r="AZ140" s="161"/>
      <c r="BA140" s="162"/>
      <c r="BB140" s="163"/>
      <c r="BC140" s="9"/>
      <c r="BD140" s="169"/>
      <c r="BE140" s="172"/>
      <c r="BF140" s="161"/>
      <c r="BG140" s="162"/>
      <c r="BH140" s="163"/>
    </row>
    <row r="141" spans="2:63" ht="14.4" thickBot="1" x14ac:dyDescent="0.3">
      <c r="B141" s="169"/>
      <c r="C141" s="172"/>
      <c r="D141" s="161"/>
      <c r="E141" s="162"/>
      <c r="F141" s="163"/>
      <c r="G141" s="9"/>
      <c r="H141" s="169"/>
      <c r="I141" s="172"/>
      <c r="J141" s="161"/>
      <c r="K141" s="162"/>
      <c r="L141" s="163"/>
      <c r="M141" s="9"/>
      <c r="N141" s="169"/>
      <c r="O141" s="172"/>
      <c r="P141" s="161"/>
      <c r="Q141" s="162"/>
      <c r="R141" s="163"/>
      <c r="S141" s="9"/>
      <c r="T141" s="169"/>
      <c r="U141" s="172"/>
      <c r="V141" s="161"/>
      <c r="W141" s="162"/>
      <c r="X141" s="163"/>
      <c r="Y141" s="9"/>
      <c r="Z141" s="169"/>
      <c r="AA141" s="172"/>
      <c r="AB141" s="161"/>
      <c r="AC141" s="162"/>
      <c r="AD141" s="163"/>
      <c r="AE141" s="9"/>
      <c r="AF141" s="169"/>
      <c r="AG141" s="172"/>
      <c r="AH141" s="161"/>
      <c r="AI141" s="162"/>
      <c r="AJ141" s="163"/>
      <c r="AK141" s="9"/>
      <c r="AL141" s="169"/>
      <c r="AM141" s="172"/>
      <c r="AN141" s="161"/>
      <c r="AO141" s="162"/>
      <c r="AP141" s="163"/>
      <c r="AQ141" s="9"/>
      <c r="AR141" s="169"/>
      <c r="AS141" s="172"/>
      <c r="AT141" s="161"/>
      <c r="AU141" s="162"/>
      <c r="AV141" s="163"/>
      <c r="AW141" s="9"/>
      <c r="AX141" s="169"/>
      <c r="AY141" s="172"/>
      <c r="AZ141" s="161"/>
      <c r="BA141" s="162"/>
      <c r="BB141" s="163"/>
      <c r="BC141" s="9"/>
      <c r="BD141" s="169"/>
      <c r="BE141" s="172"/>
      <c r="BF141" s="161"/>
      <c r="BG141" s="162"/>
      <c r="BH141" s="163"/>
    </row>
    <row r="142" spans="2:63" ht="15" thickBot="1" x14ac:dyDescent="0.3">
      <c r="B142" s="169"/>
      <c r="C142" s="172"/>
      <c r="D142" s="161" t="s">
        <v>471</v>
      </c>
      <c r="E142" s="162">
        <f>SUM(E138:E141)</f>
        <v>154100</v>
      </c>
      <c r="F142" s="163">
        <f>SUM(F138:F141)</f>
        <v>0</v>
      </c>
      <c r="G142" s="9"/>
      <c r="H142" s="169"/>
      <c r="I142" s="172"/>
      <c r="J142" s="161" t="s">
        <v>471</v>
      </c>
      <c r="K142" s="162">
        <f>SUM(K138:K141)</f>
        <v>0</v>
      </c>
      <c r="L142" s="163">
        <f>SUM(L138:L141)</f>
        <v>0</v>
      </c>
      <c r="M142" s="9"/>
      <c r="N142" s="169"/>
      <c r="O142" s="172"/>
      <c r="P142" s="161" t="s">
        <v>471</v>
      </c>
      <c r="Q142" s="162">
        <f>SUM(Q138:Q141)</f>
        <v>327000</v>
      </c>
      <c r="R142" s="163">
        <f>SUM(R138:R141)</f>
        <v>0</v>
      </c>
      <c r="S142" s="9"/>
      <c r="T142" s="169"/>
      <c r="U142" s="172"/>
      <c r="V142" s="161" t="s">
        <v>471</v>
      </c>
      <c r="W142" s="162">
        <f>SUM(W138:W141)</f>
        <v>20542.372881355932</v>
      </c>
      <c r="X142" s="163">
        <f>SUM(X138:X141)</f>
        <v>0</v>
      </c>
      <c r="Y142" s="9"/>
      <c r="Z142" s="169"/>
      <c r="AA142" s="172"/>
      <c r="AB142" s="161" t="s">
        <v>471</v>
      </c>
      <c r="AC142" s="162">
        <f>SUM(AC138:AC141)</f>
        <v>0</v>
      </c>
      <c r="AD142" s="163">
        <f>SUM(AD138:AD141)</f>
        <v>0</v>
      </c>
      <c r="AE142" s="9"/>
      <c r="AF142" s="169"/>
      <c r="AG142" s="172"/>
      <c r="AH142" s="161" t="s">
        <v>471</v>
      </c>
      <c r="AI142" s="162">
        <f>SUM(AI138:AI141)</f>
        <v>8450</v>
      </c>
      <c r="AJ142" s="163">
        <f>SUM(AJ138:AJ141)</f>
        <v>0</v>
      </c>
      <c r="AK142" s="9"/>
      <c r="AL142" s="169"/>
      <c r="AM142" s="172"/>
      <c r="AN142" s="161" t="s">
        <v>471</v>
      </c>
      <c r="AO142" s="162">
        <f>SUM(AO138:AO141)</f>
        <v>0</v>
      </c>
      <c r="AP142" s="163">
        <f>SUM(AP138:AP141)</f>
        <v>0</v>
      </c>
      <c r="AQ142" s="9"/>
      <c r="AR142" s="169"/>
      <c r="AS142" s="172"/>
      <c r="AT142" s="161" t="s">
        <v>471</v>
      </c>
      <c r="AU142" s="162">
        <f>SUM(AU138:AU141)</f>
        <v>0</v>
      </c>
      <c r="AV142" s="163">
        <f>SUM(AV138:AV141)</f>
        <v>0</v>
      </c>
      <c r="AW142" s="9"/>
      <c r="AX142" s="169"/>
      <c r="AY142" s="172"/>
      <c r="AZ142" s="161" t="s">
        <v>471</v>
      </c>
      <c r="BA142" s="162">
        <f>SUM(BA138:BA141)</f>
        <v>31542.5</v>
      </c>
      <c r="BB142" s="163">
        <f>SUM(BB138:BB141)</f>
        <v>0</v>
      </c>
      <c r="BC142" s="9"/>
      <c r="BD142" s="169"/>
      <c r="BE142" s="172"/>
      <c r="BF142" s="161" t="s">
        <v>471</v>
      </c>
      <c r="BG142" s="162">
        <f>SUM(BG138:BG141)</f>
        <v>128800</v>
      </c>
      <c r="BH142" s="163">
        <f>SUM(BH138:BH141)</f>
        <v>0</v>
      </c>
      <c r="BJ142" s="157">
        <f>SUM(E142,K142,Q142,W142,AC142,AI142,AO142,AU142,BA142,BG142)</f>
        <v>670434.87288135593</v>
      </c>
      <c r="BK142" s="158">
        <f>SUM(F142,L142,R142,X142,AD142,AJ142,AP142,AV142,BB142,BH142)</f>
        <v>0</v>
      </c>
    </row>
    <row r="143" spans="2:63" ht="14.4" thickBot="1" x14ac:dyDescent="0.3">
      <c r="B143" s="170"/>
      <c r="C143" s="173"/>
      <c r="D143" s="164" t="str">
        <f>IF(E142=F142,"",IF(E142&gt;F142,"Saldo Deudor","Saldo Acreedor"))</f>
        <v>Saldo Deudor</v>
      </c>
      <c r="E143" s="165">
        <f>IF(E142&gt;F142,E142-F142,"")</f>
        <v>154100</v>
      </c>
      <c r="F143" s="176" t="str">
        <f>IF(E142&lt;F142,F142-E142,"")</f>
        <v/>
      </c>
      <c r="H143" s="170"/>
      <c r="I143" s="173"/>
      <c r="J143" s="164" t="str">
        <f>IF(K142=L142,"",IF(K142&gt;L142,"Saldo Deudor","Saldo Acreedor"))</f>
        <v/>
      </c>
      <c r="K143" s="165" t="str">
        <f>IF(K142&gt;L142,K142-L142,"")</f>
        <v/>
      </c>
      <c r="L143" s="176" t="str">
        <f>IF(K142&lt;L142,L142-K142,"")</f>
        <v/>
      </c>
      <c r="N143" s="170"/>
      <c r="O143" s="173"/>
      <c r="P143" s="164" t="str">
        <f>IF(Q142=R142,"",IF(Q142&gt;R142,"Saldo Deudor","Saldo Acreedor"))</f>
        <v>Saldo Deudor</v>
      </c>
      <c r="Q143" s="165">
        <f>IF(Q142&gt;R142,Q142-R142,"")</f>
        <v>327000</v>
      </c>
      <c r="R143" s="176" t="str">
        <f>IF(Q142&lt;R142,R142-Q142,"")</f>
        <v/>
      </c>
      <c r="T143" s="170"/>
      <c r="U143" s="173"/>
      <c r="V143" s="164" t="str">
        <f>IF(W142=X142,"",IF(W142&gt;X142,"Saldo Deudor","Saldo Acreedor"))</f>
        <v>Saldo Deudor</v>
      </c>
      <c r="W143" s="165">
        <f>IF(W142&gt;X142,W142-X142,"")</f>
        <v>20542.372881355932</v>
      </c>
      <c r="X143" s="176" t="str">
        <f>IF(W142&lt;X142,X142-W142,"")</f>
        <v/>
      </c>
      <c r="Z143" s="170"/>
      <c r="AA143" s="173"/>
      <c r="AB143" s="164" t="str">
        <f>IF(AC142=AD142,"",IF(AC142&gt;AD142,"Saldo Deudor","Saldo Acreedor"))</f>
        <v/>
      </c>
      <c r="AC143" s="165" t="str">
        <f>IF(AC142&gt;AD142,AC142-AD142,"")</f>
        <v/>
      </c>
      <c r="AD143" s="176" t="str">
        <f>IF(AC142&lt;AD142,AD142-AC142,"")</f>
        <v/>
      </c>
      <c r="AF143" s="170"/>
      <c r="AG143" s="173"/>
      <c r="AH143" s="164" t="str">
        <f>IF(AI142=AJ142,"",IF(AI142&gt;AJ142,"Saldo Deudor","Saldo Acreedor"))</f>
        <v>Saldo Deudor</v>
      </c>
      <c r="AI143" s="165">
        <f>IF(AI142&gt;AJ142,AI142-AJ142,"")</f>
        <v>8450</v>
      </c>
      <c r="AJ143" s="176" t="str">
        <f>IF(AI142&lt;AJ142,AJ142-AI142,"")</f>
        <v/>
      </c>
      <c r="AL143" s="170"/>
      <c r="AM143" s="173"/>
      <c r="AN143" s="164" t="str">
        <f>IF(AO142=AP142,"",IF(AO142&gt;AP142,"Saldo Deudor","Saldo Acreedor"))</f>
        <v/>
      </c>
      <c r="AO143" s="165" t="str">
        <f>IF(AO142&gt;AP142,AO142-AP142,"")</f>
        <v/>
      </c>
      <c r="AP143" s="176" t="str">
        <f>IF(AO142&lt;AP142,AP142-AO142,"")</f>
        <v/>
      </c>
      <c r="AR143" s="170"/>
      <c r="AS143" s="173"/>
      <c r="AT143" s="164" t="str">
        <f>IF(AU142=AV142,"",IF(AU142&gt;AV142,"Saldo Deudor","Saldo Acreedor"))</f>
        <v/>
      </c>
      <c r="AU143" s="165" t="str">
        <f>IF(AU142&gt;AV142,AU142-AV142,"")</f>
        <v/>
      </c>
      <c r="AV143" s="176" t="str">
        <f>IF(AU142&lt;AV142,AV142-AU142,"")</f>
        <v/>
      </c>
      <c r="AX143" s="170"/>
      <c r="AY143" s="173"/>
      <c r="AZ143" s="164" t="str">
        <f>IF(BA142=BB142,"",IF(BA142&gt;BB142,"Saldo Deudor","Saldo Acreedor"))</f>
        <v>Saldo Deudor</v>
      </c>
      <c r="BA143" s="165">
        <f>IF(BA142&gt;BB142,BA142-BB142,"")</f>
        <v>31542.5</v>
      </c>
      <c r="BB143" s="176" t="str">
        <f>IF(BA142&lt;BB142,BB142-BA142,"")</f>
        <v/>
      </c>
      <c r="BD143" s="170"/>
      <c r="BE143" s="173"/>
      <c r="BF143" s="164" t="str">
        <f>IF(BG142=BH142,"",IF(BG142&gt;BH142,"Saldo Deudor","Saldo Acreedor"))</f>
        <v>Saldo Deudor</v>
      </c>
      <c r="BG143" s="165">
        <f>IF(BG142&gt;BH142,BG142-BH142,"")</f>
        <v>128800</v>
      </c>
      <c r="BH143" s="176" t="str">
        <f>IF(BG142&lt;BH142,BH142-BG142,"")</f>
        <v/>
      </c>
    </row>
    <row r="146" spans="2:60" ht="15.6" x14ac:dyDescent="0.25">
      <c r="B146" s="324" t="s">
        <v>321</v>
      </c>
      <c r="C146" s="324"/>
      <c r="D146" s="233" t="str">
        <f>'Base de Datos'!$C$756</f>
        <v>LIBRO MAYOR</v>
      </c>
      <c r="H146" s="324" t="s">
        <v>321</v>
      </c>
      <c r="I146" s="324"/>
      <c r="J146" s="233" t="str">
        <f>'Base de Datos'!$C$756</f>
        <v>LIBRO MAYOR</v>
      </c>
      <c r="N146" s="324" t="s">
        <v>321</v>
      </c>
      <c r="O146" s="324"/>
      <c r="P146" s="233" t="str">
        <f>'Base de Datos'!$C$756</f>
        <v>LIBRO MAYOR</v>
      </c>
      <c r="T146" s="324" t="s">
        <v>321</v>
      </c>
      <c r="U146" s="324"/>
      <c r="V146" s="233" t="str">
        <f>'Base de Datos'!$C$756</f>
        <v>LIBRO MAYOR</v>
      </c>
      <c r="Z146" s="324" t="s">
        <v>321</v>
      </c>
      <c r="AA146" s="324"/>
      <c r="AB146" s="233" t="str">
        <f>'Base de Datos'!$C$756</f>
        <v>LIBRO MAYOR</v>
      </c>
      <c r="AF146" s="324" t="s">
        <v>321</v>
      </c>
      <c r="AG146" s="324"/>
      <c r="AH146" s="233" t="str">
        <f>'Base de Datos'!$C$756</f>
        <v>LIBRO MAYOR</v>
      </c>
      <c r="AL146" s="324" t="s">
        <v>321</v>
      </c>
      <c r="AM146" s="324"/>
      <c r="AN146" s="233" t="str">
        <f>'Base de Datos'!$C$756</f>
        <v>LIBRO MAYOR</v>
      </c>
      <c r="AR146" s="324" t="s">
        <v>321</v>
      </c>
      <c r="AS146" s="324"/>
      <c r="AT146" s="233" t="str">
        <f>'Base de Datos'!$C$756</f>
        <v>LIBRO MAYOR</v>
      </c>
      <c r="AX146" s="324" t="s">
        <v>321</v>
      </c>
      <c r="AY146" s="324"/>
      <c r="AZ146" s="233" t="str">
        <f>'Base de Datos'!$C$756</f>
        <v>LIBRO MAYOR</v>
      </c>
      <c r="BD146" s="324" t="s">
        <v>321</v>
      </c>
      <c r="BE146" s="324"/>
      <c r="BF146" s="233" t="str">
        <f>'Base de Datos'!$C$756</f>
        <v>LIBRO MAYOR</v>
      </c>
    </row>
    <row r="147" spans="2:60" x14ac:dyDescent="0.25">
      <c r="C147" s="2"/>
      <c r="D147" s="2"/>
      <c r="E147" s="2"/>
      <c r="I147" s="2"/>
      <c r="J147" s="2"/>
      <c r="K147" s="2"/>
      <c r="O147" s="2"/>
      <c r="P147" s="2"/>
      <c r="Q147" s="2"/>
      <c r="U147" s="2"/>
      <c r="V147" s="2"/>
      <c r="W147" s="2"/>
      <c r="AA147" s="2"/>
      <c r="AB147" s="2"/>
      <c r="AC147" s="2"/>
      <c r="AG147" s="2"/>
      <c r="AH147" s="2"/>
      <c r="AI147" s="2"/>
      <c r="AM147" s="2"/>
      <c r="AN147" s="2"/>
      <c r="AO147" s="2"/>
      <c r="AS147" s="2"/>
      <c r="AT147" s="2"/>
      <c r="AU147" s="2"/>
      <c r="AY147" s="2"/>
      <c r="AZ147" s="2"/>
      <c r="BA147" s="2"/>
      <c r="BE147" s="2"/>
      <c r="BF147" s="2"/>
      <c r="BG147" s="2"/>
    </row>
    <row r="148" spans="2:60" ht="15.6" x14ac:dyDescent="0.25">
      <c r="B148" s="324" t="s">
        <v>322</v>
      </c>
      <c r="C148" s="324"/>
      <c r="D148" s="234" t="str">
        <f>'Base de Datos'!$C$8</f>
        <v>MARZO</v>
      </c>
      <c r="E148" s="160"/>
      <c r="H148" s="324" t="s">
        <v>322</v>
      </c>
      <c r="I148" s="324"/>
      <c r="J148" s="234" t="str">
        <f>'Base de Datos'!$C$8</f>
        <v>MARZO</v>
      </c>
      <c r="K148" s="160"/>
      <c r="N148" s="324" t="s">
        <v>322</v>
      </c>
      <c r="O148" s="324"/>
      <c r="P148" s="234" t="str">
        <f>'Base de Datos'!$C$8</f>
        <v>MARZO</v>
      </c>
      <c r="Q148" s="160"/>
      <c r="T148" s="324" t="s">
        <v>322</v>
      </c>
      <c r="U148" s="324"/>
      <c r="V148" s="234" t="str">
        <f>'Base de Datos'!$C$8</f>
        <v>MARZO</v>
      </c>
      <c r="W148" s="160"/>
      <c r="Z148" s="324" t="s">
        <v>322</v>
      </c>
      <c r="AA148" s="324"/>
      <c r="AB148" s="234" t="str">
        <f>'Base de Datos'!$C$8</f>
        <v>MARZO</v>
      </c>
      <c r="AC148" s="160"/>
      <c r="AF148" s="324" t="s">
        <v>322</v>
      </c>
      <c r="AG148" s="324"/>
      <c r="AH148" s="234" t="str">
        <f>'Base de Datos'!$C$8</f>
        <v>MARZO</v>
      </c>
      <c r="AI148" s="160"/>
      <c r="AL148" s="324" t="s">
        <v>322</v>
      </c>
      <c r="AM148" s="324"/>
      <c r="AN148" s="234" t="str">
        <f>'Base de Datos'!$C$8</f>
        <v>MARZO</v>
      </c>
      <c r="AO148" s="160"/>
      <c r="AR148" s="324" t="s">
        <v>322</v>
      </c>
      <c r="AS148" s="324"/>
      <c r="AT148" s="234" t="str">
        <f>'Base de Datos'!$C$8</f>
        <v>MARZO</v>
      </c>
      <c r="AU148" s="160"/>
      <c r="AX148" s="324" t="s">
        <v>322</v>
      </c>
      <c r="AY148" s="324"/>
      <c r="AZ148" s="234" t="str">
        <f>'Base de Datos'!$C$8</f>
        <v>MARZO</v>
      </c>
      <c r="BA148" s="160"/>
      <c r="BD148" s="324" t="s">
        <v>322</v>
      </c>
      <c r="BE148" s="324"/>
      <c r="BF148" s="234" t="str">
        <f>'Base de Datos'!$C$8</f>
        <v>MARZO</v>
      </c>
      <c r="BG148" s="160"/>
    </row>
    <row r="149" spans="2:60" x14ac:dyDescent="0.25">
      <c r="C149" s="2"/>
      <c r="D149" s="2"/>
      <c r="E149" s="2"/>
      <c r="I149" s="2"/>
      <c r="J149" s="2"/>
      <c r="K149" s="2"/>
      <c r="O149" s="2"/>
      <c r="P149" s="2"/>
      <c r="Q149" s="2"/>
      <c r="U149" s="2"/>
      <c r="V149" s="2"/>
      <c r="W149" s="2"/>
      <c r="AA149" s="2"/>
      <c r="AB149" s="2"/>
      <c r="AC149" s="2"/>
      <c r="AG149" s="2"/>
      <c r="AH149" s="2"/>
      <c r="AI149" s="2"/>
      <c r="AM149" s="2"/>
      <c r="AN149" s="2"/>
      <c r="AO149" s="2"/>
      <c r="AS149" s="2"/>
      <c r="AT149" s="2"/>
      <c r="AU149" s="2"/>
      <c r="AY149" s="2"/>
      <c r="AZ149" s="2"/>
      <c r="BA149" s="2"/>
      <c r="BE149" s="2"/>
      <c r="BF149" s="2"/>
      <c r="BG149" s="2"/>
    </row>
    <row r="150" spans="2:60" ht="15.6" x14ac:dyDescent="0.25">
      <c r="B150" s="324" t="s">
        <v>323</v>
      </c>
      <c r="C150" s="324"/>
      <c r="D150" s="231">
        <f>'Base de Datos'!$C$9</f>
        <v>2015</v>
      </c>
      <c r="E150" s="2"/>
      <c r="H150" s="324" t="s">
        <v>323</v>
      </c>
      <c r="I150" s="324"/>
      <c r="J150" s="231">
        <f>'Base de Datos'!$C$9</f>
        <v>2015</v>
      </c>
      <c r="K150" s="2"/>
      <c r="N150" s="324" t="s">
        <v>323</v>
      </c>
      <c r="O150" s="324"/>
      <c r="P150" s="231">
        <f>'Base de Datos'!$C$9</f>
        <v>2015</v>
      </c>
      <c r="Q150" s="2"/>
      <c r="T150" s="324" t="s">
        <v>323</v>
      </c>
      <c r="U150" s="324"/>
      <c r="V150" s="231">
        <f>'Base de Datos'!$C$9</f>
        <v>2015</v>
      </c>
      <c r="W150" s="2"/>
      <c r="Z150" s="324" t="s">
        <v>323</v>
      </c>
      <c r="AA150" s="324"/>
      <c r="AB150" s="231">
        <f>'Base de Datos'!$C$9</f>
        <v>2015</v>
      </c>
      <c r="AC150" s="2"/>
      <c r="AF150" s="324" t="s">
        <v>323</v>
      </c>
      <c r="AG150" s="324"/>
      <c r="AH150" s="231">
        <f>'Base de Datos'!$C$9</f>
        <v>2015</v>
      </c>
      <c r="AI150" s="2"/>
      <c r="AL150" s="324" t="s">
        <v>323</v>
      </c>
      <c r="AM150" s="324"/>
      <c r="AN150" s="231">
        <f>'Base de Datos'!$C$9</f>
        <v>2015</v>
      </c>
      <c r="AO150" s="2"/>
      <c r="AR150" s="324" t="s">
        <v>323</v>
      </c>
      <c r="AS150" s="324"/>
      <c r="AT150" s="231">
        <f>'Base de Datos'!$C$9</f>
        <v>2015</v>
      </c>
      <c r="AU150" s="2"/>
      <c r="AX150" s="324" t="s">
        <v>323</v>
      </c>
      <c r="AY150" s="324"/>
      <c r="AZ150" s="231">
        <f>'Base de Datos'!$C$9</f>
        <v>2015</v>
      </c>
      <c r="BA150" s="2"/>
      <c r="BD150" s="324" t="s">
        <v>323</v>
      </c>
      <c r="BE150" s="324"/>
      <c r="BF150" s="231">
        <f>'Base de Datos'!$C$9</f>
        <v>2015</v>
      </c>
      <c r="BG150" s="2"/>
    </row>
    <row r="151" spans="2:60" x14ac:dyDescent="0.25">
      <c r="C151" s="2"/>
      <c r="D151" s="2"/>
      <c r="E151" s="2"/>
      <c r="I151" s="2"/>
      <c r="J151" s="2"/>
      <c r="K151" s="2"/>
      <c r="O151" s="2"/>
      <c r="P151" s="2"/>
      <c r="Q151" s="2"/>
      <c r="U151" s="2"/>
      <c r="V151" s="2"/>
      <c r="W151" s="2"/>
      <c r="AA151" s="2"/>
      <c r="AB151" s="2"/>
      <c r="AC151" s="2"/>
      <c r="AG151" s="2"/>
      <c r="AH151" s="2"/>
      <c r="AI151" s="2"/>
      <c r="AM151" s="2"/>
      <c r="AN151" s="2"/>
      <c r="AO151" s="2"/>
      <c r="AS151" s="2"/>
      <c r="AT151" s="2"/>
      <c r="AU151" s="2"/>
      <c r="AY151" s="2"/>
      <c r="AZ151" s="2"/>
      <c r="BA151" s="2"/>
      <c r="BE151" s="2"/>
      <c r="BF151" s="2"/>
      <c r="BG151" s="2"/>
    </row>
    <row r="152" spans="2:60" ht="15.6" x14ac:dyDescent="0.25">
      <c r="B152" s="324" t="s">
        <v>324</v>
      </c>
      <c r="C152" s="324"/>
      <c r="D152" s="316">
        <f>'Base de Datos'!$C$6</f>
        <v>20411074561</v>
      </c>
      <c r="E152" s="316"/>
      <c r="H152" s="324" t="s">
        <v>324</v>
      </c>
      <c r="I152" s="324"/>
      <c r="J152" s="316">
        <f>'Base de Datos'!$C$6</f>
        <v>20411074561</v>
      </c>
      <c r="K152" s="316"/>
      <c r="N152" s="324" t="s">
        <v>324</v>
      </c>
      <c r="O152" s="324"/>
      <c r="P152" s="316">
        <f>'Base de Datos'!$C$6</f>
        <v>20411074561</v>
      </c>
      <c r="Q152" s="316"/>
      <c r="T152" s="324" t="s">
        <v>324</v>
      </c>
      <c r="U152" s="324"/>
      <c r="V152" s="316">
        <f>'Base de Datos'!$C$6</f>
        <v>20411074561</v>
      </c>
      <c r="W152" s="316"/>
      <c r="Z152" s="324" t="s">
        <v>324</v>
      </c>
      <c r="AA152" s="324"/>
      <c r="AB152" s="316">
        <f>'Base de Datos'!$C$6</f>
        <v>20411074561</v>
      </c>
      <c r="AC152" s="316"/>
      <c r="AF152" s="324" t="s">
        <v>324</v>
      </c>
      <c r="AG152" s="324"/>
      <c r="AH152" s="316">
        <f>'Base de Datos'!$C$6</f>
        <v>20411074561</v>
      </c>
      <c r="AI152" s="316"/>
      <c r="AL152" s="324" t="s">
        <v>324</v>
      </c>
      <c r="AM152" s="324"/>
      <c r="AN152" s="316">
        <f>'Base de Datos'!$C$6</f>
        <v>20411074561</v>
      </c>
      <c r="AO152" s="316"/>
      <c r="AR152" s="324" t="s">
        <v>324</v>
      </c>
      <c r="AS152" s="324"/>
      <c r="AT152" s="316">
        <f>'Base de Datos'!$C$6</f>
        <v>20411074561</v>
      </c>
      <c r="AU152" s="316"/>
      <c r="AX152" s="324" t="s">
        <v>324</v>
      </c>
      <c r="AY152" s="324"/>
      <c r="AZ152" s="316">
        <f>'Base de Datos'!$C$6</f>
        <v>20411074561</v>
      </c>
      <c r="BA152" s="316"/>
      <c r="BD152" s="324" t="s">
        <v>324</v>
      </c>
      <c r="BE152" s="324"/>
      <c r="BF152" s="316">
        <f>'Base de Datos'!$C$6</f>
        <v>20411074561</v>
      </c>
      <c r="BG152" s="316"/>
    </row>
    <row r="153" spans="2:60" x14ac:dyDescent="0.25">
      <c r="C153" s="2"/>
      <c r="D153" s="2"/>
      <c r="E153" s="2"/>
      <c r="I153" s="2"/>
      <c r="J153" s="2"/>
      <c r="K153" s="2"/>
      <c r="O153" s="2"/>
      <c r="P153" s="2"/>
      <c r="Q153" s="2"/>
      <c r="U153" s="2"/>
      <c r="V153" s="2"/>
      <c r="W153" s="2"/>
      <c r="AA153" s="2"/>
      <c r="AB153" s="2"/>
      <c r="AC153" s="2"/>
      <c r="AG153" s="2"/>
      <c r="AH153" s="2"/>
      <c r="AI153" s="2"/>
      <c r="AM153" s="2"/>
      <c r="AN153" s="2"/>
      <c r="AO153" s="2"/>
      <c r="AS153" s="2"/>
      <c r="AT153" s="2"/>
      <c r="AU153" s="2"/>
      <c r="AY153" s="2"/>
      <c r="AZ153" s="2"/>
      <c r="BA153" s="2"/>
      <c r="BE153" s="2"/>
      <c r="BF153" s="2"/>
      <c r="BG153" s="2"/>
    </row>
    <row r="154" spans="2:60" ht="15.6" x14ac:dyDescent="0.25">
      <c r="B154" s="324" t="s">
        <v>325</v>
      </c>
      <c r="C154" s="324"/>
      <c r="D154" s="234" t="str">
        <f>'Base de Datos'!$C$5</f>
        <v>LOS BAILARINES SRL</v>
      </c>
      <c r="E154" s="2"/>
      <c r="H154" s="324" t="s">
        <v>325</v>
      </c>
      <c r="I154" s="324"/>
      <c r="J154" s="234" t="str">
        <f>'Base de Datos'!$C$5</f>
        <v>LOS BAILARINES SRL</v>
      </c>
      <c r="K154" s="2"/>
      <c r="N154" s="324" t="s">
        <v>325</v>
      </c>
      <c r="O154" s="324"/>
      <c r="P154" s="234" t="str">
        <f>'Base de Datos'!$C$5</f>
        <v>LOS BAILARINES SRL</v>
      </c>
      <c r="Q154" s="2"/>
      <c r="T154" s="324" t="s">
        <v>325</v>
      </c>
      <c r="U154" s="324"/>
      <c r="V154" s="234" t="str">
        <f>'Base de Datos'!$C$5</f>
        <v>LOS BAILARINES SRL</v>
      </c>
      <c r="W154" s="2"/>
      <c r="Z154" s="324" t="s">
        <v>325</v>
      </c>
      <c r="AA154" s="324"/>
      <c r="AB154" s="234" t="str">
        <f>'Base de Datos'!$C$5</f>
        <v>LOS BAILARINES SRL</v>
      </c>
      <c r="AC154" s="2"/>
      <c r="AF154" s="324" t="s">
        <v>325</v>
      </c>
      <c r="AG154" s="324"/>
      <c r="AH154" s="234" t="str">
        <f>'Base de Datos'!$C$5</f>
        <v>LOS BAILARINES SRL</v>
      </c>
      <c r="AI154" s="2"/>
      <c r="AL154" s="324" t="s">
        <v>325</v>
      </c>
      <c r="AM154" s="324"/>
      <c r="AN154" s="234" t="str">
        <f>'Base de Datos'!$C$5</f>
        <v>LOS BAILARINES SRL</v>
      </c>
      <c r="AO154" s="2"/>
      <c r="AR154" s="324" t="s">
        <v>325</v>
      </c>
      <c r="AS154" s="324"/>
      <c r="AT154" s="234" t="str">
        <f>'Base de Datos'!$C$5</f>
        <v>LOS BAILARINES SRL</v>
      </c>
      <c r="AU154" s="2"/>
      <c r="AX154" s="324" t="s">
        <v>325</v>
      </c>
      <c r="AY154" s="324"/>
      <c r="AZ154" s="234" t="str">
        <f>'Base de Datos'!$C$5</f>
        <v>LOS BAILARINES SRL</v>
      </c>
      <c r="BA154" s="2"/>
      <c r="BD154" s="324" t="s">
        <v>325</v>
      </c>
      <c r="BE154" s="324"/>
      <c r="BF154" s="234" t="str">
        <f>'Base de Datos'!$C$5</f>
        <v>LOS BAILARINES SRL</v>
      </c>
      <c r="BG154" s="2"/>
    </row>
    <row r="155" spans="2:60" x14ac:dyDescent="0.25">
      <c r="B155" s="160"/>
      <c r="C155" s="160"/>
      <c r="D155" s="160"/>
      <c r="E155" s="160"/>
      <c r="H155" s="160"/>
      <c r="I155" s="160"/>
      <c r="J155" s="160"/>
      <c r="K155" s="160"/>
      <c r="N155" s="160"/>
      <c r="O155" s="160"/>
      <c r="P155" s="160"/>
      <c r="Q155" s="160"/>
      <c r="T155" s="160"/>
      <c r="U155" s="160"/>
      <c r="V155" s="160"/>
      <c r="W155" s="160"/>
      <c r="Z155" s="160"/>
      <c r="AA155" s="160"/>
      <c r="AB155" s="160"/>
      <c r="AC155" s="160"/>
      <c r="AF155" s="160"/>
      <c r="AG155" s="160"/>
      <c r="AH155" s="160"/>
      <c r="AI155" s="160"/>
      <c r="AL155" s="160"/>
      <c r="AM155" s="160"/>
      <c r="AN155" s="160"/>
      <c r="AO155" s="160"/>
      <c r="AR155" s="160"/>
      <c r="AS155" s="160"/>
      <c r="AT155" s="160"/>
      <c r="AU155" s="160"/>
      <c r="AX155" s="160"/>
      <c r="AY155" s="160"/>
      <c r="AZ155" s="160"/>
      <c r="BA155" s="160"/>
      <c r="BD155" s="160"/>
      <c r="BE155" s="160"/>
      <c r="BF155" s="160"/>
      <c r="BG155" s="160"/>
    </row>
    <row r="156" spans="2:60" ht="15.6" x14ac:dyDescent="0.25">
      <c r="B156" s="324" t="s">
        <v>472</v>
      </c>
      <c r="C156" s="324"/>
      <c r="D156" s="175">
        <v>70</v>
      </c>
      <c r="H156" s="324" t="s">
        <v>472</v>
      </c>
      <c r="I156" s="324"/>
      <c r="J156" s="175">
        <v>71</v>
      </c>
      <c r="N156" s="324" t="s">
        <v>472</v>
      </c>
      <c r="O156" s="324"/>
      <c r="P156" s="175">
        <v>72</v>
      </c>
      <c r="T156" s="324" t="s">
        <v>472</v>
      </c>
      <c r="U156" s="324"/>
      <c r="V156" s="175">
        <v>73</v>
      </c>
      <c r="Z156" s="324" t="s">
        <v>472</v>
      </c>
      <c r="AA156" s="324"/>
      <c r="AB156" s="175">
        <v>74</v>
      </c>
      <c r="AF156" s="324" t="s">
        <v>472</v>
      </c>
      <c r="AG156" s="324"/>
      <c r="AH156" s="175">
        <v>75</v>
      </c>
      <c r="AL156" s="324" t="s">
        <v>472</v>
      </c>
      <c r="AM156" s="324"/>
      <c r="AN156" s="175">
        <v>76</v>
      </c>
      <c r="AR156" s="324" t="s">
        <v>472</v>
      </c>
      <c r="AS156" s="324"/>
      <c r="AT156" s="175">
        <v>77</v>
      </c>
      <c r="AX156" s="324" t="s">
        <v>472</v>
      </c>
      <c r="AY156" s="324"/>
      <c r="AZ156" s="175">
        <v>78</v>
      </c>
      <c r="BD156" s="324" t="s">
        <v>472</v>
      </c>
      <c r="BE156" s="324"/>
      <c r="BF156" s="175">
        <v>79</v>
      </c>
    </row>
    <row r="157" spans="2:60" x14ac:dyDescent="0.25">
      <c r="B157" s="160"/>
      <c r="C157" s="160"/>
      <c r="D157" s="160"/>
      <c r="E157" s="160"/>
      <c r="H157" s="160"/>
      <c r="I157" s="160"/>
      <c r="J157" s="160"/>
      <c r="K157" s="160"/>
      <c r="N157" s="160"/>
      <c r="O157" s="160"/>
      <c r="P157" s="160"/>
      <c r="Q157" s="160"/>
      <c r="T157" s="160"/>
      <c r="U157" s="160"/>
      <c r="V157" s="160"/>
      <c r="W157" s="160"/>
      <c r="Z157" s="160"/>
      <c r="AA157" s="160"/>
      <c r="AB157" s="160"/>
      <c r="AC157" s="160"/>
      <c r="AF157" s="160"/>
      <c r="AG157" s="160"/>
      <c r="AH157" s="160"/>
      <c r="AI157" s="160"/>
      <c r="AL157" s="160"/>
      <c r="AM157" s="160"/>
      <c r="AN157" s="160"/>
      <c r="AO157" s="160"/>
      <c r="AR157" s="160"/>
      <c r="AS157" s="160"/>
      <c r="AT157" s="160"/>
      <c r="AU157" s="160"/>
      <c r="AX157" s="160"/>
      <c r="AY157" s="160"/>
      <c r="AZ157" s="160"/>
      <c r="BA157" s="160"/>
      <c r="BD157" s="160"/>
      <c r="BE157" s="160"/>
      <c r="BF157" s="160"/>
      <c r="BG157" s="160"/>
    </row>
    <row r="158" spans="2:60" ht="15.6" x14ac:dyDescent="0.25">
      <c r="B158" s="324" t="s">
        <v>473</v>
      </c>
      <c r="C158" s="324"/>
      <c r="D158" s="234" t="str">
        <f>VLOOKUP(D156,CuentasContables,5,FALSE)</f>
        <v>VENTAS</v>
      </c>
      <c r="E158" s="160"/>
      <c r="H158" s="324" t="s">
        <v>473</v>
      </c>
      <c r="I158" s="324"/>
      <c r="J158" s="234" t="str">
        <f>VLOOKUP(J156,CuentasContables,5,FALSE)</f>
        <v>VARIACIÓN DE LA PRODUCCIÓN ALMACENADA</v>
      </c>
      <c r="K158" s="160"/>
      <c r="N158" s="324" t="s">
        <v>473</v>
      </c>
      <c r="O158" s="324"/>
      <c r="P158" s="234" t="str">
        <f>VLOOKUP(P156,CuentasContables,5,FALSE)</f>
        <v>PRODUCCIÓN DE ACTIVO INMOVILIZADO</v>
      </c>
      <c r="Q158" s="160"/>
      <c r="T158" s="324" t="s">
        <v>473</v>
      </c>
      <c r="U158" s="324"/>
      <c r="V158" s="234" t="str">
        <f>VLOOKUP(V156,CuentasContables,5,FALSE)</f>
        <v>DESCUENTOS, REBAJAS Y BONIFICACIONES OBTENIDOS</v>
      </c>
      <c r="W158" s="160"/>
      <c r="Z158" s="324" t="s">
        <v>473</v>
      </c>
      <c r="AA158" s="324"/>
      <c r="AB158" s="234" t="str">
        <f>VLOOKUP(AB156,CuentasContables,5,FALSE)</f>
        <v>DESCUENTOS, REBAJAS Y BONIFICACIONES CONCEDIDOS</v>
      </c>
      <c r="AC158" s="160"/>
      <c r="AF158" s="324" t="s">
        <v>473</v>
      </c>
      <c r="AG158" s="324"/>
      <c r="AH158" s="234" t="str">
        <f>VLOOKUP(AH156,CuentasContables,5,FALSE)</f>
        <v>OTROS INGRESOS DE GESTIÓN</v>
      </c>
      <c r="AI158" s="160"/>
      <c r="AL158" s="324" t="s">
        <v>473</v>
      </c>
      <c r="AM158" s="324"/>
      <c r="AN158" s="234" t="str">
        <f>VLOOKUP(AN156,CuentasContables,5,FALSE)</f>
        <v>GANANCIA POR MEDICIÓN DE ACTIVOS NO FINANCIEROS AL VALOR RAZONABLE</v>
      </c>
      <c r="AO158" s="160"/>
      <c r="AR158" s="324" t="s">
        <v>473</v>
      </c>
      <c r="AS158" s="324"/>
      <c r="AT158" s="234" t="str">
        <f>VLOOKUP(AT156,CuentasContables,5,FALSE)</f>
        <v>INGRESOS FINANCIEROS</v>
      </c>
      <c r="AU158" s="160"/>
      <c r="AX158" s="324" t="s">
        <v>473</v>
      </c>
      <c r="AY158" s="324"/>
      <c r="AZ158" s="234" t="str">
        <f>VLOOKUP(AZ156,CuentasContables,5,FALSE)</f>
        <v>CARGAS CUBIERTAS POR PROVISIONES</v>
      </c>
      <c r="BA158" s="160"/>
      <c r="BD158" s="324" t="s">
        <v>473</v>
      </c>
      <c r="BE158" s="324"/>
      <c r="BF158" s="234" t="str">
        <f>VLOOKUP(BF156,CuentasContables,5,FALSE)</f>
        <v>CARGAS IMPUTABLES A CUENTAS DE COSTOS Y GASTOS</v>
      </c>
      <c r="BG158" s="160"/>
    </row>
    <row r="159" spans="2:60" ht="14.4" thickBot="1" x14ac:dyDescent="0.3">
      <c r="B159" s="160"/>
      <c r="C159" s="160"/>
      <c r="D159" s="160"/>
      <c r="E159" s="160"/>
      <c r="H159" s="160"/>
      <c r="I159" s="160"/>
      <c r="J159" s="160"/>
      <c r="K159" s="160"/>
      <c r="N159" s="160"/>
      <c r="O159" s="160"/>
      <c r="P159" s="160"/>
      <c r="Q159" s="160"/>
      <c r="T159" s="160"/>
      <c r="U159" s="160"/>
      <c r="V159" s="160"/>
      <c r="W159" s="160"/>
      <c r="Z159" s="160"/>
      <c r="AA159" s="160"/>
      <c r="AB159" s="160"/>
      <c r="AC159" s="160"/>
      <c r="AF159" s="160"/>
      <c r="AG159" s="160"/>
      <c r="AH159" s="160"/>
      <c r="AI159" s="160"/>
      <c r="AL159" s="160"/>
      <c r="AM159" s="160"/>
      <c r="AN159" s="160"/>
      <c r="AO159" s="160"/>
      <c r="AR159" s="160"/>
      <c r="AS159" s="160"/>
      <c r="AT159" s="160"/>
      <c r="AU159" s="160"/>
      <c r="AX159" s="160"/>
      <c r="AY159" s="160"/>
      <c r="AZ159" s="160"/>
      <c r="BA159" s="160"/>
      <c r="BD159" s="160"/>
      <c r="BE159" s="160"/>
      <c r="BF159" s="160"/>
      <c r="BG159" s="160"/>
    </row>
    <row r="160" spans="2:60" x14ac:dyDescent="0.25">
      <c r="B160" s="325" t="s">
        <v>466</v>
      </c>
      <c r="C160" s="327" t="s">
        <v>467</v>
      </c>
      <c r="D160" s="327" t="s">
        <v>468</v>
      </c>
      <c r="E160" s="329" t="s">
        <v>469</v>
      </c>
      <c r="F160" s="330"/>
      <c r="H160" s="325" t="s">
        <v>466</v>
      </c>
      <c r="I160" s="327" t="s">
        <v>467</v>
      </c>
      <c r="J160" s="327" t="s">
        <v>468</v>
      </c>
      <c r="K160" s="329" t="s">
        <v>469</v>
      </c>
      <c r="L160" s="330"/>
      <c r="N160" s="325" t="s">
        <v>466</v>
      </c>
      <c r="O160" s="327" t="s">
        <v>467</v>
      </c>
      <c r="P160" s="327" t="s">
        <v>468</v>
      </c>
      <c r="Q160" s="329" t="s">
        <v>469</v>
      </c>
      <c r="R160" s="330"/>
      <c r="T160" s="325" t="s">
        <v>466</v>
      </c>
      <c r="U160" s="327" t="s">
        <v>467</v>
      </c>
      <c r="V160" s="327" t="s">
        <v>468</v>
      </c>
      <c r="W160" s="329" t="s">
        <v>469</v>
      </c>
      <c r="X160" s="330"/>
      <c r="Z160" s="325" t="s">
        <v>466</v>
      </c>
      <c r="AA160" s="327" t="s">
        <v>467</v>
      </c>
      <c r="AB160" s="327" t="s">
        <v>468</v>
      </c>
      <c r="AC160" s="329" t="s">
        <v>469</v>
      </c>
      <c r="AD160" s="330"/>
      <c r="AF160" s="325" t="s">
        <v>466</v>
      </c>
      <c r="AG160" s="327" t="s">
        <v>467</v>
      </c>
      <c r="AH160" s="327" t="s">
        <v>468</v>
      </c>
      <c r="AI160" s="329" t="s">
        <v>469</v>
      </c>
      <c r="AJ160" s="330"/>
      <c r="AL160" s="325" t="s">
        <v>466</v>
      </c>
      <c r="AM160" s="327" t="s">
        <v>467</v>
      </c>
      <c r="AN160" s="327" t="s">
        <v>468</v>
      </c>
      <c r="AO160" s="329" t="s">
        <v>469</v>
      </c>
      <c r="AP160" s="330"/>
      <c r="AR160" s="325" t="s">
        <v>466</v>
      </c>
      <c r="AS160" s="327" t="s">
        <v>467</v>
      </c>
      <c r="AT160" s="327" t="s">
        <v>468</v>
      </c>
      <c r="AU160" s="329" t="s">
        <v>469</v>
      </c>
      <c r="AV160" s="330"/>
      <c r="AX160" s="325" t="s">
        <v>466</v>
      </c>
      <c r="AY160" s="327" t="s">
        <v>467</v>
      </c>
      <c r="AZ160" s="327" t="s">
        <v>468</v>
      </c>
      <c r="BA160" s="329" t="s">
        <v>469</v>
      </c>
      <c r="BB160" s="330"/>
      <c r="BD160" s="325" t="s">
        <v>466</v>
      </c>
      <c r="BE160" s="327" t="s">
        <v>467</v>
      </c>
      <c r="BF160" s="327" t="s">
        <v>468</v>
      </c>
      <c r="BG160" s="329" t="s">
        <v>469</v>
      </c>
      <c r="BH160" s="330"/>
    </row>
    <row r="161" spans="2:63" ht="14.4" thickBot="1" x14ac:dyDescent="0.3">
      <c r="B161" s="326"/>
      <c r="C161" s="328"/>
      <c r="D161" s="328"/>
      <c r="E161" s="232" t="s">
        <v>403</v>
      </c>
      <c r="F161" s="174" t="s">
        <v>402</v>
      </c>
      <c r="H161" s="326"/>
      <c r="I161" s="328"/>
      <c r="J161" s="328"/>
      <c r="K161" s="232" t="s">
        <v>403</v>
      </c>
      <c r="L161" s="174" t="s">
        <v>402</v>
      </c>
      <c r="N161" s="326"/>
      <c r="O161" s="328"/>
      <c r="P161" s="328"/>
      <c r="Q161" s="232" t="s">
        <v>403</v>
      </c>
      <c r="R161" s="174" t="s">
        <v>402</v>
      </c>
      <c r="T161" s="326"/>
      <c r="U161" s="328"/>
      <c r="V161" s="328"/>
      <c r="W161" s="232" t="s">
        <v>403</v>
      </c>
      <c r="X161" s="174" t="s">
        <v>402</v>
      </c>
      <c r="Z161" s="326"/>
      <c r="AA161" s="328"/>
      <c r="AB161" s="328"/>
      <c r="AC161" s="232" t="s">
        <v>403</v>
      </c>
      <c r="AD161" s="174" t="s">
        <v>402</v>
      </c>
      <c r="AF161" s="326"/>
      <c r="AG161" s="328"/>
      <c r="AH161" s="328"/>
      <c r="AI161" s="232" t="s">
        <v>403</v>
      </c>
      <c r="AJ161" s="174" t="s">
        <v>402</v>
      </c>
      <c r="AL161" s="326"/>
      <c r="AM161" s="328"/>
      <c r="AN161" s="328"/>
      <c r="AO161" s="232" t="s">
        <v>403</v>
      </c>
      <c r="AP161" s="174" t="s">
        <v>402</v>
      </c>
      <c r="AR161" s="326"/>
      <c r="AS161" s="328"/>
      <c r="AT161" s="328"/>
      <c r="AU161" s="232" t="s">
        <v>403</v>
      </c>
      <c r="AV161" s="174" t="s">
        <v>402</v>
      </c>
      <c r="AX161" s="326"/>
      <c r="AY161" s="328"/>
      <c r="AZ161" s="328"/>
      <c r="BA161" s="232" t="s">
        <v>403</v>
      </c>
      <c r="BB161" s="174" t="s">
        <v>402</v>
      </c>
      <c r="BD161" s="326"/>
      <c r="BE161" s="328"/>
      <c r="BF161" s="328"/>
      <c r="BG161" s="232" t="s">
        <v>403</v>
      </c>
      <c r="BH161" s="174" t="s">
        <v>402</v>
      </c>
    </row>
    <row r="162" spans="2:63" ht="14.4" thickTop="1" x14ac:dyDescent="0.25">
      <c r="B162" s="236">
        <v>41670</v>
      </c>
      <c r="C162" s="171"/>
      <c r="D162" s="166" t="s">
        <v>470</v>
      </c>
      <c r="E162" s="167">
        <f>SUMIF('Libro Diario Convencional'!$B$15:$B$167,D156,'Libro Diario Convencional'!$I$15:$I$167)</f>
        <v>0</v>
      </c>
      <c r="F162" s="168">
        <f>SUMIF('Libro Diario Convencional'!$B$15:$B$167,D156,'Libro Diario Convencional'!$J$15:$J$167)</f>
        <v>616000</v>
      </c>
      <c r="G162" s="9"/>
      <c r="H162" s="236">
        <v>41670</v>
      </c>
      <c r="I162" s="171"/>
      <c r="J162" s="166" t="s">
        <v>470</v>
      </c>
      <c r="K162" s="167">
        <f>SUMIF('Libro Diario Convencional'!$B$15:$B$167,J156,'Libro Diario Convencional'!$I$15:$I$167)</f>
        <v>0</v>
      </c>
      <c r="L162" s="168">
        <f>SUMIF('Libro Diario Convencional'!$B$15:$B$167,J156,'Libro Diario Convencional'!$J$15:$J$167)</f>
        <v>0</v>
      </c>
      <c r="M162" s="9"/>
      <c r="N162" s="236">
        <v>41670</v>
      </c>
      <c r="O162" s="171"/>
      <c r="P162" s="166" t="s">
        <v>470</v>
      </c>
      <c r="Q162" s="167">
        <f>SUMIF('Libro Diario Convencional'!$B$15:$B$167,P156,'Libro Diario Convencional'!$I$15:$I$167)</f>
        <v>0</v>
      </c>
      <c r="R162" s="168">
        <f>SUMIF('Libro Diario Convencional'!$B$15:$B$167,P156,'Libro Diario Convencional'!$J$15:$J$167)</f>
        <v>0</v>
      </c>
      <c r="S162" s="9"/>
      <c r="T162" s="236">
        <v>41670</v>
      </c>
      <c r="U162" s="171"/>
      <c r="V162" s="166" t="s">
        <v>470</v>
      </c>
      <c r="W162" s="167">
        <f>SUMIF('Libro Diario Convencional'!$B$15:$B$167,V156,'Libro Diario Convencional'!$I$15:$I$167)</f>
        <v>0</v>
      </c>
      <c r="X162" s="168">
        <f>SUMIF('Libro Diario Convencional'!$B$15:$B$167,V156,'Libro Diario Convencional'!$J$15:$J$167)</f>
        <v>0</v>
      </c>
      <c r="Y162" s="9"/>
      <c r="Z162" s="236">
        <v>41670</v>
      </c>
      <c r="AA162" s="171"/>
      <c r="AB162" s="166" t="s">
        <v>470</v>
      </c>
      <c r="AC162" s="167">
        <f>SUMIF('Libro Diario Convencional'!$B$15:$B$167,AB156,'Libro Diario Convencional'!$I$15:$I$167)</f>
        <v>0</v>
      </c>
      <c r="AD162" s="168">
        <f>SUMIF('Libro Diario Convencional'!$B$15:$B$167,AB156,'Libro Diario Convencional'!$J$15:$J$167)</f>
        <v>0</v>
      </c>
      <c r="AE162" s="9"/>
      <c r="AF162" s="236">
        <v>41670</v>
      </c>
      <c r="AG162" s="171"/>
      <c r="AH162" s="166" t="s">
        <v>470</v>
      </c>
      <c r="AI162" s="167">
        <f>SUMIF('Libro Diario Convencional'!$B$15:$B$167,AH156,'Libro Diario Convencional'!$I$15:$I$167)</f>
        <v>0</v>
      </c>
      <c r="AJ162" s="168">
        <f>SUMIF('Libro Diario Convencional'!$B$15:$B$167,AH156,'Libro Diario Convencional'!$J$15:$J$167)</f>
        <v>0</v>
      </c>
      <c r="AK162" s="9"/>
      <c r="AL162" s="236">
        <v>41670</v>
      </c>
      <c r="AM162" s="171"/>
      <c r="AN162" s="166" t="s">
        <v>470</v>
      </c>
      <c r="AO162" s="167">
        <f>SUMIF('Libro Diario Convencional'!$B$15:$B$167,AN156,'Libro Diario Convencional'!$I$15:$I$167)</f>
        <v>0</v>
      </c>
      <c r="AP162" s="168">
        <f>SUMIF('Libro Diario Convencional'!$B$15:$B$167,AN156,'Libro Diario Convencional'!$J$15:$J$167)</f>
        <v>0</v>
      </c>
      <c r="AQ162" s="9"/>
      <c r="AR162" s="236">
        <v>41670</v>
      </c>
      <c r="AS162" s="171"/>
      <c r="AT162" s="166" t="s">
        <v>470</v>
      </c>
      <c r="AU162" s="167">
        <f>SUMIF('Libro Diario Convencional'!$B$15:$B$167,AT156,'Libro Diario Convencional'!$I$15:$I$167)</f>
        <v>0</v>
      </c>
      <c r="AV162" s="168">
        <f>SUMIF('Libro Diario Convencional'!$B$15:$B$167,AT156,'Libro Diario Convencional'!$J$15:$J$167)</f>
        <v>0</v>
      </c>
      <c r="AW162" s="9"/>
      <c r="AX162" s="236">
        <v>41670</v>
      </c>
      <c r="AY162" s="171"/>
      <c r="AZ162" s="166" t="s">
        <v>470</v>
      </c>
      <c r="BA162" s="167">
        <f>SUMIF('Libro Diario Convencional'!$B$15:$B$167,AZ156,'Libro Diario Convencional'!$I$15:$I$167)</f>
        <v>0</v>
      </c>
      <c r="BB162" s="168">
        <f>SUMIF('Libro Diario Convencional'!$B$15:$B$167,AZ156,'Libro Diario Convencional'!$J$15:$J$167)</f>
        <v>0</v>
      </c>
      <c r="BC162" s="9"/>
      <c r="BD162" s="236">
        <v>41670</v>
      </c>
      <c r="BE162" s="171"/>
      <c r="BF162" s="166" t="s">
        <v>470</v>
      </c>
      <c r="BG162" s="167">
        <f>SUMIF('Libro Diario Convencional'!$B$15:$B$167,BF156,'Libro Diario Convencional'!$I$15:$I$167)</f>
        <v>0</v>
      </c>
      <c r="BH162" s="168">
        <f>SUMIF('Libro Diario Convencional'!$B$15:$B$167,BF156,'Libro Diario Convencional'!$J$15:$J$167)</f>
        <v>387534.87288135593</v>
      </c>
    </row>
    <row r="163" spans="2:63" x14ac:dyDescent="0.25">
      <c r="B163" s="169"/>
      <c r="C163" s="172"/>
      <c r="D163" s="161"/>
      <c r="E163" s="162"/>
      <c r="F163" s="163"/>
      <c r="G163" s="9"/>
      <c r="H163" s="169"/>
      <c r="I163" s="172"/>
      <c r="J163" s="161"/>
      <c r="K163" s="162"/>
      <c r="L163" s="163"/>
      <c r="M163" s="9"/>
      <c r="N163" s="169"/>
      <c r="O163" s="172"/>
      <c r="P163" s="161"/>
      <c r="Q163" s="162"/>
      <c r="R163" s="163"/>
      <c r="S163" s="9"/>
      <c r="T163" s="169"/>
      <c r="U163" s="172"/>
      <c r="V163" s="161"/>
      <c r="W163" s="162"/>
      <c r="X163" s="163"/>
      <c r="Y163" s="9"/>
      <c r="Z163" s="169"/>
      <c r="AA163" s="172"/>
      <c r="AB163" s="161"/>
      <c r="AC163" s="162"/>
      <c r="AD163" s="163"/>
      <c r="AE163" s="9"/>
      <c r="AF163" s="169"/>
      <c r="AG163" s="172"/>
      <c r="AH163" s="161"/>
      <c r="AI163" s="162"/>
      <c r="AJ163" s="163"/>
      <c r="AK163" s="9"/>
      <c r="AL163" s="169"/>
      <c r="AM163" s="172"/>
      <c r="AN163" s="161"/>
      <c r="AO163" s="162"/>
      <c r="AP163" s="163"/>
      <c r="AQ163" s="9"/>
      <c r="AR163" s="169"/>
      <c r="AS163" s="172"/>
      <c r="AT163" s="161"/>
      <c r="AU163" s="162"/>
      <c r="AV163" s="163"/>
      <c r="AW163" s="9"/>
      <c r="AX163" s="169"/>
      <c r="AY163" s="172"/>
      <c r="AZ163" s="161"/>
      <c r="BA163" s="162"/>
      <c r="BB163" s="163"/>
      <c r="BC163" s="9"/>
      <c r="BD163" s="169"/>
      <c r="BE163" s="172"/>
      <c r="BF163" s="161"/>
      <c r="BG163" s="162"/>
      <c r="BH163" s="163"/>
    </row>
    <row r="164" spans="2:63" x14ac:dyDescent="0.25">
      <c r="B164" s="169"/>
      <c r="C164" s="172"/>
      <c r="D164" s="161"/>
      <c r="E164" s="162"/>
      <c r="F164" s="163"/>
      <c r="G164" s="9"/>
      <c r="H164" s="169"/>
      <c r="I164" s="172"/>
      <c r="J164" s="161"/>
      <c r="K164" s="162"/>
      <c r="L164" s="163"/>
      <c r="M164" s="9"/>
      <c r="N164" s="169"/>
      <c r="O164" s="172"/>
      <c r="P164" s="161"/>
      <c r="Q164" s="162"/>
      <c r="R164" s="163"/>
      <c r="S164" s="9"/>
      <c r="T164" s="169"/>
      <c r="U164" s="172"/>
      <c r="V164" s="161"/>
      <c r="W164" s="162"/>
      <c r="X164" s="163"/>
      <c r="Y164" s="9"/>
      <c r="Z164" s="169"/>
      <c r="AA164" s="172"/>
      <c r="AB164" s="161"/>
      <c r="AC164" s="162"/>
      <c r="AD164" s="163"/>
      <c r="AE164" s="9"/>
      <c r="AF164" s="169"/>
      <c r="AG164" s="172"/>
      <c r="AH164" s="161"/>
      <c r="AI164" s="162"/>
      <c r="AJ164" s="163"/>
      <c r="AK164" s="9"/>
      <c r="AL164" s="169"/>
      <c r="AM164" s="172"/>
      <c r="AN164" s="161"/>
      <c r="AO164" s="162"/>
      <c r="AP164" s="163"/>
      <c r="AQ164" s="9"/>
      <c r="AR164" s="169"/>
      <c r="AS164" s="172"/>
      <c r="AT164" s="161"/>
      <c r="AU164" s="162"/>
      <c r="AV164" s="163"/>
      <c r="AW164" s="9"/>
      <c r="AX164" s="169"/>
      <c r="AY164" s="172"/>
      <c r="AZ164" s="161"/>
      <c r="BA164" s="162"/>
      <c r="BB164" s="163"/>
      <c r="BC164" s="9"/>
      <c r="BD164" s="169"/>
      <c r="BE164" s="172"/>
      <c r="BF164" s="161"/>
      <c r="BG164" s="162"/>
      <c r="BH164" s="163"/>
    </row>
    <row r="165" spans="2:63" ht="14.4" thickBot="1" x14ac:dyDescent="0.3">
      <c r="B165" s="169"/>
      <c r="C165" s="172"/>
      <c r="D165" s="161"/>
      <c r="E165" s="162"/>
      <c r="F165" s="163"/>
      <c r="G165" s="9"/>
      <c r="H165" s="169"/>
      <c r="I165" s="172"/>
      <c r="J165" s="161"/>
      <c r="K165" s="162"/>
      <c r="L165" s="163"/>
      <c r="M165" s="9"/>
      <c r="N165" s="169"/>
      <c r="O165" s="172"/>
      <c r="P165" s="161"/>
      <c r="Q165" s="162"/>
      <c r="R165" s="163"/>
      <c r="S165" s="9"/>
      <c r="T165" s="169"/>
      <c r="U165" s="172"/>
      <c r="V165" s="161"/>
      <c r="W165" s="162"/>
      <c r="X165" s="163"/>
      <c r="Y165" s="9"/>
      <c r="Z165" s="169"/>
      <c r="AA165" s="172"/>
      <c r="AB165" s="161"/>
      <c r="AC165" s="162"/>
      <c r="AD165" s="163"/>
      <c r="AE165" s="9"/>
      <c r="AF165" s="169"/>
      <c r="AG165" s="172"/>
      <c r="AH165" s="161"/>
      <c r="AI165" s="162"/>
      <c r="AJ165" s="163"/>
      <c r="AK165" s="9"/>
      <c r="AL165" s="169"/>
      <c r="AM165" s="172"/>
      <c r="AN165" s="161"/>
      <c r="AO165" s="162"/>
      <c r="AP165" s="163"/>
      <c r="AQ165" s="9"/>
      <c r="AR165" s="169"/>
      <c r="AS165" s="172"/>
      <c r="AT165" s="161"/>
      <c r="AU165" s="162"/>
      <c r="AV165" s="163"/>
      <c r="AW165" s="9"/>
      <c r="AX165" s="169"/>
      <c r="AY165" s="172"/>
      <c r="AZ165" s="161"/>
      <c r="BA165" s="162"/>
      <c r="BB165" s="163"/>
      <c r="BC165" s="9"/>
      <c r="BD165" s="169"/>
      <c r="BE165" s="172"/>
      <c r="BF165" s="161"/>
      <c r="BG165" s="162"/>
      <c r="BH165" s="163"/>
    </row>
    <row r="166" spans="2:63" ht="15" thickBot="1" x14ac:dyDescent="0.3">
      <c r="B166" s="169"/>
      <c r="C166" s="172"/>
      <c r="D166" s="161" t="s">
        <v>471</v>
      </c>
      <c r="E166" s="162">
        <f>SUM(E162:E165)</f>
        <v>0</v>
      </c>
      <c r="F166" s="163">
        <f>SUM(F162:F165)</f>
        <v>616000</v>
      </c>
      <c r="G166" s="9"/>
      <c r="H166" s="169"/>
      <c r="I166" s="172"/>
      <c r="J166" s="161" t="s">
        <v>471</v>
      </c>
      <c r="K166" s="162">
        <f>SUM(K162:K165)</f>
        <v>0</v>
      </c>
      <c r="L166" s="163">
        <f>SUM(L162:L165)</f>
        <v>0</v>
      </c>
      <c r="M166" s="9"/>
      <c r="N166" s="169"/>
      <c r="O166" s="172"/>
      <c r="P166" s="161" t="s">
        <v>471</v>
      </c>
      <c r="Q166" s="162">
        <f>SUM(Q162:Q165)</f>
        <v>0</v>
      </c>
      <c r="R166" s="163">
        <f>SUM(R162:R165)</f>
        <v>0</v>
      </c>
      <c r="S166" s="9"/>
      <c r="T166" s="169"/>
      <c r="U166" s="172"/>
      <c r="V166" s="161" t="s">
        <v>471</v>
      </c>
      <c r="W166" s="162">
        <f>SUM(W162:W165)</f>
        <v>0</v>
      </c>
      <c r="X166" s="163">
        <f>SUM(X162:X165)</f>
        <v>0</v>
      </c>
      <c r="Y166" s="9"/>
      <c r="Z166" s="169"/>
      <c r="AA166" s="172"/>
      <c r="AB166" s="161" t="s">
        <v>471</v>
      </c>
      <c r="AC166" s="162">
        <f>SUM(AC162:AC165)</f>
        <v>0</v>
      </c>
      <c r="AD166" s="163">
        <f>SUM(AD162:AD165)</f>
        <v>0</v>
      </c>
      <c r="AE166" s="9"/>
      <c r="AF166" s="169"/>
      <c r="AG166" s="172"/>
      <c r="AH166" s="161" t="s">
        <v>471</v>
      </c>
      <c r="AI166" s="162">
        <f>SUM(AI162:AI165)</f>
        <v>0</v>
      </c>
      <c r="AJ166" s="163">
        <f>SUM(AJ162:AJ165)</f>
        <v>0</v>
      </c>
      <c r="AK166" s="9"/>
      <c r="AL166" s="169"/>
      <c r="AM166" s="172"/>
      <c r="AN166" s="161" t="s">
        <v>471</v>
      </c>
      <c r="AO166" s="162">
        <f>SUM(AO162:AO165)</f>
        <v>0</v>
      </c>
      <c r="AP166" s="163">
        <f>SUM(AP162:AP165)</f>
        <v>0</v>
      </c>
      <c r="AQ166" s="9"/>
      <c r="AR166" s="169"/>
      <c r="AS166" s="172"/>
      <c r="AT166" s="161" t="s">
        <v>471</v>
      </c>
      <c r="AU166" s="162">
        <f>SUM(AU162:AU165)</f>
        <v>0</v>
      </c>
      <c r="AV166" s="163">
        <f>SUM(AV162:AV165)</f>
        <v>0</v>
      </c>
      <c r="AW166" s="9"/>
      <c r="AX166" s="169"/>
      <c r="AY166" s="172"/>
      <c r="AZ166" s="161" t="s">
        <v>471</v>
      </c>
      <c r="BA166" s="162">
        <f>SUM(BA162:BA165)</f>
        <v>0</v>
      </c>
      <c r="BB166" s="163">
        <f>SUM(BB162:BB165)</f>
        <v>0</v>
      </c>
      <c r="BC166" s="9"/>
      <c r="BD166" s="169"/>
      <c r="BE166" s="172"/>
      <c r="BF166" s="161" t="s">
        <v>471</v>
      </c>
      <c r="BG166" s="162">
        <f>SUM(BG162:BG165)</f>
        <v>0</v>
      </c>
      <c r="BH166" s="163">
        <f>SUM(BH162:BH165)</f>
        <v>387534.87288135593</v>
      </c>
      <c r="BJ166" s="157">
        <f>SUM(E166,K166,Q166,W166,AC166,AI166,AO166,AU166,BA166,BG166)</f>
        <v>0</v>
      </c>
      <c r="BK166" s="158">
        <f>SUM(F166,L166,R166,X166,AD166,AJ166,AP166,AV166,BB166,BH166)</f>
        <v>1003534.8728813559</v>
      </c>
    </row>
    <row r="167" spans="2:63" ht="14.4" thickBot="1" x14ac:dyDescent="0.3">
      <c r="B167" s="170"/>
      <c r="C167" s="173"/>
      <c r="D167" s="164" t="str">
        <f>IF(E166=F166,"",IF(E166&gt;F166,"Saldo Deudor","Saldo Acreedor"))</f>
        <v>Saldo Acreedor</v>
      </c>
      <c r="E167" s="165" t="str">
        <f>IF(E166&gt;F166,E166-F166,"")</f>
        <v/>
      </c>
      <c r="F167" s="176">
        <f>IF(E166&lt;F166,F166-E166,"")</f>
        <v>616000</v>
      </c>
      <c r="H167" s="170"/>
      <c r="I167" s="173"/>
      <c r="J167" s="164" t="str">
        <f>IF(K166=L166,"",IF(K166&gt;L166,"Saldo Deudor","Saldo Acreedor"))</f>
        <v/>
      </c>
      <c r="K167" s="165" t="str">
        <f>IF(K166&gt;L166,K166-L166,"")</f>
        <v/>
      </c>
      <c r="L167" s="176" t="str">
        <f>IF(K166&lt;L166,L166-K166,"")</f>
        <v/>
      </c>
      <c r="N167" s="170"/>
      <c r="O167" s="173"/>
      <c r="P167" s="164" t="str">
        <f>IF(Q166=R166,"",IF(Q166&gt;R166,"Saldo Deudor","Saldo Acreedor"))</f>
        <v/>
      </c>
      <c r="Q167" s="165" t="str">
        <f>IF(Q166&gt;R166,Q166-R166,"")</f>
        <v/>
      </c>
      <c r="R167" s="176" t="str">
        <f>IF(Q166&lt;R166,R166-Q166,"")</f>
        <v/>
      </c>
      <c r="T167" s="170"/>
      <c r="U167" s="173"/>
      <c r="V167" s="164" t="str">
        <f>IF(W166=X166,"",IF(W166&gt;X166,"Saldo Deudor","Saldo Acreedor"))</f>
        <v/>
      </c>
      <c r="W167" s="165" t="str">
        <f>IF(W166&gt;X166,W166-X166,"")</f>
        <v/>
      </c>
      <c r="X167" s="176" t="str">
        <f>IF(W166&lt;X166,X166-W166,"")</f>
        <v/>
      </c>
      <c r="Z167" s="170"/>
      <c r="AA167" s="173"/>
      <c r="AB167" s="164" t="str">
        <f>IF(AC166=AD166,"",IF(AC166&gt;AD166,"Saldo Deudor","Saldo Acreedor"))</f>
        <v/>
      </c>
      <c r="AC167" s="165" t="str">
        <f>IF(AC166&gt;AD166,AC166-AD166,"")</f>
        <v/>
      </c>
      <c r="AD167" s="176" t="str">
        <f>IF(AC166&lt;AD166,AD166-AC166,"")</f>
        <v/>
      </c>
      <c r="AF167" s="170"/>
      <c r="AG167" s="173"/>
      <c r="AH167" s="164" t="str">
        <f>IF(AI166=AJ166,"",IF(AI166&gt;AJ166,"Saldo Deudor","Saldo Acreedor"))</f>
        <v/>
      </c>
      <c r="AI167" s="165" t="str">
        <f>IF(AI166&gt;AJ166,AI166-AJ166,"")</f>
        <v/>
      </c>
      <c r="AJ167" s="176" t="str">
        <f>IF(AI166&lt;AJ166,AJ166-AI166,"")</f>
        <v/>
      </c>
      <c r="AL167" s="170"/>
      <c r="AM167" s="173"/>
      <c r="AN167" s="164" t="str">
        <f>IF(AO166=AP166,"",IF(AO166&gt;AP166,"Saldo Deudor","Saldo Acreedor"))</f>
        <v/>
      </c>
      <c r="AO167" s="165" t="str">
        <f>IF(AO166&gt;AP166,AO166-AP166,"")</f>
        <v/>
      </c>
      <c r="AP167" s="176" t="str">
        <f>IF(AO166&lt;AP166,AP166-AO166,"")</f>
        <v/>
      </c>
      <c r="AR167" s="170"/>
      <c r="AS167" s="173"/>
      <c r="AT167" s="164" t="str">
        <f>IF(AU166=AV166,"",IF(AU166&gt;AV166,"Saldo Deudor","Saldo Acreedor"))</f>
        <v/>
      </c>
      <c r="AU167" s="165" t="str">
        <f>IF(AU166&gt;AV166,AU166-AV166,"")</f>
        <v/>
      </c>
      <c r="AV167" s="176" t="str">
        <f>IF(AU166&lt;AV166,AV166-AU166,"")</f>
        <v/>
      </c>
      <c r="AX167" s="170"/>
      <c r="AY167" s="173"/>
      <c r="AZ167" s="164" t="str">
        <f>IF(BA166=BB166,"",IF(BA166&gt;BB166,"Saldo Deudor","Saldo Acreedor"))</f>
        <v/>
      </c>
      <c r="BA167" s="165" t="str">
        <f>IF(BA166&gt;BB166,BA166-BB166,"")</f>
        <v/>
      </c>
      <c r="BB167" s="176" t="str">
        <f>IF(BA166&lt;BB166,BB166-BA166,"")</f>
        <v/>
      </c>
      <c r="BD167" s="170"/>
      <c r="BE167" s="173"/>
      <c r="BF167" s="164" t="str">
        <f>IF(BG166=BH166,"",IF(BG166&gt;BH166,"Saldo Deudor","Saldo Acreedor"))</f>
        <v>Saldo Acreedor</v>
      </c>
      <c r="BG167" s="165" t="str">
        <f>IF(BG166&gt;BH166,BG166-BH166,"")</f>
        <v/>
      </c>
      <c r="BH167" s="176">
        <f>IF(BG166&lt;BH166,BH166-BG166,"")</f>
        <v>387534.87288135593</v>
      </c>
    </row>
    <row r="170" spans="2:63" ht="15.6" x14ac:dyDescent="0.25">
      <c r="B170" s="324" t="s">
        <v>321</v>
      </c>
      <c r="C170" s="324"/>
      <c r="D170" s="233" t="str">
        <f>'Base de Datos'!$C$756</f>
        <v>LIBRO MAYOR</v>
      </c>
      <c r="H170" s="324" t="s">
        <v>321</v>
      </c>
      <c r="I170" s="324"/>
      <c r="J170" s="233" t="str">
        <f>'Base de Datos'!$C$756</f>
        <v>LIBRO MAYOR</v>
      </c>
      <c r="N170" s="324" t="s">
        <v>321</v>
      </c>
      <c r="O170" s="324"/>
      <c r="P170" s="233" t="str">
        <f>'Base de Datos'!$C$756</f>
        <v>LIBRO MAYOR</v>
      </c>
      <c r="T170" s="324" t="s">
        <v>321</v>
      </c>
      <c r="U170" s="324"/>
      <c r="V170" s="233" t="str">
        <f>'Base de Datos'!$C$756</f>
        <v>LIBRO MAYOR</v>
      </c>
    </row>
    <row r="171" spans="2:63" x14ac:dyDescent="0.25">
      <c r="C171" s="2"/>
      <c r="D171" s="2"/>
      <c r="E171" s="2"/>
      <c r="I171" s="2"/>
      <c r="J171" s="2"/>
      <c r="K171" s="2"/>
      <c r="O171" s="2"/>
      <c r="P171" s="2"/>
      <c r="Q171" s="2"/>
      <c r="U171" s="2"/>
      <c r="V171" s="2"/>
      <c r="W171" s="2"/>
    </row>
    <row r="172" spans="2:63" ht="15.6" x14ac:dyDescent="0.25">
      <c r="B172" s="324" t="s">
        <v>322</v>
      </c>
      <c r="C172" s="324"/>
      <c r="D172" s="234" t="str">
        <f>'Base de Datos'!$C$8</f>
        <v>MARZO</v>
      </c>
      <c r="E172" s="160"/>
      <c r="H172" s="324" t="s">
        <v>322</v>
      </c>
      <c r="I172" s="324"/>
      <c r="J172" s="234" t="str">
        <f>'Base de Datos'!$C$8</f>
        <v>MARZO</v>
      </c>
      <c r="K172" s="160"/>
      <c r="N172" s="324" t="s">
        <v>322</v>
      </c>
      <c r="O172" s="324"/>
      <c r="P172" s="234" t="str">
        <f>'Base de Datos'!$C$8</f>
        <v>MARZO</v>
      </c>
      <c r="Q172" s="160"/>
      <c r="T172" s="324" t="s">
        <v>322</v>
      </c>
      <c r="U172" s="324"/>
      <c r="V172" s="234" t="str">
        <f>'Base de Datos'!$C$8</f>
        <v>MARZO</v>
      </c>
      <c r="W172" s="160"/>
    </row>
    <row r="173" spans="2:63" x14ac:dyDescent="0.25">
      <c r="C173" s="2"/>
      <c r="D173" s="2"/>
      <c r="E173" s="2"/>
      <c r="I173" s="2"/>
      <c r="J173" s="2"/>
      <c r="K173" s="2"/>
      <c r="O173" s="2"/>
      <c r="P173" s="2"/>
      <c r="Q173" s="2"/>
      <c r="U173" s="2"/>
      <c r="V173" s="2"/>
      <c r="W173" s="2"/>
    </row>
    <row r="174" spans="2:63" ht="15.6" x14ac:dyDescent="0.25">
      <c r="B174" s="324" t="s">
        <v>323</v>
      </c>
      <c r="C174" s="324"/>
      <c r="D174" s="231">
        <f>'Base de Datos'!$C$9</f>
        <v>2015</v>
      </c>
      <c r="E174" s="2"/>
      <c r="H174" s="324" t="s">
        <v>323</v>
      </c>
      <c r="I174" s="324"/>
      <c r="J174" s="231">
        <f>'Base de Datos'!$C$9</f>
        <v>2015</v>
      </c>
      <c r="K174" s="2"/>
      <c r="N174" s="324" t="s">
        <v>323</v>
      </c>
      <c r="O174" s="324"/>
      <c r="P174" s="231">
        <f>'Base de Datos'!$C$9</f>
        <v>2015</v>
      </c>
      <c r="Q174" s="2"/>
      <c r="T174" s="324" t="s">
        <v>323</v>
      </c>
      <c r="U174" s="324"/>
      <c r="V174" s="231">
        <f>'Base de Datos'!$C$9</f>
        <v>2015</v>
      </c>
      <c r="W174" s="2"/>
    </row>
    <row r="175" spans="2:63" x14ac:dyDescent="0.25">
      <c r="C175" s="2"/>
      <c r="D175" s="2"/>
      <c r="E175" s="2"/>
      <c r="I175" s="2"/>
      <c r="J175" s="2"/>
      <c r="K175" s="2"/>
      <c r="O175" s="2"/>
      <c r="P175" s="2"/>
      <c r="Q175" s="2"/>
      <c r="U175" s="2"/>
      <c r="V175" s="2"/>
      <c r="W175" s="2"/>
    </row>
    <row r="176" spans="2:63" ht="15.6" x14ac:dyDescent="0.25">
      <c r="B176" s="324" t="s">
        <v>324</v>
      </c>
      <c r="C176" s="324"/>
      <c r="D176" s="316">
        <f>'Base de Datos'!$C$6</f>
        <v>20411074561</v>
      </c>
      <c r="E176" s="316"/>
      <c r="H176" s="324" t="s">
        <v>324</v>
      </c>
      <c r="I176" s="324"/>
      <c r="J176" s="316">
        <f>'Base de Datos'!$C$6</f>
        <v>20411074561</v>
      </c>
      <c r="K176" s="316"/>
      <c r="N176" s="324" t="s">
        <v>324</v>
      </c>
      <c r="O176" s="324"/>
      <c r="P176" s="316">
        <f>'Base de Datos'!$C$6</f>
        <v>20411074561</v>
      </c>
      <c r="Q176" s="316"/>
      <c r="T176" s="324" t="s">
        <v>324</v>
      </c>
      <c r="U176" s="324"/>
      <c r="V176" s="316">
        <f>'Base de Datos'!$C$6</f>
        <v>20411074561</v>
      </c>
      <c r="W176" s="316"/>
    </row>
    <row r="177" spans="2:63" x14ac:dyDescent="0.25">
      <c r="C177" s="2"/>
      <c r="D177" s="2"/>
      <c r="E177" s="2"/>
      <c r="I177" s="2"/>
      <c r="J177" s="2"/>
      <c r="K177" s="2"/>
      <c r="O177" s="2"/>
      <c r="P177" s="2"/>
      <c r="Q177" s="2"/>
      <c r="U177" s="2"/>
      <c r="V177" s="2"/>
      <c r="W177" s="2"/>
    </row>
    <row r="178" spans="2:63" ht="15.6" x14ac:dyDescent="0.25">
      <c r="B178" s="324" t="s">
        <v>325</v>
      </c>
      <c r="C178" s="324"/>
      <c r="D178" s="234" t="str">
        <f>'Base de Datos'!$C$5</f>
        <v>LOS BAILARINES SRL</v>
      </c>
      <c r="E178" s="2"/>
      <c r="H178" s="324" t="s">
        <v>325</v>
      </c>
      <c r="I178" s="324"/>
      <c r="J178" s="234" t="str">
        <f>'Base de Datos'!$C$5</f>
        <v>LOS BAILARINES SRL</v>
      </c>
      <c r="K178" s="2"/>
      <c r="N178" s="324" t="s">
        <v>325</v>
      </c>
      <c r="O178" s="324"/>
      <c r="P178" s="234" t="str">
        <f>'Base de Datos'!$C$5</f>
        <v>LOS BAILARINES SRL</v>
      </c>
      <c r="Q178" s="2"/>
      <c r="T178" s="324" t="s">
        <v>325</v>
      </c>
      <c r="U178" s="324"/>
      <c r="V178" s="234" t="str">
        <f>'Base de Datos'!$C$5</f>
        <v>LOS BAILARINES SRL</v>
      </c>
      <c r="W178" s="2"/>
    </row>
    <row r="179" spans="2:63" x14ac:dyDescent="0.25">
      <c r="B179" s="160"/>
      <c r="C179" s="160"/>
      <c r="D179" s="160"/>
      <c r="E179" s="160"/>
      <c r="H179" s="160"/>
      <c r="I179" s="160"/>
      <c r="J179" s="160"/>
      <c r="K179" s="160"/>
      <c r="N179" s="160"/>
      <c r="O179" s="160"/>
      <c r="P179" s="160"/>
      <c r="Q179" s="160"/>
      <c r="T179" s="160"/>
      <c r="U179" s="160"/>
      <c r="V179" s="160"/>
      <c r="W179" s="160"/>
    </row>
    <row r="180" spans="2:63" ht="15.6" x14ac:dyDescent="0.25">
      <c r="B180" s="324" t="s">
        <v>472</v>
      </c>
      <c r="C180" s="324"/>
      <c r="D180" s="175">
        <v>93</v>
      </c>
      <c r="H180" s="324" t="s">
        <v>472</v>
      </c>
      <c r="I180" s="324"/>
      <c r="J180" s="175">
        <v>94</v>
      </c>
      <c r="N180" s="324" t="s">
        <v>472</v>
      </c>
      <c r="O180" s="324"/>
      <c r="P180" s="175">
        <v>95</v>
      </c>
      <c r="T180" s="324" t="s">
        <v>472</v>
      </c>
      <c r="U180" s="324"/>
      <c r="V180" s="175">
        <v>97</v>
      </c>
    </row>
    <row r="181" spans="2:63" x14ac:dyDescent="0.25">
      <c r="B181" s="160"/>
      <c r="C181" s="160"/>
      <c r="D181" s="160"/>
      <c r="E181" s="160"/>
      <c r="H181" s="160"/>
      <c r="I181" s="160"/>
      <c r="J181" s="160"/>
      <c r="K181" s="160"/>
      <c r="N181" s="160"/>
      <c r="O181" s="160"/>
      <c r="P181" s="160"/>
      <c r="Q181" s="160"/>
      <c r="T181" s="160"/>
      <c r="U181" s="160"/>
      <c r="V181" s="160"/>
      <c r="W181" s="160"/>
    </row>
    <row r="182" spans="2:63" ht="15.6" x14ac:dyDescent="0.25">
      <c r="B182" s="324" t="s">
        <v>473</v>
      </c>
      <c r="C182" s="324"/>
      <c r="D182" s="234" t="str">
        <f>VLOOKUP(D180,CuentasContables,5,FALSE)</f>
        <v>CENTROS DE COSTOS</v>
      </c>
      <c r="E182" s="160"/>
      <c r="H182" s="324" t="s">
        <v>473</v>
      </c>
      <c r="I182" s="324"/>
      <c r="J182" s="234" t="str">
        <f>VLOOKUP(J180,CuentasContables,5,FALSE)</f>
        <v>GASTOS ADMINISTRATIVOS</v>
      </c>
      <c r="K182" s="160"/>
      <c r="N182" s="324" t="s">
        <v>473</v>
      </c>
      <c r="O182" s="324"/>
      <c r="P182" s="234" t="str">
        <f>VLOOKUP(P180,CuentasContables,5,FALSE)</f>
        <v>GASTOS DE VENTAS</v>
      </c>
      <c r="Q182" s="160"/>
      <c r="T182" s="324" t="s">
        <v>473</v>
      </c>
      <c r="U182" s="324"/>
      <c r="V182" s="234" t="str">
        <f>VLOOKUP(V180,CuentasContables,5,FALSE)</f>
        <v>GASTOS FINANCIEROS</v>
      </c>
      <c r="W182" s="160"/>
    </row>
    <row r="183" spans="2:63" ht="14.4" thickBot="1" x14ac:dyDescent="0.3">
      <c r="B183" s="160"/>
      <c r="C183" s="160"/>
      <c r="D183" s="160"/>
      <c r="E183" s="160"/>
      <c r="H183" s="160"/>
      <c r="I183" s="160"/>
      <c r="J183" s="160"/>
      <c r="K183" s="160"/>
      <c r="N183" s="160"/>
      <c r="O183" s="160"/>
      <c r="P183" s="160"/>
      <c r="Q183" s="160"/>
      <c r="T183" s="160"/>
      <c r="U183" s="160"/>
      <c r="V183" s="160"/>
      <c r="W183" s="160"/>
    </row>
    <row r="184" spans="2:63" x14ac:dyDescent="0.25">
      <c r="B184" s="325" t="s">
        <v>466</v>
      </c>
      <c r="C184" s="327" t="s">
        <v>467</v>
      </c>
      <c r="D184" s="327" t="s">
        <v>468</v>
      </c>
      <c r="E184" s="329" t="s">
        <v>469</v>
      </c>
      <c r="F184" s="330"/>
      <c r="H184" s="325" t="s">
        <v>466</v>
      </c>
      <c r="I184" s="327" t="s">
        <v>467</v>
      </c>
      <c r="J184" s="327" t="s">
        <v>468</v>
      </c>
      <c r="K184" s="329" t="s">
        <v>469</v>
      </c>
      <c r="L184" s="330"/>
      <c r="N184" s="325" t="s">
        <v>466</v>
      </c>
      <c r="O184" s="327" t="s">
        <v>467</v>
      </c>
      <c r="P184" s="327" t="s">
        <v>468</v>
      </c>
      <c r="Q184" s="329" t="s">
        <v>469</v>
      </c>
      <c r="R184" s="330"/>
      <c r="T184" s="325" t="s">
        <v>466</v>
      </c>
      <c r="U184" s="327" t="s">
        <v>467</v>
      </c>
      <c r="V184" s="327" t="s">
        <v>468</v>
      </c>
      <c r="W184" s="329" t="s">
        <v>469</v>
      </c>
      <c r="X184" s="330"/>
    </row>
    <row r="185" spans="2:63" ht="14.4" thickBot="1" x14ac:dyDescent="0.3">
      <c r="B185" s="326"/>
      <c r="C185" s="328"/>
      <c r="D185" s="328"/>
      <c r="E185" s="232" t="s">
        <v>403</v>
      </c>
      <c r="F185" s="174" t="s">
        <v>402</v>
      </c>
      <c r="H185" s="326"/>
      <c r="I185" s="328"/>
      <c r="J185" s="328"/>
      <c r="K185" s="232" t="s">
        <v>403</v>
      </c>
      <c r="L185" s="174" t="s">
        <v>402</v>
      </c>
      <c r="N185" s="326"/>
      <c r="O185" s="328"/>
      <c r="P185" s="328"/>
      <c r="Q185" s="232" t="s">
        <v>403</v>
      </c>
      <c r="R185" s="174" t="s">
        <v>402</v>
      </c>
      <c r="T185" s="326"/>
      <c r="U185" s="328"/>
      <c r="V185" s="328"/>
      <c r="W185" s="232" t="s">
        <v>403</v>
      </c>
      <c r="X185" s="174" t="s">
        <v>402</v>
      </c>
    </row>
    <row r="186" spans="2:63" ht="14.4" thickTop="1" x14ac:dyDescent="0.25">
      <c r="B186" s="236">
        <v>41670</v>
      </c>
      <c r="C186" s="171"/>
      <c r="D186" s="166" t="s">
        <v>470</v>
      </c>
      <c r="E186" s="167">
        <f>SUMIF('Libro Diario Convencional'!$B$15:$B$167,D180,'Libro Diario Convencional'!$I$15:$I$167)</f>
        <v>0</v>
      </c>
      <c r="F186" s="168">
        <f>SUMIF('Libro Diario Convencional'!$B$15:$B$167,D180,'Libro Diario Convencional'!$J$15:$J$167)</f>
        <v>0</v>
      </c>
      <c r="G186" s="9"/>
      <c r="H186" s="236">
        <v>41670</v>
      </c>
      <c r="I186" s="171"/>
      <c r="J186" s="166" t="s">
        <v>470</v>
      </c>
      <c r="K186" s="167">
        <f>SUMIF('Libro Diario Convencional'!$B$15:$B$167,J180,'Libro Diario Convencional'!$I$15:$I$167)</f>
        <v>387534.87288135593</v>
      </c>
      <c r="L186" s="168">
        <f>SUMIF('Libro Diario Convencional'!$B$15:$B$167,J180,'Libro Diario Convencional'!$J$15:$J$167)</f>
        <v>0</v>
      </c>
      <c r="M186" s="9"/>
      <c r="N186" s="236">
        <v>41670</v>
      </c>
      <c r="O186" s="171"/>
      <c r="P186" s="166" t="s">
        <v>470</v>
      </c>
      <c r="Q186" s="167">
        <f>SUMIF('Libro Diario Convencional'!$B$15:$B$167,P180,'Libro Diario Convencional'!$I$15:$I$167)</f>
        <v>0</v>
      </c>
      <c r="R186" s="168">
        <f>SUMIF('Libro Diario Convencional'!$B$15:$B$167,P180,'Libro Diario Convencional'!$J$15:$J$167)</f>
        <v>0</v>
      </c>
      <c r="S186" s="9"/>
      <c r="T186" s="236">
        <v>41670</v>
      </c>
      <c r="U186" s="171"/>
      <c r="V186" s="166" t="s">
        <v>470</v>
      </c>
      <c r="W186" s="167">
        <f>SUMIF('Libro Diario Convencional'!$B$15:$B$167,V180,'Libro Diario Convencional'!$I$15:$I$167)</f>
        <v>0</v>
      </c>
      <c r="X186" s="168">
        <f>SUMIF('Libro Diario Convencional'!$B$15:$B$167,V180,'Libro Diario Convencional'!$J$15:$J$167)</f>
        <v>0</v>
      </c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</row>
    <row r="187" spans="2:63" x14ac:dyDescent="0.25">
      <c r="B187" s="169"/>
      <c r="C187" s="172"/>
      <c r="D187" s="161"/>
      <c r="E187" s="162"/>
      <c r="F187" s="163"/>
      <c r="G187" s="9"/>
      <c r="H187" s="169"/>
      <c r="I187" s="172"/>
      <c r="J187" s="161"/>
      <c r="K187" s="162"/>
      <c r="L187" s="163"/>
      <c r="M187" s="9"/>
      <c r="N187" s="169"/>
      <c r="O187" s="172"/>
      <c r="P187" s="161"/>
      <c r="Q187" s="162"/>
      <c r="R187" s="163"/>
      <c r="S187" s="9"/>
      <c r="T187" s="169"/>
      <c r="U187" s="172"/>
      <c r="V187" s="161"/>
      <c r="W187" s="162"/>
      <c r="X187" s="163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</row>
    <row r="188" spans="2:63" x14ac:dyDescent="0.25">
      <c r="B188" s="169"/>
      <c r="C188" s="172"/>
      <c r="D188" s="161"/>
      <c r="E188" s="162"/>
      <c r="F188" s="163"/>
      <c r="G188" s="9"/>
      <c r="H188" s="169"/>
      <c r="I188" s="172"/>
      <c r="J188" s="161"/>
      <c r="K188" s="162"/>
      <c r="L188" s="163"/>
      <c r="M188" s="9"/>
      <c r="N188" s="169"/>
      <c r="O188" s="172"/>
      <c r="P188" s="161"/>
      <c r="Q188" s="162"/>
      <c r="R188" s="163"/>
      <c r="S188" s="9"/>
      <c r="T188" s="169"/>
      <c r="U188" s="172"/>
      <c r="V188" s="161"/>
      <c r="W188" s="162"/>
      <c r="X188" s="163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</row>
    <row r="189" spans="2:63" ht="14.4" thickBot="1" x14ac:dyDescent="0.3">
      <c r="B189" s="169"/>
      <c r="C189" s="172"/>
      <c r="D189" s="161"/>
      <c r="E189" s="162"/>
      <c r="F189" s="163"/>
      <c r="G189" s="9"/>
      <c r="H189" s="169"/>
      <c r="I189" s="172"/>
      <c r="J189" s="161"/>
      <c r="K189" s="162"/>
      <c r="L189" s="163"/>
      <c r="M189" s="9"/>
      <c r="N189" s="169"/>
      <c r="O189" s="172"/>
      <c r="P189" s="161"/>
      <c r="Q189" s="162"/>
      <c r="R189" s="163"/>
      <c r="S189" s="9"/>
      <c r="T189" s="169"/>
      <c r="U189" s="172"/>
      <c r="V189" s="161"/>
      <c r="W189" s="162"/>
      <c r="X189" s="163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</row>
    <row r="190" spans="2:63" ht="15" thickBot="1" x14ac:dyDescent="0.3">
      <c r="B190" s="169"/>
      <c r="C190" s="172"/>
      <c r="D190" s="161" t="s">
        <v>471</v>
      </c>
      <c r="E190" s="162">
        <f>SUM(E186:E189)</f>
        <v>0</v>
      </c>
      <c r="F190" s="163">
        <f>SUM(F186:F189)</f>
        <v>0</v>
      </c>
      <c r="G190" s="9"/>
      <c r="H190" s="169"/>
      <c r="I190" s="172"/>
      <c r="J190" s="161" t="s">
        <v>471</v>
      </c>
      <c r="K190" s="162">
        <f>SUM(K186:K189)</f>
        <v>387534.87288135593</v>
      </c>
      <c r="L190" s="163">
        <f>SUM(L186:L189)</f>
        <v>0</v>
      </c>
      <c r="M190" s="9"/>
      <c r="N190" s="169"/>
      <c r="O190" s="172"/>
      <c r="P190" s="161" t="s">
        <v>471</v>
      </c>
      <c r="Q190" s="162">
        <f>SUM(Q186:Q189)</f>
        <v>0</v>
      </c>
      <c r="R190" s="163">
        <f>SUM(R186:R189)</f>
        <v>0</v>
      </c>
      <c r="S190" s="9"/>
      <c r="T190" s="169"/>
      <c r="U190" s="172"/>
      <c r="V190" s="161" t="s">
        <v>471</v>
      </c>
      <c r="W190" s="162">
        <f>SUM(W186:W189)</f>
        <v>0</v>
      </c>
      <c r="X190" s="163">
        <f>SUM(X186:X189)</f>
        <v>0</v>
      </c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J190" s="157">
        <f>SUM(E190,K190,Q190,W190,AC190,AI190,AO190,AU190,BA190,BG190)</f>
        <v>387534.87288135593</v>
      </c>
      <c r="BK190" s="158">
        <f>SUM(F190,L190,R190,X190,AD190,AJ190,AP190,AV190,BB190,BH190)</f>
        <v>0</v>
      </c>
    </row>
    <row r="191" spans="2:63" ht="15" thickBot="1" x14ac:dyDescent="0.3">
      <c r="B191" s="170"/>
      <c r="C191" s="173"/>
      <c r="D191" s="164" t="str">
        <f>IF(E190=F190,"",IF(E190&gt;F190,"Saldo Deudor","Saldo Acreedor"))</f>
        <v/>
      </c>
      <c r="E191" s="165" t="str">
        <f>IF(E190&gt;F190,E190-F190,"")</f>
        <v/>
      </c>
      <c r="F191" s="176" t="str">
        <f>IF(E190&lt;F190,F190-E190,"")</f>
        <v/>
      </c>
      <c r="H191" s="170"/>
      <c r="I191" s="173"/>
      <c r="J191" s="164" t="str">
        <f>IF(K190=L190,"",IF(K190&gt;L190,"Saldo Deudor","Saldo Acreedor"))</f>
        <v>Saldo Deudor</v>
      </c>
      <c r="K191" s="165">
        <f>IF(K190&gt;L190,K190-L190,"")</f>
        <v>387534.87288135593</v>
      </c>
      <c r="L191" s="176" t="str">
        <f>IF(K190&lt;L190,L190-K190,"")</f>
        <v/>
      </c>
      <c r="N191" s="170"/>
      <c r="O191" s="173"/>
      <c r="P191" s="164" t="str">
        <f>IF(Q190=R190,"",IF(Q190&gt;R190,"Saldo Deudor","Saldo Acreedor"))</f>
        <v/>
      </c>
      <c r="Q191" s="165" t="str">
        <f>IF(Q190&gt;R190,Q190-R190,"")</f>
        <v/>
      </c>
      <c r="R191" s="176" t="str">
        <f>IF(Q190&lt;R190,R190-Q190,"")</f>
        <v/>
      </c>
      <c r="T191" s="170"/>
      <c r="U191" s="173"/>
      <c r="V191" s="164" t="str">
        <f>IF(W190=X190,"",IF(W190&gt;X190,"Saldo Deudor","Saldo Acreedor"))</f>
        <v/>
      </c>
      <c r="W191" s="165" t="str">
        <f>IF(W190&gt;X190,W190-X190,"")</f>
        <v/>
      </c>
      <c r="X191" s="176" t="str">
        <f>IF(W190&lt;X190,X190-W190,"")</f>
        <v/>
      </c>
      <c r="BJ191" s="10">
        <f>SUM(BJ22,BJ46,BJ70,BJ94,BJ118,BJ142,BJ166,BJ190)</f>
        <v>3368455.3728813557</v>
      </c>
      <c r="BK191" s="11">
        <f>SUM(BK22,BK46,BK70,BK94,BK118,BK142,BK166,BK190)</f>
        <v>3214355.3728813557</v>
      </c>
    </row>
    <row r="193" spans="63:63" x14ac:dyDescent="0.25">
      <c r="BK193" s="9">
        <f>BJ191-BK191</f>
        <v>154100</v>
      </c>
    </row>
  </sheetData>
  <mergeCells count="840">
    <mergeCell ref="BF152:BG152"/>
    <mergeCell ref="BD154:BE154"/>
    <mergeCell ref="BD156:BE156"/>
    <mergeCell ref="BD158:BE158"/>
    <mergeCell ref="BD160:BD161"/>
    <mergeCell ref="BE160:BE161"/>
    <mergeCell ref="BF160:BF161"/>
    <mergeCell ref="BG160:BH160"/>
    <mergeCell ref="AZ160:AZ161"/>
    <mergeCell ref="BA160:BB160"/>
    <mergeCell ref="BD146:BE146"/>
    <mergeCell ref="BD148:BE148"/>
    <mergeCell ref="BD150:BE150"/>
    <mergeCell ref="BD152:BE152"/>
    <mergeCell ref="AX154:AY154"/>
    <mergeCell ref="AX156:AY156"/>
    <mergeCell ref="AX158:AY158"/>
    <mergeCell ref="AX160:AX161"/>
    <mergeCell ref="AY160:AY161"/>
    <mergeCell ref="AX146:AY146"/>
    <mergeCell ref="AX148:AY148"/>
    <mergeCell ref="AX150:AY150"/>
    <mergeCell ref="AX152:AY152"/>
    <mergeCell ref="AZ152:BA152"/>
    <mergeCell ref="AT152:AU152"/>
    <mergeCell ref="AR154:AS154"/>
    <mergeCell ref="AR156:AS156"/>
    <mergeCell ref="AR158:AS158"/>
    <mergeCell ref="AR160:AR161"/>
    <mergeCell ref="AS160:AS161"/>
    <mergeCell ref="AT160:AT161"/>
    <mergeCell ref="AU160:AV160"/>
    <mergeCell ref="AN160:AN161"/>
    <mergeCell ref="AO160:AP160"/>
    <mergeCell ref="AR146:AS146"/>
    <mergeCell ref="AR148:AS148"/>
    <mergeCell ref="AR150:AS150"/>
    <mergeCell ref="AR152:AS152"/>
    <mergeCell ref="AL154:AM154"/>
    <mergeCell ref="AL156:AM156"/>
    <mergeCell ref="AL158:AM158"/>
    <mergeCell ref="AL160:AL161"/>
    <mergeCell ref="AM160:AM161"/>
    <mergeCell ref="AL146:AM146"/>
    <mergeCell ref="AL148:AM148"/>
    <mergeCell ref="AL150:AM150"/>
    <mergeCell ref="AL152:AM152"/>
    <mergeCell ref="AN152:AO152"/>
    <mergeCell ref="AH152:AI152"/>
    <mergeCell ref="AF154:AG154"/>
    <mergeCell ref="AF156:AG156"/>
    <mergeCell ref="AF158:AG158"/>
    <mergeCell ref="AF160:AF161"/>
    <mergeCell ref="AG160:AG161"/>
    <mergeCell ref="AH160:AH161"/>
    <mergeCell ref="AI160:AJ160"/>
    <mergeCell ref="AB160:AB161"/>
    <mergeCell ref="AC160:AD160"/>
    <mergeCell ref="U160:U161"/>
    <mergeCell ref="V160:V161"/>
    <mergeCell ref="W160:X160"/>
    <mergeCell ref="Q160:R160"/>
    <mergeCell ref="T152:U152"/>
    <mergeCell ref="AF146:AG146"/>
    <mergeCell ref="AF148:AG148"/>
    <mergeCell ref="AF150:AG150"/>
    <mergeCell ref="AF152:AG152"/>
    <mergeCell ref="Z154:AA154"/>
    <mergeCell ref="Z156:AA156"/>
    <mergeCell ref="Z158:AA158"/>
    <mergeCell ref="Z160:Z161"/>
    <mergeCell ref="AA160:AA161"/>
    <mergeCell ref="Z146:AA146"/>
    <mergeCell ref="Z148:AA148"/>
    <mergeCell ref="Z150:AA150"/>
    <mergeCell ref="Z152:AA152"/>
    <mergeCell ref="AB152:AC152"/>
    <mergeCell ref="N146:O146"/>
    <mergeCell ref="N148:O148"/>
    <mergeCell ref="N150:O150"/>
    <mergeCell ref="N152:O152"/>
    <mergeCell ref="N154:O154"/>
    <mergeCell ref="N156:O156"/>
    <mergeCell ref="N158:O158"/>
    <mergeCell ref="N160:N161"/>
    <mergeCell ref="O160:O161"/>
    <mergeCell ref="B160:B161"/>
    <mergeCell ref="C160:C161"/>
    <mergeCell ref="D160:D161"/>
    <mergeCell ref="E160:F160"/>
    <mergeCell ref="B146:C146"/>
    <mergeCell ref="B148:C148"/>
    <mergeCell ref="B150:C150"/>
    <mergeCell ref="B152:C152"/>
    <mergeCell ref="D152:E152"/>
    <mergeCell ref="B154:C154"/>
    <mergeCell ref="B156:C156"/>
    <mergeCell ref="B158:C158"/>
    <mergeCell ref="BF136:BF137"/>
    <mergeCell ref="BG136:BH136"/>
    <mergeCell ref="BD130:BE130"/>
    <mergeCell ref="BD132:BE132"/>
    <mergeCell ref="BD134:BE134"/>
    <mergeCell ref="BD136:BD137"/>
    <mergeCell ref="BE136:BE137"/>
    <mergeCell ref="BD122:BE122"/>
    <mergeCell ref="BD124:BE124"/>
    <mergeCell ref="BD126:BE126"/>
    <mergeCell ref="BD128:BE128"/>
    <mergeCell ref="BF128:BG128"/>
    <mergeCell ref="AX134:AY134"/>
    <mergeCell ref="AX136:AX137"/>
    <mergeCell ref="AY136:AY137"/>
    <mergeCell ref="AZ136:AZ137"/>
    <mergeCell ref="BA136:BB136"/>
    <mergeCell ref="AN136:AN137"/>
    <mergeCell ref="AO136:AP136"/>
    <mergeCell ref="AR122:AS122"/>
    <mergeCell ref="AR124:AS124"/>
    <mergeCell ref="AR126:AS126"/>
    <mergeCell ref="AR128:AS128"/>
    <mergeCell ref="AR130:AS130"/>
    <mergeCell ref="AR132:AS132"/>
    <mergeCell ref="AR134:AS134"/>
    <mergeCell ref="AR136:AR137"/>
    <mergeCell ref="AS136:AS137"/>
    <mergeCell ref="AN128:AO128"/>
    <mergeCell ref="AT136:AT137"/>
    <mergeCell ref="AU136:AV136"/>
    <mergeCell ref="AX122:AY122"/>
    <mergeCell ref="AX124:AY124"/>
    <mergeCell ref="AX126:AY126"/>
    <mergeCell ref="AX128:AY128"/>
    <mergeCell ref="AZ128:BA128"/>
    <mergeCell ref="AL130:AM130"/>
    <mergeCell ref="AL132:AM132"/>
    <mergeCell ref="AL134:AM134"/>
    <mergeCell ref="AL136:AL137"/>
    <mergeCell ref="AM136:AM137"/>
    <mergeCell ref="AL122:AM122"/>
    <mergeCell ref="AL124:AM124"/>
    <mergeCell ref="AL126:AM126"/>
    <mergeCell ref="AL128:AM128"/>
    <mergeCell ref="Z134:AA134"/>
    <mergeCell ref="Z136:Z137"/>
    <mergeCell ref="AA136:AA137"/>
    <mergeCell ref="Z122:AA122"/>
    <mergeCell ref="Z124:AA124"/>
    <mergeCell ref="Z126:AA126"/>
    <mergeCell ref="Z128:AA128"/>
    <mergeCell ref="AB128:AC128"/>
    <mergeCell ref="AH128:AI128"/>
    <mergeCell ref="AF130:AG130"/>
    <mergeCell ref="AF132:AG132"/>
    <mergeCell ref="AF134:AG134"/>
    <mergeCell ref="AF136:AF137"/>
    <mergeCell ref="AG136:AG137"/>
    <mergeCell ref="AH136:AH137"/>
    <mergeCell ref="AI136:AJ136"/>
    <mergeCell ref="AB136:AB137"/>
    <mergeCell ref="AC136:AD136"/>
    <mergeCell ref="N124:O124"/>
    <mergeCell ref="N126:O126"/>
    <mergeCell ref="N128:O128"/>
    <mergeCell ref="AF122:AG122"/>
    <mergeCell ref="AF124:AG124"/>
    <mergeCell ref="AF126:AG126"/>
    <mergeCell ref="AF128:AG128"/>
    <mergeCell ref="Z130:AA130"/>
    <mergeCell ref="Z132:AA132"/>
    <mergeCell ref="D128:E128"/>
    <mergeCell ref="J128:K128"/>
    <mergeCell ref="H130:I130"/>
    <mergeCell ref="H132:I132"/>
    <mergeCell ref="H134:I134"/>
    <mergeCell ref="H136:H137"/>
    <mergeCell ref="I136:I137"/>
    <mergeCell ref="J136:J137"/>
    <mergeCell ref="K136:L136"/>
    <mergeCell ref="D136:D137"/>
    <mergeCell ref="E136:F136"/>
    <mergeCell ref="B130:C130"/>
    <mergeCell ref="B132:C132"/>
    <mergeCell ref="B134:C134"/>
    <mergeCell ref="B136:B137"/>
    <mergeCell ref="C136:C137"/>
    <mergeCell ref="B122:C122"/>
    <mergeCell ref="B124:C124"/>
    <mergeCell ref="B126:C126"/>
    <mergeCell ref="B128:C128"/>
    <mergeCell ref="AN104:AO104"/>
    <mergeCell ref="AL106:AM106"/>
    <mergeCell ref="AL108:AM108"/>
    <mergeCell ref="AL110:AM110"/>
    <mergeCell ref="AL112:AL113"/>
    <mergeCell ref="AM112:AM113"/>
    <mergeCell ref="AN112:AN113"/>
    <mergeCell ref="AO112:AP112"/>
    <mergeCell ref="AH112:AH113"/>
    <mergeCell ref="AI112:AJ112"/>
    <mergeCell ref="AL98:AM98"/>
    <mergeCell ref="AL100:AM100"/>
    <mergeCell ref="AL102:AM102"/>
    <mergeCell ref="AL104:AM104"/>
    <mergeCell ref="AF104:AG104"/>
    <mergeCell ref="AH104:AI104"/>
    <mergeCell ref="AF106:AG106"/>
    <mergeCell ref="AF108:AG108"/>
    <mergeCell ref="AF110:AG110"/>
    <mergeCell ref="P112:P113"/>
    <mergeCell ref="Q112:R112"/>
    <mergeCell ref="K112:L112"/>
    <mergeCell ref="Z104:AA104"/>
    <mergeCell ref="AB104:AC104"/>
    <mergeCell ref="Z106:AA106"/>
    <mergeCell ref="Z108:AA108"/>
    <mergeCell ref="Z110:AA110"/>
    <mergeCell ref="T104:U104"/>
    <mergeCell ref="V104:W104"/>
    <mergeCell ref="T106:U106"/>
    <mergeCell ref="T108:U108"/>
    <mergeCell ref="T110:U110"/>
    <mergeCell ref="P104:Q104"/>
    <mergeCell ref="T112:T113"/>
    <mergeCell ref="U112:U113"/>
    <mergeCell ref="V112:V113"/>
    <mergeCell ref="W112:X112"/>
    <mergeCell ref="B112:B113"/>
    <mergeCell ref="C112:C113"/>
    <mergeCell ref="D112:D113"/>
    <mergeCell ref="E112:F112"/>
    <mergeCell ref="H98:I98"/>
    <mergeCell ref="H100:I100"/>
    <mergeCell ref="H102:I102"/>
    <mergeCell ref="H104:I104"/>
    <mergeCell ref="H106:I106"/>
    <mergeCell ref="H108:I108"/>
    <mergeCell ref="H110:I110"/>
    <mergeCell ref="H112:H113"/>
    <mergeCell ref="I112:I113"/>
    <mergeCell ref="B104:C104"/>
    <mergeCell ref="D104:E104"/>
    <mergeCell ref="B106:C106"/>
    <mergeCell ref="B108:C108"/>
    <mergeCell ref="B110:C110"/>
    <mergeCell ref="BD74:BE74"/>
    <mergeCell ref="BD76:BE76"/>
    <mergeCell ref="BD78:BE78"/>
    <mergeCell ref="BD80:BE80"/>
    <mergeCell ref="BF88:BF89"/>
    <mergeCell ref="BG88:BH88"/>
    <mergeCell ref="B98:C98"/>
    <mergeCell ref="B100:C100"/>
    <mergeCell ref="B102:C102"/>
    <mergeCell ref="T98:U98"/>
    <mergeCell ref="T100:U100"/>
    <mergeCell ref="T102:U102"/>
    <mergeCell ref="Z98:AA98"/>
    <mergeCell ref="Z100:AA100"/>
    <mergeCell ref="Z102:AA102"/>
    <mergeCell ref="AF98:AG98"/>
    <mergeCell ref="AF100:AG100"/>
    <mergeCell ref="AF102:AG102"/>
    <mergeCell ref="B88:B89"/>
    <mergeCell ref="C88:C89"/>
    <mergeCell ref="D88:D89"/>
    <mergeCell ref="E88:F88"/>
    <mergeCell ref="N98:O98"/>
    <mergeCell ref="N100:O100"/>
    <mergeCell ref="BF80:BG80"/>
    <mergeCell ref="AX86:AY86"/>
    <mergeCell ref="AX88:AX89"/>
    <mergeCell ref="AY88:AY89"/>
    <mergeCell ref="AZ88:AZ89"/>
    <mergeCell ref="BA88:BB88"/>
    <mergeCell ref="AX78:AY78"/>
    <mergeCell ref="AX80:AY80"/>
    <mergeCell ref="AZ80:BA80"/>
    <mergeCell ref="AX82:AY82"/>
    <mergeCell ref="AX84:AY84"/>
    <mergeCell ref="BD82:BE82"/>
    <mergeCell ref="BD84:BE84"/>
    <mergeCell ref="BD86:BE86"/>
    <mergeCell ref="BD88:BD89"/>
    <mergeCell ref="BE88:BE89"/>
    <mergeCell ref="AT80:AU80"/>
    <mergeCell ref="AR82:AS82"/>
    <mergeCell ref="AR84:AS84"/>
    <mergeCell ref="AR86:AS86"/>
    <mergeCell ref="AR88:AR89"/>
    <mergeCell ref="AS88:AS89"/>
    <mergeCell ref="AT88:AT89"/>
    <mergeCell ref="AU88:AV88"/>
    <mergeCell ref="AL88:AL89"/>
    <mergeCell ref="AM88:AM89"/>
    <mergeCell ref="AN88:AN89"/>
    <mergeCell ref="AO88:AP88"/>
    <mergeCell ref="AR74:AS74"/>
    <mergeCell ref="AR76:AS76"/>
    <mergeCell ref="AR78:AS78"/>
    <mergeCell ref="AR80:AS80"/>
    <mergeCell ref="AL80:AM80"/>
    <mergeCell ref="AN80:AO80"/>
    <mergeCell ref="AL82:AM82"/>
    <mergeCell ref="AL84:AM84"/>
    <mergeCell ref="AL86:AM86"/>
    <mergeCell ref="AH80:AI80"/>
    <mergeCell ref="AF82:AG82"/>
    <mergeCell ref="AF84:AG84"/>
    <mergeCell ref="AF86:AG86"/>
    <mergeCell ref="AF88:AF89"/>
    <mergeCell ref="AG88:AG89"/>
    <mergeCell ref="AH88:AH89"/>
    <mergeCell ref="AI88:AJ88"/>
    <mergeCell ref="Z88:Z89"/>
    <mergeCell ref="AA88:AA89"/>
    <mergeCell ref="AB88:AB89"/>
    <mergeCell ref="AC88:AD88"/>
    <mergeCell ref="AF74:AG74"/>
    <mergeCell ref="AF76:AG76"/>
    <mergeCell ref="AF78:AG78"/>
    <mergeCell ref="AF80:AG80"/>
    <mergeCell ref="Z80:AA80"/>
    <mergeCell ref="AB80:AC80"/>
    <mergeCell ref="Z82:AA82"/>
    <mergeCell ref="Z84:AA84"/>
    <mergeCell ref="Z86:AA86"/>
    <mergeCell ref="V80:W80"/>
    <mergeCell ref="T82:U82"/>
    <mergeCell ref="T84:U84"/>
    <mergeCell ref="T86:U86"/>
    <mergeCell ref="T88:T89"/>
    <mergeCell ref="U88:U89"/>
    <mergeCell ref="V88:V89"/>
    <mergeCell ref="W88:X88"/>
    <mergeCell ref="N88:N89"/>
    <mergeCell ref="O88:O89"/>
    <mergeCell ref="P88:P89"/>
    <mergeCell ref="Q88:R88"/>
    <mergeCell ref="T74:U74"/>
    <mergeCell ref="T76:U76"/>
    <mergeCell ref="T78:U78"/>
    <mergeCell ref="T80:U80"/>
    <mergeCell ref="N80:O80"/>
    <mergeCell ref="P80:Q80"/>
    <mergeCell ref="N82:O82"/>
    <mergeCell ref="N84:O84"/>
    <mergeCell ref="N86:O86"/>
    <mergeCell ref="BD50:BE50"/>
    <mergeCell ref="BD52:BE52"/>
    <mergeCell ref="BD54:BE54"/>
    <mergeCell ref="BD56:BE56"/>
    <mergeCell ref="B80:C80"/>
    <mergeCell ref="D80:E80"/>
    <mergeCell ref="B82:C82"/>
    <mergeCell ref="B84:C84"/>
    <mergeCell ref="B86:C86"/>
    <mergeCell ref="B74:C74"/>
    <mergeCell ref="B76:C76"/>
    <mergeCell ref="B78:C78"/>
    <mergeCell ref="N74:O74"/>
    <mergeCell ref="N76:O76"/>
    <mergeCell ref="N78:O78"/>
    <mergeCell ref="Z74:AA74"/>
    <mergeCell ref="Z76:AA76"/>
    <mergeCell ref="Z78:AA78"/>
    <mergeCell ref="AL74:AM74"/>
    <mergeCell ref="AL76:AM76"/>
    <mergeCell ref="AL78:AM78"/>
    <mergeCell ref="AX74:AY74"/>
    <mergeCell ref="AX76:AY76"/>
    <mergeCell ref="AT64:AT65"/>
    <mergeCell ref="BF56:BG56"/>
    <mergeCell ref="AZ56:BA56"/>
    <mergeCell ref="AX58:AY58"/>
    <mergeCell ref="AX60:AY60"/>
    <mergeCell ref="AX62:AY62"/>
    <mergeCell ref="AX64:AX65"/>
    <mergeCell ref="AY64:AY65"/>
    <mergeCell ref="AZ64:AZ65"/>
    <mergeCell ref="BA64:BB64"/>
    <mergeCell ref="BD58:BE58"/>
    <mergeCell ref="BD60:BE60"/>
    <mergeCell ref="BD62:BE62"/>
    <mergeCell ref="BD64:BD65"/>
    <mergeCell ref="BE64:BE65"/>
    <mergeCell ref="BF64:BF65"/>
    <mergeCell ref="BG64:BH64"/>
    <mergeCell ref="AX50:AY50"/>
    <mergeCell ref="AX52:AY52"/>
    <mergeCell ref="AX54:AY54"/>
    <mergeCell ref="AX56:AY56"/>
    <mergeCell ref="AR58:AS58"/>
    <mergeCell ref="AR60:AS60"/>
    <mergeCell ref="AR62:AS62"/>
    <mergeCell ref="AR64:AR65"/>
    <mergeCell ref="AS64:AS65"/>
    <mergeCell ref="AR50:AS50"/>
    <mergeCell ref="AR52:AS52"/>
    <mergeCell ref="AR54:AS54"/>
    <mergeCell ref="AR56:AS56"/>
    <mergeCell ref="AT56:AU56"/>
    <mergeCell ref="AU64:AV64"/>
    <mergeCell ref="AN56:AO56"/>
    <mergeCell ref="AF58:AG58"/>
    <mergeCell ref="AF60:AG60"/>
    <mergeCell ref="AF62:AG62"/>
    <mergeCell ref="AF64:AF65"/>
    <mergeCell ref="AG64:AG65"/>
    <mergeCell ref="AF50:AG50"/>
    <mergeCell ref="AF52:AG52"/>
    <mergeCell ref="AF54:AG54"/>
    <mergeCell ref="AF56:AG56"/>
    <mergeCell ref="AH56:AI56"/>
    <mergeCell ref="AL58:AM58"/>
    <mergeCell ref="AL60:AM60"/>
    <mergeCell ref="AL62:AM62"/>
    <mergeCell ref="AL64:AL65"/>
    <mergeCell ref="AM64:AM65"/>
    <mergeCell ref="AL50:AM50"/>
    <mergeCell ref="AL52:AM52"/>
    <mergeCell ref="AL54:AM54"/>
    <mergeCell ref="AL56:AM56"/>
    <mergeCell ref="N50:O50"/>
    <mergeCell ref="N52:O52"/>
    <mergeCell ref="N54:O54"/>
    <mergeCell ref="N56:O56"/>
    <mergeCell ref="AB56:AC56"/>
    <mergeCell ref="T58:U58"/>
    <mergeCell ref="T60:U60"/>
    <mergeCell ref="T62:U62"/>
    <mergeCell ref="T64:T65"/>
    <mergeCell ref="U64:U65"/>
    <mergeCell ref="T50:U50"/>
    <mergeCell ref="T52:U52"/>
    <mergeCell ref="T54:U54"/>
    <mergeCell ref="T56:U56"/>
    <mergeCell ref="V56:W56"/>
    <mergeCell ref="Z58:AA58"/>
    <mergeCell ref="Z60:AA60"/>
    <mergeCell ref="Z62:AA62"/>
    <mergeCell ref="Z64:Z65"/>
    <mergeCell ref="AA64:AA65"/>
    <mergeCell ref="Z50:AA50"/>
    <mergeCell ref="Z52:AA52"/>
    <mergeCell ref="Z54:AA54"/>
    <mergeCell ref="Z56:AA56"/>
    <mergeCell ref="P56:Q56"/>
    <mergeCell ref="J56:K56"/>
    <mergeCell ref="H58:I58"/>
    <mergeCell ref="H60:I60"/>
    <mergeCell ref="H62:I62"/>
    <mergeCell ref="H64:H65"/>
    <mergeCell ref="I64:I65"/>
    <mergeCell ref="J64:J65"/>
    <mergeCell ref="K64:L64"/>
    <mergeCell ref="N58:O58"/>
    <mergeCell ref="N60:O60"/>
    <mergeCell ref="N62:O62"/>
    <mergeCell ref="N64:N65"/>
    <mergeCell ref="O64:O65"/>
    <mergeCell ref="P64:P65"/>
    <mergeCell ref="Q64:R64"/>
    <mergeCell ref="E64:F64"/>
    <mergeCell ref="H50:I50"/>
    <mergeCell ref="H52:I52"/>
    <mergeCell ref="H54:I54"/>
    <mergeCell ref="H56:I56"/>
    <mergeCell ref="B58:C58"/>
    <mergeCell ref="B60:C60"/>
    <mergeCell ref="B62:C62"/>
    <mergeCell ref="B64:B65"/>
    <mergeCell ref="C64:C65"/>
    <mergeCell ref="B50:C50"/>
    <mergeCell ref="B52:C52"/>
    <mergeCell ref="B54:C54"/>
    <mergeCell ref="B56:C56"/>
    <mergeCell ref="D56:E56"/>
    <mergeCell ref="D64:D65"/>
    <mergeCell ref="BF32:BG32"/>
    <mergeCell ref="BD34:BE34"/>
    <mergeCell ref="BD36:BE36"/>
    <mergeCell ref="BD38:BE38"/>
    <mergeCell ref="BD40:BD41"/>
    <mergeCell ref="BE40:BE41"/>
    <mergeCell ref="BF40:BF41"/>
    <mergeCell ref="BG40:BH40"/>
    <mergeCell ref="AZ40:AZ41"/>
    <mergeCell ref="BA40:BB40"/>
    <mergeCell ref="BD26:BE26"/>
    <mergeCell ref="BD28:BE28"/>
    <mergeCell ref="BD30:BE30"/>
    <mergeCell ref="BD32:BE32"/>
    <mergeCell ref="AX34:AY34"/>
    <mergeCell ref="AX36:AY36"/>
    <mergeCell ref="AX38:AY38"/>
    <mergeCell ref="AX40:AX41"/>
    <mergeCell ref="AY40:AY41"/>
    <mergeCell ref="AX26:AY26"/>
    <mergeCell ref="AX28:AY28"/>
    <mergeCell ref="AX30:AY30"/>
    <mergeCell ref="AX32:AY32"/>
    <mergeCell ref="AZ32:BA32"/>
    <mergeCell ref="AT32:AU32"/>
    <mergeCell ref="AR34:AS34"/>
    <mergeCell ref="AR36:AS36"/>
    <mergeCell ref="AR38:AS38"/>
    <mergeCell ref="AR40:AR41"/>
    <mergeCell ref="AS40:AS41"/>
    <mergeCell ref="AT40:AT41"/>
    <mergeCell ref="AU40:AV40"/>
    <mergeCell ref="AN40:AN41"/>
    <mergeCell ref="AO40:AP40"/>
    <mergeCell ref="AF40:AF41"/>
    <mergeCell ref="AG40:AG41"/>
    <mergeCell ref="AH40:AH41"/>
    <mergeCell ref="AI40:AJ40"/>
    <mergeCell ref="AB40:AB41"/>
    <mergeCell ref="AC40:AD40"/>
    <mergeCell ref="AR26:AS26"/>
    <mergeCell ref="AR28:AS28"/>
    <mergeCell ref="AR30:AS30"/>
    <mergeCell ref="AR32:AS32"/>
    <mergeCell ref="AL34:AM34"/>
    <mergeCell ref="AL36:AM36"/>
    <mergeCell ref="AL38:AM38"/>
    <mergeCell ref="AL40:AL41"/>
    <mergeCell ref="AM40:AM41"/>
    <mergeCell ref="AL26:AM26"/>
    <mergeCell ref="AL28:AM28"/>
    <mergeCell ref="AL30:AM30"/>
    <mergeCell ref="AL32:AM32"/>
    <mergeCell ref="AN32:AO32"/>
    <mergeCell ref="Z26:AA26"/>
    <mergeCell ref="Z28:AA28"/>
    <mergeCell ref="Z30:AA30"/>
    <mergeCell ref="Z32:AA32"/>
    <mergeCell ref="AB32:AC32"/>
    <mergeCell ref="AH32:AI32"/>
    <mergeCell ref="AF34:AG34"/>
    <mergeCell ref="AF36:AG36"/>
    <mergeCell ref="AF38:AG38"/>
    <mergeCell ref="D40:D41"/>
    <mergeCell ref="E40:F40"/>
    <mergeCell ref="T26:U26"/>
    <mergeCell ref="T28:U28"/>
    <mergeCell ref="T30:U30"/>
    <mergeCell ref="T32:U32"/>
    <mergeCell ref="N34:O34"/>
    <mergeCell ref="N36:O36"/>
    <mergeCell ref="N38:O38"/>
    <mergeCell ref="N40:N41"/>
    <mergeCell ref="O40:O41"/>
    <mergeCell ref="N26:O26"/>
    <mergeCell ref="N28:O28"/>
    <mergeCell ref="N30:O30"/>
    <mergeCell ref="N32:O32"/>
    <mergeCell ref="P32:Q32"/>
    <mergeCell ref="T34:U34"/>
    <mergeCell ref="T36:U36"/>
    <mergeCell ref="T38:U38"/>
    <mergeCell ref="T40:T41"/>
    <mergeCell ref="U40:U41"/>
    <mergeCell ref="P40:P41"/>
    <mergeCell ref="Q40:R40"/>
    <mergeCell ref="B26:C26"/>
    <mergeCell ref="B28:C28"/>
    <mergeCell ref="B30:C30"/>
    <mergeCell ref="B32:C32"/>
    <mergeCell ref="D32:E32"/>
    <mergeCell ref="J32:K32"/>
    <mergeCell ref="H34:I34"/>
    <mergeCell ref="H36:I36"/>
    <mergeCell ref="H38:I38"/>
    <mergeCell ref="B34:C34"/>
    <mergeCell ref="B36:C36"/>
    <mergeCell ref="B38:C38"/>
    <mergeCell ref="B40:B41"/>
    <mergeCell ref="C40:C41"/>
    <mergeCell ref="AX10:AY10"/>
    <mergeCell ref="AX12:AY12"/>
    <mergeCell ref="AX14:AY14"/>
    <mergeCell ref="AX16:AX17"/>
    <mergeCell ref="AY16:AY17"/>
    <mergeCell ref="AL10:AM10"/>
    <mergeCell ref="AL12:AM12"/>
    <mergeCell ref="AL14:AM14"/>
    <mergeCell ref="AL16:AL17"/>
    <mergeCell ref="AM16:AM17"/>
    <mergeCell ref="Z10:AA10"/>
    <mergeCell ref="Z12:AA12"/>
    <mergeCell ref="Z14:AA14"/>
    <mergeCell ref="Z16:Z17"/>
    <mergeCell ref="AA16:AA17"/>
    <mergeCell ref="T16:T17"/>
    <mergeCell ref="U16:U17"/>
    <mergeCell ref="V16:V17"/>
    <mergeCell ref="W16:X16"/>
    <mergeCell ref="Q16:R16"/>
    <mergeCell ref="N10:O10"/>
    <mergeCell ref="N12:O12"/>
    <mergeCell ref="AX2:AY2"/>
    <mergeCell ref="AX4:AY4"/>
    <mergeCell ref="AX6:AY6"/>
    <mergeCell ref="AX8:AY8"/>
    <mergeCell ref="AZ8:BA8"/>
    <mergeCell ref="AR10:AS10"/>
    <mergeCell ref="AR12:AS12"/>
    <mergeCell ref="AR14:AS14"/>
    <mergeCell ref="AR16:AR17"/>
    <mergeCell ref="AS16:AS17"/>
    <mergeCell ref="AR2:AS2"/>
    <mergeCell ref="AR4:AS4"/>
    <mergeCell ref="AR6:AS6"/>
    <mergeCell ref="AR8:AS8"/>
    <mergeCell ref="AT8:AU8"/>
    <mergeCell ref="AZ16:AZ17"/>
    <mergeCell ref="BA16:BB16"/>
    <mergeCell ref="AL2:AM2"/>
    <mergeCell ref="AL4:AM4"/>
    <mergeCell ref="AL6:AM6"/>
    <mergeCell ref="AL8:AM8"/>
    <mergeCell ref="AN8:AO8"/>
    <mergeCell ref="AF10:AG10"/>
    <mergeCell ref="AF12:AG12"/>
    <mergeCell ref="AF14:AG14"/>
    <mergeCell ref="AF16:AF17"/>
    <mergeCell ref="AG16:AG17"/>
    <mergeCell ref="AF2:AG2"/>
    <mergeCell ref="AF4:AG4"/>
    <mergeCell ref="AF6:AG6"/>
    <mergeCell ref="AF8:AG8"/>
    <mergeCell ref="AH8:AI8"/>
    <mergeCell ref="Z2:AA2"/>
    <mergeCell ref="Z4:AA4"/>
    <mergeCell ref="Z6:AA6"/>
    <mergeCell ref="Z8:AA8"/>
    <mergeCell ref="AB8:AC8"/>
    <mergeCell ref="V8:W8"/>
    <mergeCell ref="T10:U10"/>
    <mergeCell ref="T12:U12"/>
    <mergeCell ref="T14:U14"/>
    <mergeCell ref="T2:U2"/>
    <mergeCell ref="T4:U4"/>
    <mergeCell ref="T6:U6"/>
    <mergeCell ref="T8:U8"/>
    <mergeCell ref="B10:C10"/>
    <mergeCell ref="B12:C12"/>
    <mergeCell ref="E16:F16"/>
    <mergeCell ref="B14:C14"/>
    <mergeCell ref="B16:B17"/>
    <mergeCell ref="C16:C17"/>
    <mergeCell ref="D16:D17"/>
    <mergeCell ref="H2:I2"/>
    <mergeCell ref="H4:I4"/>
    <mergeCell ref="H6:I6"/>
    <mergeCell ref="H8:I8"/>
    <mergeCell ref="H10:I10"/>
    <mergeCell ref="N2:O2"/>
    <mergeCell ref="N4:O4"/>
    <mergeCell ref="N6:O6"/>
    <mergeCell ref="N8:O8"/>
    <mergeCell ref="P8:Q8"/>
    <mergeCell ref="B2:C2"/>
    <mergeCell ref="B4:C4"/>
    <mergeCell ref="B6:C6"/>
    <mergeCell ref="B8:C8"/>
    <mergeCell ref="D8:E8"/>
    <mergeCell ref="J8:K8"/>
    <mergeCell ref="AT128:AU128"/>
    <mergeCell ref="H12:I12"/>
    <mergeCell ref="V64:V65"/>
    <mergeCell ref="W64:X64"/>
    <mergeCell ref="Z112:Z113"/>
    <mergeCell ref="AA112:AA113"/>
    <mergeCell ref="H16:H17"/>
    <mergeCell ref="I16:I17"/>
    <mergeCell ref="J16:J17"/>
    <mergeCell ref="K16:L16"/>
    <mergeCell ref="H14:I14"/>
    <mergeCell ref="P16:P17"/>
    <mergeCell ref="V128:W128"/>
    <mergeCell ref="N14:O14"/>
    <mergeCell ref="N16:N17"/>
    <mergeCell ref="O16:O17"/>
    <mergeCell ref="V32:W32"/>
    <mergeCell ref="V40:V41"/>
    <mergeCell ref="W40:X40"/>
    <mergeCell ref="Z34:AA34"/>
    <mergeCell ref="Z36:AA36"/>
    <mergeCell ref="Z38:AA38"/>
    <mergeCell ref="Z40:Z41"/>
    <mergeCell ref="AA40:AA41"/>
    <mergeCell ref="AX130:AY130"/>
    <mergeCell ref="AX132:AY132"/>
    <mergeCell ref="AB16:AB17"/>
    <mergeCell ref="AC16:AD16"/>
    <mergeCell ref="AH16:AH17"/>
    <mergeCell ref="AI16:AJ16"/>
    <mergeCell ref="AN16:AN17"/>
    <mergeCell ref="AO16:AP16"/>
    <mergeCell ref="AT16:AT17"/>
    <mergeCell ref="AU16:AV16"/>
    <mergeCell ref="AB64:AB65"/>
    <mergeCell ref="AC64:AD64"/>
    <mergeCell ref="AH64:AH65"/>
    <mergeCell ref="AI64:AJ64"/>
    <mergeCell ref="AN64:AN65"/>
    <mergeCell ref="AO64:AP64"/>
    <mergeCell ref="AB112:AB113"/>
    <mergeCell ref="AC112:AD112"/>
    <mergeCell ref="AF112:AF113"/>
    <mergeCell ref="AG112:AG113"/>
    <mergeCell ref="AF26:AG26"/>
    <mergeCell ref="AF28:AG28"/>
    <mergeCell ref="AF30:AG30"/>
    <mergeCell ref="AF32:AG32"/>
    <mergeCell ref="H176:I176"/>
    <mergeCell ref="J176:K176"/>
    <mergeCell ref="H26:I26"/>
    <mergeCell ref="H28:I28"/>
    <mergeCell ref="H30:I30"/>
    <mergeCell ref="H32:I32"/>
    <mergeCell ref="H40:H41"/>
    <mergeCell ref="I40:I41"/>
    <mergeCell ref="J40:J41"/>
    <mergeCell ref="K40:L40"/>
    <mergeCell ref="H122:I122"/>
    <mergeCell ref="H124:I124"/>
    <mergeCell ref="H126:I126"/>
    <mergeCell ref="H128:I128"/>
    <mergeCell ref="H154:I154"/>
    <mergeCell ref="H156:I156"/>
    <mergeCell ref="H158:I158"/>
    <mergeCell ref="H178:I178"/>
    <mergeCell ref="H180:I180"/>
    <mergeCell ref="H182:I182"/>
    <mergeCell ref="H184:H185"/>
    <mergeCell ref="I184:I185"/>
    <mergeCell ref="J184:J185"/>
    <mergeCell ref="K184:L184"/>
    <mergeCell ref="J80:K80"/>
    <mergeCell ref="J88:J89"/>
    <mergeCell ref="K88:L88"/>
    <mergeCell ref="J104:K104"/>
    <mergeCell ref="J112:J113"/>
    <mergeCell ref="H170:I170"/>
    <mergeCell ref="H172:I172"/>
    <mergeCell ref="H160:H161"/>
    <mergeCell ref="I160:I161"/>
    <mergeCell ref="H146:I146"/>
    <mergeCell ref="H148:I148"/>
    <mergeCell ref="H150:I150"/>
    <mergeCell ref="H152:I152"/>
    <mergeCell ref="J160:J161"/>
    <mergeCell ref="K160:L160"/>
    <mergeCell ref="J152:K152"/>
    <mergeCell ref="H174:I174"/>
    <mergeCell ref="N170:O170"/>
    <mergeCell ref="N172:O172"/>
    <mergeCell ref="H74:I74"/>
    <mergeCell ref="H76:I76"/>
    <mergeCell ref="H78:I78"/>
    <mergeCell ref="H80:I80"/>
    <mergeCell ref="H82:I82"/>
    <mergeCell ref="H84:I84"/>
    <mergeCell ref="H86:I86"/>
    <mergeCell ref="H88:H89"/>
    <mergeCell ref="I88:I89"/>
    <mergeCell ref="N102:O102"/>
    <mergeCell ref="N104:O104"/>
    <mergeCell ref="N106:O106"/>
    <mergeCell ref="N108:O108"/>
    <mergeCell ref="N110:O110"/>
    <mergeCell ref="N112:N113"/>
    <mergeCell ref="O112:O113"/>
    <mergeCell ref="N130:O130"/>
    <mergeCell ref="N132:O132"/>
    <mergeCell ref="N134:O134"/>
    <mergeCell ref="N136:N137"/>
    <mergeCell ref="O136:O137"/>
    <mergeCell ref="N122:O122"/>
    <mergeCell ref="T170:U170"/>
    <mergeCell ref="T172:U172"/>
    <mergeCell ref="T174:U174"/>
    <mergeCell ref="T176:U176"/>
    <mergeCell ref="V176:W176"/>
    <mergeCell ref="T178:U178"/>
    <mergeCell ref="T180:U180"/>
    <mergeCell ref="T182:U182"/>
    <mergeCell ref="T184:T185"/>
    <mergeCell ref="U184:U185"/>
    <mergeCell ref="V184:V185"/>
    <mergeCell ref="W184:X184"/>
    <mergeCell ref="V136:V137"/>
    <mergeCell ref="W136:X136"/>
    <mergeCell ref="P152:Q152"/>
    <mergeCell ref="P160:P161"/>
    <mergeCell ref="P136:P137"/>
    <mergeCell ref="Q136:R136"/>
    <mergeCell ref="T122:U122"/>
    <mergeCell ref="T124:U124"/>
    <mergeCell ref="T126:U126"/>
    <mergeCell ref="T128:U128"/>
    <mergeCell ref="T130:U130"/>
    <mergeCell ref="T132:U132"/>
    <mergeCell ref="T134:U134"/>
    <mergeCell ref="T136:T137"/>
    <mergeCell ref="U136:U137"/>
    <mergeCell ref="P128:Q128"/>
    <mergeCell ref="T146:U146"/>
    <mergeCell ref="T148:U148"/>
    <mergeCell ref="T150:U150"/>
    <mergeCell ref="V152:W152"/>
    <mergeCell ref="T154:U154"/>
    <mergeCell ref="T156:U156"/>
    <mergeCell ref="T158:U158"/>
    <mergeCell ref="T160:T161"/>
    <mergeCell ref="B170:C170"/>
    <mergeCell ref="B172:C172"/>
    <mergeCell ref="B174:C174"/>
    <mergeCell ref="B176:C176"/>
    <mergeCell ref="D176:E176"/>
    <mergeCell ref="B178:C178"/>
    <mergeCell ref="B180:C180"/>
    <mergeCell ref="B182:C182"/>
    <mergeCell ref="B184:B185"/>
    <mergeCell ref="C184:C185"/>
    <mergeCell ref="D184:D185"/>
    <mergeCell ref="E184:F184"/>
    <mergeCell ref="N174:O174"/>
    <mergeCell ref="N176:O176"/>
    <mergeCell ref="P176:Q176"/>
    <mergeCell ref="N178:O178"/>
    <mergeCell ref="N180:O180"/>
    <mergeCell ref="N182:O182"/>
    <mergeCell ref="N184:N185"/>
    <mergeCell ref="O184:O185"/>
    <mergeCell ref="P184:P185"/>
    <mergeCell ref="Q184:R184"/>
  </mergeCells>
  <phoneticPr fontId="0" type="noConversion"/>
  <conditionalFormatting sqref="BJ191">
    <cfRule type="cellIs" dxfId="161" priority="236" stopIfTrue="1" operator="notEqual">
      <formula>BK191</formula>
    </cfRule>
  </conditionalFormatting>
  <conditionalFormatting sqref="BK191">
    <cfRule type="cellIs" dxfId="160" priority="237" stopIfTrue="1" operator="notEqual">
      <formula>BJ191</formula>
    </cfRule>
  </conditionalFormatting>
  <printOptions horizontalCentered="1"/>
  <pageMargins left="0.19685039370078741" right="0.19685039370078741" top="0.39370078740157483" bottom="0.39370078740157483" header="0" footer="0"/>
  <pageSetup paperSize="9" scale="85" orientation="landscape" verticalDpi="72" r:id="rId1"/>
  <headerFooter alignWithMargins="0">
    <oddFooter>&amp;C&amp;A&amp;R&amp;P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8"/>
  </sheetPr>
  <dimension ref="B1:BH1941"/>
  <sheetViews>
    <sheetView showGridLines="0" topLeftCell="A268" zoomScale="85" zoomScaleNormal="85" zoomScaleSheetLayoutView="25" workbookViewId="0">
      <selection activeCell="A288" sqref="A288"/>
    </sheetView>
  </sheetViews>
  <sheetFormatPr baseColWidth="10" defaultColWidth="11.44140625" defaultRowHeight="13.8" x14ac:dyDescent="0.25"/>
  <cols>
    <col min="1" max="1" width="3.6640625" style="1" customWidth="1"/>
    <col min="2" max="3" width="12.6640625" style="1" customWidth="1"/>
    <col min="4" max="4" width="25.6640625" style="1" customWidth="1"/>
    <col min="5" max="5" width="14.44140625" style="1" customWidth="1"/>
    <col min="6" max="6" width="15.109375" style="1" customWidth="1"/>
    <col min="7" max="7" width="3" style="1" customWidth="1"/>
    <col min="8" max="9" width="12.6640625" style="1" customWidth="1"/>
    <col min="10" max="10" width="25.6640625" style="1" customWidth="1"/>
    <col min="11" max="11" width="14.44140625" style="1" customWidth="1"/>
    <col min="12" max="12" width="15.109375" style="1" customWidth="1"/>
    <col min="13" max="13" width="3" style="1" customWidth="1"/>
    <col min="14" max="15" width="12.6640625" style="1" customWidth="1"/>
    <col min="16" max="16" width="25.6640625" style="1" customWidth="1"/>
    <col min="17" max="17" width="14.44140625" style="1" customWidth="1"/>
    <col min="18" max="18" width="15.109375" style="1" customWidth="1"/>
    <col min="19" max="19" width="3" style="1" customWidth="1"/>
    <col min="20" max="21" width="12.6640625" style="1" customWidth="1"/>
    <col min="22" max="22" width="25.6640625" style="1" customWidth="1"/>
    <col min="23" max="23" width="14.44140625" style="1" customWidth="1"/>
    <col min="24" max="24" width="15.109375" style="1" customWidth="1"/>
    <col min="25" max="25" width="3" style="1" customWidth="1"/>
    <col min="26" max="27" width="12.6640625" style="1" customWidth="1"/>
    <col min="28" max="28" width="25.6640625" style="1" customWidth="1"/>
    <col min="29" max="29" width="14.44140625" style="1" customWidth="1"/>
    <col min="30" max="30" width="15.109375" style="1" customWidth="1"/>
    <col min="31" max="31" width="3" style="1" customWidth="1"/>
    <col min="32" max="33" width="12.6640625" style="1" customWidth="1"/>
    <col min="34" max="34" width="25.6640625" style="1" customWidth="1"/>
    <col min="35" max="35" width="14.44140625" style="1" customWidth="1"/>
    <col min="36" max="36" width="15.109375" style="1" customWidth="1"/>
    <col min="37" max="37" width="3" style="1" customWidth="1"/>
    <col min="38" max="39" width="12.6640625" style="1" customWidth="1"/>
    <col min="40" max="40" width="25.6640625" style="1" customWidth="1"/>
    <col min="41" max="41" width="14.44140625" style="1" customWidth="1"/>
    <col min="42" max="42" width="15.109375" style="1" customWidth="1"/>
    <col min="43" max="43" width="3" style="1" customWidth="1"/>
    <col min="44" max="45" width="12.6640625" style="1" customWidth="1"/>
    <col min="46" max="46" width="25.6640625" style="1" customWidth="1"/>
    <col min="47" max="47" width="14.44140625" style="1" customWidth="1"/>
    <col min="48" max="48" width="15.109375" style="1" customWidth="1"/>
    <col min="49" max="49" width="3" style="1" customWidth="1"/>
    <col min="50" max="51" width="12.6640625" style="1" customWidth="1"/>
    <col min="52" max="52" width="25.6640625" style="1" customWidth="1"/>
    <col min="53" max="53" width="14.44140625" style="1" customWidth="1"/>
    <col min="54" max="54" width="15.109375" style="1" customWidth="1"/>
    <col min="55" max="55" width="3" style="1" customWidth="1"/>
    <col min="56" max="57" width="14.44140625" style="1" customWidth="1"/>
    <col min="58" max="58" width="3" style="1" customWidth="1"/>
    <col min="59" max="60" width="16.88671875" style="1" customWidth="1"/>
    <col min="61" max="61" width="3.6640625" style="1" customWidth="1"/>
    <col min="62" max="16384" width="11.44140625" style="1"/>
  </cols>
  <sheetData>
    <row r="1" spans="2:49" x14ac:dyDescent="0.25">
      <c r="C1" s="2"/>
      <c r="D1" s="2"/>
      <c r="E1" s="2"/>
    </row>
    <row r="2" spans="2:49" ht="15.6" x14ac:dyDescent="0.25">
      <c r="B2" s="324" t="s">
        <v>321</v>
      </c>
      <c r="C2" s="324"/>
      <c r="D2" s="233" t="str">
        <f>'Base de Datos'!$C$756</f>
        <v>LIBRO MAYOR</v>
      </c>
    </row>
    <row r="3" spans="2:49" x14ac:dyDescent="0.25">
      <c r="C3" s="2"/>
      <c r="D3" s="2"/>
      <c r="E3" s="2"/>
    </row>
    <row r="4" spans="2:49" ht="15.6" x14ac:dyDescent="0.25">
      <c r="B4" s="324" t="s">
        <v>323</v>
      </c>
      <c r="C4" s="324"/>
      <c r="D4" s="231">
        <f>'Base de Datos'!$C$9</f>
        <v>2015</v>
      </c>
      <c r="E4" s="2"/>
    </row>
    <row r="5" spans="2:49" x14ac:dyDescent="0.25">
      <c r="C5" s="2"/>
      <c r="D5" s="2"/>
      <c r="E5" s="2"/>
    </row>
    <row r="6" spans="2:49" ht="15.6" x14ac:dyDescent="0.25">
      <c r="B6" s="324" t="s">
        <v>324</v>
      </c>
      <c r="C6" s="324"/>
      <c r="D6" s="316">
        <f>'Base de Datos'!$C$6</f>
        <v>20411074561</v>
      </c>
      <c r="E6" s="316"/>
    </row>
    <row r="7" spans="2:49" x14ac:dyDescent="0.25">
      <c r="C7" s="2"/>
      <c r="D7" s="2"/>
      <c r="E7" s="2"/>
    </row>
    <row r="8" spans="2:49" ht="15.6" x14ac:dyDescent="0.25">
      <c r="B8" s="324" t="s">
        <v>325</v>
      </c>
      <c r="C8" s="324"/>
      <c r="D8" s="234" t="str">
        <f>'Base de Datos'!$C$5</f>
        <v>LOS BAILARINES SRL</v>
      </c>
      <c r="E8" s="2"/>
    </row>
    <row r="9" spans="2:49" x14ac:dyDescent="0.25">
      <c r="B9" s="160"/>
      <c r="C9" s="160"/>
      <c r="D9" s="160"/>
      <c r="E9" s="160"/>
    </row>
    <row r="10" spans="2:49" ht="15.6" x14ac:dyDescent="0.25">
      <c r="B10" s="324" t="s">
        <v>472</v>
      </c>
      <c r="C10" s="324"/>
      <c r="D10" s="175">
        <v>1011</v>
      </c>
      <c r="E10" s="160"/>
    </row>
    <row r="11" spans="2:49" x14ac:dyDescent="0.25">
      <c r="B11" s="160"/>
      <c r="C11" s="160"/>
      <c r="D11" s="160"/>
      <c r="E11" s="160"/>
    </row>
    <row r="12" spans="2:49" ht="15.6" x14ac:dyDescent="0.25">
      <c r="B12" s="324" t="s">
        <v>473</v>
      </c>
      <c r="C12" s="324"/>
      <c r="D12" s="234" t="str">
        <f>VLOOKUP(D10,DivisionariasContables,3,FALSE)</f>
        <v>Dinero en Efectivo</v>
      </c>
      <c r="E12" s="160"/>
    </row>
    <row r="13" spans="2:49" ht="14.4" thickBot="1" x14ac:dyDescent="0.3"/>
    <row r="14" spans="2:49" x14ac:dyDescent="0.25">
      <c r="B14" s="331" t="s">
        <v>466</v>
      </c>
      <c r="C14" s="333" t="s">
        <v>467</v>
      </c>
      <c r="D14" s="333" t="s">
        <v>468</v>
      </c>
      <c r="E14" s="329" t="s">
        <v>469</v>
      </c>
      <c r="F14" s="330"/>
    </row>
    <row r="15" spans="2:49" ht="14.4" thickBot="1" x14ac:dyDescent="0.3">
      <c r="B15" s="332"/>
      <c r="C15" s="334"/>
      <c r="D15" s="334"/>
      <c r="E15" s="232" t="s">
        <v>403</v>
      </c>
      <c r="F15" s="174" t="s">
        <v>402</v>
      </c>
    </row>
    <row r="16" spans="2:49" ht="14.4" thickTop="1" x14ac:dyDescent="0.25">
      <c r="B16" s="236">
        <v>41670</v>
      </c>
      <c r="C16" s="171"/>
      <c r="D16" s="166" t="s">
        <v>470</v>
      </c>
      <c r="E16" s="167">
        <f>SUMIF('Libro Diario Convencional'!$D$15:$D$167,D10,'Libro Diario Convencional'!$G$15:$G$167)</f>
        <v>0</v>
      </c>
      <c r="F16" s="168">
        <f>SUMIF('Libro Diario Convencional'!$D$15:$D$167,D10,'Libro Diario Convencional'!$H$15:$H$167)</f>
        <v>0</v>
      </c>
      <c r="G16" s="9"/>
      <c r="H16" s="9"/>
      <c r="I16" s="9"/>
      <c r="J16" s="9"/>
      <c r="M16" s="9"/>
      <c r="N16" s="9"/>
      <c r="O16" s="9"/>
      <c r="P16" s="9"/>
      <c r="S16" s="9"/>
      <c r="T16" s="9"/>
      <c r="U16" s="9"/>
      <c r="V16" s="9"/>
      <c r="Y16" s="9"/>
      <c r="Z16" s="9"/>
      <c r="AA16" s="9"/>
      <c r="AB16" s="9"/>
      <c r="AE16" s="9"/>
      <c r="AF16" s="9"/>
      <c r="AG16" s="9"/>
      <c r="AH16" s="9"/>
      <c r="AK16" s="9"/>
      <c r="AL16" s="9"/>
      <c r="AM16" s="9"/>
      <c r="AN16" s="9"/>
      <c r="AQ16" s="9"/>
      <c r="AR16" s="9"/>
      <c r="AS16" s="9"/>
      <c r="AT16" s="9"/>
      <c r="AW16" s="9"/>
    </row>
    <row r="17" spans="2:60" x14ac:dyDescent="0.25">
      <c r="B17" s="169"/>
      <c r="C17" s="172"/>
      <c r="D17" s="161"/>
      <c r="E17" s="162"/>
      <c r="F17" s="163"/>
      <c r="G17" s="9"/>
      <c r="H17" s="9"/>
      <c r="I17" s="9"/>
      <c r="J17" s="9"/>
      <c r="M17" s="9"/>
      <c r="N17" s="9"/>
      <c r="O17" s="9"/>
      <c r="P17" s="9"/>
      <c r="S17" s="9"/>
      <c r="T17" s="9"/>
      <c r="U17" s="9"/>
      <c r="V17" s="9"/>
      <c r="Y17" s="9"/>
      <c r="Z17" s="9"/>
      <c r="AA17" s="9"/>
      <c r="AB17" s="9"/>
      <c r="AE17" s="9"/>
      <c r="AF17" s="9"/>
      <c r="AG17" s="9"/>
      <c r="AH17" s="9"/>
      <c r="AK17" s="9"/>
      <c r="AL17" s="9"/>
      <c r="AM17" s="9"/>
      <c r="AN17" s="9"/>
      <c r="AQ17" s="9"/>
      <c r="AR17" s="9"/>
      <c r="AS17" s="9"/>
      <c r="AT17" s="9"/>
      <c r="AW17" s="9"/>
    </row>
    <row r="18" spans="2:60" x14ac:dyDescent="0.25">
      <c r="B18" s="169"/>
      <c r="C18" s="172"/>
      <c r="D18" s="161"/>
      <c r="E18" s="162"/>
      <c r="F18" s="163"/>
      <c r="G18" s="9"/>
      <c r="H18" s="9"/>
      <c r="I18" s="9"/>
      <c r="J18" s="9"/>
      <c r="M18" s="9"/>
      <c r="N18" s="9"/>
      <c r="O18" s="9"/>
      <c r="P18" s="9"/>
      <c r="S18" s="9"/>
      <c r="T18" s="9"/>
      <c r="U18" s="9"/>
      <c r="V18" s="9"/>
      <c r="Y18" s="9"/>
      <c r="Z18" s="9"/>
      <c r="AA18" s="9"/>
      <c r="AB18" s="9"/>
      <c r="AE18" s="9"/>
      <c r="AF18" s="9"/>
      <c r="AG18" s="9"/>
      <c r="AH18" s="9"/>
      <c r="AK18" s="9"/>
      <c r="AL18" s="9"/>
      <c r="AM18" s="9"/>
      <c r="AN18" s="9"/>
      <c r="AQ18" s="9"/>
      <c r="AR18" s="9"/>
      <c r="AS18" s="9"/>
      <c r="AT18" s="9"/>
      <c r="AW18" s="9"/>
    </row>
    <row r="19" spans="2:60" ht="14.4" thickBot="1" x14ac:dyDescent="0.3">
      <c r="B19" s="169"/>
      <c r="C19" s="172"/>
      <c r="D19" s="161"/>
      <c r="E19" s="162"/>
      <c r="F19" s="163"/>
      <c r="G19" s="9"/>
      <c r="H19" s="9"/>
      <c r="I19" s="9"/>
      <c r="J19" s="9"/>
      <c r="M19" s="9"/>
      <c r="N19" s="9"/>
      <c r="O19" s="9"/>
      <c r="P19" s="9"/>
      <c r="S19" s="9"/>
      <c r="T19" s="9"/>
      <c r="U19" s="9"/>
      <c r="V19" s="9"/>
      <c r="Y19" s="9"/>
      <c r="Z19" s="9"/>
      <c r="AA19" s="9"/>
      <c r="AB19" s="9"/>
      <c r="AE19" s="9"/>
      <c r="AF19" s="9"/>
      <c r="AG19" s="9"/>
      <c r="AH19" s="9"/>
      <c r="AK19" s="9"/>
      <c r="AL19" s="9"/>
      <c r="AM19" s="9"/>
      <c r="AN19" s="9"/>
      <c r="AQ19" s="9"/>
      <c r="AR19" s="9"/>
      <c r="AS19" s="9"/>
      <c r="AT19" s="9"/>
      <c r="AW19" s="9"/>
    </row>
    <row r="20" spans="2:60" ht="15" thickBot="1" x14ac:dyDescent="0.3">
      <c r="B20" s="169"/>
      <c r="C20" s="172"/>
      <c r="D20" s="161" t="s">
        <v>471</v>
      </c>
      <c r="E20" s="162">
        <f>SUM(E16:E19)</f>
        <v>0</v>
      </c>
      <c r="F20" s="163">
        <f>SUM(F16:F19)</f>
        <v>0</v>
      </c>
      <c r="G20" s="9"/>
      <c r="H20" s="9"/>
      <c r="I20" s="9"/>
      <c r="J20" s="9"/>
      <c r="M20" s="9"/>
      <c r="N20" s="9"/>
      <c r="O20" s="9"/>
      <c r="P20" s="9"/>
      <c r="S20" s="9"/>
      <c r="T20" s="9"/>
      <c r="U20" s="9"/>
      <c r="V20" s="9"/>
      <c r="Y20" s="9"/>
      <c r="Z20" s="9"/>
      <c r="AA20" s="9"/>
      <c r="AB20" s="9"/>
      <c r="AE20" s="9"/>
      <c r="AF20" s="9"/>
      <c r="AG20" s="9"/>
      <c r="AH20" s="9"/>
      <c r="AK20" s="9"/>
      <c r="AL20" s="9"/>
      <c r="AM20" s="9"/>
      <c r="AN20" s="9"/>
      <c r="AQ20" s="9"/>
      <c r="AR20" s="9"/>
      <c r="AS20" s="9"/>
      <c r="AT20" s="9"/>
      <c r="AW20" s="9"/>
      <c r="BG20" s="157">
        <f>SUM(E20,K20,Q20,W20,AC20,AI20,AO20,AU20,AX20,BD20)</f>
        <v>0</v>
      </c>
      <c r="BH20" s="158">
        <f>SUM(F20,L20,R20,X20,AD20,AJ20,AP20,AV20,AY20,BE20)</f>
        <v>0</v>
      </c>
    </row>
    <row r="21" spans="2:60" ht="14.4" thickBot="1" x14ac:dyDescent="0.3">
      <c r="B21" s="170"/>
      <c r="C21" s="173"/>
      <c r="D21" s="164" t="str">
        <f>IF(E20=F20,"",IF(E20&gt;F20,"Saldo Deudor","Saldo Acreedor"))</f>
        <v/>
      </c>
      <c r="E21" s="165" t="str">
        <f>IF(E20&gt;F20,E20-F20,"")</f>
        <v/>
      </c>
      <c r="F21" s="176" t="str">
        <f>IF(E20&lt;F20,F20-E20,"")</f>
        <v/>
      </c>
    </row>
    <row r="24" spans="2:60" ht="15.6" x14ac:dyDescent="0.25">
      <c r="B24" s="324" t="s">
        <v>472</v>
      </c>
      <c r="C24" s="324"/>
      <c r="D24" s="175">
        <v>1041</v>
      </c>
      <c r="E24" s="160"/>
    </row>
    <row r="25" spans="2:60" x14ac:dyDescent="0.25">
      <c r="B25" s="160"/>
      <c r="C25" s="160"/>
      <c r="D25" s="160"/>
      <c r="E25" s="160"/>
    </row>
    <row r="26" spans="2:60" ht="15.6" x14ac:dyDescent="0.25">
      <c r="B26" s="324" t="s">
        <v>473</v>
      </c>
      <c r="C26" s="324"/>
      <c r="D26" s="234" t="str">
        <f>VLOOKUP(D24,DivisionariasContables,3,FALSE)</f>
        <v>Cuentas Corrientes Operativas</v>
      </c>
      <c r="E26" s="160"/>
    </row>
    <row r="27" spans="2:60" ht="14.4" thickBot="1" x14ac:dyDescent="0.3"/>
    <row r="28" spans="2:60" x14ac:dyDescent="0.25">
      <c r="B28" s="331" t="s">
        <v>466</v>
      </c>
      <c r="C28" s="333" t="s">
        <v>467</v>
      </c>
      <c r="D28" s="333" t="s">
        <v>468</v>
      </c>
      <c r="E28" s="329" t="s">
        <v>469</v>
      </c>
      <c r="F28" s="330"/>
    </row>
    <row r="29" spans="2:60" ht="14.4" thickBot="1" x14ac:dyDescent="0.3">
      <c r="B29" s="332"/>
      <c r="C29" s="334"/>
      <c r="D29" s="334"/>
      <c r="E29" s="232" t="s">
        <v>403</v>
      </c>
      <c r="F29" s="174" t="s">
        <v>402</v>
      </c>
    </row>
    <row r="30" spans="2:60" ht="14.4" thickTop="1" x14ac:dyDescent="0.25">
      <c r="B30" s="236">
        <v>41670</v>
      </c>
      <c r="C30" s="171"/>
      <c r="D30" s="166" t="s">
        <v>470</v>
      </c>
      <c r="E30" s="167">
        <f>SUMIF('Libro Diario Convencional'!$D$15:$D$167,D24,'Libro Diario Convencional'!$G$15:$G$167)</f>
        <v>0</v>
      </c>
      <c r="F30" s="168">
        <f>SUMIF('Libro Diario Convencional'!$D$15:$D$167,D24,'Libro Diario Convencional'!$H$15:$H$167)</f>
        <v>191809</v>
      </c>
      <c r="G30" s="9"/>
      <c r="H30" s="9"/>
      <c r="I30" s="9"/>
      <c r="J30" s="9"/>
      <c r="M30" s="9"/>
      <c r="N30" s="9"/>
      <c r="O30" s="9"/>
      <c r="P30" s="9"/>
      <c r="S30" s="9"/>
      <c r="T30" s="9"/>
      <c r="U30" s="9"/>
      <c r="V30" s="9"/>
      <c r="Y30" s="9"/>
      <c r="Z30" s="9"/>
      <c r="AA30" s="9"/>
      <c r="AB30" s="9"/>
      <c r="AE30" s="9"/>
      <c r="AF30" s="9"/>
      <c r="AG30" s="9"/>
      <c r="AH30" s="9"/>
      <c r="AK30" s="9"/>
      <c r="AL30" s="9"/>
      <c r="AM30" s="9"/>
      <c r="AN30" s="9"/>
      <c r="AQ30" s="9"/>
      <c r="AR30" s="9"/>
      <c r="AS30" s="9"/>
      <c r="AT30" s="9"/>
      <c r="AW30" s="9"/>
    </row>
    <row r="31" spans="2:60" x14ac:dyDescent="0.25">
      <c r="B31" s="169"/>
      <c r="C31" s="172"/>
      <c r="D31" s="161"/>
      <c r="E31" s="162"/>
      <c r="F31" s="163"/>
      <c r="G31" s="9"/>
      <c r="H31" s="9"/>
      <c r="I31" s="9"/>
      <c r="J31" s="9"/>
      <c r="M31" s="9"/>
      <c r="N31" s="9"/>
      <c r="O31" s="9"/>
      <c r="P31" s="9"/>
      <c r="S31" s="9"/>
      <c r="T31" s="9"/>
      <c r="U31" s="9"/>
      <c r="V31" s="9"/>
      <c r="Y31" s="9"/>
      <c r="Z31" s="9"/>
      <c r="AA31" s="9"/>
      <c r="AB31" s="9"/>
      <c r="AE31" s="9"/>
      <c r="AF31" s="9"/>
      <c r="AG31" s="9"/>
      <c r="AH31" s="9"/>
      <c r="AK31" s="9"/>
      <c r="AL31" s="9"/>
      <c r="AM31" s="9"/>
      <c r="AN31" s="9"/>
      <c r="AQ31" s="9"/>
      <c r="AR31" s="9"/>
      <c r="AS31" s="9"/>
      <c r="AT31" s="9"/>
      <c r="AW31" s="9"/>
    </row>
    <row r="32" spans="2:60" x14ac:dyDescent="0.25">
      <c r="B32" s="169"/>
      <c r="C32" s="172"/>
      <c r="D32" s="161"/>
      <c r="E32" s="162"/>
      <c r="F32" s="163"/>
      <c r="G32" s="9"/>
      <c r="H32" s="9"/>
      <c r="I32" s="9"/>
      <c r="J32" s="9"/>
      <c r="M32" s="9"/>
      <c r="N32" s="9"/>
      <c r="O32" s="9"/>
      <c r="P32" s="9"/>
      <c r="S32" s="9"/>
      <c r="T32" s="9"/>
      <c r="U32" s="9"/>
      <c r="V32" s="9"/>
      <c r="Y32" s="9"/>
      <c r="Z32" s="9"/>
      <c r="AA32" s="9"/>
      <c r="AB32" s="9"/>
      <c r="AE32" s="9"/>
      <c r="AF32" s="9"/>
      <c r="AG32" s="9"/>
      <c r="AH32" s="9"/>
      <c r="AK32" s="9"/>
      <c r="AL32" s="9"/>
      <c r="AM32" s="9"/>
      <c r="AN32" s="9"/>
      <c r="AQ32" s="9"/>
      <c r="AR32" s="9"/>
      <c r="AS32" s="9"/>
      <c r="AT32" s="9"/>
      <c r="AW32" s="9"/>
    </row>
    <row r="33" spans="2:60" ht="14.4" thickBot="1" x14ac:dyDescent="0.3">
      <c r="B33" s="169"/>
      <c r="C33" s="172"/>
      <c r="D33" s="161"/>
      <c r="E33" s="162"/>
      <c r="F33" s="163"/>
      <c r="G33" s="9"/>
      <c r="H33" s="9"/>
      <c r="I33" s="9"/>
      <c r="J33" s="9"/>
      <c r="M33" s="9"/>
      <c r="N33" s="9"/>
      <c r="O33" s="9"/>
      <c r="P33" s="9"/>
      <c r="S33" s="9"/>
      <c r="T33" s="9"/>
      <c r="U33" s="9"/>
      <c r="V33" s="9"/>
      <c r="Y33" s="9"/>
      <c r="Z33" s="9"/>
      <c r="AA33" s="9"/>
      <c r="AB33" s="9"/>
      <c r="AE33" s="9"/>
      <c r="AF33" s="9"/>
      <c r="AG33" s="9"/>
      <c r="AH33" s="9"/>
      <c r="AK33" s="9"/>
      <c r="AL33" s="9"/>
      <c r="AM33" s="9"/>
      <c r="AN33" s="9"/>
      <c r="AQ33" s="9"/>
      <c r="AR33" s="9"/>
      <c r="AS33" s="9"/>
      <c r="AT33" s="9"/>
      <c r="AW33" s="9"/>
    </row>
    <row r="34" spans="2:60" ht="15" thickBot="1" x14ac:dyDescent="0.3">
      <c r="B34" s="169"/>
      <c r="C34" s="172"/>
      <c r="D34" s="161" t="s">
        <v>471</v>
      </c>
      <c r="E34" s="162">
        <f>SUM(E30:E33)</f>
        <v>0</v>
      </c>
      <c r="F34" s="163">
        <f>SUM(F30:F33)</f>
        <v>191809</v>
      </c>
      <c r="G34" s="9"/>
      <c r="H34" s="9"/>
      <c r="I34" s="9"/>
      <c r="J34" s="9"/>
      <c r="M34" s="9"/>
      <c r="N34" s="9"/>
      <c r="O34" s="9"/>
      <c r="P34" s="9"/>
      <c r="S34" s="9"/>
      <c r="T34" s="9"/>
      <c r="U34" s="9"/>
      <c r="V34" s="9"/>
      <c r="Y34" s="9"/>
      <c r="Z34" s="9"/>
      <c r="AA34" s="9"/>
      <c r="AB34" s="9"/>
      <c r="AE34" s="9"/>
      <c r="AF34" s="9"/>
      <c r="AG34" s="9"/>
      <c r="AH34" s="9"/>
      <c r="AK34" s="9"/>
      <c r="AL34" s="9"/>
      <c r="AM34" s="9"/>
      <c r="AN34" s="9"/>
      <c r="AQ34" s="9"/>
      <c r="AR34" s="9"/>
      <c r="AS34" s="9"/>
      <c r="AT34" s="9"/>
      <c r="AW34" s="9"/>
      <c r="BG34" s="157">
        <f>SUM(E34,K34,Q34,W34,AC34,AI34,AO34,AU34,AX34,BD34)</f>
        <v>0</v>
      </c>
      <c r="BH34" s="158">
        <f>SUM(F34,L34,R34,X34,AD34,AJ34,AP34,AV34,AY34,BE34)</f>
        <v>191809</v>
      </c>
    </row>
    <row r="35" spans="2:60" ht="14.4" thickBot="1" x14ac:dyDescent="0.3">
      <c r="B35" s="170"/>
      <c r="C35" s="173"/>
      <c r="D35" s="164" t="str">
        <f>IF(E34=F34,"",IF(E34&gt;F34,"Saldo Deudor","Saldo Acreedor"))</f>
        <v>Saldo Acreedor</v>
      </c>
      <c r="E35" s="165" t="str">
        <f>IF(E34&gt;F34,E34-F34,"")</f>
        <v/>
      </c>
      <c r="F35" s="176">
        <f>IF(E34&lt;F34,F34-E34,"")</f>
        <v>191809</v>
      </c>
    </row>
    <row r="38" spans="2:60" ht="15.6" x14ac:dyDescent="0.25">
      <c r="B38" s="324" t="s">
        <v>472</v>
      </c>
      <c r="C38" s="324"/>
      <c r="D38" s="175">
        <v>1212</v>
      </c>
      <c r="E38" s="160"/>
    </row>
    <row r="39" spans="2:60" x14ac:dyDescent="0.25">
      <c r="B39" s="160"/>
      <c r="C39" s="160"/>
      <c r="D39" s="160"/>
      <c r="E39" s="160"/>
    </row>
    <row r="40" spans="2:60" ht="15.6" x14ac:dyDescent="0.25">
      <c r="B40" s="324" t="s">
        <v>473</v>
      </c>
      <c r="C40" s="324"/>
      <c r="D40" s="234" t="str">
        <f>VLOOKUP(D38,DivisionariasContables,3,FALSE)</f>
        <v>Facturas, Boletas y Otros Comprobantes por Cobrar - Emitidas en Cartera</v>
      </c>
      <c r="E40" s="160"/>
    </row>
    <row r="41" spans="2:60" ht="14.4" thickBot="1" x14ac:dyDescent="0.3"/>
    <row r="42" spans="2:60" x14ac:dyDescent="0.25">
      <c r="B42" s="331" t="s">
        <v>466</v>
      </c>
      <c r="C42" s="333" t="s">
        <v>467</v>
      </c>
      <c r="D42" s="333" t="s">
        <v>468</v>
      </c>
      <c r="E42" s="329" t="s">
        <v>469</v>
      </c>
      <c r="F42" s="330"/>
    </row>
    <row r="43" spans="2:60" ht="14.4" thickBot="1" x14ac:dyDescent="0.3">
      <c r="B43" s="332"/>
      <c r="C43" s="334"/>
      <c r="D43" s="334"/>
      <c r="E43" s="232" t="s">
        <v>403</v>
      </c>
      <c r="F43" s="174" t="s">
        <v>402</v>
      </c>
    </row>
    <row r="44" spans="2:60" ht="14.4" thickTop="1" x14ac:dyDescent="0.25">
      <c r="B44" s="236">
        <v>41670</v>
      </c>
      <c r="C44" s="171"/>
      <c r="D44" s="166" t="s">
        <v>470</v>
      </c>
      <c r="E44" s="167">
        <f>SUMIF('Libro Diario Convencional'!$D$15:$D$167,D38,'Libro Diario Convencional'!$G$15:$G$167)</f>
        <v>0</v>
      </c>
      <c r="F44" s="168">
        <f>SUMIF('Libro Diario Convencional'!$D$15:$D$167,D38,'Libro Diario Convencional'!$H$15:$H$167)</f>
        <v>0</v>
      </c>
      <c r="G44" s="9"/>
      <c r="H44" s="9"/>
      <c r="I44" s="9"/>
      <c r="J44" s="9"/>
      <c r="M44" s="9"/>
      <c r="N44" s="9"/>
      <c r="O44" s="9"/>
      <c r="P44" s="9"/>
      <c r="S44" s="9"/>
      <c r="T44" s="9"/>
      <c r="U44" s="9"/>
      <c r="V44" s="9"/>
      <c r="Y44" s="9"/>
      <c r="Z44" s="9"/>
      <c r="AA44" s="9"/>
      <c r="AB44" s="9"/>
      <c r="AE44" s="9"/>
      <c r="AF44" s="9"/>
      <c r="AG44" s="9"/>
      <c r="AH44" s="9"/>
      <c r="AK44" s="9"/>
      <c r="AL44" s="9"/>
      <c r="AM44" s="9"/>
      <c r="AN44" s="9"/>
      <c r="AQ44" s="9"/>
      <c r="AR44" s="9"/>
      <c r="AS44" s="9"/>
      <c r="AT44" s="9"/>
      <c r="AW44" s="9"/>
    </row>
    <row r="45" spans="2:60" x14ac:dyDescent="0.25">
      <c r="B45" s="169"/>
      <c r="C45" s="172"/>
      <c r="D45" s="161"/>
      <c r="E45" s="162"/>
      <c r="F45" s="163"/>
      <c r="G45" s="9"/>
      <c r="H45" s="9"/>
      <c r="I45" s="9"/>
      <c r="J45" s="9"/>
      <c r="M45" s="9"/>
      <c r="N45" s="9"/>
      <c r="O45" s="9"/>
      <c r="P45" s="9"/>
      <c r="S45" s="9"/>
      <c r="T45" s="9"/>
      <c r="U45" s="9"/>
      <c r="V45" s="9"/>
      <c r="Y45" s="9"/>
      <c r="Z45" s="9"/>
      <c r="AA45" s="9"/>
      <c r="AB45" s="9"/>
      <c r="AE45" s="9"/>
      <c r="AF45" s="9"/>
      <c r="AG45" s="9"/>
      <c r="AH45" s="9"/>
      <c r="AK45" s="9"/>
      <c r="AL45" s="9"/>
      <c r="AM45" s="9"/>
      <c r="AN45" s="9"/>
      <c r="AQ45" s="9"/>
      <c r="AR45" s="9"/>
      <c r="AS45" s="9"/>
      <c r="AT45" s="9"/>
      <c r="AW45" s="9"/>
    </row>
    <row r="46" spans="2:60" x14ac:dyDescent="0.25">
      <c r="B46" s="169"/>
      <c r="C46" s="172"/>
      <c r="D46" s="161"/>
      <c r="E46" s="162"/>
      <c r="F46" s="163"/>
      <c r="G46" s="9"/>
      <c r="H46" s="9"/>
      <c r="I46" s="9"/>
      <c r="J46" s="9"/>
      <c r="M46" s="9"/>
      <c r="N46" s="9"/>
      <c r="O46" s="9"/>
      <c r="P46" s="9"/>
      <c r="S46" s="9"/>
      <c r="T46" s="9"/>
      <c r="U46" s="9"/>
      <c r="V46" s="9"/>
      <c r="Y46" s="9"/>
      <c r="Z46" s="9"/>
      <c r="AA46" s="9"/>
      <c r="AB46" s="9"/>
      <c r="AE46" s="9"/>
      <c r="AF46" s="9"/>
      <c r="AG46" s="9"/>
      <c r="AH46" s="9"/>
      <c r="AK46" s="9"/>
      <c r="AL46" s="9"/>
      <c r="AM46" s="9"/>
      <c r="AN46" s="9"/>
      <c r="AQ46" s="9"/>
      <c r="AR46" s="9"/>
      <c r="AS46" s="9"/>
      <c r="AT46" s="9"/>
      <c r="AW46" s="9"/>
    </row>
    <row r="47" spans="2:60" ht="14.4" thickBot="1" x14ac:dyDescent="0.3">
      <c r="B47" s="169"/>
      <c r="C47" s="172"/>
      <c r="D47" s="161"/>
      <c r="E47" s="162"/>
      <c r="F47" s="163"/>
      <c r="G47" s="9"/>
      <c r="H47" s="9"/>
      <c r="I47" s="9"/>
      <c r="J47" s="9"/>
      <c r="M47" s="9"/>
      <c r="N47" s="9"/>
      <c r="O47" s="9"/>
      <c r="P47" s="9"/>
      <c r="S47" s="9"/>
      <c r="T47" s="9"/>
      <c r="U47" s="9"/>
      <c r="V47" s="9"/>
      <c r="Y47" s="9"/>
      <c r="Z47" s="9"/>
      <c r="AA47" s="9"/>
      <c r="AB47" s="9"/>
      <c r="AE47" s="9"/>
      <c r="AF47" s="9"/>
      <c r="AG47" s="9"/>
      <c r="AH47" s="9"/>
      <c r="AK47" s="9"/>
      <c r="AL47" s="9"/>
      <c r="AM47" s="9"/>
      <c r="AN47" s="9"/>
      <c r="AQ47" s="9"/>
      <c r="AR47" s="9"/>
      <c r="AS47" s="9"/>
      <c r="AT47" s="9"/>
      <c r="AW47" s="9"/>
    </row>
    <row r="48" spans="2:60" ht="15" thickBot="1" x14ac:dyDescent="0.3">
      <c r="B48" s="169"/>
      <c r="C48" s="172"/>
      <c r="D48" s="161" t="s">
        <v>471</v>
      </c>
      <c r="E48" s="162">
        <f>SUM(E44:E47)</f>
        <v>0</v>
      </c>
      <c r="F48" s="163">
        <f>SUM(F44:F47)</f>
        <v>0</v>
      </c>
      <c r="G48" s="9"/>
      <c r="H48" s="9"/>
      <c r="I48" s="9"/>
      <c r="J48" s="9"/>
      <c r="M48" s="9"/>
      <c r="N48" s="9"/>
      <c r="O48" s="9"/>
      <c r="P48" s="9"/>
      <c r="S48" s="9"/>
      <c r="T48" s="9"/>
      <c r="U48" s="9"/>
      <c r="V48" s="9"/>
      <c r="Y48" s="9"/>
      <c r="Z48" s="9"/>
      <c r="AA48" s="9"/>
      <c r="AB48" s="9"/>
      <c r="AE48" s="9"/>
      <c r="AF48" s="9"/>
      <c r="AG48" s="9"/>
      <c r="AH48" s="9"/>
      <c r="AK48" s="9"/>
      <c r="AL48" s="9"/>
      <c r="AM48" s="9"/>
      <c r="AN48" s="9"/>
      <c r="AQ48" s="9"/>
      <c r="AR48" s="9"/>
      <c r="AS48" s="9"/>
      <c r="AT48" s="9"/>
      <c r="AW48" s="9"/>
      <c r="BG48" s="157">
        <f>SUM(E48,K48,Q48,W48,AC48,AI48,AO48,AU48,AX48,BD48)</f>
        <v>0</v>
      </c>
      <c r="BH48" s="158">
        <f>SUM(F48,L48,R48,X48,AD48,AJ48,AP48,AV48,AY48,BE48)</f>
        <v>0</v>
      </c>
    </row>
    <row r="49" spans="2:60" ht="14.4" thickBot="1" x14ac:dyDescent="0.3">
      <c r="B49" s="170"/>
      <c r="C49" s="173"/>
      <c r="D49" s="164" t="str">
        <f>IF(E48=F48,"",IF(E48&gt;F48,"Saldo Deudor","Saldo Acreedor"))</f>
        <v/>
      </c>
      <c r="E49" s="165" t="str">
        <f>IF(E48&gt;F48,E48-F48,"")</f>
        <v/>
      </c>
      <c r="F49" s="176" t="str">
        <f>IF(E48&lt;F48,F48-E48,"")</f>
        <v/>
      </c>
    </row>
    <row r="52" spans="2:60" ht="15.6" x14ac:dyDescent="0.25">
      <c r="B52" s="324" t="s">
        <v>472</v>
      </c>
      <c r="C52" s="324"/>
      <c r="D52" s="175">
        <v>1411</v>
      </c>
      <c r="E52" s="160"/>
      <c r="H52" s="324" t="s">
        <v>472</v>
      </c>
      <c r="I52" s="324"/>
      <c r="J52" s="175">
        <v>1412</v>
      </c>
      <c r="K52" s="160"/>
    </row>
    <row r="53" spans="2:60" x14ac:dyDescent="0.25">
      <c r="B53" s="160"/>
      <c r="C53" s="160"/>
      <c r="D53" s="160"/>
      <c r="E53" s="160"/>
      <c r="H53" s="160"/>
      <c r="I53" s="160"/>
      <c r="J53" s="160"/>
      <c r="K53" s="160"/>
    </row>
    <row r="54" spans="2:60" ht="15.6" x14ac:dyDescent="0.25">
      <c r="B54" s="324" t="s">
        <v>473</v>
      </c>
      <c r="C54" s="324"/>
      <c r="D54" s="234" t="str">
        <f>VLOOKUP(D52,DivisionariasContables,3,FALSE)</f>
        <v>Personal - Préstamos</v>
      </c>
      <c r="E54" s="160"/>
      <c r="H54" s="324" t="s">
        <v>473</v>
      </c>
      <c r="I54" s="324"/>
      <c r="J54" s="234" t="str">
        <f>VLOOKUP(J52,DivisionariasContables,3,FALSE)</f>
        <v>Personal - Adelanto de Remuneraciones</v>
      </c>
      <c r="K54" s="160"/>
    </row>
    <row r="55" spans="2:60" ht="14.4" thickBot="1" x14ac:dyDescent="0.3"/>
    <row r="56" spans="2:60" x14ac:dyDescent="0.25">
      <c r="B56" s="331" t="s">
        <v>466</v>
      </c>
      <c r="C56" s="333" t="s">
        <v>467</v>
      </c>
      <c r="D56" s="333" t="s">
        <v>468</v>
      </c>
      <c r="E56" s="329" t="s">
        <v>469</v>
      </c>
      <c r="F56" s="330"/>
      <c r="H56" s="331" t="s">
        <v>466</v>
      </c>
      <c r="I56" s="333" t="s">
        <v>467</v>
      </c>
      <c r="J56" s="333" t="s">
        <v>468</v>
      </c>
      <c r="K56" s="329" t="s">
        <v>469</v>
      </c>
      <c r="L56" s="330"/>
    </row>
    <row r="57" spans="2:60" ht="14.4" thickBot="1" x14ac:dyDescent="0.3">
      <c r="B57" s="332"/>
      <c r="C57" s="334"/>
      <c r="D57" s="334"/>
      <c r="E57" s="232" t="s">
        <v>403</v>
      </c>
      <c r="F57" s="174" t="s">
        <v>402</v>
      </c>
      <c r="H57" s="332"/>
      <c r="I57" s="334"/>
      <c r="J57" s="334"/>
      <c r="K57" s="232" t="s">
        <v>403</v>
      </c>
      <c r="L57" s="174" t="s">
        <v>402</v>
      </c>
    </row>
    <row r="58" spans="2:60" ht="14.4" thickTop="1" x14ac:dyDescent="0.25">
      <c r="B58" s="236">
        <v>41670</v>
      </c>
      <c r="C58" s="171"/>
      <c r="D58" s="166" t="s">
        <v>470</v>
      </c>
      <c r="E58" s="167">
        <f>SUMIF('Libro Diario Convencional'!$D$15:$D$167,D52,'Libro Diario Convencional'!$G$15:$G$167)</f>
        <v>0</v>
      </c>
      <c r="F58" s="168">
        <f>SUMIF('Libro Diario Convencional'!$D$15:$D$167,D52,'Libro Diario Convencional'!$H$15:$H$167)</f>
        <v>0</v>
      </c>
      <c r="H58" s="236">
        <v>41670</v>
      </c>
      <c r="I58" s="171"/>
      <c r="J58" s="166" t="s">
        <v>470</v>
      </c>
      <c r="K58" s="167">
        <f>SUMIF('Libro Diario Convencional'!$D$15:$D$167,J52,'Libro Diario Convencional'!$G$15:$G$167)</f>
        <v>0</v>
      </c>
      <c r="L58" s="168">
        <f>SUMIF('Libro Diario Convencional'!$D$15:$D$167,J52,'Libro Diario Convencional'!$H$15:$H$167)</f>
        <v>0</v>
      </c>
    </row>
    <row r="59" spans="2:60" x14ac:dyDescent="0.25">
      <c r="B59" s="169"/>
      <c r="C59" s="172"/>
      <c r="D59" s="161"/>
      <c r="E59" s="162"/>
      <c r="F59" s="163"/>
      <c r="H59" s="169"/>
      <c r="I59" s="172"/>
      <c r="J59" s="161"/>
      <c r="K59" s="162"/>
      <c r="L59" s="163"/>
    </row>
    <row r="60" spans="2:60" x14ac:dyDescent="0.25">
      <c r="B60" s="169"/>
      <c r="C60" s="172"/>
      <c r="D60" s="161"/>
      <c r="E60" s="162"/>
      <c r="F60" s="163"/>
      <c r="H60" s="169"/>
      <c r="I60" s="172"/>
      <c r="J60" s="161"/>
      <c r="K60" s="162"/>
      <c r="L60" s="163"/>
    </row>
    <row r="61" spans="2:60" ht="14.4" thickBot="1" x14ac:dyDescent="0.3">
      <c r="B61" s="169"/>
      <c r="C61" s="172"/>
      <c r="D61" s="161"/>
      <c r="E61" s="162"/>
      <c r="F61" s="163"/>
      <c r="H61" s="169"/>
      <c r="I61" s="172"/>
      <c r="J61" s="161"/>
      <c r="K61" s="162"/>
      <c r="L61" s="163"/>
    </row>
    <row r="62" spans="2:60" ht="15" thickBot="1" x14ac:dyDescent="0.3">
      <c r="B62" s="169"/>
      <c r="C62" s="172"/>
      <c r="D62" s="161" t="s">
        <v>471</v>
      </c>
      <c r="E62" s="162">
        <f>SUM(E58:E61)</f>
        <v>0</v>
      </c>
      <c r="F62" s="163">
        <f>SUM(F58:F61)</f>
        <v>0</v>
      </c>
      <c r="H62" s="169"/>
      <c r="I62" s="172"/>
      <c r="J62" s="161" t="s">
        <v>471</v>
      </c>
      <c r="K62" s="162">
        <f>SUM(K58:K61)</f>
        <v>0</v>
      </c>
      <c r="L62" s="163">
        <f>SUM(L58:L61)</f>
        <v>0</v>
      </c>
      <c r="BG62" s="157">
        <f>SUM(E62,K62,Q62,W62,AC62,AI62,AO62,AU62,AX62,BD62)</f>
        <v>0</v>
      </c>
      <c r="BH62" s="158">
        <f>SUM(F62,L62,R62,X62,AD62,AJ62,AP62,AV62,AY62,BE62)</f>
        <v>0</v>
      </c>
    </row>
    <row r="63" spans="2:60" ht="14.4" thickBot="1" x14ac:dyDescent="0.3">
      <c r="B63" s="170"/>
      <c r="C63" s="173"/>
      <c r="D63" s="164" t="str">
        <f>IF(E62=F62,"",IF(E62&gt;F62,"Saldo Deudor","Saldo Acreedor"))</f>
        <v/>
      </c>
      <c r="E63" s="165" t="str">
        <f>IF(E62&gt;F62,E62-F62,"")</f>
        <v/>
      </c>
      <c r="F63" s="176" t="str">
        <f>IF(E62&lt;F62,F62-E62,"")</f>
        <v/>
      </c>
      <c r="H63" s="170"/>
      <c r="I63" s="173"/>
      <c r="J63" s="164" t="str">
        <f>IF(K62=L62,"",IF(K62&gt;L62,"Saldo Deudor","Saldo Acreedor"))</f>
        <v/>
      </c>
      <c r="K63" s="165" t="str">
        <f>IF(K62&gt;L62,K62-L62,"")</f>
        <v/>
      </c>
      <c r="L63" s="176" t="str">
        <f>IF(K62&lt;L62,L62-K62,"")</f>
        <v/>
      </c>
    </row>
    <row r="66" spans="2:60" ht="15.6" x14ac:dyDescent="0.25">
      <c r="B66" s="324" t="s">
        <v>472</v>
      </c>
      <c r="C66" s="324"/>
      <c r="D66" s="175">
        <v>1421</v>
      </c>
      <c r="E66" s="160"/>
    </row>
    <row r="67" spans="2:60" x14ac:dyDescent="0.25">
      <c r="B67" s="160"/>
      <c r="C67" s="160"/>
      <c r="D67" s="160"/>
      <c r="E67" s="160"/>
    </row>
    <row r="68" spans="2:60" ht="15.6" x14ac:dyDescent="0.25">
      <c r="B68" s="324" t="s">
        <v>473</v>
      </c>
      <c r="C68" s="324"/>
      <c r="D68" s="234" t="str">
        <f>VLOOKUP(D66,DivisionariasContables,3,FALSE)</f>
        <v>Accionistas (O Socios) - Suscripciones por Cobrar a Socios o Accionistas</v>
      </c>
      <c r="E68" s="160"/>
    </row>
    <row r="69" spans="2:60" ht="14.4" thickBot="1" x14ac:dyDescent="0.3"/>
    <row r="70" spans="2:60" x14ac:dyDescent="0.25">
      <c r="B70" s="331" t="s">
        <v>466</v>
      </c>
      <c r="C70" s="333" t="s">
        <v>467</v>
      </c>
      <c r="D70" s="333" t="s">
        <v>468</v>
      </c>
      <c r="E70" s="329" t="s">
        <v>469</v>
      </c>
      <c r="F70" s="330"/>
    </row>
    <row r="71" spans="2:60" ht="14.4" thickBot="1" x14ac:dyDescent="0.3">
      <c r="B71" s="332"/>
      <c r="C71" s="334"/>
      <c r="D71" s="334"/>
      <c r="E71" s="232" t="s">
        <v>403</v>
      </c>
      <c r="F71" s="174" t="s">
        <v>402</v>
      </c>
    </row>
    <row r="72" spans="2:60" ht="14.4" thickTop="1" x14ac:dyDescent="0.25">
      <c r="B72" s="236">
        <v>41670</v>
      </c>
      <c r="C72" s="171"/>
      <c r="D72" s="166" t="s">
        <v>470</v>
      </c>
      <c r="E72" s="167">
        <f>SUMIF('Libro Diario Convencional'!$D$15:$D$167,D66,'Libro Diario Convencional'!$G$15:$G$167)</f>
        <v>0</v>
      </c>
      <c r="F72" s="168">
        <f>SUMIF('Libro Diario Convencional'!$D$15:$D$167,D66,'Libro Diario Convencional'!$H$15:$H$167)</f>
        <v>0</v>
      </c>
    </row>
    <row r="73" spans="2:60" x14ac:dyDescent="0.25">
      <c r="B73" s="169"/>
      <c r="C73" s="172"/>
      <c r="D73" s="161"/>
      <c r="E73" s="162"/>
      <c r="F73" s="163"/>
    </row>
    <row r="74" spans="2:60" x14ac:dyDescent="0.25">
      <c r="B74" s="169"/>
      <c r="C74" s="172"/>
      <c r="D74" s="161"/>
      <c r="E74" s="162"/>
      <c r="F74" s="163"/>
    </row>
    <row r="75" spans="2:60" ht="14.4" thickBot="1" x14ac:dyDescent="0.3">
      <c r="B75" s="169"/>
      <c r="C75" s="172"/>
      <c r="D75" s="161"/>
      <c r="E75" s="162"/>
      <c r="F75" s="163"/>
    </row>
    <row r="76" spans="2:60" ht="15" thickBot="1" x14ac:dyDescent="0.3">
      <c r="B76" s="169"/>
      <c r="C76" s="172"/>
      <c r="D76" s="161" t="s">
        <v>471</v>
      </c>
      <c r="E76" s="162">
        <f>SUM(E72:E75)</f>
        <v>0</v>
      </c>
      <c r="F76" s="163">
        <f>SUM(F72:F75)</f>
        <v>0</v>
      </c>
      <c r="BG76" s="157">
        <f>SUM(E76,K76,Q76,W76,AC76,AI76,AO76,AU76,AX76,BD76)</f>
        <v>0</v>
      </c>
      <c r="BH76" s="158">
        <f>SUM(F76,L76,R76,X76,AD76,AJ76,AP76,AV76,AY76,BE76)</f>
        <v>0</v>
      </c>
    </row>
    <row r="77" spans="2:60" ht="14.4" thickBot="1" x14ac:dyDescent="0.3">
      <c r="B77" s="170"/>
      <c r="C77" s="173"/>
      <c r="D77" s="164" t="str">
        <f>IF(E76=F76,"",IF(E76&gt;F76,"Saldo Deudor","Saldo Acreedor"))</f>
        <v/>
      </c>
      <c r="E77" s="165" t="str">
        <f>IF(E76&gt;F76,E76-F76,"")</f>
        <v/>
      </c>
      <c r="F77" s="176" t="str">
        <f>IF(E76&lt;F76,F76-E76,"")</f>
        <v/>
      </c>
    </row>
    <row r="80" spans="2:60" ht="15.6" x14ac:dyDescent="0.25">
      <c r="B80" s="324" t="s">
        <v>472</v>
      </c>
      <c r="C80" s="324"/>
      <c r="D80" s="175">
        <v>1631</v>
      </c>
      <c r="E80" s="160"/>
    </row>
    <row r="81" spans="2:60" x14ac:dyDescent="0.25">
      <c r="B81" s="160"/>
      <c r="C81" s="160"/>
      <c r="D81" s="160"/>
      <c r="E81" s="160"/>
    </row>
    <row r="82" spans="2:60" ht="15.6" x14ac:dyDescent="0.25">
      <c r="B82" s="324" t="s">
        <v>473</v>
      </c>
      <c r="C82" s="324"/>
      <c r="D82" s="234" t="str">
        <f>VLOOKUP(D80,DivisionariasContables,3,FALSE)</f>
        <v>Intereses, Regalías y Dividendos - Intereses</v>
      </c>
      <c r="E82" s="160"/>
    </row>
    <row r="83" spans="2:60" ht="14.4" thickBot="1" x14ac:dyDescent="0.3"/>
    <row r="84" spans="2:60" x14ac:dyDescent="0.25">
      <c r="B84" s="331" t="s">
        <v>466</v>
      </c>
      <c r="C84" s="333" t="s">
        <v>467</v>
      </c>
      <c r="D84" s="333" t="s">
        <v>468</v>
      </c>
      <c r="E84" s="329" t="s">
        <v>469</v>
      </c>
      <c r="F84" s="330"/>
    </row>
    <row r="85" spans="2:60" ht="14.4" thickBot="1" x14ac:dyDescent="0.3">
      <c r="B85" s="332"/>
      <c r="C85" s="334"/>
      <c r="D85" s="334"/>
      <c r="E85" s="232" t="s">
        <v>403</v>
      </c>
      <c r="F85" s="174" t="s">
        <v>402</v>
      </c>
    </row>
    <row r="86" spans="2:60" ht="14.4" thickTop="1" x14ac:dyDescent="0.25">
      <c r="B86" s="236">
        <v>41670</v>
      </c>
      <c r="C86" s="171"/>
      <c r="D86" s="166" t="s">
        <v>470</v>
      </c>
      <c r="E86" s="167">
        <f>SUMIF('Libro Diario Convencional'!$D$15:$D$167,D80,'Libro Diario Convencional'!$G$15:$G$167)</f>
        <v>0</v>
      </c>
      <c r="F86" s="168">
        <f>SUMIF('Libro Diario Convencional'!$D$15:$D$167,D80,'Libro Diario Convencional'!$H$15:$H$167)</f>
        <v>0</v>
      </c>
    </row>
    <row r="87" spans="2:60" x14ac:dyDescent="0.25">
      <c r="B87" s="169"/>
      <c r="C87" s="172"/>
      <c r="D87" s="161"/>
      <c r="E87" s="162"/>
      <c r="F87" s="163"/>
    </row>
    <row r="88" spans="2:60" x14ac:dyDescent="0.25">
      <c r="B88" s="169"/>
      <c r="C88" s="172"/>
      <c r="D88" s="161"/>
      <c r="E88" s="162"/>
      <c r="F88" s="163"/>
    </row>
    <row r="89" spans="2:60" ht="14.4" thickBot="1" x14ac:dyDescent="0.3">
      <c r="B89" s="169"/>
      <c r="C89" s="172"/>
      <c r="D89" s="161"/>
      <c r="E89" s="162"/>
      <c r="F89" s="163"/>
    </row>
    <row r="90" spans="2:60" ht="15" thickBot="1" x14ac:dyDescent="0.3">
      <c r="B90" s="169"/>
      <c r="C90" s="172"/>
      <c r="D90" s="161" t="s">
        <v>471</v>
      </c>
      <c r="E90" s="162">
        <f>SUM(E86:E89)</f>
        <v>0</v>
      </c>
      <c r="F90" s="163">
        <f>SUM(F86:F89)</f>
        <v>0</v>
      </c>
      <c r="BG90" s="157">
        <f>SUM(E90,K90,Q90,W90,AC90,AI90,AO90,AU90,AX90,BD90)</f>
        <v>0</v>
      </c>
      <c r="BH90" s="158">
        <f>SUM(F90,L90,R90,X90,AD90,AJ90,AP90,AV90,AY90,BE90)</f>
        <v>0</v>
      </c>
    </row>
    <row r="91" spans="2:60" ht="14.4" thickBot="1" x14ac:dyDescent="0.3">
      <c r="B91" s="170"/>
      <c r="C91" s="173"/>
      <c r="D91" s="164" t="str">
        <f>IF(E90=F90,"",IF(E90&gt;F90,"Saldo Deudor","Saldo Acreedor"))</f>
        <v/>
      </c>
      <c r="E91" s="165" t="str">
        <f>IF(E90&gt;F90,E90-F90,"")</f>
        <v/>
      </c>
      <c r="F91" s="176" t="str">
        <f>IF(E90&lt;F90,F90-E90,"")</f>
        <v/>
      </c>
    </row>
    <row r="94" spans="2:60" ht="15.6" x14ac:dyDescent="0.25">
      <c r="B94" s="324" t="s">
        <v>472</v>
      </c>
      <c r="C94" s="324"/>
      <c r="D94" s="175">
        <v>1651</v>
      </c>
      <c r="E94" s="160"/>
    </row>
    <row r="95" spans="2:60" x14ac:dyDescent="0.25">
      <c r="B95" s="160"/>
      <c r="C95" s="160"/>
      <c r="D95" s="160"/>
      <c r="E95" s="160"/>
    </row>
    <row r="96" spans="2:60" ht="15.6" x14ac:dyDescent="0.25">
      <c r="B96" s="324" t="s">
        <v>473</v>
      </c>
      <c r="C96" s="324"/>
      <c r="D96" s="234" t="str">
        <f>VLOOKUP(D94,DivisionariasContables,3,FALSE)</f>
        <v>Venta de Activo Inmovilizado - Inversión Mobiliaria</v>
      </c>
      <c r="E96" s="160"/>
    </row>
    <row r="97" spans="2:60" ht="14.4" thickBot="1" x14ac:dyDescent="0.3"/>
    <row r="98" spans="2:60" x14ac:dyDescent="0.25">
      <c r="B98" s="325" t="s">
        <v>466</v>
      </c>
      <c r="C98" s="327" t="s">
        <v>467</v>
      </c>
      <c r="D98" s="327" t="s">
        <v>468</v>
      </c>
      <c r="E98" s="329" t="s">
        <v>469</v>
      </c>
      <c r="F98" s="330"/>
    </row>
    <row r="99" spans="2:60" ht="14.4" thickBot="1" x14ac:dyDescent="0.3">
      <c r="B99" s="326"/>
      <c r="C99" s="328"/>
      <c r="D99" s="328"/>
      <c r="E99" s="232" t="s">
        <v>403</v>
      </c>
      <c r="F99" s="174" t="s">
        <v>402</v>
      </c>
    </row>
    <row r="100" spans="2:60" ht="14.4" thickTop="1" x14ac:dyDescent="0.25">
      <c r="B100" s="236">
        <v>41670</v>
      </c>
      <c r="C100" s="171"/>
      <c r="D100" s="166" t="s">
        <v>470</v>
      </c>
      <c r="E100" s="167">
        <f>SUMIF('Libro Diario Convencional'!$D$15:$D$167,D94,'Libro Diario Convencional'!$G$15:$G$167)</f>
        <v>0</v>
      </c>
      <c r="F100" s="168">
        <f>SUMIF('Libro Diario Convencional'!$D$15:$D$167,D94,'Libro Diario Convencional'!$H$15:$H$167)</f>
        <v>0</v>
      </c>
    </row>
    <row r="101" spans="2:60" x14ac:dyDescent="0.25">
      <c r="B101" s="169"/>
      <c r="C101" s="172"/>
      <c r="D101" s="161"/>
      <c r="E101" s="162"/>
      <c r="F101" s="163"/>
    </row>
    <row r="102" spans="2:60" x14ac:dyDescent="0.25">
      <c r="B102" s="169"/>
      <c r="C102" s="172"/>
      <c r="D102" s="161"/>
      <c r="E102" s="162"/>
      <c r="F102" s="163"/>
    </row>
    <row r="103" spans="2:60" ht="14.4" thickBot="1" x14ac:dyDescent="0.3">
      <c r="B103" s="169"/>
      <c r="C103" s="172"/>
      <c r="D103" s="161"/>
      <c r="E103" s="162"/>
      <c r="F103" s="163"/>
    </row>
    <row r="104" spans="2:60" ht="15" thickBot="1" x14ac:dyDescent="0.3">
      <c r="B104" s="169"/>
      <c r="C104" s="172"/>
      <c r="D104" s="161" t="s">
        <v>471</v>
      </c>
      <c r="E104" s="162">
        <f>SUM(E100:E103)</f>
        <v>0</v>
      </c>
      <c r="F104" s="163">
        <f>SUM(F100:F103)</f>
        <v>0</v>
      </c>
      <c r="BG104" s="157">
        <f>SUM(E104,K104,Q104,W104,AC104,AI104,AO104,AU104,AX104,BD104)</f>
        <v>0</v>
      </c>
      <c r="BH104" s="158">
        <f>SUM(F104,L104,R104,X104,AD104,AJ104,AP104,AV104,AY104,BE104)</f>
        <v>0</v>
      </c>
    </row>
    <row r="105" spans="2:60" ht="14.4" thickBot="1" x14ac:dyDescent="0.3">
      <c r="B105" s="170"/>
      <c r="C105" s="173"/>
      <c r="D105" s="164" t="str">
        <f>IF(E104=F104,"",IF(E104&gt;F104,"Saldo Deudor","Saldo Acreedor"))</f>
        <v/>
      </c>
      <c r="E105" s="165" t="str">
        <f>IF(E104&gt;F104,E104-F104,"")</f>
        <v/>
      </c>
      <c r="F105" s="176" t="str">
        <f>IF(E104&lt;F104,F104-E104,"")</f>
        <v/>
      </c>
    </row>
    <row r="108" spans="2:60" ht="15.6" x14ac:dyDescent="0.25">
      <c r="B108" s="324" t="s">
        <v>472</v>
      </c>
      <c r="C108" s="324"/>
      <c r="D108" s="175">
        <v>1689</v>
      </c>
      <c r="E108" s="160"/>
    </row>
    <row r="109" spans="2:60" x14ac:dyDescent="0.25">
      <c r="B109" s="160"/>
      <c r="C109" s="160"/>
      <c r="D109" s="160"/>
      <c r="E109" s="160"/>
    </row>
    <row r="110" spans="2:60" ht="15.6" x14ac:dyDescent="0.25">
      <c r="B110" s="324" t="s">
        <v>473</v>
      </c>
      <c r="C110" s="324"/>
      <c r="D110" s="234" t="str">
        <f>VLOOKUP(D108,DivisionariasContables,3,FALSE)</f>
        <v>Otras Cuentas por Cobrar Diversas - Otras</v>
      </c>
      <c r="E110" s="160"/>
    </row>
    <row r="111" spans="2:60" ht="14.4" thickBot="1" x14ac:dyDescent="0.3"/>
    <row r="112" spans="2:60" x14ac:dyDescent="0.25">
      <c r="B112" s="325" t="s">
        <v>466</v>
      </c>
      <c r="C112" s="327" t="s">
        <v>467</v>
      </c>
      <c r="D112" s="327" t="s">
        <v>468</v>
      </c>
      <c r="E112" s="329" t="s">
        <v>469</v>
      </c>
      <c r="F112" s="330"/>
    </row>
    <row r="113" spans="2:60" ht="14.4" thickBot="1" x14ac:dyDescent="0.3">
      <c r="B113" s="326"/>
      <c r="C113" s="328"/>
      <c r="D113" s="328"/>
      <c r="E113" s="232" t="s">
        <v>403</v>
      </c>
      <c r="F113" s="174" t="s">
        <v>402</v>
      </c>
    </row>
    <row r="114" spans="2:60" ht="14.4" thickTop="1" x14ac:dyDescent="0.25">
      <c r="B114" s="236">
        <v>41670</v>
      </c>
      <c r="C114" s="171"/>
      <c r="D114" s="166" t="s">
        <v>470</v>
      </c>
      <c r="E114" s="167">
        <f>SUMIF('Libro Diario Convencional'!$D$15:$D$167,D108,'Libro Diario Convencional'!$G$15:$G$167)</f>
        <v>0</v>
      </c>
      <c r="F114" s="168">
        <f>SUMIF('Libro Diario Convencional'!$D$15:$D$167,D108,'Libro Diario Convencional'!$H$15:$H$167)</f>
        <v>0</v>
      </c>
      <c r="G114" s="9"/>
      <c r="H114" s="9"/>
      <c r="I114" s="9"/>
      <c r="J114" s="9"/>
      <c r="M114" s="9"/>
      <c r="N114" s="9"/>
      <c r="O114" s="9"/>
      <c r="P114" s="9"/>
      <c r="S114" s="9"/>
      <c r="T114" s="9"/>
      <c r="U114" s="9"/>
      <c r="V114" s="9"/>
      <c r="Y114" s="9"/>
      <c r="Z114" s="9"/>
      <c r="AA114" s="9"/>
      <c r="AB114" s="9"/>
      <c r="AE114" s="9"/>
      <c r="AF114" s="9"/>
      <c r="AG114" s="9"/>
      <c r="AH114" s="9"/>
      <c r="AK114" s="9"/>
      <c r="AL114" s="9"/>
      <c r="AM114" s="9"/>
      <c r="AN114" s="9"/>
      <c r="AQ114" s="9"/>
      <c r="AR114" s="9"/>
      <c r="AS114" s="9"/>
      <c r="AT114" s="9"/>
      <c r="AW114" s="9"/>
    </row>
    <row r="115" spans="2:60" x14ac:dyDescent="0.25">
      <c r="B115" s="169"/>
      <c r="C115" s="172"/>
      <c r="D115" s="161"/>
      <c r="E115" s="162"/>
      <c r="F115" s="163"/>
      <c r="G115" s="9"/>
      <c r="H115" s="9"/>
      <c r="I115" s="9"/>
      <c r="J115" s="9"/>
      <c r="M115" s="9"/>
      <c r="N115" s="9"/>
      <c r="O115" s="9"/>
      <c r="P115" s="9"/>
      <c r="S115" s="9"/>
      <c r="T115" s="9"/>
      <c r="U115" s="9"/>
      <c r="V115" s="9"/>
      <c r="Y115" s="9"/>
      <c r="Z115" s="9"/>
      <c r="AA115" s="9"/>
      <c r="AB115" s="9"/>
      <c r="AE115" s="9"/>
      <c r="AF115" s="9"/>
      <c r="AG115" s="9"/>
      <c r="AH115" s="9"/>
      <c r="AK115" s="9"/>
      <c r="AL115" s="9"/>
      <c r="AM115" s="9"/>
      <c r="AN115" s="9"/>
      <c r="AQ115" s="9"/>
      <c r="AR115" s="9"/>
      <c r="AS115" s="9"/>
      <c r="AT115" s="9"/>
      <c r="AW115" s="9"/>
    </row>
    <row r="116" spans="2:60" x14ac:dyDescent="0.25">
      <c r="B116" s="169"/>
      <c r="C116" s="172"/>
      <c r="D116" s="161"/>
      <c r="E116" s="162"/>
      <c r="F116" s="163"/>
      <c r="G116" s="9"/>
      <c r="H116" s="9"/>
      <c r="I116" s="9"/>
      <c r="J116" s="9"/>
      <c r="M116" s="9"/>
      <c r="N116" s="9"/>
      <c r="O116" s="9"/>
      <c r="P116" s="9"/>
      <c r="S116" s="9"/>
      <c r="T116" s="9"/>
      <c r="U116" s="9"/>
      <c r="V116" s="9"/>
      <c r="Y116" s="9"/>
      <c r="Z116" s="9"/>
      <c r="AA116" s="9"/>
      <c r="AB116" s="9"/>
      <c r="AE116" s="9"/>
      <c r="AF116" s="9"/>
      <c r="AG116" s="9"/>
      <c r="AH116" s="9"/>
      <c r="AK116" s="9"/>
      <c r="AL116" s="9"/>
      <c r="AM116" s="9"/>
      <c r="AN116" s="9"/>
      <c r="AQ116" s="9"/>
      <c r="AR116" s="9"/>
      <c r="AS116" s="9"/>
      <c r="AT116" s="9"/>
      <c r="AW116" s="9"/>
    </row>
    <row r="117" spans="2:60" ht="14.4" thickBot="1" x14ac:dyDescent="0.3">
      <c r="B117" s="169"/>
      <c r="C117" s="172"/>
      <c r="D117" s="161"/>
      <c r="E117" s="162"/>
      <c r="F117" s="163"/>
      <c r="G117" s="9"/>
      <c r="H117" s="9"/>
      <c r="I117" s="9"/>
      <c r="J117" s="9"/>
      <c r="M117" s="9"/>
      <c r="N117" s="9"/>
      <c r="O117" s="9"/>
      <c r="P117" s="9"/>
      <c r="S117" s="9"/>
      <c r="T117" s="9"/>
      <c r="U117" s="9"/>
      <c r="V117" s="9"/>
      <c r="Y117" s="9"/>
      <c r="Z117" s="9"/>
      <c r="AA117" s="9"/>
      <c r="AB117" s="9"/>
      <c r="AE117" s="9"/>
      <c r="AF117" s="9"/>
      <c r="AG117" s="9"/>
      <c r="AH117" s="9"/>
      <c r="AK117" s="9"/>
      <c r="AL117" s="9"/>
      <c r="AM117" s="9"/>
      <c r="AN117" s="9"/>
      <c r="AQ117" s="9"/>
      <c r="AR117" s="9"/>
      <c r="AS117" s="9"/>
      <c r="AT117" s="9"/>
      <c r="AW117" s="9"/>
    </row>
    <row r="118" spans="2:60" ht="15" thickBot="1" x14ac:dyDescent="0.3">
      <c r="B118" s="169"/>
      <c r="C118" s="172"/>
      <c r="D118" s="161" t="s">
        <v>471</v>
      </c>
      <c r="E118" s="162">
        <f>SUM(E114:E117)</f>
        <v>0</v>
      </c>
      <c r="F118" s="163">
        <f>SUM(F114:F117)</f>
        <v>0</v>
      </c>
      <c r="G118" s="9"/>
      <c r="H118" s="9"/>
      <c r="I118" s="9"/>
      <c r="J118" s="9"/>
      <c r="M118" s="9"/>
      <c r="N118" s="9"/>
      <c r="O118" s="9"/>
      <c r="P118" s="9"/>
      <c r="S118" s="9"/>
      <c r="T118" s="9"/>
      <c r="U118" s="9"/>
      <c r="V118" s="9"/>
      <c r="Y118" s="9"/>
      <c r="Z118" s="9"/>
      <c r="AA118" s="9"/>
      <c r="AB118" s="9"/>
      <c r="AE118" s="9"/>
      <c r="AF118" s="9"/>
      <c r="AG118" s="9"/>
      <c r="AH118" s="9"/>
      <c r="AK118" s="9"/>
      <c r="AL118" s="9"/>
      <c r="AM118" s="9"/>
      <c r="AN118" s="9"/>
      <c r="AQ118" s="9"/>
      <c r="AR118" s="9"/>
      <c r="AS118" s="9"/>
      <c r="AT118" s="9"/>
      <c r="AW118" s="9"/>
      <c r="BG118" s="157">
        <f>SUM(E118,K118,Q118,W118,AC118,AI118,AO118,AU118,AX118,BD118)</f>
        <v>0</v>
      </c>
      <c r="BH118" s="158">
        <f>SUM(F118,L118,R118,X118,AD118,AJ118,AP118,AV118,AY118,BE118)</f>
        <v>0</v>
      </c>
    </row>
    <row r="119" spans="2:60" ht="14.4" thickBot="1" x14ac:dyDescent="0.3">
      <c r="B119" s="170"/>
      <c r="C119" s="173"/>
      <c r="D119" s="164" t="str">
        <f>IF(E118=F118,"",IF(E118&gt;F118,"Saldo Deudor","Saldo Acreedor"))</f>
        <v/>
      </c>
      <c r="E119" s="165" t="str">
        <f>IF(E118&gt;F118,E118-F118,"")</f>
        <v/>
      </c>
      <c r="F119" s="176" t="str">
        <f>IF(E118&lt;F118,F118-E118,"")</f>
        <v/>
      </c>
    </row>
    <row r="122" spans="2:60" ht="15.6" x14ac:dyDescent="0.25">
      <c r="B122" s="324" t="s">
        <v>472</v>
      </c>
      <c r="C122" s="324"/>
      <c r="D122" s="175">
        <v>1811</v>
      </c>
      <c r="E122" s="160"/>
    </row>
    <row r="123" spans="2:60" x14ac:dyDescent="0.25">
      <c r="B123" s="160"/>
      <c r="C123" s="160"/>
      <c r="D123" s="160"/>
      <c r="E123" s="160"/>
    </row>
    <row r="124" spans="2:60" ht="15.6" x14ac:dyDescent="0.25">
      <c r="B124" s="324" t="s">
        <v>473</v>
      </c>
      <c r="C124" s="324"/>
      <c r="D124" s="234" t="str">
        <f>VLOOKUP(D122,DivisionariasContables,3,FALSE)</f>
        <v>Servicios y Otros Contratados por Anticipado - Costos Financieros</v>
      </c>
      <c r="E124" s="160"/>
    </row>
    <row r="125" spans="2:60" ht="14.4" thickBot="1" x14ac:dyDescent="0.3"/>
    <row r="126" spans="2:60" x14ac:dyDescent="0.25">
      <c r="B126" s="325" t="s">
        <v>466</v>
      </c>
      <c r="C126" s="327" t="s">
        <v>467</v>
      </c>
      <c r="D126" s="327" t="s">
        <v>468</v>
      </c>
      <c r="E126" s="329" t="s">
        <v>469</v>
      </c>
      <c r="F126" s="330"/>
    </row>
    <row r="127" spans="2:60" ht="14.4" thickBot="1" x14ac:dyDescent="0.3">
      <c r="B127" s="326"/>
      <c r="C127" s="328"/>
      <c r="D127" s="328"/>
      <c r="E127" s="232" t="s">
        <v>403</v>
      </c>
      <c r="F127" s="174" t="s">
        <v>402</v>
      </c>
    </row>
    <row r="128" spans="2:60" ht="14.4" thickTop="1" x14ac:dyDescent="0.25">
      <c r="B128" s="236">
        <v>41670</v>
      </c>
      <c r="C128" s="171"/>
      <c r="D128" s="166" t="s">
        <v>470</v>
      </c>
      <c r="E128" s="167">
        <f>SUMIF('Libro Diario Convencional'!$D$15:$D$167,D122,'Libro Diario Convencional'!$G$15:$G$167)</f>
        <v>0</v>
      </c>
      <c r="F128" s="168">
        <f>SUMIF('Libro Diario Convencional'!$D$15:$D$167,D122,'Libro Diario Convencional'!$H$15:$H$167)</f>
        <v>0</v>
      </c>
      <c r="G128" s="9"/>
      <c r="H128" s="9"/>
      <c r="I128" s="9"/>
      <c r="J128" s="9"/>
      <c r="M128" s="9"/>
      <c r="N128" s="9"/>
      <c r="O128" s="9"/>
      <c r="P128" s="9"/>
      <c r="S128" s="9"/>
      <c r="T128" s="9"/>
      <c r="U128" s="9"/>
      <c r="V128" s="9"/>
      <c r="Y128" s="9"/>
      <c r="Z128" s="9"/>
      <c r="AA128" s="9"/>
      <c r="AB128" s="9"/>
      <c r="AE128" s="9"/>
      <c r="AF128" s="9"/>
      <c r="AG128" s="9"/>
      <c r="AH128" s="9"/>
      <c r="AK128" s="9"/>
      <c r="AL128" s="9"/>
      <c r="AM128" s="9"/>
      <c r="AN128" s="9"/>
      <c r="AQ128" s="9"/>
      <c r="AR128" s="9"/>
      <c r="AS128" s="9"/>
      <c r="AT128" s="9"/>
      <c r="AW128" s="9"/>
    </row>
    <row r="129" spans="2:60" x14ac:dyDescent="0.25">
      <c r="B129" s="169"/>
      <c r="C129" s="172"/>
      <c r="D129" s="161"/>
      <c r="E129" s="162"/>
      <c r="F129" s="163"/>
      <c r="G129" s="9"/>
      <c r="H129" s="9"/>
      <c r="I129" s="9"/>
      <c r="J129" s="9"/>
      <c r="M129" s="9"/>
      <c r="N129" s="9"/>
      <c r="O129" s="9"/>
      <c r="P129" s="9"/>
      <c r="S129" s="9"/>
      <c r="T129" s="9"/>
      <c r="U129" s="9"/>
      <c r="V129" s="9"/>
      <c r="Y129" s="9"/>
      <c r="Z129" s="9"/>
      <c r="AA129" s="9"/>
      <c r="AB129" s="9"/>
      <c r="AE129" s="9"/>
      <c r="AF129" s="9"/>
      <c r="AG129" s="9"/>
      <c r="AH129" s="9"/>
      <c r="AK129" s="9"/>
      <c r="AL129" s="9"/>
      <c r="AM129" s="9"/>
      <c r="AN129" s="9"/>
      <c r="AQ129" s="9"/>
      <c r="AR129" s="9"/>
      <c r="AS129" s="9"/>
      <c r="AT129" s="9"/>
      <c r="AW129" s="9"/>
    </row>
    <row r="130" spans="2:60" x14ac:dyDescent="0.25">
      <c r="B130" s="169"/>
      <c r="C130" s="172"/>
      <c r="D130" s="161"/>
      <c r="E130" s="162"/>
      <c r="F130" s="163"/>
      <c r="G130" s="9"/>
      <c r="H130" s="9"/>
      <c r="I130" s="9"/>
      <c r="J130" s="9"/>
      <c r="M130" s="9"/>
      <c r="N130" s="9"/>
      <c r="O130" s="9"/>
      <c r="P130" s="9"/>
      <c r="S130" s="9"/>
      <c r="T130" s="9"/>
      <c r="U130" s="9"/>
      <c r="V130" s="9"/>
      <c r="Y130" s="9"/>
      <c r="Z130" s="9"/>
      <c r="AA130" s="9"/>
      <c r="AB130" s="9"/>
      <c r="AE130" s="9"/>
      <c r="AF130" s="9"/>
      <c r="AG130" s="9"/>
      <c r="AH130" s="9"/>
      <c r="AK130" s="9"/>
      <c r="AL130" s="9"/>
      <c r="AM130" s="9"/>
      <c r="AN130" s="9"/>
      <c r="AQ130" s="9"/>
      <c r="AR130" s="9"/>
      <c r="AS130" s="9"/>
      <c r="AT130" s="9"/>
      <c r="AW130" s="9"/>
    </row>
    <row r="131" spans="2:60" ht="14.4" thickBot="1" x14ac:dyDescent="0.3">
      <c r="B131" s="169"/>
      <c r="C131" s="172"/>
      <c r="D131" s="161"/>
      <c r="E131" s="162"/>
      <c r="F131" s="163"/>
      <c r="G131" s="9"/>
      <c r="H131" s="9"/>
      <c r="I131" s="9"/>
      <c r="J131" s="9"/>
      <c r="M131" s="9"/>
      <c r="N131" s="9"/>
      <c r="O131" s="9"/>
      <c r="P131" s="9"/>
      <c r="S131" s="9"/>
      <c r="T131" s="9"/>
      <c r="U131" s="9"/>
      <c r="V131" s="9"/>
      <c r="Y131" s="9"/>
      <c r="Z131" s="9"/>
      <c r="AA131" s="9"/>
      <c r="AB131" s="9"/>
      <c r="AE131" s="9"/>
      <c r="AF131" s="9"/>
      <c r="AG131" s="9"/>
      <c r="AH131" s="9"/>
      <c r="AK131" s="9"/>
      <c r="AL131" s="9"/>
      <c r="AM131" s="9"/>
      <c r="AN131" s="9"/>
      <c r="AQ131" s="9"/>
      <c r="AR131" s="9"/>
      <c r="AS131" s="9"/>
      <c r="AT131" s="9"/>
      <c r="AW131" s="9"/>
    </row>
    <row r="132" spans="2:60" ht="15" thickBot="1" x14ac:dyDescent="0.3">
      <c r="B132" s="169"/>
      <c r="C132" s="172"/>
      <c r="D132" s="161" t="s">
        <v>471</v>
      </c>
      <c r="E132" s="162">
        <f>SUM(E128:E131)</f>
        <v>0</v>
      </c>
      <c r="F132" s="163">
        <f>SUM(F128:F131)</f>
        <v>0</v>
      </c>
      <c r="G132" s="9"/>
      <c r="H132" s="9"/>
      <c r="I132" s="9"/>
      <c r="J132" s="9"/>
      <c r="M132" s="9"/>
      <c r="N132" s="9"/>
      <c r="O132" s="9"/>
      <c r="P132" s="9"/>
      <c r="S132" s="9"/>
      <c r="T132" s="9"/>
      <c r="U132" s="9"/>
      <c r="V132" s="9"/>
      <c r="Y132" s="9"/>
      <c r="Z132" s="9"/>
      <c r="AA132" s="9"/>
      <c r="AB132" s="9"/>
      <c r="AE132" s="9"/>
      <c r="AF132" s="9"/>
      <c r="AG132" s="9"/>
      <c r="AH132" s="9"/>
      <c r="AK132" s="9"/>
      <c r="AL132" s="9"/>
      <c r="AM132" s="9"/>
      <c r="AN132" s="9"/>
      <c r="AQ132" s="9"/>
      <c r="AR132" s="9"/>
      <c r="AS132" s="9"/>
      <c r="AT132" s="9"/>
      <c r="AW132" s="9"/>
      <c r="BG132" s="157">
        <f>SUM(E132,K132,Q132,W132,AC132,AI132,AO132,AU132,AX132,BD132)</f>
        <v>0</v>
      </c>
      <c r="BH132" s="158">
        <f>SUM(F132,L132,R132,X132,AD132,AJ132,AP132,AV132,AY132,BE132)</f>
        <v>0</v>
      </c>
    </row>
    <row r="133" spans="2:60" ht="14.4" thickBot="1" x14ac:dyDescent="0.3">
      <c r="B133" s="170"/>
      <c r="C133" s="173"/>
      <c r="D133" s="164" t="str">
        <f>IF(E132=F132,"",IF(E132&gt;F132,"Saldo Deudor","Saldo Acreedor"))</f>
        <v/>
      </c>
      <c r="E133" s="165" t="str">
        <f>IF(E132&gt;F132,E132-F132,"")</f>
        <v/>
      </c>
      <c r="F133" s="176" t="str">
        <f>IF(E132&lt;F132,F132-E132,"")</f>
        <v/>
      </c>
    </row>
    <row r="136" spans="2:60" ht="15.6" x14ac:dyDescent="0.25">
      <c r="B136" s="324" t="s">
        <v>472</v>
      </c>
      <c r="C136" s="324"/>
      <c r="D136" s="175">
        <v>1821</v>
      </c>
      <c r="E136" s="160"/>
    </row>
    <row r="137" spans="2:60" x14ac:dyDescent="0.25">
      <c r="B137" s="160"/>
      <c r="C137" s="160"/>
      <c r="D137" s="160"/>
      <c r="E137" s="160"/>
    </row>
    <row r="138" spans="2:60" ht="15.6" x14ac:dyDescent="0.25">
      <c r="B138" s="324" t="s">
        <v>473</v>
      </c>
      <c r="C138" s="324"/>
      <c r="D138" s="234" t="str">
        <f>VLOOKUP(D136,DivisionariasContables,3,FALSE)</f>
        <v>Servicios y Otros Contratados por Anticipado - Seguros</v>
      </c>
      <c r="E138" s="160"/>
    </row>
    <row r="139" spans="2:60" ht="14.4" thickBot="1" x14ac:dyDescent="0.3"/>
    <row r="140" spans="2:60" x14ac:dyDescent="0.25">
      <c r="B140" s="325" t="s">
        <v>466</v>
      </c>
      <c r="C140" s="327" t="s">
        <v>467</v>
      </c>
      <c r="D140" s="327" t="s">
        <v>468</v>
      </c>
      <c r="E140" s="329" t="s">
        <v>469</v>
      </c>
      <c r="F140" s="330"/>
    </row>
    <row r="141" spans="2:60" ht="14.4" thickBot="1" x14ac:dyDescent="0.3">
      <c r="B141" s="326"/>
      <c r="C141" s="328"/>
      <c r="D141" s="328"/>
      <c r="E141" s="232" t="s">
        <v>403</v>
      </c>
      <c r="F141" s="174" t="s">
        <v>402</v>
      </c>
    </row>
    <row r="142" spans="2:60" ht="14.4" thickTop="1" x14ac:dyDescent="0.25">
      <c r="B142" s="236">
        <v>41670</v>
      </c>
      <c r="C142" s="171"/>
      <c r="D142" s="166" t="s">
        <v>470</v>
      </c>
      <c r="E142" s="167">
        <f>SUMIF('Libro Diario Convencional'!$D$15:$D$167,D136,'Libro Diario Convencional'!$G$15:$G$167)</f>
        <v>0</v>
      </c>
      <c r="F142" s="168">
        <f>SUMIF('Libro Diario Convencional'!$D$15:$D$167,D136,'Libro Diario Convencional'!$H$15:$H$167)</f>
        <v>0</v>
      </c>
      <c r="G142" s="9"/>
      <c r="H142" s="9"/>
      <c r="I142" s="9"/>
      <c r="J142" s="9"/>
      <c r="M142" s="9"/>
      <c r="N142" s="9"/>
      <c r="O142" s="9"/>
      <c r="P142" s="9"/>
      <c r="S142" s="9"/>
      <c r="T142" s="9"/>
      <c r="U142" s="9"/>
      <c r="V142" s="9"/>
      <c r="Y142" s="9"/>
      <c r="Z142" s="9"/>
      <c r="AA142" s="9"/>
      <c r="AB142" s="9"/>
      <c r="AE142" s="9"/>
      <c r="AF142" s="9"/>
      <c r="AG142" s="9"/>
      <c r="AH142" s="9"/>
      <c r="AK142" s="9"/>
      <c r="AL142" s="9"/>
      <c r="AM142" s="9"/>
      <c r="AN142" s="9"/>
      <c r="AQ142" s="9"/>
      <c r="AR142" s="9"/>
      <c r="AS142" s="9"/>
      <c r="AT142" s="9"/>
      <c r="AW142" s="9"/>
    </row>
    <row r="143" spans="2:60" x14ac:dyDescent="0.25">
      <c r="B143" s="169"/>
      <c r="C143" s="172"/>
      <c r="D143" s="161"/>
      <c r="E143" s="162"/>
      <c r="F143" s="163"/>
      <c r="G143" s="9"/>
      <c r="H143" s="9"/>
      <c r="I143" s="9"/>
      <c r="J143" s="9"/>
      <c r="M143" s="9"/>
      <c r="N143" s="9"/>
      <c r="O143" s="9"/>
      <c r="P143" s="9"/>
      <c r="S143" s="9"/>
      <c r="T143" s="9"/>
      <c r="U143" s="9"/>
      <c r="V143" s="9"/>
      <c r="Y143" s="9"/>
      <c r="Z143" s="9"/>
      <c r="AA143" s="9"/>
      <c r="AB143" s="9"/>
      <c r="AE143" s="9"/>
      <c r="AF143" s="9"/>
      <c r="AG143" s="9"/>
      <c r="AH143" s="9"/>
      <c r="AK143" s="9"/>
      <c r="AL143" s="9"/>
      <c r="AM143" s="9"/>
      <c r="AN143" s="9"/>
      <c r="AQ143" s="9"/>
      <c r="AR143" s="9"/>
      <c r="AS143" s="9"/>
      <c r="AT143" s="9"/>
      <c r="AW143" s="9"/>
    </row>
    <row r="144" spans="2:60" x14ac:dyDescent="0.25">
      <c r="B144" s="169"/>
      <c r="C144" s="172"/>
      <c r="D144" s="161"/>
      <c r="E144" s="162"/>
      <c r="F144" s="163"/>
      <c r="G144" s="9"/>
      <c r="H144" s="9"/>
      <c r="I144" s="9"/>
      <c r="J144" s="9"/>
      <c r="M144" s="9"/>
      <c r="N144" s="9"/>
      <c r="O144" s="9"/>
      <c r="P144" s="9"/>
      <c r="S144" s="9"/>
      <c r="T144" s="9"/>
      <c r="U144" s="9"/>
      <c r="V144" s="9"/>
      <c r="Y144" s="9"/>
      <c r="Z144" s="9"/>
      <c r="AA144" s="9"/>
      <c r="AB144" s="9"/>
      <c r="AE144" s="9"/>
      <c r="AF144" s="9"/>
      <c r="AG144" s="9"/>
      <c r="AH144" s="9"/>
      <c r="AK144" s="9"/>
      <c r="AL144" s="9"/>
      <c r="AM144" s="9"/>
      <c r="AN144" s="9"/>
      <c r="AQ144" s="9"/>
      <c r="AR144" s="9"/>
      <c r="AS144" s="9"/>
      <c r="AT144" s="9"/>
      <c r="AW144" s="9"/>
    </row>
    <row r="145" spans="2:60" ht="14.4" thickBot="1" x14ac:dyDescent="0.3">
      <c r="B145" s="169"/>
      <c r="C145" s="172"/>
      <c r="D145" s="161"/>
      <c r="E145" s="162"/>
      <c r="F145" s="163"/>
      <c r="G145" s="9"/>
      <c r="H145" s="9"/>
      <c r="I145" s="9"/>
      <c r="J145" s="9"/>
      <c r="M145" s="9"/>
      <c r="N145" s="9"/>
      <c r="O145" s="9"/>
      <c r="P145" s="9"/>
      <c r="S145" s="9"/>
      <c r="T145" s="9"/>
      <c r="U145" s="9"/>
      <c r="V145" s="9"/>
      <c r="Y145" s="9"/>
      <c r="Z145" s="9"/>
      <c r="AA145" s="9"/>
      <c r="AB145" s="9"/>
      <c r="AE145" s="9"/>
      <c r="AF145" s="9"/>
      <c r="AG145" s="9"/>
      <c r="AH145" s="9"/>
      <c r="AK145" s="9"/>
      <c r="AL145" s="9"/>
      <c r="AM145" s="9"/>
      <c r="AN145" s="9"/>
      <c r="AQ145" s="9"/>
      <c r="AR145" s="9"/>
      <c r="AS145" s="9"/>
      <c r="AT145" s="9"/>
      <c r="AW145" s="9"/>
    </row>
    <row r="146" spans="2:60" ht="15" thickBot="1" x14ac:dyDescent="0.3">
      <c r="B146" s="169"/>
      <c r="C146" s="172"/>
      <c r="D146" s="161" t="s">
        <v>471</v>
      </c>
      <c r="E146" s="162">
        <f>SUM(E142:E145)</f>
        <v>0</v>
      </c>
      <c r="F146" s="163">
        <f>SUM(F142:F145)</f>
        <v>0</v>
      </c>
      <c r="G146" s="9"/>
      <c r="H146" s="9"/>
      <c r="I146" s="9"/>
      <c r="J146" s="9"/>
      <c r="M146" s="9"/>
      <c r="N146" s="9"/>
      <c r="O146" s="9"/>
      <c r="P146" s="9"/>
      <c r="S146" s="9"/>
      <c r="T146" s="9"/>
      <c r="U146" s="9"/>
      <c r="V146" s="9"/>
      <c r="Y146" s="9"/>
      <c r="Z146" s="9"/>
      <c r="AA146" s="9"/>
      <c r="AB146" s="9"/>
      <c r="AE146" s="9"/>
      <c r="AF146" s="9"/>
      <c r="AG146" s="9"/>
      <c r="AH146" s="9"/>
      <c r="AK146" s="9"/>
      <c r="AL146" s="9"/>
      <c r="AM146" s="9"/>
      <c r="AN146" s="9"/>
      <c r="AQ146" s="9"/>
      <c r="AR146" s="9"/>
      <c r="AS146" s="9"/>
      <c r="AT146" s="9"/>
      <c r="AW146" s="9"/>
      <c r="BG146" s="157">
        <f>SUM(E146,K146,Q146,W146,AC146,AI146,AO146,AU146,AX146,BD146)</f>
        <v>0</v>
      </c>
      <c r="BH146" s="158">
        <f>SUM(F146,L146,R146,X146,AD146,AJ146,AP146,AV146,AY146,BE146)</f>
        <v>0</v>
      </c>
    </row>
    <row r="147" spans="2:60" ht="14.4" thickBot="1" x14ac:dyDescent="0.3">
      <c r="B147" s="170"/>
      <c r="C147" s="173"/>
      <c r="D147" s="164" t="str">
        <f>IF(E146=F146,"",IF(E146&gt;F146,"Saldo Deudor","Saldo Acreedor"))</f>
        <v/>
      </c>
      <c r="E147" s="165" t="str">
        <f>IF(E146&gt;F146,E146-F146,"")</f>
        <v/>
      </c>
      <c r="F147" s="176" t="str">
        <f>IF(E146&lt;F146,F146-E146,"")</f>
        <v/>
      </c>
    </row>
    <row r="150" spans="2:60" ht="15.6" x14ac:dyDescent="0.25">
      <c r="B150" s="324" t="s">
        <v>472</v>
      </c>
      <c r="C150" s="324"/>
      <c r="D150" s="175">
        <v>1831</v>
      </c>
      <c r="E150" s="160"/>
    </row>
    <row r="151" spans="2:60" x14ac:dyDescent="0.25">
      <c r="B151" s="160"/>
      <c r="C151" s="160"/>
      <c r="D151" s="160"/>
      <c r="E151" s="160"/>
    </row>
    <row r="152" spans="2:60" ht="15.6" x14ac:dyDescent="0.25">
      <c r="B152" s="324" t="s">
        <v>473</v>
      </c>
      <c r="C152" s="324"/>
      <c r="D152" s="234" t="str">
        <f>VLOOKUP(D150,DivisionariasContables,3,FALSE)</f>
        <v>Servicios y Otros Contratados por Anticipado - Alquileres</v>
      </c>
      <c r="E152" s="160"/>
    </row>
    <row r="153" spans="2:60" ht="14.4" thickBot="1" x14ac:dyDescent="0.3"/>
    <row r="154" spans="2:60" x14ac:dyDescent="0.25">
      <c r="B154" s="325" t="s">
        <v>466</v>
      </c>
      <c r="C154" s="327" t="s">
        <v>467</v>
      </c>
      <c r="D154" s="327" t="s">
        <v>468</v>
      </c>
      <c r="E154" s="329" t="s">
        <v>469</v>
      </c>
      <c r="F154" s="330"/>
    </row>
    <row r="155" spans="2:60" ht="14.4" thickBot="1" x14ac:dyDescent="0.3">
      <c r="B155" s="326"/>
      <c r="C155" s="328"/>
      <c r="D155" s="328"/>
      <c r="E155" s="232" t="s">
        <v>403</v>
      </c>
      <c r="F155" s="174" t="s">
        <v>402</v>
      </c>
    </row>
    <row r="156" spans="2:60" ht="14.4" thickTop="1" x14ac:dyDescent="0.25">
      <c r="B156" s="236">
        <v>41670</v>
      </c>
      <c r="C156" s="171"/>
      <c r="D156" s="166" t="s">
        <v>470</v>
      </c>
      <c r="E156" s="167">
        <f>SUMIF('Libro Diario Convencional'!$D$15:$D$167,D150,'Libro Diario Convencional'!$G$15:$G$167)</f>
        <v>0</v>
      </c>
      <c r="F156" s="168">
        <f>SUMIF('Libro Diario Convencional'!$D$15:$D$167,D150,'Libro Diario Convencional'!$H$15:$H$167)</f>
        <v>0</v>
      </c>
      <c r="G156" s="9"/>
      <c r="H156" s="9"/>
      <c r="I156" s="9"/>
      <c r="J156" s="9"/>
      <c r="M156" s="9"/>
      <c r="N156" s="9"/>
      <c r="O156" s="9"/>
      <c r="P156" s="9"/>
      <c r="S156" s="9"/>
      <c r="T156" s="9"/>
      <c r="U156" s="9"/>
      <c r="V156" s="9"/>
      <c r="Y156" s="9"/>
      <c r="Z156" s="9"/>
      <c r="AA156" s="9"/>
      <c r="AB156" s="9"/>
      <c r="AE156" s="9"/>
      <c r="AF156" s="9"/>
      <c r="AG156" s="9"/>
      <c r="AH156" s="9"/>
      <c r="AK156" s="9"/>
      <c r="AL156" s="9"/>
      <c r="AM156" s="9"/>
      <c r="AN156" s="9"/>
      <c r="AQ156" s="9"/>
      <c r="AR156" s="9"/>
      <c r="AS156" s="9"/>
      <c r="AT156" s="9"/>
      <c r="AW156" s="9"/>
    </row>
    <row r="157" spans="2:60" x14ac:dyDescent="0.25">
      <c r="B157" s="169"/>
      <c r="C157" s="172"/>
      <c r="D157" s="161"/>
      <c r="E157" s="162"/>
      <c r="F157" s="163"/>
      <c r="G157" s="9"/>
      <c r="H157" s="9"/>
      <c r="I157" s="9"/>
      <c r="J157" s="9"/>
      <c r="M157" s="9"/>
      <c r="N157" s="9"/>
      <c r="O157" s="9"/>
      <c r="P157" s="9"/>
      <c r="S157" s="9"/>
      <c r="T157" s="9"/>
      <c r="U157" s="9"/>
      <c r="V157" s="9"/>
      <c r="Y157" s="9"/>
      <c r="Z157" s="9"/>
      <c r="AA157" s="9"/>
      <c r="AB157" s="9"/>
      <c r="AE157" s="9"/>
      <c r="AF157" s="9"/>
      <c r="AG157" s="9"/>
      <c r="AH157" s="9"/>
      <c r="AK157" s="9"/>
      <c r="AL157" s="9"/>
      <c r="AM157" s="9"/>
      <c r="AN157" s="9"/>
      <c r="AQ157" s="9"/>
      <c r="AR157" s="9"/>
      <c r="AS157" s="9"/>
      <c r="AT157" s="9"/>
      <c r="AW157" s="9"/>
    </row>
    <row r="158" spans="2:60" x14ac:dyDescent="0.25">
      <c r="B158" s="169"/>
      <c r="C158" s="172"/>
      <c r="D158" s="161"/>
      <c r="E158" s="162"/>
      <c r="F158" s="163"/>
      <c r="G158" s="9"/>
      <c r="H158" s="9"/>
      <c r="I158" s="9"/>
      <c r="J158" s="9"/>
      <c r="M158" s="9"/>
      <c r="N158" s="9"/>
      <c r="O158" s="9"/>
      <c r="P158" s="9"/>
      <c r="S158" s="9"/>
      <c r="T158" s="9"/>
      <c r="U158" s="9"/>
      <c r="V158" s="9"/>
      <c r="Y158" s="9"/>
      <c r="Z158" s="9"/>
      <c r="AA158" s="9"/>
      <c r="AB158" s="9"/>
      <c r="AE158" s="9"/>
      <c r="AF158" s="9"/>
      <c r="AG158" s="9"/>
      <c r="AH158" s="9"/>
      <c r="AK158" s="9"/>
      <c r="AL158" s="9"/>
      <c r="AM158" s="9"/>
      <c r="AN158" s="9"/>
      <c r="AQ158" s="9"/>
      <c r="AR158" s="9"/>
      <c r="AS158" s="9"/>
      <c r="AT158" s="9"/>
      <c r="AW158" s="9"/>
    </row>
    <row r="159" spans="2:60" ht="14.4" thickBot="1" x14ac:dyDescent="0.3">
      <c r="B159" s="169"/>
      <c r="C159" s="172"/>
      <c r="D159" s="161"/>
      <c r="E159" s="162"/>
      <c r="F159" s="163"/>
      <c r="G159" s="9"/>
      <c r="H159" s="9"/>
      <c r="I159" s="9"/>
      <c r="J159" s="9"/>
      <c r="M159" s="9"/>
      <c r="N159" s="9"/>
      <c r="O159" s="9"/>
      <c r="P159" s="9"/>
      <c r="S159" s="9"/>
      <c r="T159" s="9"/>
      <c r="U159" s="9"/>
      <c r="V159" s="9"/>
      <c r="Y159" s="9"/>
      <c r="Z159" s="9"/>
      <c r="AA159" s="9"/>
      <c r="AB159" s="9"/>
      <c r="AE159" s="9"/>
      <c r="AF159" s="9"/>
      <c r="AG159" s="9"/>
      <c r="AH159" s="9"/>
      <c r="AK159" s="9"/>
      <c r="AL159" s="9"/>
      <c r="AM159" s="9"/>
      <c r="AN159" s="9"/>
      <c r="AQ159" s="9"/>
      <c r="AR159" s="9"/>
      <c r="AS159" s="9"/>
      <c r="AT159" s="9"/>
      <c r="AW159" s="9"/>
    </row>
    <row r="160" spans="2:60" ht="15" thickBot="1" x14ac:dyDescent="0.3">
      <c r="B160" s="169"/>
      <c r="C160" s="172"/>
      <c r="D160" s="161" t="s">
        <v>471</v>
      </c>
      <c r="E160" s="162">
        <f>SUM(E156:E159)</f>
        <v>0</v>
      </c>
      <c r="F160" s="163">
        <f>SUM(F156:F159)</f>
        <v>0</v>
      </c>
      <c r="G160" s="9"/>
      <c r="H160" s="9"/>
      <c r="I160" s="9"/>
      <c r="J160" s="9"/>
      <c r="M160" s="9"/>
      <c r="N160" s="9"/>
      <c r="O160" s="9"/>
      <c r="P160" s="9"/>
      <c r="S160" s="9"/>
      <c r="T160" s="9"/>
      <c r="U160" s="9"/>
      <c r="V160" s="9"/>
      <c r="Y160" s="9"/>
      <c r="Z160" s="9"/>
      <c r="AA160" s="9"/>
      <c r="AB160" s="9"/>
      <c r="AE160" s="9"/>
      <c r="AF160" s="9"/>
      <c r="AG160" s="9"/>
      <c r="AH160" s="9"/>
      <c r="AK160" s="9"/>
      <c r="AL160" s="9"/>
      <c r="AM160" s="9"/>
      <c r="AN160" s="9"/>
      <c r="AQ160" s="9"/>
      <c r="AR160" s="9"/>
      <c r="AS160" s="9"/>
      <c r="AT160" s="9"/>
      <c r="AW160" s="9"/>
      <c r="BG160" s="157">
        <f>SUM(E160,K160,Q160,W160,AC160,AI160,AO160,AU160,AX160,BD160)</f>
        <v>0</v>
      </c>
      <c r="BH160" s="158">
        <f>SUM(F160,L160,R160,X160,AD160,AJ160,AP160,AV160,AY160,BE160)</f>
        <v>0</v>
      </c>
    </row>
    <row r="161" spans="2:60" ht="14.4" thickBot="1" x14ac:dyDescent="0.3">
      <c r="B161" s="170"/>
      <c r="C161" s="173"/>
      <c r="D161" s="164" t="str">
        <f>IF(E160=F160,"",IF(E160&gt;F160,"Saldo Deudor","Saldo Acreedor"))</f>
        <v/>
      </c>
      <c r="E161" s="165" t="str">
        <f>IF(E160&gt;F160,E160-F160,"")</f>
        <v/>
      </c>
      <c r="F161" s="176" t="str">
        <f>IF(E160&lt;F160,F160-E160,"")</f>
        <v/>
      </c>
    </row>
    <row r="164" spans="2:60" ht="15.6" x14ac:dyDescent="0.25">
      <c r="B164" s="324" t="s">
        <v>472</v>
      </c>
      <c r="C164" s="324"/>
      <c r="D164" s="175">
        <v>1841</v>
      </c>
      <c r="E164" s="160"/>
    </row>
    <row r="165" spans="2:60" x14ac:dyDescent="0.25">
      <c r="B165" s="160"/>
      <c r="C165" s="160"/>
      <c r="D165" s="160"/>
      <c r="E165" s="160"/>
    </row>
    <row r="166" spans="2:60" ht="15.6" x14ac:dyDescent="0.25">
      <c r="B166" s="324" t="s">
        <v>473</v>
      </c>
      <c r="C166" s="324"/>
      <c r="D166" s="234" t="str">
        <f>VLOOKUP(D164,DivisionariasContables,3,FALSE)</f>
        <v>Servicios y Otros Contratados por Anticipado - Primas Pagadas por Opciones</v>
      </c>
      <c r="E166" s="160"/>
    </row>
    <row r="167" spans="2:60" ht="14.4" thickBot="1" x14ac:dyDescent="0.3"/>
    <row r="168" spans="2:60" x14ac:dyDescent="0.25">
      <c r="B168" s="325" t="s">
        <v>466</v>
      </c>
      <c r="C168" s="327" t="s">
        <v>467</v>
      </c>
      <c r="D168" s="327" t="s">
        <v>468</v>
      </c>
      <c r="E168" s="329" t="s">
        <v>469</v>
      </c>
      <c r="F168" s="330"/>
    </row>
    <row r="169" spans="2:60" ht="14.4" thickBot="1" x14ac:dyDescent="0.3">
      <c r="B169" s="326"/>
      <c r="C169" s="328"/>
      <c r="D169" s="328"/>
      <c r="E169" s="232" t="s">
        <v>403</v>
      </c>
      <c r="F169" s="174" t="s">
        <v>402</v>
      </c>
    </row>
    <row r="170" spans="2:60" ht="14.4" thickTop="1" x14ac:dyDescent="0.25">
      <c r="B170" s="236">
        <v>41670</v>
      </c>
      <c r="C170" s="171"/>
      <c r="D170" s="166" t="s">
        <v>470</v>
      </c>
      <c r="E170" s="167">
        <f>SUMIF('Libro Diario Convencional'!$D$15:$D$167,D164,'Libro Diario Convencional'!$G$15:$G$167)</f>
        <v>0</v>
      </c>
      <c r="F170" s="168">
        <f>SUMIF('Libro Diario Convencional'!$D$15:$D$167,D164,'Libro Diario Convencional'!$H$15:$H$167)</f>
        <v>0</v>
      </c>
      <c r="G170" s="9"/>
      <c r="H170" s="9"/>
      <c r="I170" s="9"/>
      <c r="J170" s="9"/>
      <c r="M170" s="9"/>
      <c r="N170" s="9"/>
      <c r="O170" s="9"/>
      <c r="P170" s="9"/>
      <c r="S170" s="9"/>
      <c r="T170" s="9"/>
      <c r="U170" s="9"/>
      <c r="V170" s="9"/>
      <c r="Y170" s="9"/>
      <c r="Z170" s="9"/>
      <c r="AA170" s="9"/>
      <c r="AB170" s="9"/>
      <c r="AE170" s="9"/>
      <c r="AF170" s="9"/>
      <c r="AG170" s="9"/>
      <c r="AH170" s="9"/>
      <c r="AK170" s="9"/>
      <c r="AL170" s="9"/>
      <c r="AM170" s="9"/>
      <c r="AN170" s="9"/>
      <c r="AQ170" s="9"/>
      <c r="AR170" s="9"/>
      <c r="AS170" s="9"/>
      <c r="AT170" s="9"/>
      <c r="AW170" s="9"/>
    </row>
    <row r="171" spans="2:60" x14ac:dyDescent="0.25">
      <c r="B171" s="169"/>
      <c r="C171" s="172"/>
      <c r="D171" s="161"/>
      <c r="E171" s="162"/>
      <c r="F171" s="163"/>
      <c r="G171" s="9"/>
      <c r="H171" s="9"/>
      <c r="I171" s="9"/>
      <c r="J171" s="9"/>
      <c r="M171" s="9"/>
      <c r="N171" s="9"/>
      <c r="O171" s="9"/>
      <c r="P171" s="9"/>
      <c r="S171" s="9"/>
      <c r="T171" s="9"/>
      <c r="U171" s="9"/>
      <c r="V171" s="9"/>
      <c r="Y171" s="9"/>
      <c r="Z171" s="9"/>
      <c r="AA171" s="9"/>
      <c r="AB171" s="9"/>
      <c r="AE171" s="9"/>
      <c r="AF171" s="9"/>
      <c r="AG171" s="9"/>
      <c r="AH171" s="9"/>
      <c r="AK171" s="9"/>
      <c r="AL171" s="9"/>
      <c r="AM171" s="9"/>
      <c r="AN171" s="9"/>
      <c r="AQ171" s="9"/>
      <c r="AR171" s="9"/>
      <c r="AS171" s="9"/>
      <c r="AT171" s="9"/>
      <c r="AW171" s="9"/>
    </row>
    <row r="172" spans="2:60" x14ac:dyDescent="0.25">
      <c r="B172" s="169"/>
      <c r="C172" s="172"/>
      <c r="D172" s="161"/>
      <c r="E172" s="162"/>
      <c r="F172" s="163"/>
      <c r="G172" s="9"/>
      <c r="H172" s="9"/>
      <c r="I172" s="9"/>
      <c r="J172" s="9"/>
      <c r="M172" s="9"/>
      <c r="N172" s="9"/>
      <c r="O172" s="9"/>
      <c r="P172" s="9"/>
      <c r="S172" s="9"/>
      <c r="T172" s="9"/>
      <c r="U172" s="9"/>
      <c r="V172" s="9"/>
      <c r="Y172" s="9"/>
      <c r="Z172" s="9"/>
      <c r="AA172" s="9"/>
      <c r="AB172" s="9"/>
      <c r="AE172" s="9"/>
      <c r="AF172" s="9"/>
      <c r="AG172" s="9"/>
      <c r="AH172" s="9"/>
      <c r="AK172" s="9"/>
      <c r="AL172" s="9"/>
      <c r="AM172" s="9"/>
      <c r="AN172" s="9"/>
      <c r="AQ172" s="9"/>
      <c r="AR172" s="9"/>
      <c r="AS172" s="9"/>
      <c r="AT172" s="9"/>
      <c r="AW172" s="9"/>
    </row>
    <row r="173" spans="2:60" ht="14.4" thickBot="1" x14ac:dyDescent="0.3">
      <c r="B173" s="169"/>
      <c r="C173" s="172"/>
      <c r="D173" s="161"/>
      <c r="E173" s="162"/>
      <c r="F173" s="163"/>
      <c r="G173" s="9"/>
      <c r="H173" s="9"/>
      <c r="I173" s="9"/>
      <c r="J173" s="9"/>
      <c r="M173" s="9"/>
      <c r="N173" s="9"/>
      <c r="O173" s="9"/>
      <c r="P173" s="9"/>
      <c r="S173" s="9"/>
      <c r="T173" s="9"/>
      <c r="U173" s="9"/>
      <c r="V173" s="9"/>
      <c r="Y173" s="9"/>
      <c r="Z173" s="9"/>
      <c r="AA173" s="9"/>
      <c r="AB173" s="9"/>
      <c r="AE173" s="9"/>
      <c r="AF173" s="9"/>
      <c r="AG173" s="9"/>
      <c r="AH173" s="9"/>
      <c r="AK173" s="9"/>
      <c r="AL173" s="9"/>
      <c r="AM173" s="9"/>
      <c r="AN173" s="9"/>
      <c r="AQ173" s="9"/>
      <c r="AR173" s="9"/>
      <c r="AS173" s="9"/>
      <c r="AT173" s="9"/>
      <c r="AW173" s="9"/>
    </row>
    <row r="174" spans="2:60" ht="15" thickBot="1" x14ac:dyDescent="0.3">
      <c r="B174" s="169"/>
      <c r="C174" s="172"/>
      <c r="D174" s="161" t="s">
        <v>471</v>
      </c>
      <c r="E174" s="162">
        <f>SUM(E170:E173)</f>
        <v>0</v>
      </c>
      <c r="F174" s="163">
        <f>SUM(F170:F173)</f>
        <v>0</v>
      </c>
      <c r="G174" s="9"/>
      <c r="H174" s="9"/>
      <c r="I174" s="9"/>
      <c r="J174" s="9"/>
      <c r="M174" s="9"/>
      <c r="N174" s="9"/>
      <c r="O174" s="9"/>
      <c r="P174" s="9"/>
      <c r="S174" s="9"/>
      <c r="T174" s="9"/>
      <c r="U174" s="9"/>
      <c r="V174" s="9"/>
      <c r="Y174" s="9"/>
      <c r="Z174" s="9"/>
      <c r="AA174" s="9"/>
      <c r="AB174" s="9"/>
      <c r="AE174" s="9"/>
      <c r="AF174" s="9"/>
      <c r="AG174" s="9"/>
      <c r="AH174" s="9"/>
      <c r="AK174" s="9"/>
      <c r="AL174" s="9"/>
      <c r="AM174" s="9"/>
      <c r="AN174" s="9"/>
      <c r="AQ174" s="9"/>
      <c r="AR174" s="9"/>
      <c r="AS174" s="9"/>
      <c r="AT174" s="9"/>
      <c r="AW174" s="9"/>
      <c r="BG174" s="157">
        <f>SUM(E174,K174,Q174,W174,AC174,AI174,AO174,AU174,AX174,BD174)</f>
        <v>0</v>
      </c>
      <c r="BH174" s="158">
        <f>SUM(F174,L174,R174,X174,AD174,AJ174,AP174,AV174,AY174,BE174)</f>
        <v>0</v>
      </c>
    </row>
    <row r="175" spans="2:60" ht="14.4" thickBot="1" x14ac:dyDescent="0.3">
      <c r="B175" s="170"/>
      <c r="C175" s="173"/>
      <c r="D175" s="164" t="str">
        <f>IF(E174=F174,"",IF(E174&gt;F174,"Saldo Deudor","Saldo Acreedor"))</f>
        <v/>
      </c>
      <c r="E175" s="165" t="str">
        <f>IF(E174&gt;F174,E174-F174,"")</f>
        <v/>
      </c>
      <c r="F175" s="176" t="str">
        <f>IF(E174&lt;F174,F174-E174,"")</f>
        <v/>
      </c>
    </row>
    <row r="178" spans="2:60" ht="15.6" x14ac:dyDescent="0.25">
      <c r="B178" s="324" t="s">
        <v>472</v>
      </c>
      <c r="C178" s="324"/>
      <c r="D178" s="175">
        <v>1851</v>
      </c>
      <c r="E178" s="160"/>
    </row>
    <row r="179" spans="2:60" x14ac:dyDescent="0.25">
      <c r="B179" s="160"/>
      <c r="C179" s="160"/>
      <c r="D179" s="160"/>
      <c r="E179" s="160"/>
    </row>
    <row r="180" spans="2:60" ht="15.6" x14ac:dyDescent="0.25">
      <c r="B180" s="324" t="s">
        <v>473</v>
      </c>
      <c r="C180" s="324"/>
      <c r="D180" s="234" t="str">
        <f>VLOOKUP(D178,DivisionariasContables,3,FALSE)</f>
        <v>Servicios y Otros Contratados por Anticipado - Mantenimiento de Activos Inmovilizados</v>
      </c>
      <c r="E180" s="160"/>
    </row>
    <row r="181" spans="2:60" ht="14.4" thickBot="1" x14ac:dyDescent="0.3"/>
    <row r="182" spans="2:60" x14ac:dyDescent="0.25">
      <c r="B182" s="325" t="s">
        <v>466</v>
      </c>
      <c r="C182" s="327" t="s">
        <v>467</v>
      </c>
      <c r="D182" s="327" t="s">
        <v>468</v>
      </c>
      <c r="E182" s="329" t="s">
        <v>469</v>
      </c>
      <c r="F182" s="330"/>
    </row>
    <row r="183" spans="2:60" ht="14.4" thickBot="1" x14ac:dyDescent="0.3">
      <c r="B183" s="326"/>
      <c r="C183" s="328"/>
      <c r="D183" s="328"/>
      <c r="E183" s="232" t="s">
        <v>403</v>
      </c>
      <c r="F183" s="174" t="s">
        <v>402</v>
      </c>
    </row>
    <row r="184" spans="2:60" ht="14.4" thickTop="1" x14ac:dyDescent="0.25">
      <c r="B184" s="236">
        <v>41670</v>
      </c>
      <c r="C184" s="171"/>
      <c r="D184" s="166" t="s">
        <v>470</v>
      </c>
      <c r="E184" s="167">
        <f>SUMIF('Libro Diario Convencional'!$D$15:$D$167,D178,'Libro Diario Convencional'!$G$15:$G$167)</f>
        <v>0</v>
      </c>
      <c r="F184" s="168">
        <f>SUMIF('Libro Diario Convencional'!$D$15:$D$167,D178,'Libro Diario Convencional'!$H$15:$H$167)</f>
        <v>0</v>
      </c>
    </row>
    <row r="185" spans="2:60" x14ac:dyDescent="0.25">
      <c r="B185" s="169"/>
      <c r="C185" s="172"/>
      <c r="D185" s="161"/>
      <c r="E185" s="162"/>
      <c r="F185" s="163"/>
    </row>
    <row r="186" spans="2:60" x14ac:dyDescent="0.25">
      <c r="B186" s="169"/>
      <c r="C186" s="172"/>
      <c r="D186" s="161"/>
      <c r="E186" s="162"/>
      <c r="F186" s="163"/>
    </row>
    <row r="187" spans="2:60" ht="14.4" thickBot="1" x14ac:dyDescent="0.3">
      <c r="B187" s="169"/>
      <c r="C187" s="172"/>
      <c r="D187" s="161"/>
      <c r="E187" s="162"/>
      <c r="F187" s="163"/>
    </row>
    <row r="188" spans="2:60" ht="15" thickBot="1" x14ac:dyDescent="0.3">
      <c r="B188" s="169"/>
      <c r="C188" s="172"/>
      <c r="D188" s="161" t="s">
        <v>471</v>
      </c>
      <c r="E188" s="162">
        <f>SUM(E184:E187)</f>
        <v>0</v>
      </c>
      <c r="F188" s="163">
        <f>SUM(F184:F187)</f>
        <v>0</v>
      </c>
      <c r="BG188" s="157">
        <f>SUM(E188,K188,Q188,W188,AC188,AI188,AO188,AU188,AX188,BD188)</f>
        <v>0</v>
      </c>
      <c r="BH188" s="158">
        <f>SUM(F188,L188,R188,X188,AD188,AJ188,AP188,AV188,AY188,BE188)</f>
        <v>0</v>
      </c>
    </row>
    <row r="189" spans="2:60" ht="14.4" thickBot="1" x14ac:dyDescent="0.3">
      <c r="B189" s="170"/>
      <c r="C189" s="173"/>
      <c r="D189" s="164" t="str">
        <f>IF(E188=F188,"",IF(E188&gt;F188,"Saldo Deudor","Saldo Acreedor"))</f>
        <v/>
      </c>
      <c r="E189" s="165" t="str">
        <f>IF(E188&gt;F188,E188-F188,"")</f>
        <v/>
      </c>
      <c r="F189" s="176" t="str">
        <f>IF(E188&lt;F188,F188-E188,"")</f>
        <v/>
      </c>
    </row>
    <row r="192" spans="2:60" ht="15.6" x14ac:dyDescent="0.25">
      <c r="B192" s="324" t="s">
        <v>472</v>
      </c>
      <c r="C192" s="324"/>
      <c r="D192" s="175">
        <v>1891</v>
      </c>
      <c r="E192" s="160"/>
      <c r="H192" s="324" t="s">
        <v>472</v>
      </c>
      <c r="I192" s="324"/>
      <c r="J192" s="175">
        <v>1899</v>
      </c>
      <c r="K192" s="160"/>
    </row>
    <row r="193" spans="2:60" x14ac:dyDescent="0.25">
      <c r="B193" s="160"/>
      <c r="C193" s="160"/>
      <c r="D193" s="160"/>
      <c r="E193" s="160"/>
      <c r="H193" s="160"/>
      <c r="I193" s="160"/>
      <c r="J193" s="160"/>
      <c r="K193" s="160"/>
    </row>
    <row r="194" spans="2:60" ht="15.6" x14ac:dyDescent="0.25">
      <c r="B194" s="324" t="s">
        <v>473</v>
      </c>
      <c r="C194" s="324"/>
      <c r="D194" s="234" t="str">
        <f>VLOOKUP(D192,DivisionariasContables,3,FALSE)</f>
        <v>Servicios y Otros Contratados por Anticipado - Otros Gastos Contratados por Anticipado</v>
      </c>
      <c r="E194" s="160"/>
      <c r="H194" s="324" t="s">
        <v>473</v>
      </c>
      <c r="I194" s="324"/>
      <c r="J194" s="234" t="str">
        <f>VLOOKUP(J192,DivisionariasContables,3,FALSE)</f>
        <v>Servicios y Otros Contratados por Anticipado - Reclasificación de IGV al Gasto Anticipado</v>
      </c>
      <c r="K194" s="160"/>
    </row>
    <row r="195" spans="2:60" ht="14.4" thickBot="1" x14ac:dyDescent="0.3"/>
    <row r="196" spans="2:60" x14ac:dyDescent="0.25">
      <c r="B196" s="325" t="s">
        <v>466</v>
      </c>
      <c r="C196" s="327" t="s">
        <v>467</v>
      </c>
      <c r="D196" s="327" t="s">
        <v>468</v>
      </c>
      <c r="E196" s="329" t="s">
        <v>469</v>
      </c>
      <c r="F196" s="330"/>
      <c r="H196" s="325" t="s">
        <v>466</v>
      </c>
      <c r="I196" s="327" t="s">
        <v>467</v>
      </c>
      <c r="J196" s="327" t="s">
        <v>468</v>
      </c>
      <c r="K196" s="329" t="s">
        <v>469</v>
      </c>
      <c r="L196" s="330"/>
    </row>
    <row r="197" spans="2:60" ht="14.4" thickBot="1" x14ac:dyDescent="0.3">
      <c r="B197" s="326"/>
      <c r="C197" s="328"/>
      <c r="D197" s="328"/>
      <c r="E197" s="232" t="s">
        <v>403</v>
      </c>
      <c r="F197" s="174" t="s">
        <v>402</v>
      </c>
      <c r="H197" s="326"/>
      <c r="I197" s="328"/>
      <c r="J197" s="328"/>
      <c r="K197" s="232" t="s">
        <v>403</v>
      </c>
      <c r="L197" s="174" t="s">
        <v>402</v>
      </c>
    </row>
    <row r="198" spans="2:60" ht="14.4" thickTop="1" x14ac:dyDescent="0.25">
      <c r="B198" s="236">
        <v>41670</v>
      </c>
      <c r="C198" s="171"/>
      <c r="D198" s="166" t="s">
        <v>470</v>
      </c>
      <c r="E198" s="167">
        <f>SUMIF('Libro Diario Convencional'!$D$15:$D$167,D192,'Libro Diario Convencional'!$G$15:$G$167)</f>
        <v>0</v>
      </c>
      <c r="F198" s="168">
        <f>SUMIF('Libro Diario Convencional'!$D$15:$D$167,D192,'Libro Diario Convencional'!$H$15:$H$167)</f>
        <v>0</v>
      </c>
      <c r="H198" s="236">
        <v>41670</v>
      </c>
      <c r="I198" s="171"/>
      <c r="J198" s="166" t="s">
        <v>470</v>
      </c>
      <c r="K198" s="167">
        <f>SUMIF('Libro Diario Convencional'!$D$15:$D$167,J192,'Libro Diario Convencional'!$G$15:$G$167)</f>
        <v>0</v>
      </c>
      <c r="L198" s="168">
        <f>SUMIF('Libro Diario Convencional'!$D$15:$D$167,J192,'Libro Diario Convencional'!$H$15:$H$167)</f>
        <v>0</v>
      </c>
    </row>
    <row r="199" spans="2:60" x14ac:dyDescent="0.25">
      <c r="B199" s="169"/>
      <c r="C199" s="172"/>
      <c r="D199" s="161"/>
      <c r="E199" s="162"/>
      <c r="F199" s="163"/>
      <c r="H199" s="169"/>
      <c r="I199" s="172"/>
      <c r="J199" s="161"/>
      <c r="K199" s="162"/>
      <c r="L199" s="163"/>
    </row>
    <row r="200" spans="2:60" x14ac:dyDescent="0.25">
      <c r="B200" s="169"/>
      <c r="C200" s="172"/>
      <c r="D200" s="161"/>
      <c r="E200" s="162"/>
      <c r="F200" s="163"/>
      <c r="H200" s="169"/>
      <c r="I200" s="172"/>
      <c r="J200" s="161"/>
      <c r="K200" s="162"/>
      <c r="L200" s="163"/>
    </row>
    <row r="201" spans="2:60" ht="14.4" thickBot="1" x14ac:dyDescent="0.3">
      <c r="B201" s="169"/>
      <c r="C201" s="172"/>
      <c r="D201" s="161"/>
      <c r="E201" s="162"/>
      <c r="F201" s="163"/>
      <c r="H201" s="169"/>
      <c r="I201" s="172"/>
      <c r="J201" s="161"/>
      <c r="K201" s="162"/>
      <c r="L201" s="163"/>
    </row>
    <row r="202" spans="2:60" ht="15" thickBot="1" x14ac:dyDescent="0.3">
      <c r="B202" s="169"/>
      <c r="C202" s="172"/>
      <c r="D202" s="161" t="s">
        <v>471</v>
      </c>
      <c r="E202" s="162">
        <f>SUM(E198:E201)</f>
        <v>0</v>
      </c>
      <c r="F202" s="163">
        <f>SUM(F198:F201)</f>
        <v>0</v>
      </c>
      <c r="H202" s="169"/>
      <c r="I202" s="172"/>
      <c r="J202" s="161" t="s">
        <v>471</v>
      </c>
      <c r="K202" s="162">
        <f>SUM(K198:K201)</f>
        <v>0</v>
      </c>
      <c r="L202" s="163">
        <f>SUM(L198:L201)</f>
        <v>0</v>
      </c>
      <c r="BG202" s="157">
        <f>SUM(E202,K202,Q202,W202,AC202,AI202,AO202,AU202,AX202,BD202)</f>
        <v>0</v>
      </c>
      <c r="BH202" s="158">
        <f>SUM(F202,L202,R202,X202,AD202,AJ202,AP202,AV202,AY202,BE202)</f>
        <v>0</v>
      </c>
    </row>
    <row r="203" spans="2:60" ht="14.4" thickBot="1" x14ac:dyDescent="0.3">
      <c r="B203" s="170"/>
      <c r="C203" s="173"/>
      <c r="D203" s="164" t="str">
        <f>IF(E202=F202,"",IF(E202&gt;F202,"Saldo Deudor","Saldo Acreedor"))</f>
        <v/>
      </c>
      <c r="E203" s="165" t="str">
        <f>IF(E202&gt;F202,E202-F202,"")</f>
        <v/>
      </c>
      <c r="F203" s="176" t="str">
        <f>IF(E202&lt;F202,F202-E202,"")</f>
        <v/>
      </c>
      <c r="H203" s="170"/>
      <c r="I203" s="173"/>
      <c r="J203" s="164" t="str">
        <f>IF(K202=L202,"",IF(K202&gt;L202,"Saldo Deudor","Saldo Acreedor"))</f>
        <v/>
      </c>
      <c r="K203" s="165" t="str">
        <f>IF(K202&gt;L202,K202-L202,"")</f>
        <v/>
      </c>
      <c r="L203" s="176" t="str">
        <f>IF(K202&lt;L202,L202-K202,"")</f>
        <v/>
      </c>
    </row>
    <row r="206" spans="2:60" ht="15.6" x14ac:dyDescent="0.25">
      <c r="B206" s="324" t="s">
        <v>472</v>
      </c>
      <c r="C206" s="324"/>
      <c r="D206" s="175">
        <v>2011</v>
      </c>
      <c r="E206" s="160"/>
    </row>
    <row r="207" spans="2:60" x14ac:dyDescent="0.25">
      <c r="B207" s="160"/>
      <c r="C207" s="160"/>
      <c r="D207" s="160"/>
      <c r="E207" s="160"/>
    </row>
    <row r="208" spans="2:60" ht="15.6" x14ac:dyDescent="0.25">
      <c r="B208" s="324" t="s">
        <v>473</v>
      </c>
      <c r="C208" s="324"/>
      <c r="D208" s="234" t="str">
        <f>VLOOKUP(D206,DivisionariasContables,3,FALSE)</f>
        <v>Mercaderías Manufacturadas</v>
      </c>
      <c r="E208" s="160"/>
    </row>
    <row r="209" spans="2:60" ht="14.4" thickBot="1" x14ac:dyDescent="0.3"/>
    <row r="210" spans="2:60" x14ac:dyDescent="0.25">
      <c r="B210" s="325" t="s">
        <v>466</v>
      </c>
      <c r="C210" s="327" t="s">
        <v>467</v>
      </c>
      <c r="D210" s="327" t="s">
        <v>468</v>
      </c>
      <c r="E210" s="329" t="s">
        <v>469</v>
      </c>
      <c r="F210" s="330"/>
    </row>
    <row r="211" spans="2:60" ht="14.4" thickBot="1" x14ac:dyDescent="0.3">
      <c r="B211" s="326"/>
      <c r="C211" s="328"/>
      <c r="D211" s="328"/>
      <c r="E211" s="232" t="s">
        <v>403</v>
      </c>
      <c r="F211" s="174" t="s">
        <v>402</v>
      </c>
    </row>
    <row r="212" spans="2:60" ht="14.4" thickTop="1" x14ac:dyDescent="0.25">
      <c r="B212" s="236">
        <v>41670</v>
      </c>
      <c r="C212" s="171"/>
      <c r="D212" s="166" t="s">
        <v>470</v>
      </c>
      <c r="E212" s="167">
        <f>SUMIF('Libro Diario Convencional'!$D$15:$D$167,D206,'Libro Diario Convencional'!$G$15:$G$167)</f>
        <v>0</v>
      </c>
      <c r="F212" s="168">
        <f>SUMIF('Libro Diario Convencional'!$D$15:$D$167,D206,'Libro Diario Convencional'!$H$15:$H$167)</f>
        <v>0</v>
      </c>
    </row>
    <row r="213" spans="2:60" x14ac:dyDescent="0.25">
      <c r="B213" s="169"/>
      <c r="C213" s="172"/>
      <c r="D213" s="161"/>
      <c r="E213" s="162"/>
      <c r="F213" s="163"/>
    </row>
    <row r="214" spans="2:60" x14ac:dyDescent="0.25">
      <c r="B214" s="169"/>
      <c r="C214" s="172"/>
      <c r="D214" s="161"/>
      <c r="E214" s="162"/>
      <c r="F214" s="163"/>
    </row>
    <row r="215" spans="2:60" ht="14.4" thickBot="1" x14ac:dyDescent="0.3">
      <c r="B215" s="169"/>
      <c r="C215" s="172"/>
      <c r="D215" s="161"/>
      <c r="E215" s="162"/>
      <c r="F215" s="163"/>
    </row>
    <row r="216" spans="2:60" ht="15" thickBot="1" x14ac:dyDescent="0.3">
      <c r="B216" s="169"/>
      <c r="C216" s="172"/>
      <c r="D216" s="161" t="s">
        <v>471</v>
      </c>
      <c r="E216" s="162">
        <f>SUM(E212:E215)</f>
        <v>0</v>
      </c>
      <c r="F216" s="163">
        <f>SUM(F212:F215)</f>
        <v>0</v>
      </c>
      <c r="BG216" s="157">
        <f>SUM(E216,K216,Q216,W216,AC216,AI216,AO216,AU216,AX216,BD216)</f>
        <v>0</v>
      </c>
      <c r="BH216" s="158">
        <f>SUM(F216,L216,R216,X216,AD216,AJ216,AP216,AV216,AY216,BE216)</f>
        <v>0</v>
      </c>
    </row>
    <row r="217" spans="2:60" ht="14.4" thickBot="1" x14ac:dyDescent="0.3">
      <c r="B217" s="170"/>
      <c r="C217" s="173"/>
      <c r="D217" s="164" t="str">
        <f>IF(E216=F216,"",IF(E216&gt;F216,"Saldo Deudor","Saldo Acreedor"))</f>
        <v/>
      </c>
      <c r="E217" s="165" t="str">
        <f>IF(E216&gt;F216,E216-F216,"")</f>
        <v/>
      </c>
      <c r="F217" s="176" t="str">
        <f>IF(E216&lt;F216,F216-E216,"")</f>
        <v/>
      </c>
    </row>
    <row r="220" spans="2:60" ht="15.6" x14ac:dyDescent="0.25">
      <c r="B220" s="324" t="s">
        <v>472</v>
      </c>
      <c r="C220" s="324"/>
      <c r="D220" s="175">
        <v>2021</v>
      </c>
      <c r="E220" s="160"/>
    </row>
    <row r="221" spans="2:60" x14ac:dyDescent="0.25">
      <c r="B221" s="160"/>
      <c r="C221" s="160"/>
      <c r="D221" s="160"/>
      <c r="E221" s="160"/>
    </row>
    <row r="222" spans="2:60" ht="15.6" x14ac:dyDescent="0.25">
      <c r="B222" s="324" t="s">
        <v>473</v>
      </c>
      <c r="C222" s="324"/>
      <c r="D222" s="234" t="str">
        <f>VLOOKUP(D220,DivisionariasContables,3,FALSE)</f>
        <v>Mercaderías de Extracción</v>
      </c>
      <c r="E222" s="160"/>
    </row>
    <row r="223" spans="2:60" ht="14.4" thickBot="1" x14ac:dyDescent="0.3"/>
    <row r="224" spans="2:60" x14ac:dyDescent="0.25">
      <c r="B224" s="325" t="s">
        <v>466</v>
      </c>
      <c r="C224" s="327" t="s">
        <v>467</v>
      </c>
      <c r="D224" s="327" t="s">
        <v>468</v>
      </c>
      <c r="E224" s="329" t="s">
        <v>469</v>
      </c>
      <c r="F224" s="330"/>
    </row>
    <row r="225" spans="2:60" ht="14.4" thickBot="1" x14ac:dyDescent="0.3">
      <c r="B225" s="326"/>
      <c r="C225" s="328"/>
      <c r="D225" s="328"/>
      <c r="E225" s="232" t="s">
        <v>403</v>
      </c>
      <c r="F225" s="174" t="s">
        <v>402</v>
      </c>
    </row>
    <row r="226" spans="2:60" ht="14.4" thickTop="1" x14ac:dyDescent="0.25">
      <c r="B226" s="236">
        <v>41670</v>
      </c>
      <c r="C226" s="171"/>
      <c r="D226" s="166" t="s">
        <v>470</v>
      </c>
      <c r="E226" s="167">
        <f>SUMIF('Libro Diario Convencional'!$D$15:$D$167,D220,'Libro Diario Convencional'!$G$15:$G$167)</f>
        <v>0</v>
      </c>
      <c r="F226" s="168">
        <f>SUMIF('Libro Diario Convencional'!$D$15:$D$167,D220,'Libro Diario Convencional'!$H$15:$H$167)</f>
        <v>0</v>
      </c>
    </row>
    <row r="227" spans="2:60" x14ac:dyDescent="0.25">
      <c r="B227" s="169"/>
      <c r="C227" s="172"/>
      <c r="D227" s="161"/>
      <c r="E227" s="162"/>
      <c r="F227" s="163"/>
    </row>
    <row r="228" spans="2:60" x14ac:dyDescent="0.25">
      <c r="B228" s="169"/>
      <c r="C228" s="172"/>
      <c r="D228" s="161"/>
      <c r="E228" s="162"/>
      <c r="F228" s="163"/>
    </row>
    <row r="229" spans="2:60" ht="14.4" thickBot="1" x14ac:dyDescent="0.3">
      <c r="B229" s="169"/>
      <c r="C229" s="172"/>
      <c r="D229" s="161"/>
      <c r="E229" s="162"/>
      <c r="F229" s="163"/>
    </row>
    <row r="230" spans="2:60" ht="15" thickBot="1" x14ac:dyDescent="0.3">
      <c r="B230" s="169"/>
      <c r="C230" s="172"/>
      <c r="D230" s="161" t="s">
        <v>471</v>
      </c>
      <c r="E230" s="162">
        <f>SUM(E226:E229)</f>
        <v>0</v>
      </c>
      <c r="F230" s="163">
        <f>SUM(F226:F229)</f>
        <v>0</v>
      </c>
      <c r="BG230" s="157">
        <f>SUM(E230,K230,Q230,W230,AC230,AI230,AO230,AU230,AX230,BD230)</f>
        <v>0</v>
      </c>
      <c r="BH230" s="158">
        <f>SUM(F230,L230,R230,X230,AD230,AJ230,AP230,AV230,AY230,BE230)</f>
        <v>0</v>
      </c>
    </row>
    <row r="231" spans="2:60" ht="14.4" thickBot="1" x14ac:dyDescent="0.3">
      <c r="B231" s="170"/>
      <c r="C231" s="173"/>
      <c r="D231" s="164" t="str">
        <f>IF(E230=F230,"",IF(E230&gt;F230,"Saldo Deudor","Saldo Acreedor"))</f>
        <v/>
      </c>
      <c r="E231" s="165" t="str">
        <f>IF(E230&gt;F230,E230-F230,"")</f>
        <v/>
      </c>
      <c r="F231" s="176" t="str">
        <f>IF(E230&lt;F230,F230-E230,"")</f>
        <v/>
      </c>
    </row>
    <row r="234" spans="2:60" ht="15.6" x14ac:dyDescent="0.25">
      <c r="B234" s="324" t="s">
        <v>472</v>
      </c>
      <c r="C234" s="324"/>
      <c r="D234" s="175">
        <v>2031</v>
      </c>
      <c r="E234" s="160"/>
      <c r="H234" s="324" t="s">
        <v>472</v>
      </c>
      <c r="I234" s="324"/>
      <c r="J234" s="175">
        <v>2032</v>
      </c>
      <c r="K234" s="160"/>
    </row>
    <row r="235" spans="2:60" x14ac:dyDescent="0.25">
      <c r="B235" s="160"/>
      <c r="C235" s="160"/>
      <c r="D235" s="160"/>
      <c r="E235" s="160"/>
      <c r="H235" s="160"/>
      <c r="I235" s="160"/>
      <c r="J235" s="160"/>
      <c r="K235" s="160"/>
    </row>
    <row r="236" spans="2:60" ht="15.6" x14ac:dyDescent="0.25">
      <c r="B236" s="324" t="s">
        <v>473</v>
      </c>
      <c r="C236" s="324"/>
      <c r="D236" s="234" t="str">
        <f>VLOOKUP(D234,DivisionariasContables,3,FALSE)</f>
        <v>De Origen Animal</v>
      </c>
      <c r="E236" s="160"/>
      <c r="H236" s="324" t="s">
        <v>473</v>
      </c>
      <c r="I236" s="324"/>
      <c r="J236" s="234" t="str">
        <f>VLOOKUP(J234,DivisionariasContables,3,FALSE)</f>
        <v>De Origen Vegetal</v>
      </c>
      <c r="K236" s="160"/>
    </row>
    <row r="237" spans="2:60" ht="14.4" thickBot="1" x14ac:dyDescent="0.3"/>
    <row r="238" spans="2:60" x14ac:dyDescent="0.25">
      <c r="B238" s="325" t="s">
        <v>466</v>
      </c>
      <c r="C238" s="327" t="s">
        <v>467</v>
      </c>
      <c r="D238" s="327" t="s">
        <v>468</v>
      </c>
      <c r="E238" s="329" t="s">
        <v>469</v>
      </c>
      <c r="F238" s="330"/>
      <c r="H238" s="325" t="s">
        <v>466</v>
      </c>
      <c r="I238" s="327" t="s">
        <v>467</v>
      </c>
      <c r="J238" s="327" t="s">
        <v>468</v>
      </c>
      <c r="K238" s="329" t="s">
        <v>469</v>
      </c>
      <c r="L238" s="330"/>
    </row>
    <row r="239" spans="2:60" ht="14.4" thickBot="1" x14ac:dyDescent="0.3">
      <c r="B239" s="326"/>
      <c r="C239" s="328"/>
      <c r="D239" s="328"/>
      <c r="E239" s="232" t="s">
        <v>403</v>
      </c>
      <c r="F239" s="174" t="s">
        <v>402</v>
      </c>
      <c r="H239" s="326"/>
      <c r="I239" s="328"/>
      <c r="J239" s="328"/>
      <c r="K239" s="232" t="s">
        <v>403</v>
      </c>
      <c r="L239" s="174" t="s">
        <v>402</v>
      </c>
    </row>
    <row r="240" spans="2:60" ht="14.4" thickTop="1" x14ac:dyDescent="0.25">
      <c r="B240" s="236">
        <v>41670</v>
      </c>
      <c r="C240" s="171"/>
      <c r="D240" s="166" t="s">
        <v>470</v>
      </c>
      <c r="E240" s="167">
        <f>SUMIF('Libro Diario Convencional'!$D$15:$D$167,D234,'Libro Diario Convencional'!$G$15:$G$167)</f>
        <v>0</v>
      </c>
      <c r="F240" s="168">
        <f>SUMIF('Libro Diario Convencional'!$D$15:$D$167,D234,'Libro Diario Convencional'!$H$15:$H$167)</f>
        <v>0</v>
      </c>
      <c r="H240" s="236">
        <v>41670</v>
      </c>
      <c r="I240" s="171"/>
      <c r="J240" s="166" t="s">
        <v>470</v>
      </c>
      <c r="K240" s="167">
        <f>SUMIF('Libro Diario Convencional'!$D$15:$D$167,J234,'Libro Diario Convencional'!$G$15:$G$167)</f>
        <v>0</v>
      </c>
      <c r="L240" s="168">
        <f>SUMIF('Libro Diario Convencional'!$D$15:$D$167,J234,'Libro Diario Convencional'!$H$15:$H$167)</f>
        <v>0</v>
      </c>
    </row>
    <row r="241" spans="2:60" x14ac:dyDescent="0.25">
      <c r="B241" s="169"/>
      <c r="C241" s="172"/>
      <c r="D241" s="161"/>
      <c r="E241" s="162"/>
      <c r="F241" s="163"/>
      <c r="H241" s="169"/>
      <c r="I241" s="172"/>
      <c r="J241" s="161"/>
      <c r="K241" s="162"/>
      <c r="L241" s="163"/>
    </row>
    <row r="242" spans="2:60" x14ac:dyDescent="0.25">
      <c r="B242" s="169"/>
      <c r="C242" s="172"/>
      <c r="D242" s="161"/>
      <c r="E242" s="162"/>
      <c r="F242" s="163"/>
      <c r="H242" s="169"/>
      <c r="I242" s="172"/>
      <c r="J242" s="161"/>
      <c r="K242" s="162"/>
      <c r="L242" s="163"/>
    </row>
    <row r="243" spans="2:60" ht="14.4" thickBot="1" x14ac:dyDescent="0.3">
      <c r="B243" s="169"/>
      <c r="C243" s="172"/>
      <c r="D243" s="161"/>
      <c r="E243" s="162"/>
      <c r="F243" s="163"/>
      <c r="H243" s="169"/>
      <c r="I243" s="172"/>
      <c r="J243" s="161"/>
      <c r="K243" s="162"/>
      <c r="L243" s="163"/>
    </row>
    <row r="244" spans="2:60" ht="15" thickBot="1" x14ac:dyDescent="0.3">
      <c r="B244" s="169"/>
      <c r="C244" s="172"/>
      <c r="D244" s="161" t="s">
        <v>471</v>
      </c>
      <c r="E244" s="162">
        <f>SUM(E240:E243)</f>
        <v>0</v>
      </c>
      <c r="F244" s="163">
        <f>SUM(F240:F243)</f>
        <v>0</v>
      </c>
      <c r="H244" s="169"/>
      <c r="I244" s="172"/>
      <c r="J244" s="161" t="s">
        <v>471</v>
      </c>
      <c r="K244" s="162">
        <f>SUM(K240:K243)</f>
        <v>0</v>
      </c>
      <c r="L244" s="163">
        <f>SUM(L240:L243)</f>
        <v>0</v>
      </c>
      <c r="BG244" s="157">
        <f>SUM(E244,K244,Q244,W244,AC244,AI244,AO244,AU244,AX244,BD244)</f>
        <v>0</v>
      </c>
      <c r="BH244" s="158">
        <f>SUM(F244,L244,R244,X244,AD244,AJ244,AP244,AV244,AY244,BE244)</f>
        <v>0</v>
      </c>
    </row>
    <row r="245" spans="2:60" ht="14.4" thickBot="1" x14ac:dyDescent="0.3">
      <c r="B245" s="170"/>
      <c r="C245" s="173"/>
      <c r="D245" s="164" t="str">
        <f>IF(E244=F244,"",IF(E244&gt;F244,"Saldo Deudor","Saldo Acreedor"))</f>
        <v/>
      </c>
      <c r="E245" s="165" t="str">
        <f>IF(E244&gt;F244,E244-F244,"")</f>
        <v/>
      </c>
      <c r="F245" s="176" t="str">
        <f>IF(E244&lt;F244,F244-E244,"")</f>
        <v/>
      </c>
      <c r="H245" s="170"/>
      <c r="I245" s="173"/>
      <c r="J245" s="164" t="str">
        <f>IF(K244=L244,"",IF(K244&gt;L244,"Saldo Deudor","Saldo Acreedor"))</f>
        <v/>
      </c>
      <c r="K245" s="165" t="str">
        <f>IF(K244&gt;L244,K244-L244,"")</f>
        <v/>
      </c>
      <c r="L245" s="176" t="str">
        <f>IF(K244&lt;L244,L244-K244,"")</f>
        <v/>
      </c>
    </row>
    <row r="248" spans="2:60" ht="15.6" x14ac:dyDescent="0.25">
      <c r="B248" s="324" t="s">
        <v>472</v>
      </c>
      <c r="C248" s="324"/>
      <c r="D248" s="175">
        <v>2041</v>
      </c>
      <c r="E248" s="160"/>
    </row>
    <row r="249" spans="2:60" x14ac:dyDescent="0.25">
      <c r="B249" s="160"/>
      <c r="C249" s="160"/>
      <c r="D249" s="160"/>
      <c r="E249" s="160"/>
    </row>
    <row r="250" spans="2:60" ht="15.6" x14ac:dyDescent="0.25">
      <c r="B250" s="324" t="s">
        <v>473</v>
      </c>
      <c r="C250" s="324"/>
      <c r="D250" s="234" t="str">
        <f>VLOOKUP(D248,DivisionariasContables,3,FALSE)</f>
        <v>Mercaderías Inmuebles</v>
      </c>
      <c r="E250" s="160"/>
    </row>
    <row r="251" spans="2:60" ht="14.4" thickBot="1" x14ac:dyDescent="0.3"/>
    <row r="252" spans="2:60" x14ac:dyDescent="0.25">
      <c r="B252" s="325" t="s">
        <v>466</v>
      </c>
      <c r="C252" s="327" t="s">
        <v>467</v>
      </c>
      <c r="D252" s="327" t="s">
        <v>468</v>
      </c>
      <c r="E252" s="329" t="s">
        <v>469</v>
      </c>
      <c r="F252" s="330"/>
    </row>
    <row r="253" spans="2:60" ht="14.4" thickBot="1" x14ac:dyDescent="0.3">
      <c r="B253" s="326"/>
      <c r="C253" s="328"/>
      <c r="D253" s="328"/>
      <c r="E253" s="232" t="s">
        <v>403</v>
      </c>
      <c r="F253" s="174" t="s">
        <v>402</v>
      </c>
    </row>
    <row r="254" spans="2:60" ht="14.4" thickTop="1" x14ac:dyDescent="0.25">
      <c r="B254" s="236">
        <v>41670</v>
      </c>
      <c r="C254" s="171"/>
      <c r="D254" s="166" t="s">
        <v>470</v>
      </c>
      <c r="E254" s="167">
        <f>SUMIF('Libro Diario Convencional'!$D$15:$D$167,D248,'Libro Diario Convencional'!$G$15:$G$167)</f>
        <v>0</v>
      </c>
      <c r="F254" s="168">
        <f>SUMIF('Libro Diario Convencional'!$D$15:$D$167,D248,'Libro Diario Convencional'!$H$15:$H$167)</f>
        <v>0</v>
      </c>
    </row>
    <row r="255" spans="2:60" x14ac:dyDescent="0.25">
      <c r="B255" s="169"/>
      <c r="C255" s="172"/>
      <c r="D255" s="161"/>
      <c r="E255" s="162"/>
      <c r="F255" s="163"/>
    </row>
    <row r="256" spans="2:60" x14ac:dyDescent="0.25">
      <c r="B256" s="169"/>
      <c r="C256" s="172"/>
      <c r="D256" s="161"/>
      <c r="E256" s="162"/>
      <c r="F256" s="163"/>
    </row>
    <row r="257" spans="2:60" ht="14.4" thickBot="1" x14ac:dyDescent="0.3">
      <c r="B257" s="169"/>
      <c r="C257" s="172"/>
      <c r="D257" s="161"/>
      <c r="E257" s="162"/>
      <c r="F257" s="163"/>
    </row>
    <row r="258" spans="2:60" ht="15" thickBot="1" x14ac:dyDescent="0.3">
      <c r="B258" s="169"/>
      <c r="C258" s="172"/>
      <c r="D258" s="161" t="s">
        <v>471</v>
      </c>
      <c r="E258" s="162">
        <f>SUM(E254:E257)</f>
        <v>0</v>
      </c>
      <c r="F258" s="163">
        <f>SUM(F254:F257)</f>
        <v>0</v>
      </c>
      <c r="BG258" s="157">
        <f>SUM(E258,K258,Q258,W258,AC258,AI258,AO258,AU258,AX258,BD258)</f>
        <v>0</v>
      </c>
      <c r="BH258" s="158">
        <f>SUM(F258,L258,R258,X258,AD258,AJ258,AP258,AV258,AY258,BE258)</f>
        <v>0</v>
      </c>
    </row>
    <row r="259" spans="2:60" ht="14.4" thickBot="1" x14ac:dyDescent="0.3">
      <c r="B259" s="170"/>
      <c r="C259" s="173"/>
      <c r="D259" s="164" t="str">
        <f>IF(E258=F258,"",IF(E258&gt;F258,"Saldo Deudor","Saldo Acreedor"))</f>
        <v/>
      </c>
      <c r="E259" s="165" t="str">
        <f>IF(E258&gt;F258,E258-F258,"")</f>
        <v/>
      </c>
      <c r="F259" s="176" t="str">
        <f>IF(E258&lt;F258,F258-E258,"")</f>
        <v/>
      </c>
    </row>
    <row r="262" spans="2:60" ht="15.6" x14ac:dyDescent="0.25">
      <c r="B262" s="324" t="s">
        <v>472</v>
      </c>
      <c r="C262" s="324"/>
      <c r="D262" s="175">
        <v>2081</v>
      </c>
      <c r="E262" s="160"/>
    </row>
    <row r="263" spans="2:60" x14ac:dyDescent="0.25">
      <c r="B263" s="160"/>
      <c r="C263" s="160"/>
      <c r="D263" s="160"/>
      <c r="E263" s="160"/>
    </row>
    <row r="264" spans="2:60" ht="15.6" x14ac:dyDescent="0.25">
      <c r="B264" s="324" t="s">
        <v>473</v>
      </c>
      <c r="C264" s="324"/>
      <c r="D264" s="234" t="str">
        <f>VLOOKUP(D262,DivisionariasContables,3,FALSE)</f>
        <v>Otras Mercaderías</v>
      </c>
      <c r="E264" s="160"/>
    </row>
    <row r="265" spans="2:60" ht="14.4" thickBot="1" x14ac:dyDescent="0.3"/>
    <row r="266" spans="2:60" x14ac:dyDescent="0.25">
      <c r="B266" s="325" t="s">
        <v>466</v>
      </c>
      <c r="C266" s="327" t="s">
        <v>467</v>
      </c>
      <c r="D266" s="327" t="s">
        <v>468</v>
      </c>
      <c r="E266" s="329" t="s">
        <v>469</v>
      </c>
      <c r="F266" s="330"/>
    </row>
    <row r="267" spans="2:60" ht="14.4" thickBot="1" x14ac:dyDescent="0.3">
      <c r="B267" s="326"/>
      <c r="C267" s="328"/>
      <c r="D267" s="328"/>
      <c r="E267" s="232" t="s">
        <v>403</v>
      </c>
      <c r="F267" s="174" t="s">
        <v>402</v>
      </c>
    </row>
    <row r="268" spans="2:60" ht="14.4" thickTop="1" x14ac:dyDescent="0.25">
      <c r="B268" s="236">
        <v>41670</v>
      </c>
      <c r="C268" s="171"/>
      <c r="D268" s="166" t="s">
        <v>470</v>
      </c>
      <c r="E268" s="167">
        <f>SUMIF('Libro Diario Convencional'!$D$15:$D$167,D262,'Libro Diario Convencional'!$G$15:$G$167)</f>
        <v>0</v>
      </c>
      <c r="F268" s="168">
        <f>SUMIF('Libro Diario Convencional'!$D$15:$D$167,D262,'Libro Diario Convencional'!$H$15:$H$167)</f>
        <v>0</v>
      </c>
    </row>
    <row r="269" spans="2:60" x14ac:dyDescent="0.25">
      <c r="B269" s="169"/>
      <c r="C269" s="172"/>
      <c r="D269" s="161"/>
      <c r="E269" s="162"/>
      <c r="F269" s="163"/>
    </row>
    <row r="270" spans="2:60" x14ac:dyDescent="0.25">
      <c r="B270" s="169"/>
      <c r="C270" s="172"/>
      <c r="D270" s="161"/>
      <c r="E270" s="162"/>
      <c r="F270" s="163"/>
    </row>
    <row r="271" spans="2:60" ht="14.4" thickBot="1" x14ac:dyDescent="0.3">
      <c r="B271" s="169"/>
      <c r="C271" s="172"/>
      <c r="D271" s="161"/>
      <c r="E271" s="162"/>
      <c r="F271" s="163"/>
    </row>
    <row r="272" spans="2:60" ht="15" thickBot="1" x14ac:dyDescent="0.3">
      <c r="B272" s="169"/>
      <c r="C272" s="172"/>
      <c r="D272" s="161" t="s">
        <v>471</v>
      </c>
      <c r="E272" s="162">
        <f>SUM(E268:E271)</f>
        <v>0</v>
      </c>
      <c r="F272" s="163">
        <f>SUM(F268:F271)</f>
        <v>0</v>
      </c>
      <c r="BG272" s="157">
        <f>SUM(E272,K272,Q272,W272,AC272,AI272,AO272,AU272,AX272,BD272)</f>
        <v>0</v>
      </c>
      <c r="BH272" s="158">
        <f>SUM(F272,L272,R272,X272,AD272,AJ272,AP272,AV272,AY272,BE272)</f>
        <v>0</v>
      </c>
    </row>
    <row r="273" spans="2:60" ht="14.4" thickBot="1" x14ac:dyDescent="0.3">
      <c r="B273" s="170"/>
      <c r="C273" s="173"/>
      <c r="D273" s="164" t="str">
        <f>IF(E272=F272,"",IF(E272&gt;F272,"Saldo Deudor","Saldo Acreedor"))</f>
        <v/>
      </c>
      <c r="E273" s="165" t="str">
        <f>IF(E272&gt;F272,E272-F272,"")</f>
        <v/>
      </c>
      <c r="F273" s="176" t="str">
        <f>IF(E272&lt;F272,F272-E272,"")</f>
        <v/>
      </c>
    </row>
    <row r="276" spans="2:60" ht="15.6" x14ac:dyDescent="0.25">
      <c r="B276" s="324" t="s">
        <v>472</v>
      </c>
      <c r="C276" s="324"/>
      <c r="D276" s="175">
        <v>2111</v>
      </c>
      <c r="E276" s="160"/>
    </row>
    <row r="277" spans="2:60" x14ac:dyDescent="0.25">
      <c r="B277" s="160"/>
      <c r="C277" s="160"/>
      <c r="D277" s="160"/>
      <c r="E277" s="160"/>
    </row>
    <row r="278" spans="2:60" ht="15.6" x14ac:dyDescent="0.25">
      <c r="B278" s="324" t="s">
        <v>473</v>
      </c>
      <c r="C278" s="324"/>
      <c r="D278" s="234" t="str">
        <f>VLOOKUP(D276,DivisionariasContables,3,FALSE)</f>
        <v>Productos Manufacturados</v>
      </c>
      <c r="E278" s="160"/>
    </row>
    <row r="279" spans="2:60" ht="14.4" thickBot="1" x14ac:dyDescent="0.3"/>
    <row r="280" spans="2:60" x14ac:dyDescent="0.25">
      <c r="B280" s="325" t="s">
        <v>466</v>
      </c>
      <c r="C280" s="327" t="s">
        <v>467</v>
      </c>
      <c r="D280" s="327" t="s">
        <v>468</v>
      </c>
      <c r="E280" s="329" t="s">
        <v>469</v>
      </c>
      <c r="F280" s="330"/>
    </row>
    <row r="281" spans="2:60" ht="14.4" thickBot="1" x14ac:dyDescent="0.3">
      <c r="B281" s="326"/>
      <c r="C281" s="328"/>
      <c r="D281" s="328"/>
      <c r="E281" s="232" t="s">
        <v>403</v>
      </c>
      <c r="F281" s="174" t="s">
        <v>402</v>
      </c>
    </row>
    <row r="282" spans="2:60" ht="14.4" thickTop="1" x14ac:dyDescent="0.25">
      <c r="B282" s="236">
        <v>41670</v>
      </c>
      <c r="C282" s="171"/>
      <c r="D282" s="166" t="s">
        <v>470</v>
      </c>
      <c r="E282" s="167">
        <f>SUMIF('Libro Diario Convencional'!$D$15:$D$167,D276,'Libro Diario Convencional'!$G$15:$G$167)</f>
        <v>0</v>
      </c>
      <c r="F282" s="168">
        <f>SUMIF('Libro Diario Convencional'!$D$15:$D$167,D276,'Libro Diario Convencional'!$H$15:$H$167)</f>
        <v>0</v>
      </c>
    </row>
    <row r="283" spans="2:60" x14ac:dyDescent="0.25">
      <c r="B283" s="169"/>
      <c r="C283" s="172"/>
      <c r="D283" s="161"/>
      <c r="E283" s="162"/>
      <c r="F283" s="163"/>
    </row>
    <row r="284" spans="2:60" x14ac:dyDescent="0.25">
      <c r="B284" s="169"/>
      <c r="C284" s="172"/>
      <c r="D284" s="161"/>
      <c r="E284" s="162"/>
      <c r="F284" s="163"/>
    </row>
    <row r="285" spans="2:60" ht="14.4" thickBot="1" x14ac:dyDescent="0.3">
      <c r="B285" s="169"/>
      <c r="C285" s="172"/>
      <c r="D285" s="161"/>
      <c r="E285" s="162"/>
      <c r="F285" s="163"/>
    </row>
    <row r="286" spans="2:60" ht="15" thickBot="1" x14ac:dyDescent="0.3">
      <c r="B286" s="169"/>
      <c r="C286" s="172"/>
      <c r="D286" s="161" t="s">
        <v>471</v>
      </c>
      <c r="E286" s="162">
        <f>SUM(E282:E285)</f>
        <v>0</v>
      </c>
      <c r="F286" s="163">
        <f>SUM(F282:F285)</f>
        <v>0</v>
      </c>
      <c r="BG286" s="157">
        <f>SUM(E286,K286,Q286,W286,AC286,AI286,AO286,AU286,AX286,BD286)</f>
        <v>0</v>
      </c>
      <c r="BH286" s="158">
        <f>SUM(F286,L286,R286,X286,AD286,AJ286,AP286,AV286,AY286,BE286)</f>
        <v>0</v>
      </c>
    </row>
    <row r="287" spans="2:60" ht="14.4" thickBot="1" x14ac:dyDescent="0.3">
      <c r="B287" s="170"/>
      <c r="C287" s="173"/>
      <c r="D287" s="164" t="str">
        <f>IF(E286=F286,"",IF(E286&gt;F286,"Saldo Deudor","Saldo Acreedor"))</f>
        <v/>
      </c>
      <c r="E287" s="165" t="str">
        <f>IF(E286&gt;F286,E286-F286,"")</f>
        <v/>
      </c>
      <c r="F287" s="176" t="str">
        <f>IF(E286&lt;F286,F286-E286,"")</f>
        <v/>
      </c>
    </row>
    <row r="290" spans="2:60" ht="15.6" x14ac:dyDescent="0.25">
      <c r="B290" s="324" t="s">
        <v>472</v>
      </c>
      <c r="C290" s="324"/>
      <c r="D290" s="175">
        <v>2411</v>
      </c>
      <c r="E290" s="160"/>
    </row>
    <row r="291" spans="2:60" x14ac:dyDescent="0.25">
      <c r="B291" s="160"/>
      <c r="C291" s="160"/>
      <c r="D291" s="160"/>
      <c r="E291" s="160"/>
    </row>
    <row r="292" spans="2:60" ht="15.6" x14ac:dyDescent="0.25">
      <c r="B292" s="324" t="s">
        <v>473</v>
      </c>
      <c r="C292" s="324"/>
      <c r="D292" s="234" t="str">
        <f>VLOOKUP(D290,DivisionariasContables,3,FALSE)</f>
        <v>Materias Primas para Productos Manufacturados</v>
      </c>
      <c r="E292" s="160"/>
    </row>
    <row r="293" spans="2:60" ht="14.4" thickBot="1" x14ac:dyDescent="0.3"/>
    <row r="294" spans="2:60" x14ac:dyDescent="0.25">
      <c r="B294" s="325" t="s">
        <v>466</v>
      </c>
      <c r="C294" s="327" t="s">
        <v>467</v>
      </c>
      <c r="D294" s="327" t="s">
        <v>468</v>
      </c>
      <c r="E294" s="329" t="s">
        <v>469</v>
      </c>
      <c r="F294" s="330"/>
    </row>
    <row r="295" spans="2:60" ht="14.4" thickBot="1" x14ac:dyDescent="0.3">
      <c r="B295" s="326"/>
      <c r="C295" s="328"/>
      <c r="D295" s="328"/>
      <c r="E295" s="232" t="s">
        <v>403</v>
      </c>
      <c r="F295" s="174" t="s">
        <v>402</v>
      </c>
    </row>
    <row r="296" spans="2:60" ht="14.4" thickTop="1" x14ac:dyDescent="0.25">
      <c r="B296" s="236">
        <v>41670</v>
      </c>
      <c r="C296" s="171"/>
      <c r="D296" s="166" t="s">
        <v>470</v>
      </c>
      <c r="E296" s="167">
        <f>SUMIF('Libro Diario Convencional'!$D$15:$D$167,D290,'Libro Diario Convencional'!$G$15:$G$167)</f>
        <v>0</v>
      </c>
      <c r="F296" s="168">
        <f>SUMIF('Libro Diario Convencional'!$D$15:$D$167,D290,'Libro Diario Convencional'!$H$15:$H$167)</f>
        <v>0</v>
      </c>
    </row>
    <row r="297" spans="2:60" x14ac:dyDescent="0.25">
      <c r="B297" s="169"/>
      <c r="C297" s="172"/>
      <c r="D297" s="161"/>
      <c r="E297" s="162"/>
      <c r="F297" s="163"/>
    </row>
    <row r="298" spans="2:60" x14ac:dyDescent="0.25">
      <c r="B298" s="169"/>
      <c r="C298" s="172"/>
      <c r="D298" s="161"/>
      <c r="E298" s="162"/>
      <c r="F298" s="163"/>
    </row>
    <row r="299" spans="2:60" ht="14.4" thickBot="1" x14ac:dyDescent="0.3">
      <c r="B299" s="169"/>
      <c r="C299" s="172"/>
      <c r="D299" s="161"/>
      <c r="E299" s="162"/>
      <c r="F299" s="163"/>
    </row>
    <row r="300" spans="2:60" ht="15" thickBot="1" x14ac:dyDescent="0.3">
      <c r="B300" s="169"/>
      <c r="C300" s="172"/>
      <c r="D300" s="161" t="s">
        <v>471</v>
      </c>
      <c r="E300" s="162">
        <f>SUM(E296:E299)</f>
        <v>0</v>
      </c>
      <c r="F300" s="163">
        <f>SUM(F296:F299)</f>
        <v>0</v>
      </c>
      <c r="BG300" s="157">
        <f>SUM(E300,K300,Q300,W300,AC300,AI300,AO300,AU300,AX300,BD300)</f>
        <v>0</v>
      </c>
      <c r="BH300" s="158">
        <f>SUM(F300,L300,R300,X300,AD300,AJ300,AP300,AV300,AY300,BE300)</f>
        <v>0</v>
      </c>
    </row>
    <row r="301" spans="2:60" ht="14.4" thickBot="1" x14ac:dyDescent="0.3">
      <c r="B301" s="170"/>
      <c r="C301" s="173"/>
      <c r="D301" s="164" t="str">
        <f>IF(E300=F300,"",IF(E300&gt;F300,"Saldo Deudor","Saldo Acreedor"))</f>
        <v/>
      </c>
      <c r="E301" s="165" t="str">
        <f>IF(E300&gt;F300,E300-F300,"")</f>
        <v/>
      </c>
      <c r="F301" s="176" t="str">
        <f>IF(E300&lt;F300,F300-E300,"")</f>
        <v/>
      </c>
    </row>
    <row r="304" spans="2:60" ht="15.6" x14ac:dyDescent="0.25">
      <c r="B304" s="324" t="s">
        <v>472</v>
      </c>
      <c r="C304" s="324"/>
      <c r="D304" s="175">
        <v>2421</v>
      </c>
      <c r="E304" s="160"/>
    </row>
    <row r="305" spans="2:60" x14ac:dyDescent="0.25">
      <c r="B305" s="160"/>
      <c r="C305" s="160"/>
      <c r="D305" s="160"/>
      <c r="E305" s="160"/>
    </row>
    <row r="306" spans="2:60" ht="15.6" x14ac:dyDescent="0.25">
      <c r="B306" s="324" t="s">
        <v>473</v>
      </c>
      <c r="C306" s="324"/>
      <c r="D306" s="234" t="str">
        <f>VLOOKUP(D304,DivisionariasContables,3,FALSE)</f>
        <v>Materias Primas para Productos de Extracción</v>
      </c>
      <c r="E306" s="160"/>
    </row>
    <row r="307" spans="2:60" ht="14.4" thickBot="1" x14ac:dyDescent="0.3"/>
    <row r="308" spans="2:60" x14ac:dyDescent="0.25">
      <c r="B308" s="325" t="s">
        <v>466</v>
      </c>
      <c r="C308" s="327" t="s">
        <v>467</v>
      </c>
      <c r="D308" s="327" t="s">
        <v>468</v>
      </c>
      <c r="E308" s="329" t="s">
        <v>469</v>
      </c>
      <c r="F308" s="330"/>
    </row>
    <row r="309" spans="2:60" ht="14.4" thickBot="1" x14ac:dyDescent="0.3">
      <c r="B309" s="326"/>
      <c r="C309" s="328"/>
      <c r="D309" s="328"/>
      <c r="E309" s="232" t="s">
        <v>403</v>
      </c>
      <c r="F309" s="174" t="s">
        <v>402</v>
      </c>
    </row>
    <row r="310" spans="2:60" ht="14.4" thickTop="1" x14ac:dyDescent="0.25">
      <c r="B310" s="236">
        <v>41670</v>
      </c>
      <c r="C310" s="171"/>
      <c r="D310" s="166" t="s">
        <v>470</v>
      </c>
      <c r="E310" s="167">
        <f>SUMIF('Libro Diario Convencional'!$D$15:$D$167,D304,'Libro Diario Convencional'!$G$15:$G$167)</f>
        <v>0</v>
      </c>
      <c r="F310" s="168">
        <f>SUMIF('Libro Diario Convencional'!$D$15:$D$167,D304,'Libro Diario Convencional'!$H$15:$H$167)</f>
        <v>0</v>
      </c>
    </row>
    <row r="311" spans="2:60" x14ac:dyDescent="0.25">
      <c r="B311" s="169"/>
      <c r="C311" s="172"/>
      <c r="D311" s="161"/>
      <c r="E311" s="162"/>
      <c r="F311" s="163"/>
    </row>
    <row r="312" spans="2:60" x14ac:dyDescent="0.25">
      <c r="B312" s="169"/>
      <c r="C312" s="172"/>
      <c r="D312" s="161"/>
      <c r="E312" s="162"/>
      <c r="F312" s="163"/>
    </row>
    <row r="313" spans="2:60" ht="14.4" thickBot="1" x14ac:dyDescent="0.3">
      <c r="B313" s="169"/>
      <c r="C313" s="172"/>
      <c r="D313" s="161"/>
      <c r="E313" s="162"/>
      <c r="F313" s="163"/>
    </row>
    <row r="314" spans="2:60" ht="15" thickBot="1" x14ac:dyDescent="0.3">
      <c r="B314" s="169"/>
      <c r="C314" s="172"/>
      <c r="D314" s="161" t="s">
        <v>471</v>
      </c>
      <c r="E314" s="162">
        <f>SUM(E310:E313)</f>
        <v>0</v>
      </c>
      <c r="F314" s="163">
        <f>SUM(F310:F313)</f>
        <v>0</v>
      </c>
      <c r="BG314" s="157">
        <f>SUM(E314,K314,Q314,W314,AC314,AI314,AO314,AU314,AX314,BD314)</f>
        <v>0</v>
      </c>
      <c r="BH314" s="158">
        <f>SUM(F314,L314,R314,X314,AD314,AJ314,AP314,AV314,AY314,BE314)</f>
        <v>0</v>
      </c>
    </row>
    <row r="315" spans="2:60" ht="14.4" thickBot="1" x14ac:dyDescent="0.3">
      <c r="B315" s="170"/>
      <c r="C315" s="173"/>
      <c r="D315" s="164" t="str">
        <f>IF(E314=F314,"",IF(E314&gt;F314,"Saldo Deudor","Saldo Acreedor"))</f>
        <v/>
      </c>
      <c r="E315" s="165" t="str">
        <f>IF(E314&gt;F314,E314-F314,"")</f>
        <v/>
      </c>
      <c r="F315" s="176" t="str">
        <f>IF(E314&lt;F314,F314-E314,"")</f>
        <v/>
      </c>
    </row>
    <row r="318" spans="2:60" ht="15.6" x14ac:dyDescent="0.25">
      <c r="B318" s="324" t="s">
        <v>472</v>
      </c>
      <c r="C318" s="324"/>
      <c r="D318" s="175">
        <v>2431</v>
      </c>
      <c r="E318" s="160"/>
    </row>
    <row r="319" spans="2:60" x14ac:dyDescent="0.25">
      <c r="B319" s="160"/>
      <c r="C319" s="160"/>
      <c r="D319" s="160"/>
      <c r="E319" s="160"/>
    </row>
    <row r="320" spans="2:60" ht="15.6" x14ac:dyDescent="0.25">
      <c r="B320" s="324" t="s">
        <v>473</v>
      </c>
      <c r="C320" s="324"/>
      <c r="D320" s="234" t="str">
        <f>VLOOKUP(D318,DivisionariasContables,3,FALSE)</f>
        <v>Materias Primas para Productos Agropecuarios y Piscícolas</v>
      </c>
      <c r="E320" s="160"/>
    </row>
    <row r="321" spans="2:60" ht="14.4" thickBot="1" x14ac:dyDescent="0.3"/>
    <row r="322" spans="2:60" x14ac:dyDescent="0.25">
      <c r="B322" s="325" t="s">
        <v>466</v>
      </c>
      <c r="C322" s="327" t="s">
        <v>467</v>
      </c>
      <c r="D322" s="327" t="s">
        <v>468</v>
      </c>
      <c r="E322" s="329" t="s">
        <v>469</v>
      </c>
      <c r="F322" s="330"/>
    </row>
    <row r="323" spans="2:60" ht="14.4" thickBot="1" x14ac:dyDescent="0.3">
      <c r="B323" s="326"/>
      <c r="C323" s="328"/>
      <c r="D323" s="328"/>
      <c r="E323" s="232" t="s">
        <v>403</v>
      </c>
      <c r="F323" s="174" t="s">
        <v>402</v>
      </c>
    </row>
    <row r="324" spans="2:60" ht="14.4" thickTop="1" x14ac:dyDescent="0.25">
      <c r="B324" s="236">
        <v>41670</v>
      </c>
      <c r="C324" s="171"/>
      <c r="D324" s="166" t="s">
        <v>470</v>
      </c>
      <c r="E324" s="167">
        <f>SUMIF('Libro Diario Convencional'!$D$15:$D$167,D318,'Libro Diario Convencional'!$G$15:$G$167)</f>
        <v>0</v>
      </c>
      <c r="F324" s="168">
        <f>SUMIF('Libro Diario Convencional'!$D$15:$D$167,D318,'Libro Diario Convencional'!$H$15:$H$167)</f>
        <v>0</v>
      </c>
    </row>
    <row r="325" spans="2:60" x14ac:dyDescent="0.25">
      <c r="B325" s="169"/>
      <c r="C325" s="172"/>
      <c r="D325" s="161"/>
      <c r="E325" s="162"/>
      <c r="F325" s="163"/>
    </row>
    <row r="326" spans="2:60" x14ac:dyDescent="0.25">
      <c r="B326" s="169"/>
      <c r="C326" s="172"/>
      <c r="D326" s="161"/>
      <c r="E326" s="162"/>
      <c r="F326" s="163"/>
    </row>
    <row r="327" spans="2:60" ht="14.4" thickBot="1" x14ac:dyDescent="0.3">
      <c r="B327" s="169"/>
      <c r="C327" s="172"/>
      <c r="D327" s="161"/>
      <c r="E327" s="162"/>
      <c r="F327" s="163"/>
    </row>
    <row r="328" spans="2:60" ht="15" thickBot="1" x14ac:dyDescent="0.3">
      <c r="B328" s="169"/>
      <c r="C328" s="172"/>
      <c r="D328" s="161" t="s">
        <v>471</v>
      </c>
      <c r="E328" s="162">
        <f>SUM(E324:E327)</f>
        <v>0</v>
      </c>
      <c r="F328" s="163">
        <f>SUM(F324:F327)</f>
        <v>0</v>
      </c>
      <c r="BG328" s="157">
        <f>SUM(E328,K328,Q328,W328,AC328,AI328,AO328,AU328,AX328,BD328)</f>
        <v>0</v>
      </c>
      <c r="BH328" s="158">
        <f>SUM(F328,L328,R328,X328,AD328,AJ328,AP328,AV328,AY328,BE328)</f>
        <v>0</v>
      </c>
    </row>
    <row r="329" spans="2:60" ht="14.4" thickBot="1" x14ac:dyDescent="0.3">
      <c r="B329" s="170"/>
      <c r="C329" s="173"/>
      <c r="D329" s="164" t="str">
        <f>IF(E328=F328,"",IF(E328&gt;F328,"Saldo Deudor","Saldo Acreedor"))</f>
        <v/>
      </c>
      <c r="E329" s="165" t="str">
        <f>IF(E328&gt;F328,E328-F328,"")</f>
        <v/>
      </c>
      <c r="F329" s="176" t="str">
        <f>IF(E328&lt;F328,F328-E328,"")</f>
        <v/>
      </c>
    </row>
    <row r="332" spans="2:60" ht="15.6" x14ac:dyDescent="0.25">
      <c r="B332" s="324" t="s">
        <v>472</v>
      </c>
      <c r="C332" s="324"/>
      <c r="D332" s="175">
        <v>2441</v>
      </c>
      <c r="E332" s="160"/>
    </row>
    <row r="333" spans="2:60" x14ac:dyDescent="0.25">
      <c r="B333" s="160"/>
      <c r="C333" s="160"/>
      <c r="D333" s="160"/>
      <c r="E333" s="160"/>
    </row>
    <row r="334" spans="2:60" ht="15.6" x14ac:dyDescent="0.25">
      <c r="B334" s="324" t="s">
        <v>473</v>
      </c>
      <c r="C334" s="324"/>
      <c r="D334" s="234" t="str">
        <f>VLOOKUP(D332,DivisionariasContables,3,FALSE)</f>
        <v>Materias Primas para Productos Inmuebles</v>
      </c>
      <c r="E334" s="160"/>
    </row>
    <row r="335" spans="2:60" ht="14.4" thickBot="1" x14ac:dyDescent="0.3"/>
    <row r="336" spans="2:60" x14ac:dyDescent="0.25">
      <c r="B336" s="325" t="s">
        <v>466</v>
      </c>
      <c r="C336" s="327" t="s">
        <v>467</v>
      </c>
      <c r="D336" s="327" t="s">
        <v>468</v>
      </c>
      <c r="E336" s="329" t="s">
        <v>469</v>
      </c>
      <c r="F336" s="330"/>
    </row>
    <row r="337" spans="2:60" ht="14.4" thickBot="1" x14ac:dyDescent="0.3">
      <c r="B337" s="326"/>
      <c r="C337" s="328"/>
      <c r="D337" s="328"/>
      <c r="E337" s="232" t="s">
        <v>403</v>
      </c>
      <c r="F337" s="174" t="s">
        <v>402</v>
      </c>
    </row>
    <row r="338" spans="2:60" ht="14.4" thickTop="1" x14ac:dyDescent="0.25">
      <c r="B338" s="236">
        <v>41670</v>
      </c>
      <c r="C338" s="171"/>
      <c r="D338" s="166" t="s">
        <v>470</v>
      </c>
      <c r="E338" s="167">
        <f>SUMIF('Libro Diario Convencional'!$D$15:$D$167,D332,'Libro Diario Convencional'!$G$15:$G$167)</f>
        <v>0</v>
      </c>
      <c r="F338" s="168">
        <f>SUMIF('Libro Diario Convencional'!$D$15:$D$167,D332,'Libro Diario Convencional'!$H$15:$H$167)</f>
        <v>0</v>
      </c>
    </row>
    <row r="339" spans="2:60" x14ac:dyDescent="0.25">
      <c r="B339" s="169"/>
      <c r="C339" s="172"/>
      <c r="D339" s="161"/>
      <c r="E339" s="162"/>
      <c r="F339" s="163"/>
    </row>
    <row r="340" spans="2:60" x14ac:dyDescent="0.25">
      <c r="B340" s="169"/>
      <c r="C340" s="172"/>
      <c r="D340" s="161"/>
      <c r="E340" s="162"/>
      <c r="F340" s="163"/>
    </row>
    <row r="341" spans="2:60" ht="14.4" thickBot="1" x14ac:dyDescent="0.3">
      <c r="B341" s="169"/>
      <c r="C341" s="172"/>
      <c r="D341" s="161"/>
      <c r="E341" s="162"/>
      <c r="F341" s="163"/>
    </row>
    <row r="342" spans="2:60" ht="15" thickBot="1" x14ac:dyDescent="0.3">
      <c r="B342" s="169"/>
      <c r="C342" s="172"/>
      <c r="D342" s="161" t="s">
        <v>471</v>
      </c>
      <c r="E342" s="162">
        <f>SUM(E338:E341)</f>
        <v>0</v>
      </c>
      <c r="F342" s="163">
        <f>SUM(F338:F341)</f>
        <v>0</v>
      </c>
      <c r="BG342" s="157">
        <f>SUM(E342,K342,Q342,W342,AC342,AI342,AO342,AU342,AX342,BD342)</f>
        <v>0</v>
      </c>
      <c r="BH342" s="158">
        <f>SUM(F342,L342,R342,X342,AD342,AJ342,AP342,AV342,AY342,BE342)</f>
        <v>0</v>
      </c>
    </row>
    <row r="343" spans="2:60" ht="14.4" thickBot="1" x14ac:dyDescent="0.3">
      <c r="B343" s="170"/>
      <c r="C343" s="173"/>
      <c r="D343" s="164" t="str">
        <f>IF(E342=F342,"",IF(E342&gt;F342,"Saldo Deudor","Saldo Acreedor"))</f>
        <v/>
      </c>
      <c r="E343" s="165" t="str">
        <f>IF(E342&gt;F342,E342-F342,"")</f>
        <v/>
      </c>
      <c r="F343" s="176" t="str">
        <f>IF(E342&lt;F342,F342-E342,"")</f>
        <v/>
      </c>
    </row>
    <row r="346" spans="2:60" ht="15.6" x14ac:dyDescent="0.25">
      <c r="B346" s="324" t="s">
        <v>472</v>
      </c>
      <c r="C346" s="324"/>
      <c r="D346" s="175">
        <v>2511</v>
      </c>
      <c r="E346" s="160"/>
    </row>
    <row r="347" spans="2:60" x14ac:dyDescent="0.25">
      <c r="B347" s="160"/>
      <c r="C347" s="160"/>
      <c r="D347" s="160"/>
      <c r="E347" s="160"/>
    </row>
    <row r="348" spans="2:60" ht="15.6" x14ac:dyDescent="0.25">
      <c r="B348" s="324" t="s">
        <v>473</v>
      </c>
      <c r="C348" s="324"/>
      <c r="D348" s="234" t="str">
        <f>VLOOKUP(D346,DivisionariasContables,3,FALSE)</f>
        <v>Materiales Auxiliares</v>
      </c>
      <c r="E348" s="160"/>
    </row>
    <row r="349" spans="2:60" ht="14.4" thickBot="1" x14ac:dyDescent="0.3"/>
    <row r="350" spans="2:60" x14ac:dyDescent="0.25">
      <c r="B350" s="325" t="s">
        <v>466</v>
      </c>
      <c r="C350" s="327" t="s">
        <v>467</v>
      </c>
      <c r="D350" s="327" t="s">
        <v>468</v>
      </c>
      <c r="E350" s="329" t="s">
        <v>469</v>
      </c>
      <c r="F350" s="330"/>
    </row>
    <row r="351" spans="2:60" ht="14.4" thickBot="1" x14ac:dyDescent="0.3">
      <c r="B351" s="326"/>
      <c r="C351" s="328"/>
      <c r="D351" s="328"/>
      <c r="E351" s="232" t="s">
        <v>403</v>
      </c>
      <c r="F351" s="174" t="s">
        <v>402</v>
      </c>
    </row>
    <row r="352" spans="2:60" ht="14.4" thickTop="1" x14ac:dyDescent="0.25">
      <c r="B352" s="236">
        <v>41670</v>
      </c>
      <c r="C352" s="171"/>
      <c r="D352" s="166" t="s">
        <v>470</v>
      </c>
      <c r="E352" s="167">
        <f>SUMIF('Libro Diario Convencional'!$D$15:$D$167,D346,'Libro Diario Convencional'!$G$15:$G$167)</f>
        <v>0</v>
      </c>
      <c r="F352" s="168">
        <f>SUMIF('Libro Diario Convencional'!$D$15:$D$167,D346,'Libro Diario Convencional'!$H$15:$H$167)</f>
        <v>0</v>
      </c>
    </row>
    <row r="353" spans="2:60" x14ac:dyDescent="0.25">
      <c r="B353" s="169"/>
      <c r="C353" s="172"/>
      <c r="D353" s="161"/>
      <c r="E353" s="162"/>
      <c r="F353" s="163"/>
    </row>
    <row r="354" spans="2:60" x14ac:dyDescent="0.25">
      <c r="B354" s="169"/>
      <c r="C354" s="172"/>
      <c r="D354" s="161"/>
      <c r="E354" s="162"/>
      <c r="F354" s="163"/>
    </row>
    <row r="355" spans="2:60" ht="14.4" thickBot="1" x14ac:dyDescent="0.3">
      <c r="B355" s="169"/>
      <c r="C355" s="172"/>
      <c r="D355" s="161"/>
      <c r="E355" s="162"/>
      <c r="F355" s="163"/>
    </row>
    <row r="356" spans="2:60" ht="15" thickBot="1" x14ac:dyDescent="0.3">
      <c r="B356" s="169"/>
      <c r="C356" s="172"/>
      <c r="D356" s="161" t="s">
        <v>471</v>
      </c>
      <c r="E356" s="162">
        <f>SUM(E352:E355)</f>
        <v>0</v>
      </c>
      <c r="F356" s="163">
        <f>SUM(F352:F355)</f>
        <v>0</v>
      </c>
      <c r="BG356" s="157">
        <f>SUM(E356,K356,Q356,W356,AC356,AI356,AO356,AU356,AX356,BD356)</f>
        <v>0</v>
      </c>
      <c r="BH356" s="158">
        <f>SUM(F356,L356,R356,X356,AD356,AJ356,AP356,AV356,AY356,BE356)</f>
        <v>0</v>
      </c>
    </row>
    <row r="357" spans="2:60" ht="14.4" thickBot="1" x14ac:dyDescent="0.3">
      <c r="B357" s="170"/>
      <c r="C357" s="173"/>
      <c r="D357" s="164" t="str">
        <f>IF(E356=F356,"",IF(E356&gt;F356,"Saldo Deudor","Saldo Acreedor"))</f>
        <v/>
      </c>
      <c r="E357" s="165" t="str">
        <f>IF(E356&gt;F356,E356-F356,"")</f>
        <v/>
      </c>
      <c r="F357" s="176" t="str">
        <f>IF(E356&lt;F356,F356-E356,"")</f>
        <v/>
      </c>
    </row>
    <row r="360" spans="2:60" ht="15.6" x14ac:dyDescent="0.25">
      <c r="B360" s="324" t="s">
        <v>472</v>
      </c>
      <c r="C360" s="324"/>
      <c r="D360" s="175">
        <v>2521</v>
      </c>
      <c r="E360" s="160"/>
      <c r="H360" s="324" t="s">
        <v>472</v>
      </c>
      <c r="I360" s="324"/>
      <c r="J360" s="175">
        <v>2522</v>
      </c>
      <c r="K360" s="160"/>
      <c r="N360" s="324" t="s">
        <v>472</v>
      </c>
      <c r="O360" s="324"/>
      <c r="P360" s="175">
        <v>2523</v>
      </c>
      <c r="Q360" s="160"/>
      <c r="T360" s="324" t="s">
        <v>472</v>
      </c>
      <c r="U360" s="324"/>
      <c r="V360" s="175">
        <v>2524</v>
      </c>
      <c r="W360" s="160"/>
    </row>
    <row r="361" spans="2:60" x14ac:dyDescent="0.25">
      <c r="B361" s="160"/>
      <c r="C361" s="160"/>
      <c r="D361" s="160"/>
      <c r="E361" s="160"/>
      <c r="H361" s="160"/>
      <c r="I361" s="160"/>
      <c r="J361" s="160"/>
      <c r="K361" s="160"/>
      <c r="N361" s="160"/>
      <c r="O361" s="160"/>
      <c r="P361" s="160"/>
      <c r="Q361" s="160"/>
      <c r="T361" s="160"/>
      <c r="U361" s="160"/>
      <c r="V361" s="160"/>
      <c r="W361" s="160"/>
    </row>
    <row r="362" spans="2:60" ht="15.6" x14ac:dyDescent="0.25">
      <c r="B362" s="324" t="s">
        <v>473</v>
      </c>
      <c r="C362" s="324"/>
      <c r="D362" s="234" t="str">
        <f>VLOOKUP(D360,DivisionariasContables,3,FALSE)</f>
        <v>Combustibles</v>
      </c>
      <c r="E362" s="160"/>
      <c r="H362" s="324" t="s">
        <v>473</v>
      </c>
      <c r="I362" s="324"/>
      <c r="J362" s="234" t="str">
        <f>VLOOKUP(J360,DivisionariasContables,3,FALSE)</f>
        <v>Lubricantes</v>
      </c>
      <c r="K362" s="160"/>
      <c r="N362" s="324" t="s">
        <v>473</v>
      </c>
      <c r="O362" s="324"/>
      <c r="P362" s="234" t="str">
        <f>VLOOKUP(P360,DivisionariasContables,3,FALSE)</f>
        <v>Energía</v>
      </c>
      <c r="Q362" s="160"/>
      <c r="T362" s="324" t="s">
        <v>473</v>
      </c>
      <c r="U362" s="324"/>
      <c r="V362" s="234" t="str">
        <f>VLOOKUP(V360,DivisionariasContables,3,FALSE)</f>
        <v>Otros Suministros</v>
      </c>
      <c r="W362" s="160"/>
    </row>
    <row r="363" spans="2:60" ht="14.4" thickBot="1" x14ac:dyDescent="0.3"/>
    <row r="364" spans="2:60" x14ac:dyDescent="0.25">
      <c r="B364" s="325" t="s">
        <v>466</v>
      </c>
      <c r="C364" s="327" t="s">
        <v>467</v>
      </c>
      <c r="D364" s="327" t="s">
        <v>468</v>
      </c>
      <c r="E364" s="329" t="s">
        <v>469</v>
      </c>
      <c r="F364" s="330"/>
      <c r="H364" s="325" t="s">
        <v>466</v>
      </c>
      <c r="I364" s="327" t="s">
        <v>467</v>
      </c>
      <c r="J364" s="327" t="s">
        <v>468</v>
      </c>
      <c r="K364" s="329" t="s">
        <v>469</v>
      </c>
      <c r="L364" s="330"/>
      <c r="N364" s="325" t="s">
        <v>466</v>
      </c>
      <c r="O364" s="327" t="s">
        <v>467</v>
      </c>
      <c r="P364" s="327" t="s">
        <v>468</v>
      </c>
      <c r="Q364" s="329" t="s">
        <v>469</v>
      </c>
      <c r="R364" s="330"/>
      <c r="T364" s="325" t="s">
        <v>466</v>
      </c>
      <c r="U364" s="327" t="s">
        <v>467</v>
      </c>
      <c r="V364" s="327" t="s">
        <v>468</v>
      </c>
      <c r="W364" s="329" t="s">
        <v>469</v>
      </c>
      <c r="X364" s="330"/>
    </row>
    <row r="365" spans="2:60" ht="14.4" thickBot="1" x14ac:dyDescent="0.3">
      <c r="B365" s="326"/>
      <c r="C365" s="328"/>
      <c r="D365" s="328"/>
      <c r="E365" s="232" t="s">
        <v>403</v>
      </c>
      <c r="F365" s="174" t="s">
        <v>402</v>
      </c>
      <c r="H365" s="326"/>
      <c r="I365" s="328"/>
      <c r="J365" s="328"/>
      <c r="K365" s="232" t="s">
        <v>403</v>
      </c>
      <c r="L365" s="174" t="s">
        <v>402</v>
      </c>
      <c r="N365" s="326"/>
      <c r="O365" s="328"/>
      <c r="P365" s="328"/>
      <c r="Q365" s="232" t="s">
        <v>403</v>
      </c>
      <c r="R365" s="174" t="s">
        <v>402</v>
      </c>
      <c r="T365" s="326"/>
      <c r="U365" s="328"/>
      <c r="V365" s="328"/>
      <c r="W365" s="232" t="s">
        <v>403</v>
      </c>
      <c r="X365" s="174" t="s">
        <v>402</v>
      </c>
    </row>
    <row r="366" spans="2:60" ht="14.4" thickTop="1" x14ac:dyDescent="0.25">
      <c r="B366" s="236">
        <v>41670</v>
      </c>
      <c r="C366" s="171"/>
      <c r="D366" s="166" t="s">
        <v>470</v>
      </c>
      <c r="E366" s="167">
        <f>SUMIF('Libro Diario Convencional'!$D$15:$D$167,D360,'Libro Diario Convencional'!$G$15:$G$167)</f>
        <v>0</v>
      </c>
      <c r="F366" s="168">
        <f>SUMIF('Libro Diario Convencional'!$D$15:$D$167,D360,'Libro Diario Convencional'!$H$15:$H$167)</f>
        <v>0</v>
      </c>
      <c r="H366" s="236">
        <v>41670</v>
      </c>
      <c r="I366" s="171"/>
      <c r="J366" s="166" t="s">
        <v>470</v>
      </c>
      <c r="K366" s="167">
        <f>SUMIF('Libro Diario Convencional'!$D$15:$D$167,J360,'Libro Diario Convencional'!$G$15:$G$167)</f>
        <v>0</v>
      </c>
      <c r="L366" s="168">
        <f>SUMIF('Libro Diario Convencional'!$D$15:$D$167,J360,'Libro Diario Convencional'!$H$15:$H$167)</f>
        <v>0</v>
      </c>
      <c r="N366" s="236">
        <v>41670</v>
      </c>
      <c r="O366" s="171"/>
      <c r="P366" s="166" t="s">
        <v>470</v>
      </c>
      <c r="Q366" s="167">
        <f>SUMIF('Libro Diario Convencional'!$D$15:$D$167,P360,'Libro Diario Convencional'!$G$15:$G$167)</f>
        <v>0</v>
      </c>
      <c r="R366" s="168">
        <f>SUMIF('Libro Diario Convencional'!$D$15:$D$167,P360,'Libro Diario Convencional'!$H$15:$H$167)</f>
        <v>0</v>
      </c>
      <c r="T366" s="236">
        <v>41670</v>
      </c>
      <c r="U366" s="171"/>
      <c r="V366" s="166" t="s">
        <v>470</v>
      </c>
      <c r="W366" s="167">
        <f>SUMIF('Libro Diario Convencional'!$D$15:$D$167,V360,'Libro Diario Convencional'!$G$15:$G$167)</f>
        <v>0</v>
      </c>
      <c r="X366" s="168">
        <f>SUMIF('Libro Diario Convencional'!$D$15:$D$167,V360,'Libro Diario Convencional'!$H$15:$H$167)</f>
        <v>0</v>
      </c>
    </row>
    <row r="367" spans="2:60" x14ac:dyDescent="0.25">
      <c r="B367" s="169"/>
      <c r="C367" s="172"/>
      <c r="D367" s="161"/>
      <c r="E367" s="162"/>
      <c r="F367" s="163"/>
      <c r="H367" s="169"/>
      <c r="I367" s="172"/>
      <c r="J367" s="161"/>
      <c r="K367" s="162"/>
      <c r="L367" s="163"/>
      <c r="N367" s="169"/>
      <c r="O367" s="172"/>
      <c r="P367" s="161"/>
      <c r="Q367" s="162"/>
      <c r="R367" s="163"/>
      <c r="T367" s="169"/>
      <c r="U367" s="172"/>
      <c r="V367" s="161"/>
      <c r="W367" s="162"/>
      <c r="X367" s="163"/>
    </row>
    <row r="368" spans="2:60" x14ac:dyDescent="0.25">
      <c r="B368" s="169"/>
      <c r="C368" s="172"/>
      <c r="D368" s="161"/>
      <c r="E368" s="162"/>
      <c r="F368" s="163"/>
      <c r="H368" s="169"/>
      <c r="I368" s="172"/>
      <c r="J368" s="161"/>
      <c r="K368" s="162"/>
      <c r="L368" s="163"/>
      <c r="N368" s="169"/>
      <c r="O368" s="172"/>
      <c r="P368" s="161"/>
      <c r="Q368" s="162"/>
      <c r="R368" s="163"/>
      <c r="T368" s="169"/>
      <c r="U368" s="172"/>
      <c r="V368" s="161"/>
      <c r="W368" s="162"/>
      <c r="X368" s="163"/>
    </row>
    <row r="369" spans="2:60" ht="14.4" thickBot="1" x14ac:dyDescent="0.3">
      <c r="B369" s="169"/>
      <c r="C369" s="172"/>
      <c r="D369" s="161"/>
      <c r="E369" s="162"/>
      <c r="F369" s="163"/>
      <c r="H369" s="169"/>
      <c r="I369" s="172"/>
      <c r="J369" s="161"/>
      <c r="K369" s="162"/>
      <c r="L369" s="163"/>
      <c r="N369" s="169"/>
      <c r="O369" s="172"/>
      <c r="P369" s="161"/>
      <c r="Q369" s="162"/>
      <c r="R369" s="163"/>
      <c r="T369" s="169"/>
      <c r="U369" s="172"/>
      <c r="V369" s="161"/>
      <c r="W369" s="162"/>
      <c r="X369" s="163"/>
    </row>
    <row r="370" spans="2:60" ht="15" thickBot="1" x14ac:dyDescent="0.3">
      <c r="B370" s="169"/>
      <c r="C370" s="172"/>
      <c r="D370" s="161" t="s">
        <v>471</v>
      </c>
      <c r="E370" s="162">
        <f>SUM(E366:E369)</f>
        <v>0</v>
      </c>
      <c r="F370" s="163">
        <f>SUM(F366:F369)</f>
        <v>0</v>
      </c>
      <c r="H370" s="169"/>
      <c r="I370" s="172"/>
      <c r="J370" s="161" t="s">
        <v>471</v>
      </c>
      <c r="K370" s="162">
        <f>SUM(K366:K369)</f>
        <v>0</v>
      </c>
      <c r="L370" s="163">
        <f>SUM(L366:L369)</f>
        <v>0</v>
      </c>
      <c r="N370" s="169"/>
      <c r="O370" s="172"/>
      <c r="P370" s="161" t="s">
        <v>471</v>
      </c>
      <c r="Q370" s="162">
        <f>SUM(Q366:Q369)</f>
        <v>0</v>
      </c>
      <c r="R370" s="163">
        <f>SUM(R366:R369)</f>
        <v>0</v>
      </c>
      <c r="T370" s="169"/>
      <c r="U370" s="172"/>
      <c r="V370" s="161" t="s">
        <v>471</v>
      </c>
      <c r="W370" s="162">
        <f>SUM(W366:W369)</f>
        <v>0</v>
      </c>
      <c r="X370" s="163">
        <f>SUM(X366:X369)</f>
        <v>0</v>
      </c>
      <c r="BG370" s="157">
        <f>SUM(E370,K370,Q370,W370,AC370,AI370,AO370,AU370,AX370,BD370)</f>
        <v>0</v>
      </c>
      <c r="BH370" s="158">
        <f>SUM(F370,L370,R370,X370,AD370,AJ370,AP370,AV370,AY370,BE370)</f>
        <v>0</v>
      </c>
    </row>
    <row r="371" spans="2:60" ht="14.4" thickBot="1" x14ac:dyDescent="0.3">
      <c r="B371" s="170"/>
      <c r="C371" s="173"/>
      <c r="D371" s="164" t="str">
        <f>IF(E370=F370,"",IF(E370&gt;F370,"Saldo Deudor","Saldo Acreedor"))</f>
        <v/>
      </c>
      <c r="E371" s="165" t="str">
        <f>IF(E370&gt;F370,E370-F370,"")</f>
        <v/>
      </c>
      <c r="F371" s="176" t="str">
        <f>IF(E370&lt;F370,F370-E370,"")</f>
        <v/>
      </c>
      <c r="H371" s="170"/>
      <c r="I371" s="173"/>
      <c r="J371" s="164" t="str">
        <f>IF(K370=L370,"",IF(K370&gt;L370,"Saldo Deudor","Saldo Acreedor"))</f>
        <v/>
      </c>
      <c r="K371" s="165" t="str">
        <f>IF(K370&gt;L370,K370-L370,"")</f>
        <v/>
      </c>
      <c r="L371" s="176" t="str">
        <f>IF(K370&lt;L370,L370-K370,"")</f>
        <v/>
      </c>
      <c r="N371" s="170"/>
      <c r="O371" s="173"/>
      <c r="P371" s="164" t="str">
        <f>IF(Q370=R370,"",IF(Q370&gt;R370,"Saldo Deudor","Saldo Acreedor"))</f>
        <v/>
      </c>
      <c r="Q371" s="165" t="str">
        <f>IF(Q370&gt;R370,Q370-R370,"")</f>
        <v/>
      </c>
      <c r="R371" s="176" t="str">
        <f>IF(Q370&lt;R370,R370-Q370,"")</f>
        <v/>
      </c>
      <c r="T371" s="170"/>
      <c r="U371" s="173"/>
      <c r="V371" s="164" t="str">
        <f>IF(W370=X370,"",IF(W370&gt;X370,"Saldo Deudor","Saldo Acreedor"))</f>
        <v/>
      </c>
      <c r="W371" s="165" t="str">
        <f>IF(W370&gt;X370,W370-X370,"")</f>
        <v/>
      </c>
      <c r="X371" s="176" t="str">
        <f>IF(W370&lt;X370,X370-W370,"")</f>
        <v/>
      </c>
    </row>
    <row r="374" spans="2:60" ht="15.6" x14ac:dyDescent="0.25">
      <c r="B374" s="324" t="s">
        <v>472</v>
      </c>
      <c r="C374" s="324"/>
      <c r="D374" s="175">
        <v>2531</v>
      </c>
      <c r="E374" s="160"/>
    </row>
    <row r="375" spans="2:60" x14ac:dyDescent="0.25">
      <c r="B375" s="160"/>
      <c r="C375" s="160"/>
      <c r="D375" s="160"/>
      <c r="E375" s="160"/>
    </row>
    <row r="376" spans="2:60" ht="15.6" x14ac:dyDescent="0.25">
      <c r="B376" s="324" t="s">
        <v>473</v>
      </c>
      <c r="C376" s="324"/>
      <c r="D376" s="234" t="str">
        <f>VLOOKUP(D374,DivisionariasContables,3,FALSE)</f>
        <v>Repuestos</v>
      </c>
      <c r="E376" s="160"/>
    </row>
    <row r="377" spans="2:60" ht="14.4" thickBot="1" x14ac:dyDescent="0.3"/>
    <row r="378" spans="2:60" x14ac:dyDescent="0.25">
      <c r="B378" s="325" t="s">
        <v>466</v>
      </c>
      <c r="C378" s="327" t="s">
        <v>467</v>
      </c>
      <c r="D378" s="327" t="s">
        <v>468</v>
      </c>
      <c r="E378" s="329" t="s">
        <v>469</v>
      </c>
      <c r="F378" s="330"/>
    </row>
    <row r="379" spans="2:60" ht="14.4" thickBot="1" x14ac:dyDescent="0.3">
      <c r="B379" s="326"/>
      <c r="C379" s="328"/>
      <c r="D379" s="328"/>
      <c r="E379" s="232" t="s">
        <v>403</v>
      </c>
      <c r="F379" s="174" t="s">
        <v>402</v>
      </c>
    </row>
    <row r="380" spans="2:60" ht="14.4" thickTop="1" x14ac:dyDescent="0.25">
      <c r="B380" s="236">
        <v>41670</v>
      </c>
      <c r="C380" s="171"/>
      <c r="D380" s="166" t="s">
        <v>470</v>
      </c>
      <c r="E380" s="167">
        <f>SUMIF('Libro Diario Convencional'!$D$15:$D$167,D374,'Libro Diario Convencional'!$G$15:$G$167)</f>
        <v>0</v>
      </c>
      <c r="F380" s="168">
        <f>SUMIF('Libro Diario Convencional'!$D$15:$D$167,D374,'Libro Diario Convencional'!$H$15:$H$167)</f>
        <v>0</v>
      </c>
    </row>
    <row r="381" spans="2:60" x14ac:dyDescent="0.25">
      <c r="B381" s="169"/>
      <c r="C381" s="172"/>
      <c r="D381" s="161"/>
      <c r="E381" s="162"/>
      <c r="F381" s="163"/>
    </row>
    <row r="382" spans="2:60" x14ac:dyDescent="0.25">
      <c r="B382" s="169"/>
      <c r="C382" s="172"/>
      <c r="D382" s="161"/>
      <c r="E382" s="162"/>
      <c r="F382" s="163"/>
    </row>
    <row r="383" spans="2:60" ht="14.4" thickBot="1" x14ac:dyDescent="0.3">
      <c r="B383" s="169"/>
      <c r="C383" s="172"/>
      <c r="D383" s="161"/>
      <c r="E383" s="162"/>
      <c r="F383" s="163"/>
    </row>
    <row r="384" spans="2:60" ht="15" thickBot="1" x14ac:dyDescent="0.3">
      <c r="B384" s="169"/>
      <c r="C384" s="172"/>
      <c r="D384" s="161" t="s">
        <v>471</v>
      </c>
      <c r="E384" s="162">
        <f>SUM(E380:E383)</f>
        <v>0</v>
      </c>
      <c r="F384" s="163">
        <f>SUM(F380:F383)</f>
        <v>0</v>
      </c>
      <c r="BG384" s="157">
        <f>SUM(E384,K384,Q384,W384,AC384,AI384,AO384,AU384,AX384,BD384)</f>
        <v>0</v>
      </c>
      <c r="BH384" s="158">
        <f>SUM(F384,L384,R384,X384,AD384,AJ384,AP384,AV384,AY384,BE384)</f>
        <v>0</v>
      </c>
    </row>
    <row r="385" spans="2:60" ht="14.4" thickBot="1" x14ac:dyDescent="0.3">
      <c r="B385" s="170"/>
      <c r="C385" s="173"/>
      <c r="D385" s="164" t="str">
        <f>IF(E384=F384,"",IF(E384&gt;F384,"Saldo Deudor","Saldo Acreedor"))</f>
        <v/>
      </c>
      <c r="E385" s="165" t="str">
        <f>IF(E384&gt;F384,E384-F384,"")</f>
        <v/>
      </c>
      <c r="F385" s="176" t="str">
        <f>IF(E384&lt;F384,F384-E384,"")</f>
        <v/>
      </c>
    </row>
    <row r="388" spans="2:60" ht="15.6" x14ac:dyDescent="0.25">
      <c r="B388" s="324" t="s">
        <v>472</v>
      </c>
      <c r="C388" s="324"/>
      <c r="D388" s="175">
        <v>2611</v>
      </c>
      <c r="E388" s="160"/>
    </row>
    <row r="389" spans="2:60" x14ac:dyDescent="0.25">
      <c r="B389" s="160"/>
      <c r="C389" s="160"/>
      <c r="D389" s="160"/>
      <c r="E389" s="160"/>
    </row>
    <row r="390" spans="2:60" ht="15.6" x14ac:dyDescent="0.25">
      <c r="B390" s="324" t="s">
        <v>473</v>
      </c>
      <c r="C390" s="324"/>
      <c r="D390" s="234" t="str">
        <f>VLOOKUP(D388,DivisionariasContables,3,FALSE)</f>
        <v>Envases</v>
      </c>
      <c r="E390" s="160"/>
    </row>
    <row r="391" spans="2:60" ht="14.4" thickBot="1" x14ac:dyDescent="0.3"/>
    <row r="392" spans="2:60" x14ac:dyDescent="0.25">
      <c r="B392" s="325" t="s">
        <v>466</v>
      </c>
      <c r="C392" s="327" t="s">
        <v>467</v>
      </c>
      <c r="D392" s="327" t="s">
        <v>468</v>
      </c>
      <c r="E392" s="329" t="s">
        <v>469</v>
      </c>
      <c r="F392" s="330"/>
    </row>
    <row r="393" spans="2:60" ht="14.4" thickBot="1" x14ac:dyDescent="0.3">
      <c r="B393" s="326"/>
      <c r="C393" s="328"/>
      <c r="D393" s="328"/>
      <c r="E393" s="232" t="s">
        <v>403</v>
      </c>
      <c r="F393" s="174" t="s">
        <v>402</v>
      </c>
    </row>
    <row r="394" spans="2:60" ht="14.4" thickTop="1" x14ac:dyDescent="0.25">
      <c r="B394" s="236">
        <v>41670</v>
      </c>
      <c r="C394" s="171"/>
      <c r="D394" s="166" t="s">
        <v>470</v>
      </c>
      <c r="E394" s="167">
        <f>SUMIF('Libro Diario Convencional'!$D$15:$D$167,D388,'Libro Diario Convencional'!$G$15:$G$167)</f>
        <v>0</v>
      </c>
      <c r="F394" s="168">
        <f>SUMIF('Libro Diario Convencional'!$D$15:$D$167,D388,'Libro Diario Convencional'!$H$15:$H$167)</f>
        <v>0</v>
      </c>
    </row>
    <row r="395" spans="2:60" x14ac:dyDescent="0.25">
      <c r="B395" s="169"/>
      <c r="C395" s="172"/>
      <c r="D395" s="161"/>
      <c r="E395" s="162"/>
      <c r="F395" s="163"/>
    </row>
    <row r="396" spans="2:60" x14ac:dyDescent="0.25">
      <c r="B396" s="169"/>
      <c r="C396" s="172"/>
      <c r="D396" s="161"/>
      <c r="E396" s="162"/>
      <c r="F396" s="163"/>
    </row>
    <row r="397" spans="2:60" ht="14.4" thickBot="1" x14ac:dyDescent="0.3">
      <c r="B397" s="169"/>
      <c r="C397" s="172"/>
      <c r="D397" s="161"/>
      <c r="E397" s="162"/>
      <c r="F397" s="163"/>
    </row>
    <row r="398" spans="2:60" ht="15" thickBot="1" x14ac:dyDescent="0.3">
      <c r="B398" s="169"/>
      <c r="C398" s="172"/>
      <c r="D398" s="161" t="s">
        <v>471</v>
      </c>
      <c r="E398" s="162">
        <f>SUM(E394:E397)</f>
        <v>0</v>
      </c>
      <c r="F398" s="163">
        <f>SUM(F394:F397)</f>
        <v>0</v>
      </c>
      <c r="BG398" s="157">
        <f>SUM(E398,K398,Q398,W398,AC398,AI398,AO398,AU398,AX398,BD398)</f>
        <v>0</v>
      </c>
      <c r="BH398" s="158">
        <f>SUM(F398,L398,R398,X398,AD398,AJ398,AP398,AV398,AY398,BE398)</f>
        <v>0</v>
      </c>
    </row>
    <row r="399" spans="2:60" ht="14.4" thickBot="1" x14ac:dyDescent="0.3">
      <c r="B399" s="170"/>
      <c r="C399" s="173"/>
      <c r="D399" s="164" t="str">
        <f>IF(E398=F398,"",IF(E398&gt;F398,"Saldo Deudor","Saldo Acreedor"))</f>
        <v/>
      </c>
      <c r="E399" s="165" t="str">
        <f>IF(E398&gt;F398,E398-F398,"")</f>
        <v/>
      </c>
      <c r="F399" s="176" t="str">
        <f>IF(E398&lt;F398,F398-E398,"")</f>
        <v/>
      </c>
    </row>
    <row r="402" spans="2:60" ht="15.6" x14ac:dyDescent="0.25">
      <c r="B402" s="324" t="s">
        <v>472</v>
      </c>
      <c r="C402" s="324"/>
      <c r="D402" s="175">
        <v>2621</v>
      </c>
      <c r="E402" s="160"/>
    </row>
    <row r="403" spans="2:60" x14ac:dyDescent="0.25">
      <c r="B403" s="160"/>
      <c r="C403" s="160"/>
      <c r="D403" s="160"/>
      <c r="E403" s="160"/>
    </row>
    <row r="404" spans="2:60" ht="15.6" x14ac:dyDescent="0.25">
      <c r="B404" s="324" t="s">
        <v>473</v>
      </c>
      <c r="C404" s="324"/>
      <c r="D404" s="234" t="str">
        <f>VLOOKUP(D402,DivisionariasContables,3,FALSE)</f>
        <v>Embalajes</v>
      </c>
      <c r="E404" s="160"/>
    </row>
    <row r="405" spans="2:60" ht="14.4" thickBot="1" x14ac:dyDescent="0.3"/>
    <row r="406" spans="2:60" x14ac:dyDescent="0.25">
      <c r="B406" s="325" t="s">
        <v>466</v>
      </c>
      <c r="C406" s="327" t="s">
        <v>467</v>
      </c>
      <c r="D406" s="327" t="s">
        <v>468</v>
      </c>
      <c r="E406" s="329" t="s">
        <v>469</v>
      </c>
      <c r="F406" s="330"/>
    </row>
    <row r="407" spans="2:60" ht="14.4" thickBot="1" x14ac:dyDescent="0.3">
      <c r="B407" s="326"/>
      <c r="C407" s="328"/>
      <c r="D407" s="328"/>
      <c r="E407" s="232" t="s">
        <v>403</v>
      </c>
      <c r="F407" s="174" t="s">
        <v>402</v>
      </c>
    </row>
    <row r="408" spans="2:60" ht="14.4" thickTop="1" x14ac:dyDescent="0.25">
      <c r="B408" s="236">
        <v>41670</v>
      </c>
      <c r="C408" s="171"/>
      <c r="D408" s="166" t="s">
        <v>470</v>
      </c>
      <c r="E408" s="167">
        <f>SUMIF('Libro Diario Convencional'!$D$15:$D$167,D402,'Libro Diario Convencional'!$G$15:$G$167)</f>
        <v>0</v>
      </c>
      <c r="F408" s="168">
        <f>SUMIF('Libro Diario Convencional'!$D$15:$D$167,D402,'Libro Diario Convencional'!$H$15:$H$167)</f>
        <v>0</v>
      </c>
    </row>
    <row r="409" spans="2:60" x14ac:dyDescent="0.25">
      <c r="B409" s="169"/>
      <c r="C409" s="172"/>
      <c r="D409" s="161"/>
      <c r="E409" s="162"/>
      <c r="F409" s="163"/>
    </row>
    <row r="410" spans="2:60" x14ac:dyDescent="0.25">
      <c r="B410" s="169"/>
      <c r="C410" s="172"/>
      <c r="D410" s="161"/>
      <c r="E410" s="162"/>
      <c r="F410" s="163"/>
    </row>
    <row r="411" spans="2:60" ht="14.4" thickBot="1" x14ac:dyDescent="0.3">
      <c r="B411" s="169"/>
      <c r="C411" s="172"/>
      <c r="D411" s="161"/>
      <c r="E411" s="162"/>
      <c r="F411" s="163"/>
    </row>
    <row r="412" spans="2:60" ht="15" thickBot="1" x14ac:dyDescent="0.3">
      <c r="B412" s="169"/>
      <c r="C412" s="172"/>
      <c r="D412" s="161" t="s">
        <v>471</v>
      </c>
      <c r="E412" s="162">
        <f>SUM(E408:E411)</f>
        <v>0</v>
      </c>
      <c r="F412" s="163">
        <f>SUM(F408:F411)</f>
        <v>0</v>
      </c>
      <c r="BG412" s="157">
        <f>SUM(E412,K412,Q412,W412,AC412,AI412,AO412,AU412,AX412,BD412)</f>
        <v>0</v>
      </c>
      <c r="BH412" s="158">
        <f>SUM(F412,L412,R412,X412,AD412,AJ412,AP412,AV412,AY412,BE412)</f>
        <v>0</v>
      </c>
    </row>
    <row r="413" spans="2:60" ht="14.4" thickBot="1" x14ac:dyDescent="0.3">
      <c r="B413" s="170"/>
      <c r="C413" s="173"/>
      <c r="D413" s="164" t="str">
        <f>IF(E412=F412,"",IF(E412&gt;F412,"Saldo Deudor","Saldo Acreedor"))</f>
        <v/>
      </c>
      <c r="E413" s="165" t="str">
        <f>IF(E412&gt;F412,E412-F412,"")</f>
        <v/>
      </c>
      <c r="F413" s="176" t="str">
        <f>IF(E412&lt;F412,F412-E412,"")</f>
        <v/>
      </c>
    </row>
    <row r="416" spans="2:60" ht="15.6" x14ac:dyDescent="0.25">
      <c r="B416" s="324" t="s">
        <v>472</v>
      </c>
      <c r="C416" s="324"/>
      <c r="D416" s="175">
        <v>2725</v>
      </c>
      <c r="E416" s="160"/>
    </row>
    <row r="417" spans="2:60" x14ac:dyDescent="0.25">
      <c r="B417" s="160"/>
      <c r="C417" s="160"/>
      <c r="D417" s="160"/>
      <c r="E417" s="160"/>
    </row>
    <row r="418" spans="2:60" ht="15.6" x14ac:dyDescent="0.25">
      <c r="B418" s="324" t="s">
        <v>473</v>
      </c>
      <c r="C418" s="324"/>
      <c r="D418" s="234" t="str">
        <f>VLOOKUP(D416,DivisionariasContables,3,FALSE)</f>
        <v>Muebles y Enseres</v>
      </c>
      <c r="E418" s="160"/>
    </row>
    <row r="419" spans="2:60" ht="14.4" thickBot="1" x14ac:dyDescent="0.3"/>
    <row r="420" spans="2:60" x14ac:dyDescent="0.25">
      <c r="B420" s="325" t="s">
        <v>466</v>
      </c>
      <c r="C420" s="327" t="s">
        <v>467</v>
      </c>
      <c r="D420" s="327" t="s">
        <v>468</v>
      </c>
      <c r="E420" s="329" t="s">
        <v>469</v>
      </c>
      <c r="F420" s="330"/>
    </row>
    <row r="421" spans="2:60" ht="14.4" thickBot="1" x14ac:dyDescent="0.3">
      <c r="B421" s="326"/>
      <c r="C421" s="328"/>
      <c r="D421" s="328"/>
      <c r="E421" s="232" t="s">
        <v>403</v>
      </c>
      <c r="F421" s="174" t="s">
        <v>402</v>
      </c>
    </row>
    <row r="422" spans="2:60" ht="14.4" thickTop="1" x14ac:dyDescent="0.25">
      <c r="B422" s="236">
        <v>41670</v>
      </c>
      <c r="C422" s="171"/>
      <c r="D422" s="166" t="s">
        <v>470</v>
      </c>
      <c r="E422" s="167">
        <f>SUMIF('Libro Diario Convencional'!$D$15:$D$167,D416,'Libro Diario Convencional'!$G$15:$G$167)</f>
        <v>0</v>
      </c>
      <c r="F422" s="168">
        <f>SUMIF('Libro Diario Convencional'!$D$15:$D$167,D416,'Libro Diario Convencional'!$H$15:$H$167)</f>
        <v>0</v>
      </c>
    </row>
    <row r="423" spans="2:60" x14ac:dyDescent="0.25">
      <c r="B423" s="169"/>
      <c r="C423" s="172"/>
      <c r="D423" s="161"/>
      <c r="E423" s="162"/>
      <c r="F423" s="163"/>
    </row>
    <row r="424" spans="2:60" x14ac:dyDescent="0.25">
      <c r="B424" s="169"/>
      <c r="C424" s="172"/>
      <c r="D424" s="161"/>
      <c r="E424" s="162"/>
      <c r="F424" s="163"/>
    </row>
    <row r="425" spans="2:60" ht="14.4" thickBot="1" x14ac:dyDescent="0.3">
      <c r="B425" s="169"/>
      <c r="C425" s="172"/>
      <c r="D425" s="161"/>
      <c r="E425" s="162"/>
      <c r="F425" s="163"/>
    </row>
    <row r="426" spans="2:60" ht="15" thickBot="1" x14ac:dyDescent="0.3">
      <c r="B426" s="169"/>
      <c r="C426" s="172"/>
      <c r="D426" s="161" t="s">
        <v>471</v>
      </c>
      <c r="E426" s="162">
        <f>SUM(E422:E425)</f>
        <v>0</v>
      </c>
      <c r="F426" s="163">
        <f>SUM(F422:F425)</f>
        <v>0</v>
      </c>
      <c r="BG426" s="157">
        <f>SUM(E426,K426,Q426,W426,AC426,AI426,AO426,AU426,AX426,BD426)</f>
        <v>0</v>
      </c>
      <c r="BH426" s="158">
        <f>SUM(F426,L426,R426,X426,AD426,AJ426,AP426,AV426,AY426,BE426)</f>
        <v>0</v>
      </c>
    </row>
    <row r="427" spans="2:60" ht="14.4" thickBot="1" x14ac:dyDescent="0.3">
      <c r="B427" s="170"/>
      <c r="C427" s="173"/>
      <c r="D427" s="164" t="str">
        <f>IF(E426=F426,"",IF(E426&gt;F426,"Saldo Deudor","Saldo Acreedor"))</f>
        <v/>
      </c>
      <c r="E427" s="165" t="str">
        <f>IF(E426&gt;F426,E426-F426,"")</f>
        <v/>
      </c>
      <c r="F427" s="176" t="str">
        <f>IF(E426&lt;F426,F426-E426,"")</f>
        <v/>
      </c>
    </row>
    <row r="430" spans="2:60" ht="15.6" x14ac:dyDescent="0.25">
      <c r="B430" s="324" t="s">
        <v>472</v>
      </c>
      <c r="C430" s="324"/>
      <c r="D430" s="175">
        <v>3211</v>
      </c>
      <c r="E430" s="160"/>
      <c r="H430" s="324" t="s">
        <v>472</v>
      </c>
      <c r="I430" s="324"/>
      <c r="J430" s="175">
        <v>3212</v>
      </c>
      <c r="K430" s="160"/>
    </row>
    <row r="431" spans="2:60" x14ac:dyDescent="0.25">
      <c r="B431" s="160"/>
      <c r="C431" s="160"/>
      <c r="D431" s="160"/>
      <c r="E431" s="160"/>
      <c r="H431" s="160"/>
      <c r="I431" s="160"/>
      <c r="J431" s="160"/>
      <c r="K431" s="160"/>
    </row>
    <row r="432" spans="2:60" ht="15.6" x14ac:dyDescent="0.25">
      <c r="B432" s="324" t="s">
        <v>473</v>
      </c>
      <c r="C432" s="324"/>
      <c r="D432" s="234" t="str">
        <f>VLOOKUP(D430,DivisionariasContables,3,FALSE)</f>
        <v>Inversiones Inmobiliarias - Terrenos</v>
      </c>
      <c r="E432" s="160"/>
      <c r="H432" s="324" t="s">
        <v>473</v>
      </c>
      <c r="I432" s="324"/>
      <c r="J432" s="234" t="str">
        <f>VLOOKUP(J430,DivisionariasContables,3,FALSE)</f>
        <v>Inversiones Inmobiliarias - Edificaciones</v>
      </c>
      <c r="K432" s="160"/>
    </row>
    <row r="433" spans="2:60" ht="14.4" thickBot="1" x14ac:dyDescent="0.3"/>
    <row r="434" spans="2:60" x14ac:dyDescent="0.25">
      <c r="B434" s="325" t="s">
        <v>466</v>
      </c>
      <c r="C434" s="327" t="s">
        <v>467</v>
      </c>
      <c r="D434" s="327" t="s">
        <v>468</v>
      </c>
      <c r="E434" s="329" t="s">
        <v>469</v>
      </c>
      <c r="F434" s="330"/>
      <c r="H434" s="325" t="s">
        <v>466</v>
      </c>
      <c r="I434" s="327" t="s">
        <v>467</v>
      </c>
      <c r="J434" s="327" t="s">
        <v>468</v>
      </c>
      <c r="K434" s="329" t="s">
        <v>469</v>
      </c>
      <c r="L434" s="330"/>
    </row>
    <row r="435" spans="2:60" ht="14.4" thickBot="1" x14ac:dyDescent="0.3">
      <c r="B435" s="326"/>
      <c r="C435" s="328"/>
      <c r="D435" s="328"/>
      <c r="E435" s="232" t="s">
        <v>403</v>
      </c>
      <c r="F435" s="174" t="s">
        <v>402</v>
      </c>
      <c r="H435" s="326"/>
      <c r="I435" s="328"/>
      <c r="J435" s="328"/>
      <c r="K435" s="232" t="s">
        <v>403</v>
      </c>
      <c r="L435" s="174" t="s">
        <v>402</v>
      </c>
    </row>
    <row r="436" spans="2:60" ht="14.4" thickTop="1" x14ac:dyDescent="0.25">
      <c r="B436" s="236">
        <v>41670</v>
      </c>
      <c r="C436" s="171"/>
      <c r="D436" s="166" t="s">
        <v>470</v>
      </c>
      <c r="E436" s="167">
        <f>SUMIF('Libro Diario Convencional'!$D$15:$D$167,D430,'Libro Diario Convencional'!$G$15:$G$167)</f>
        <v>0</v>
      </c>
      <c r="F436" s="168">
        <f>SUMIF('Libro Diario Convencional'!$D$15:$D$167,D430,'Libro Diario Convencional'!$H$15:$H$167)</f>
        <v>0</v>
      </c>
      <c r="H436" s="236">
        <v>41670</v>
      </c>
      <c r="I436" s="171"/>
      <c r="J436" s="166" t="s">
        <v>470</v>
      </c>
      <c r="K436" s="167">
        <f>SUMIF('Libro Diario Convencional'!$D$15:$D$167,J430,'Libro Diario Convencional'!$G$15:$G$167)</f>
        <v>0</v>
      </c>
      <c r="L436" s="168">
        <f>SUMIF('Libro Diario Convencional'!$D$15:$D$167,J430,'Libro Diario Convencional'!$H$15:$H$167)</f>
        <v>0</v>
      </c>
    </row>
    <row r="437" spans="2:60" x14ac:dyDescent="0.25">
      <c r="B437" s="169"/>
      <c r="C437" s="172"/>
      <c r="D437" s="161"/>
      <c r="E437" s="162"/>
      <c r="F437" s="163"/>
      <c r="H437" s="169"/>
      <c r="I437" s="172"/>
      <c r="J437" s="161"/>
      <c r="K437" s="162"/>
      <c r="L437" s="163"/>
    </row>
    <row r="438" spans="2:60" x14ac:dyDescent="0.25">
      <c r="B438" s="169"/>
      <c r="C438" s="172"/>
      <c r="D438" s="161"/>
      <c r="E438" s="162"/>
      <c r="F438" s="163"/>
      <c r="H438" s="169"/>
      <c r="I438" s="172"/>
      <c r="J438" s="161"/>
      <c r="K438" s="162"/>
      <c r="L438" s="163"/>
    </row>
    <row r="439" spans="2:60" ht="14.4" thickBot="1" x14ac:dyDescent="0.3">
      <c r="B439" s="169"/>
      <c r="C439" s="172"/>
      <c r="D439" s="161"/>
      <c r="E439" s="162"/>
      <c r="F439" s="163"/>
      <c r="H439" s="169"/>
      <c r="I439" s="172"/>
      <c r="J439" s="161"/>
      <c r="K439" s="162"/>
      <c r="L439" s="163"/>
    </row>
    <row r="440" spans="2:60" ht="15" thickBot="1" x14ac:dyDescent="0.3">
      <c r="B440" s="169"/>
      <c r="C440" s="172"/>
      <c r="D440" s="161" t="s">
        <v>471</v>
      </c>
      <c r="E440" s="162">
        <f>SUM(E436:E439)</f>
        <v>0</v>
      </c>
      <c r="F440" s="163">
        <f>SUM(F436:F439)</f>
        <v>0</v>
      </c>
      <c r="H440" s="169"/>
      <c r="I440" s="172"/>
      <c r="J440" s="161" t="s">
        <v>471</v>
      </c>
      <c r="K440" s="162">
        <f>SUM(K436:K439)</f>
        <v>0</v>
      </c>
      <c r="L440" s="163">
        <f>SUM(L436:L439)</f>
        <v>0</v>
      </c>
      <c r="BG440" s="157">
        <f>SUM(E440,K440,Q440,W440,AC440,AI440,AO440,AU440,AX440,BD440)</f>
        <v>0</v>
      </c>
      <c r="BH440" s="158">
        <f>SUM(F440,L440,R440,X440,AD440,AJ440,AP440,AV440,AY440,BE440)</f>
        <v>0</v>
      </c>
    </row>
    <row r="441" spans="2:60" ht="14.4" thickBot="1" x14ac:dyDescent="0.3">
      <c r="B441" s="170"/>
      <c r="C441" s="173"/>
      <c r="D441" s="164" t="str">
        <f>IF(E440=F440,"",IF(E440&gt;F440,"Saldo Deudor","Saldo Acreedor"))</f>
        <v/>
      </c>
      <c r="E441" s="165" t="str">
        <f>IF(E440&gt;F440,E440-F440,"")</f>
        <v/>
      </c>
      <c r="F441" s="176" t="str">
        <f>IF(E440&lt;F440,F440-E440,"")</f>
        <v/>
      </c>
      <c r="H441" s="170"/>
      <c r="I441" s="173"/>
      <c r="J441" s="164" t="str">
        <f>IF(K440=L440,"",IF(K440&gt;L440,"Saldo Deudor","Saldo Acreedor"))</f>
        <v/>
      </c>
      <c r="K441" s="165" t="str">
        <f>IF(K440&gt;L440,K440-L440,"")</f>
        <v/>
      </c>
      <c r="L441" s="176" t="str">
        <f>IF(K440&lt;L440,L440-K440,"")</f>
        <v/>
      </c>
    </row>
    <row r="444" spans="2:60" ht="15.6" x14ac:dyDescent="0.25">
      <c r="B444" s="324" t="s">
        <v>472</v>
      </c>
      <c r="C444" s="324"/>
      <c r="D444" s="175">
        <v>3221</v>
      </c>
      <c r="E444" s="160"/>
      <c r="H444" s="324" t="s">
        <v>472</v>
      </c>
      <c r="I444" s="324"/>
      <c r="J444" s="175">
        <v>3222</v>
      </c>
      <c r="K444" s="160"/>
      <c r="N444" s="324" t="s">
        <v>472</v>
      </c>
      <c r="O444" s="324"/>
      <c r="P444" s="175">
        <v>3223</v>
      </c>
      <c r="Q444" s="160"/>
      <c r="T444" s="324" t="s">
        <v>472</v>
      </c>
      <c r="U444" s="324"/>
      <c r="V444" s="175">
        <v>3224</v>
      </c>
      <c r="W444" s="160"/>
      <c r="Z444" s="324" t="s">
        <v>472</v>
      </c>
      <c r="AA444" s="324"/>
      <c r="AB444" s="175">
        <v>3225</v>
      </c>
      <c r="AC444" s="160"/>
      <c r="AF444" s="324" t="s">
        <v>472</v>
      </c>
      <c r="AG444" s="324"/>
      <c r="AH444" s="175">
        <v>3226</v>
      </c>
      <c r="AI444" s="160"/>
      <c r="AL444" s="324" t="s">
        <v>472</v>
      </c>
      <c r="AM444" s="324"/>
      <c r="AN444" s="175">
        <v>3227</v>
      </c>
      <c r="AO444" s="160"/>
      <c r="AR444" s="324" t="s">
        <v>472</v>
      </c>
      <c r="AS444" s="324"/>
      <c r="AT444" s="175">
        <v>3229</v>
      </c>
      <c r="AU444" s="160"/>
    </row>
    <row r="445" spans="2:60" x14ac:dyDescent="0.25">
      <c r="B445" s="160"/>
      <c r="C445" s="160"/>
      <c r="D445" s="160"/>
      <c r="E445" s="160"/>
      <c r="H445" s="160"/>
      <c r="I445" s="160"/>
      <c r="J445" s="160"/>
      <c r="K445" s="160"/>
      <c r="N445" s="160"/>
      <c r="O445" s="160"/>
      <c r="P445" s="160"/>
      <c r="Q445" s="160"/>
      <c r="T445" s="160"/>
      <c r="U445" s="160"/>
      <c r="V445" s="160"/>
      <c r="W445" s="160"/>
      <c r="Z445" s="160"/>
      <c r="AA445" s="160"/>
      <c r="AB445" s="160"/>
      <c r="AC445" s="160"/>
      <c r="AF445" s="160"/>
      <c r="AG445" s="160"/>
      <c r="AH445" s="160"/>
      <c r="AI445" s="160"/>
      <c r="AL445" s="160"/>
      <c r="AM445" s="160"/>
      <c r="AN445" s="160"/>
      <c r="AO445" s="160"/>
      <c r="AR445" s="160"/>
      <c r="AS445" s="160"/>
      <c r="AT445" s="160"/>
      <c r="AU445" s="160"/>
    </row>
    <row r="446" spans="2:60" ht="15.6" x14ac:dyDescent="0.25">
      <c r="B446" s="324" t="s">
        <v>473</v>
      </c>
      <c r="C446" s="324"/>
      <c r="D446" s="234" t="str">
        <f>VLOOKUP(D444,DivisionariasContables,3,FALSE)</f>
        <v>Inmuebles, Maquinaria y Equipo - Terrenos</v>
      </c>
      <c r="E446" s="160"/>
      <c r="H446" s="324" t="s">
        <v>473</v>
      </c>
      <c r="I446" s="324"/>
      <c r="J446" s="234" t="str">
        <f>VLOOKUP(J444,DivisionariasContables,3,FALSE)</f>
        <v>Inmuebles, Maquinaria y Equipo - Edificaciones</v>
      </c>
      <c r="K446" s="160"/>
      <c r="N446" s="324" t="s">
        <v>473</v>
      </c>
      <c r="O446" s="324"/>
      <c r="P446" s="234" t="str">
        <f>VLOOKUP(P444,DivisionariasContables,3,FALSE)</f>
        <v>Inmuebles, Maquinaria y Equipo - Maquinarias y Equipos de Explotación</v>
      </c>
      <c r="Q446" s="160"/>
      <c r="T446" s="324" t="s">
        <v>473</v>
      </c>
      <c r="U446" s="324"/>
      <c r="V446" s="234" t="str">
        <f>VLOOKUP(V444,DivisionariasContables,3,FALSE)</f>
        <v>Inmuebles, Maquinaria y Equipo - Equipos de Transporte</v>
      </c>
      <c r="W446" s="160"/>
      <c r="Z446" s="324" t="s">
        <v>473</v>
      </c>
      <c r="AA446" s="324"/>
      <c r="AB446" s="234" t="str">
        <f>VLOOKUP(AB444,DivisionariasContables,3,FALSE)</f>
        <v>Inmuebles, Maquinaria y Equipo - Muebles y Enseres</v>
      </c>
      <c r="AC446" s="160"/>
      <c r="AF446" s="324" t="s">
        <v>473</v>
      </c>
      <c r="AG446" s="324"/>
      <c r="AH446" s="234" t="str">
        <f>VLOOKUP(AH444,DivisionariasContables,3,FALSE)</f>
        <v>Inmuebles, Maquinaria y Equipo - Equipos Diversos</v>
      </c>
      <c r="AI446" s="160"/>
      <c r="AL446" s="324" t="s">
        <v>473</v>
      </c>
      <c r="AM446" s="324"/>
      <c r="AN446" s="234" t="str">
        <f>VLOOKUP(AN444,DivisionariasContables,3,FALSE)</f>
        <v>Inmuebles, Maquinaria y Equipo - Herramientas y Unidades de Reemplazo</v>
      </c>
      <c r="AO446" s="160"/>
      <c r="AR446" s="324" t="s">
        <v>473</v>
      </c>
      <c r="AS446" s="324"/>
      <c r="AT446" s="234" t="str">
        <f>VLOOKUP(AT444,DivisionariasContables,3,FALSE)</f>
        <v>Reclasificación de IGV al Costo</v>
      </c>
      <c r="AU446" s="160"/>
    </row>
    <row r="447" spans="2:60" ht="14.4" thickBot="1" x14ac:dyDescent="0.3"/>
    <row r="448" spans="2:60" x14ac:dyDescent="0.25">
      <c r="B448" s="325" t="s">
        <v>466</v>
      </c>
      <c r="C448" s="327" t="s">
        <v>467</v>
      </c>
      <c r="D448" s="327" t="s">
        <v>468</v>
      </c>
      <c r="E448" s="329" t="s">
        <v>469</v>
      </c>
      <c r="F448" s="330"/>
      <c r="H448" s="325" t="s">
        <v>466</v>
      </c>
      <c r="I448" s="327" t="s">
        <v>467</v>
      </c>
      <c r="J448" s="327" t="s">
        <v>468</v>
      </c>
      <c r="K448" s="329" t="s">
        <v>469</v>
      </c>
      <c r="L448" s="330"/>
      <c r="N448" s="325" t="s">
        <v>466</v>
      </c>
      <c r="O448" s="327" t="s">
        <v>467</v>
      </c>
      <c r="P448" s="327" t="s">
        <v>468</v>
      </c>
      <c r="Q448" s="329" t="s">
        <v>469</v>
      </c>
      <c r="R448" s="330"/>
      <c r="T448" s="325" t="s">
        <v>466</v>
      </c>
      <c r="U448" s="327" t="s">
        <v>467</v>
      </c>
      <c r="V448" s="327" t="s">
        <v>468</v>
      </c>
      <c r="W448" s="329" t="s">
        <v>469</v>
      </c>
      <c r="X448" s="330"/>
      <c r="Z448" s="325" t="s">
        <v>466</v>
      </c>
      <c r="AA448" s="327" t="s">
        <v>467</v>
      </c>
      <c r="AB448" s="327" t="s">
        <v>468</v>
      </c>
      <c r="AC448" s="329" t="s">
        <v>469</v>
      </c>
      <c r="AD448" s="330"/>
      <c r="AF448" s="325" t="s">
        <v>466</v>
      </c>
      <c r="AG448" s="327" t="s">
        <v>467</v>
      </c>
      <c r="AH448" s="327" t="s">
        <v>468</v>
      </c>
      <c r="AI448" s="329" t="s">
        <v>469</v>
      </c>
      <c r="AJ448" s="330"/>
      <c r="AL448" s="325" t="s">
        <v>466</v>
      </c>
      <c r="AM448" s="327" t="s">
        <v>467</v>
      </c>
      <c r="AN448" s="327" t="s">
        <v>468</v>
      </c>
      <c r="AO448" s="329" t="s">
        <v>469</v>
      </c>
      <c r="AP448" s="330"/>
      <c r="AR448" s="325" t="s">
        <v>466</v>
      </c>
      <c r="AS448" s="327" t="s">
        <v>467</v>
      </c>
      <c r="AT448" s="327" t="s">
        <v>468</v>
      </c>
      <c r="AU448" s="329" t="s">
        <v>469</v>
      </c>
      <c r="AV448" s="330"/>
    </row>
    <row r="449" spans="2:60" ht="14.4" thickBot="1" x14ac:dyDescent="0.3">
      <c r="B449" s="326"/>
      <c r="C449" s="328"/>
      <c r="D449" s="328"/>
      <c r="E449" s="232" t="s">
        <v>403</v>
      </c>
      <c r="F449" s="174" t="s">
        <v>402</v>
      </c>
      <c r="H449" s="326"/>
      <c r="I449" s="328"/>
      <c r="J449" s="328"/>
      <c r="K449" s="232" t="s">
        <v>403</v>
      </c>
      <c r="L449" s="174" t="s">
        <v>402</v>
      </c>
      <c r="N449" s="326"/>
      <c r="O449" s="328"/>
      <c r="P449" s="328"/>
      <c r="Q449" s="232" t="s">
        <v>403</v>
      </c>
      <c r="R449" s="174" t="s">
        <v>402</v>
      </c>
      <c r="T449" s="326"/>
      <c r="U449" s="328"/>
      <c r="V449" s="328"/>
      <c r="W449" s="232" t="s">
        <v>403</v>
      </c>
      <c r="X449" s="174" t="s">
        <v>402</v>
      </c>
      <c r="Z449" s="326"/>
      <c r="AA449" s="328"/>
      <c r="AB449" s="328"/>
      <c r="AC449" s="232" t="s">
        <v>403</v>
      </c>
      <c r="AD449" s="174" t="s">
        <v>402</v>
      </c>
      <c r="AF449" s="326"/>
      <c r="AG449" s="328"/>
      <c r="AH449" s="328"/>
      <c r="AI449" s="232" t="s">
        <v>403</v>
      </c>
      <c r="AJ449" s="174" t="s">
        <v>402</v>
      </c>
      <c r="AL449" s="326"/>
      <c r="AM449" s="328"/>
      <c r="AN449" s="328"/>
      <c r="AO449" s="232" t="s">
        <v>403</v>
      </c>
      <c r="AP449" s="174" t="s">
        <v>402</v>
      </c>
      <c r="AR449" s="326"/>
      <c r="AS449" s="328"/>
      <c r="AT449" s="328"/>
      <c r="AU449" s="232" t="s">
        <v>403</v>
      </c>
      <c r="AV449" s="174" t="s">
        <v>402</v>
      </c>
    </row>
    <row r="450" spans="2:60" ht="14.4" thickTop="1" x14ac:dyDescent="0.25">
      <c r="B450" s="236">
        <v>41670</v>
      </c>
      <c r="C450" s="171"/>
      <c r="D450" s="166" t="s">
        <v>470</v>
      </c>
      <c r="E450" s="167">
        <f>SUMIF('Libro Diario Convencional'!$D$15:$D$167,D444,'Libro Diario Convencional'!$G$15:$G$167)</f>
        <v>0</v>
      </c>
      <c r="F450" s="168">
        <f>SUMIF('Libro Diario Convencional'!$D$15:$D$167,D444,'Libro Diario Convencional'!$H$15:$H$167)</f>
        <v>0</v>
      </c>
      <c r="H450" s="236">
        <v>41670</v>
      </c>
      <c r="I450" s="171"/>
      <c r="J450" s="166" t="s">
        <v>470</v>
      </c>
      <c r="K450" s="167">
        <f>SUMIF('Libro Diario Convencional'!$D$15:$D$167,J444,'Libro Diario Convencional'!$G$15:$G$167)</f>
        <v>0</v>
      </c>
      <c r="L450" s="168">
        <f>SUMIF('Libro Diario Convencional'!$D$15:$D$167,J444,'Libro Diario Convencional'!$H$15:$H$167)</f>
        <v>0</v>
      </c>
      <c r="N450" s="236">
        <v>41670</v>
      </c>
      <c r="O450" s="171"/>
      <c r="P450" s="166" t="s">
        <v>470</v>
      </c>
      <c r="Q450" s="167">
        <f>SUMIF('Libro Diario Convencional'!$D$15:$D$167,P444,'Libro Diario Convencional'!$G$15:$G$167)</f>
        <v>0</v>
      </c>
      <c r="R450" s="168">
        <f>SUMIF('Libro Diario Convencional'!$D$15:$D$167,P444,'Libro Diario Convencional'!$H$15:$H$167)</f>
        <v>0</v>
      </c>
      <c r="T450" s="236">
        <v>41670</v>
      </c>
      <c r="U450" s="171"/>
      <c r="V450" s="166" t="s">
        <v>470</v>
      </c>
      <c r="W450" s="167">
        <f>SUMIF('Libro Diario Convencional'!$D$15:$D$167,V444,'Libro Diario Convencional'!$G$15:$G$167)</f>
        <v>0</v>
      </c>
      <c r="X450" s="168">
        <f>SUMIF('Libro Diario Convencional'!$D$15:$D$167,V444,'Libro Diario Convencional'!$H$15:$H$167)</f>
        <v>0</v>
      </c>
      <c r="Z450" s="236">
        <v>41670</v>
      </c>
      <c r="AA450" s="171"/>
      <c r="AB450" s="166" t="s">
        <v>470</v>
      </c>
      <c r="AC450" s="167">
        <f>SUMIF('Libro Diario Convencional'!$D$15:$D$167,AB444,'Libro Diario Convencional'!$G$15:$G$167)</f>
        <v>0</v>
      </c>
      <c r="AD450" s="168">
        <f>SUMIF('Libro Diario Convencional'!$D$15:$D$167,AB444,'Libro Diario Convencional'!$H$15:$H$167)</f>
        <v>0</v>
      </c>
      <c r="AF450" s="236">
        <v>41670</v>
      </c>
      <c r="AG450" s="171"/>
      <c r="AH450" s="166" t="s">
        <v>470</v>
      </c>
      <c r="AI450" s="167">
        <f>SUMIF('Libro Diario Convencional'!$D$15:$D$167,AH444,'Libro Diario Convencional'!$G$15:$G$167)</f>
        <v>0</v>
      </c>
      <c r="AJ450" s="168">
        <f>SUMIF('Libro Diario Convencional'!$D$15:$D$167,AH444,'Libro Diario Convencional'!$H$15:$H$167)</f>
        <v>0</v>
      </c>
      <c r="AL450" s="236">
        <v>41670</v>
      </c>
      <c r="AM450" s="171"/>
      <c r="AN450" s="166" t="s">
        <v>470</v>
      </c>
      <c r="AO450" s="167">
        <f>SUMIF('Libro Diario Convencional'!$D$15:$D$167,AN444,'Libro Diario Convencional'!$G$15:$G$167)</f>
        <v>0</v>
      </c>
      <c r="AP450" s="168">
        <f>SUMIF('Libro Diario Convencional'!$D$15:$D$167,AN444,'Libro Diario Convencional'!$H$15:$H$167)</f>
        <v>0</v>
      </c>
      <c r="AR450" s="236">
        <v>41670</v>
      </c>
      <c r="AS450" s="171"/>
      <c r="AT450" s="166" t="s">
        <v>470</v>
      </c>
      <c r="AU450" s="167">
        <f>SUMIF('Libro Diario Convencional'!$D$15:$D$167,AT444,'Libro Diario Convencional'!$G$15:$G$167)</f>
        <v>0</v>
      </c>
      <c r="AV450" s="168">
        <f>SUMIF('Libro Diario Convencional'!$D$15:$D$167,AT444,'Libro Diario Convencional'!$H$15:$H$167)</f>
        <v>0</v>
      </c>
    </row>
    <row r="451" spans="2:60" x14ac:dyDescent="0.25">
      <c r="B451" s="169"/>
      <c r="C451" s="172"/>
      <c r="D451" s="161"/>
      <c r="E451" s="162"/>
      <c r="F451" s="163"/>
      <c r="H451" s="169"/>
      <c r="I451" s="172"/>
      <c r="J451" s="161"/>
      <c r="K451" s="162"/>
      <c r="L451" s="163"/>
      <c r="N451" s="169"/>
      <c r="O451" s="172"/>
      <c r="P451" s="161"/>
      <c r="Q451" s="162"/>
      <c r="R451" s="163"/>
      <c r="T451" s="169"/>
      <c r="U451" s="172"/>
      <c r="V451" s="161"/>
      <c r="W451" s="162"/>
      <c r="X451" s="163"/>
      <c r="Z451" s="169"/>
      <c r="AA451" s="172"/>
      <c r="AB451" s="161"/>
      <c r="AC451" s="162"/>
      <c r="AD451" s="163"/>
      <c r="AF451" s="169"/>
      <c r="AG451" s="172"/>
      <c r="AH451" s="161"/>
      <c r="AI451" s="162"/>
      <c r="AJ451" s="163"/>
      <c r="AL451" s="169"/>
      <c r="AM451" s="172"/>
      <c r="AN451" s="161"/>
      <c r="AO451" s="162"/>
      <c r="AP451" s="163"/>
      <c r="AR451" s="169"/>
      <c r="AS451" s="172"/>
      <c r="AT451" s="161"/>
      <c r="AU451" s="162"/>
      <c r="AV451" s="163"/>
    </row>
    <row r="452" spans="2:60" x14ac:dyDescent="0.25">
      <c r="B452" s="169"/>
      <c r="C452" s="172"/>
      <c r="D452" s="161"/>
      <c r="E452" s="162"/>
      <c r="F452" s="163"/>
      <c r="H452" s="169"/>
      <c r="I452" s="172"/>
      <c r="J452" s="161"/>
      <c r="K452" s="162"/>
      <c r="L452" s="163"/>
      <c r="N452" s="169"/>
      <c r="O452" s="172"/>
      <c r="P452" s="161"/>
      <c r="Q452" s="162"/>
      <c r="R452" s="163"/>
      <c r="T452" s="169"/>
      <c r="U452" s="172"/>
      <c r="V452" s="161"/>
      <c r="W452" s="162"/>
      <c r="X452" s="163"/>
      <c r="Z452" s="169"/>
      <c r="AA452" s="172"/>
      <c r="AB452" s="161"/>
      <c r="AC452" s="162"/>
      <c r="AD452" s="163"/>
      <c r="AF452" s="169"/>
      <c r="AG452" s="172"/>
      <c r="AH452" s="161"/>
      <c r="AI452" s="162"/>
      <c r="AJ452" s="163"/>
      <c r="AL452" s="169"/>
      <c r="AM452" s="172"/>
      <c r="AN452" s="161"/>
      <c r="AO452" s="162"/>
      <c r="AP452" s="163"/>
      <c r="AR452" s="169"/>
      <c r="AS452" s="172"/>
      <c r="AT452" s="161"/>
      <c r="AU452" s="162"/>
      <c r="AV452" s="163"/>
    </row>
    <row r="453" spans="2:60" ht="14.4" thickBot="1" x14ac:dyDescent="0.3">
      <c r="B453" s="169"/>
      <c r="C453" s="172"/>
      <c r="D453" s="161"/>
      <c r="E453" s="162"/>
      <c r="F453" s="163"/>
      <c r="H453" s="169"/>
      <c r="I453" s="172"/>
      <c r="J453" s="161"/>
      <c r="K453" s="162"/>
      <c r="L453" s="163"/>
      <c r="N453" s="169"/>
      <c r="O453" s="172"/>
      <c r="P453" s="161"/>
      <c r="Q453" s="162"/>
      <c r="R453" s="163"/>
      <c r="T453" s="169"/>
      <c r="U453" s="172"/>
      <c r="V453" s="161"/>
      <c r="W453" s="162"/>
      <c r="X453" s="163"/>
      <c r="Z453" s="169"/>
      <c r="AA453" s="172"/>
      <c r="AB453" s="161"/>
      <c r="AC453" s="162"/>
      <c r="AD453" s="163"/>
      <c r="AF453" s="169"/>
      <c r="AG453" s="172"/>
      <c r="AH453" s="161"/>
      <c r="AI453" s="162"/>
      <c r="AJ453" s="163"/>
      <c r="AL453" s="169"/>
      <c r="AM453" s="172"/>
      <c r="AN453" s="161"/>
      <c r="AO453" s="162"/>
      <c r="AP453" s="163"/>
      <c r="AR453" s="169"/>
      <c r="AS453" s="172"/>
      <c r="AT453" s="161"/>
      <c r="AU453" s="162"/>
      <c r="AV453" s="163"/>
    </row>
    <row r="454" spans="2:60" ht="15" thickBot="1" x14ac:dyDescent="0.3">
      <c r="B454" s="169"/>
      <c r="C454" s="172"/>
      <c r="D454" s="161" t="s">
        <v>471</v>
      </c>
      <c r="E454" s="162">
        <f>SUM(E450:E453)</f>
        <v>0</v>
      </c>
      <c r="F454" s="163">
        <f>SUM(F450:F453)</f>
        <v>0</v>
      </c>
      <c r="H454" s="169"/>
      <c r="I454" s="172"/>
      <c r="J454" s="161" t="s">
        <v>471</v>
      </c>
      <c r="K454" s="162">
        <f>SUM(K450:K453)</f>
        <v>0</v>
      </c>
      <c r="L454" s="163">
        <f>SUM(L450:L453)</f>
        <v>0</v>
      </c>
      <c r="N454" s="169"/>
      <c r="O454" s="172"/>
      <c r="P454" s="161" t="s">
        <v>471</v>
      </c>
      <c r="Q454" s="162">
        <f>SUM(Q450:Q453)</f>
        <v>0</v>
      </c>
      <c r="R454" s="163">
        <f>SUM(R450:R453)</f>
        <v>0</v>
      </c>
      <c r="T454" s="169"/>
      <c r="U454" s="172"/>
      <c r="V454" s="161" t="s">
        <v>471</v>
      </c>
      <c r="W454" s="162">
        <f>SUM(W450:W453)</f>
        <v>0</v>
      </c>
      <c r="X454" s="163">
        <f>SUM(X450:X453)</f>
        <v>0</v>
      </c>
      <c r="Z454" s="169"/>
      <c r="AA454" s="172"/>
      <c r="AB454" s="161" t="s">
        <v>471</v>
      </c>
      <c r="AC454" s="162">
        <f>SUM(AC450:AC453)</f>
        <v>0</v>
      </c>
      <c r="AD454" s="163">
        <f>SUM(AD450:AD453)</f>
        <v>0</v>
      </c>
      <c r="AF454" s="169"/>
      <c r="AG454" s="172"/>
      <c r="AH454" s="161" t="s">
        <v>471</v>
      </c>
      <c r="AI454" s="162">
        <f>SUM(AI450:AI453)</f>
        <v>0</v>
      </c>
      <c r="AJ454" s="163">
        <f>SUM(AJ450:AJ453)</f>
        <v>0</v>
      </c>
      <c r="AL454" s="169"/>
      <c r="AM454" s="172"/>
      <c r="AN454" s="161" t="s">
        <v>471</v>
      </c>
      <c r="AO454" s="162">
        <f>SUM(AO450:AO453)</f>
        <v>0</v>
      </c>
      <c r="AP454" s="163">
        <f>SUM(AP450:AP453)</f>
        <v>0</v>
      </c>
      <c r="AR454" s="169"/>
      <c r="AS454" s="172"/>
      <c r="AT454" s="161" t="s">
        <v>471</v>
      </c>
      <c r="AU454" s="162">
        <f>SUM(AU450:AU453)</f>
        <v>0</v>
      </c>
      <c r="AV454" s="163">
        <f>SUM(AV450:AV453)</f>
        <v>0</v>
      </c>
      <c r="BG454" s="157">
        <f>SUM(E454,K454,Q454,W454,AC454,AI454,AO454,AU454,AX454,BD454)</f>
        <v>0</v>
      </c>
      <c r="BH454" s="158">
        <f>SUM(F454,L454,R454,X454,AD454,AJ454,AP454,AV454,AY454,BE454)</f>
        <v>0</v>
      </c>
    </row>
    <row r="455" spans="2:60" ht="14.4" thickBot="1" x14ac:dyDescent="0.3">
      <c r="B455" s="170"/>
      <c r="C455" s="173"/>
      <c r="D455" s="164" t="str">
        <f>IF(E454=F454,"",IF(E454&gt;F454,"Saldo Deudor","Saldo Acreedor"))</f>
        <v/>
      </c>
      <c r="E455" s="165" t="str">
        <f>IF(E454&gt;F454,E454-F454,"")</f>
        <v/>
      </c>
      <c r="F455" s="176" t="str">
        <f>IF(E454&lt;F454,F454-E454,"")</f>
        <v/>
      </c>
      <c r="H455" s="170"/>
      <c r="I455" s="173"/>
      <c r="J455" s="164" t="str">
        <f>IF(K454=L454,"",IF(K454&gt;L454,"Saldo Deudor","Saldo Acreedor"))</f>
        <v/>
      </c>
      <c r="K455" s="165" t="str">
        <f>IF(K454&gt;L454,K454-L454,"")</f>
        <v/>
      </c>
      <c r="L455" s="176" t="str">
        <f>IF(K454&lt;L454,L454-K454,"")</f>
        <v/>
      </c>
      <c r="N455" s="170"/>
      <c r="O455" s="173"/>
      <c r="P455" s="164" t="str">
        <f>IF(Q454=R454,"",IF(Q454&gt;R454,"Saldo Deudor","Saldo Acreedor"))</f>
        <v/>
      </c>
      <c r="Q455" s="165" t="str">
        <f>IF(Q454&gt;R454,Q454-R454,"")</f>
        <v/>
      </c>
      <c r="R455" s="176" t="str">
        <f>IF(Q454&lt;R454,R454-Q454,"")</f>
        <v/>
      </c>
      <c r="T455" s="170"/>
      <c r="U455" s="173"/>
      <c r="V455" s="164" t="str">
        <f>IF(W454=X454,"",IF(W454&gt;X454,"Saldo Deudor","Saldo Acreedor"))</f>
        <v/>
      </c>
      <c r="W455" s="165" t="str">
        <f>IF(W454&gt;X454,W454-X454,"")</f>
        <v/>
      </c>
      <c r="X455" s="176" t="str">
        <f>IF(W454&lt;X454,X454-W454,"")</f>
        <v/>
      </c>
      <c r="Z455" s="170"/>
      <c r="AA455" s="173"/>
      <c r="AB455" s="164" t="str">
        <f>IF(AC454=AD454,"",IF(AC454&gt;AD454,"Saldo Deudor","Saldo Acreedor"))</f>
        <v/>
      </c>
      <c r="AC455" s="165" t="str">
        <f>IF(AC454&gt;AD454,AC454-AD454,"")</f>
        <v/>
      </c>
      <c r="AD455" s="176" t="str">
        <f>IF(AC454&lt;AD454,AD454-AC454,"")</f>
        <v/>
      </c>
      <c r="AF455" s="170"/>
      <c r="AG455" s="173"/>
      <c r="AH455" s="164" t="str">
        <f>IF(AI454=AJ454,"",IF(AI454&gt;AJ454,"Saldo Deudor","Saldo Acreedor"))</f>
        <v/>
      </c>
      <c r="AI455" s="165" t="str">
        <f>IF(AI454&gt;AJ454,AI454-AJ454,"")</f>
        <v/>
      </c>
      <c r="AJ455" s="176" t="str">
        <f>IF(AI454&lt;AJ454,AJ454-AI454,"")</f>
        <v/>
      </c>
      <c r="AL455" s="170"/>
      <c r="AM455" s="173"/>
      <c r="AN455" s="164" t="str">
        <f>IF(AO454=AP454,"",IF(AO454&gt;AP454,"Saldo Deudor","Saldo Acreedor"))</f>
        <v/>
      </c>
      <c r="AO455" s="165" t="str">
        <f>IF(AO454&gt;AP454,AO454-AP454,"")</f>
        <v/>
      </c>
      <c r="AP455" s="176" t="str">
        <f>IF(AO454&lt;AP454,AP454-AO454,"")</f>
        <v/>
      </c>
      <c r="AR455" s="170"/>
      <c r="AS455" s="173"/>
      <c r="AT455" s="164" t="str">
        <f>IF(AU454=AV454,"",IF(AU454&gt;AV454,"Saldo Deudor","Saldo Acreedor"))</f>
        <v/>
      </c>
      <c r="AU455" s="165" t="str">
        <f>IF(AU454&gt;AV454,AU454-AV454,"")</f>
        <v/>
      </c>
      <c r="AV455" s="176" t="str">
        <f>IF(AU454&lt;AV454,AV454-AU454,"")</f>
        <v/>
      </c>
    </row>
    <row r="458" spans="2:60" ht="15.6" x14ac:dyDescent="0.25">
      <c r="B458" s="324" t="s">
        <v>472</v>
      </c>
      <c r="C458" s="324"/>
      <c r="D458" s="175">
        <v>3311</v>
      </c>
      <c r="E458" s="160"/>
    </row>
    <row r="459" spans="2:60" x14ac:dyDescent="0.25">
      <c r="B459" s="160"/>
      <c r="C459" s="160"/>
      <c r="D459" s="160"/>
      <c r="E459" s="160"/>
    </row>
    <row r="460" spans="2:60" ht="15.6" x14ac:dyDescent="0.25">
      <c r="B460" s="324" t="s">
        <v>473</v>
      </c>
      <c r="C460" s="324"/>
      <c r="D460" s="234" t="str">
        <f>VLOOKUP(D458,DivisionariasContables,3,FALSE)</f>
        <v>Terrenos</v>
      </c>
      <c r="E460" s="160"/>
    </row>
    <row r="461" spans="2:60" ht="14.4" thickBot="1" x14ac:dyDescent="0.3"/>
    <row r="462" spans="2:60" x14ac:dyDescent="0.25">
      <c r="B462" s="325" t="s">
        <v>466</v>
      </c>
      <c r="C462" s="327" t="s">
        <v>467</v>
      </c>
      <c r="D462" s="327" t="s">
        <v>468</v>
      </c>
      <c r="E462" s="329" t="s">
        <v>469</v>
      </c>
      <c r="F462" s="330"/>
    </row>
    <row r="463" spans="2:60" ht="14.4" thickBot="1" x14ac:dyDescent="0.3">
      <c r="B463" s="326"/>
      <c r="C463" s="328"/>
      <c r="D463" s="328"/>
      <c r="E463" s="232" t="s">
        <v>403</v>
      </c>
      <c r="F463" s="174" t="s">
        <v>402</v>
      </c>
    </row>
    <row r="464" spans="2:60" ht="14.4" thickTop="1" x14ac:dyDescent="0.25">
      <c r="B464" s="236">
        <v>41670</v>
      </c>
      <c r="C464" s="171"/>
      <c r="D464" s="166" t="s">
        <v>470</v>
      </c>
      <c r="E464" s="167">
        <f>SUMIF('Libro Diario Convencional'!$D$15:$D$167,D458,'Libro Diario Convencional'!$G$15:$G$167)</f>
        <v>0</v>
      </c>
      <c r="F464" s="168">
        <f>SUMIF('Libro Diario Convencional'!$D$15:$D$167,D458,'Libro Diario Convencional'!$H$15:$H$167)</f>
        <v>0</v>
      </c>
    </row>
    <row r="465" spans="2:60" x14ac:dyDescent="0.25">
      <c r="B465" s="169"/>
      <c r="C465" s="172"/>
      <c r="D465" s="161"/>
      <c r="E465" s="162"/>
      <c r="F465" s="163"/>
    </row>
    <row r="466" spans="2:60" x14ac:dyDescent="0.25">
      <c r="B466" s="169"/>
      <c r="C466" s="172"/>
      <c r="D466" s="161"/>
      <c r="E466" s="162"/>
      <c r="F466" s="163"/>
    </row>
    <row r="467" spans="2:60" ht="14.4" thickBot="1" x14ac:dyDescent="0.3">
      <c r="B467" s="169"/>
      <c r="C467" s="172"/>
      <c r="D467" s="161"/>
      <c r="E467" s="162"/>
      <c r="F467" s="163"/>
    </row>
    <row r="468" spans="2:60" ht="15" thickBot="1" x14ac:dyDescent="0.3">
      <c r="B468" s="169"/>
      <c r="C468" s="172"/>
      <c r="D468" s="161" t="s">
        <v>471</v>
      </c>
      <c r="E468" s="162">
        <f>SUM(E464:E467)</f>
        <v>0</v>
      </c>
      <c r="F468" s="163">
        <f>SUM(F464:F467)</f>
        <v>0</v>
      </c>
      <c r="BG468" s="157">
        <f>SUM(E468,K468,Q468,W468,AC468,AI468,AO468,AU468,AX468,BD468)</f>
        <v>0</v>
      </c>
      <c r="BH468" s="158">
        <f>SUM(F468,L468,R468,X468,AD468,AJ468,AP468,AV468,AY468,BE468)</f>
        <v>0</v>
      </c>
    </row>
    <row r="469" spans="2:60" ht="14.4" thickBot="1" x14ac:dyDescent="0.3">
      <c r="B469" s="170"/>
      <c r="C469" s="173"/>
      <c r="D469" s="164" t="str">
        <f>IF(E468=F468,"",IF(E468&gt;F468,"Saldo Deudor","Saldo Acreedor"))</f>
        <v/>
      </c>
      <c r="E469" s="165" t="str">
        <f>IF(E468&gt;F468,E468-F468,"")</f>
        <v/>
      </c>
      <c r="F469" s="176" t="str">
        <f>IF(E468&lt;F468,F468-E468,"")</f>
        <v/>
      </c>
    </row>
    <row r="472" spans="2:60" ht="15.6" x14ac:dyDescent="0.25">
      <c r="B472" s="324" t="s">
        <v>472</v>
      </c>
      <c r="C472" s="324"/>
      <c r="D472" s="175">
        <v>3321</v>
      </c>
      <c r="E472" s="160"/>
      <c r="H472" s="324" t="s">
        <v>472</v>
      </c>
      <c r="I472" s="324"/>
      <c r="J472" s="175">
        <v>3322</v>
      </c>
      <c r="K472" s="160"/>
      <c r="N472" s="324" t="s">
        <v>472</v>
      </c>
      <c r="O472" s="324"/>
      <c r="P472" s="175">
        <v>3323</v>
      </c>
      <c r="Q472" s="160"/>
      <c r="T472" s="324" t="s">
        <v>472</v>
      </c>
      <c r="U472" s="324"/>
      <c r="V472" s="175">
        <v>3324</v>
      </c>
      <c r="W472" s="160"/>
    </row>
    <row r="473" spans="2:60" x14ac:dyDescent="0.25">
      <c r="B473" s="160"/>
      <c r="C473" s="160"/>
      <c r="D473" s="160"/>
      <c r="E473" s="160"/>
      <c r="H473" s="160"/>
      <c r="I473" s="160"/>
      <c r="J473" s="160"/>
      <c r="K473" s="160"/>
      <c r="N473" s="160"/>
      <c r="O473" s="160"/>
      <c r="P473" s="160"/>
      <c r="Q473" s="160"/>
      <c r="T473" s="160"/>
      <c r="U473" s="160"/>
      <c r="V473" s="160"/>
      <c r="W473" s="160"/>
    </row>
    <row r="474" spans="2:60" ht="15.6" x14ac:dyDescent="0.25">
      <c r="B474" s="324" t="s">
        <v>473</v>
      </c>
      <c r="C474" s="324"/>
      <c r="D474" s="234" t="str">
        <f>VLOOKUP(D472,DivisionariasContables,3,FALSE)</f>
        <v>Edificaciones - Edificaciones Administrativas</v>
      </c>
      <c r="E474" s="160"/>
      <c r="H474" s="324" t="s">
        <v>473</v>
      </c>
      <c r="I474" s="324"/>
      <c r="J474" s="234" t="str">
        <f>VLOOKUP(J472,DivisionariasContables,3,FALSE)</f>
        <v>Edificaciones - Almacenes</v>
      </c>
      <c r="K474" s="160"/>
      <c r="N474" s="324" t="s">
        <v>473</v>
      </c>
      <c r="O474" s="324"/>
      <c r="P474" s="234" t="str">
        <f>VLOOKUP(P472,DivisionariasContables,3,FALSE)</f>
        <v>Edificaciones - Edificaciones para Producción</v>
      </c>
      <c r="Q474" s="160"/>
      <c r="T474" s="324" t="s">
        <v>473</v>
      </c>
      <c r="U474" s="324"/>
      <c r="V474" s="234" t="str">
        <f>VLOOKUP(V472,DivisionariasContables,3,FALSE)</f>
        <v>Edificaciones - Instalaciones</v>
      </c>
      <c r="W474" s="160"/>
    </row>
    <row r="475" spans="2:60" ht="14.4" thickBot="1" x14ac:dyDescent="0.3"/>
    <row r="476" spans="2:60" x14ac:dyDescent="0.25">
      <c r="B476" s="325" t="s">
        <v>466</v>
      </c>
      <c r="C476" s="327" t="s">
        <v>467</v>
      </c>
      <c r="D476" s="327" t="s">
        <v>468</v>
      </c>
      <c r="E476" s="329" t="s">
        <v>469</v>
      </c>
      <c r="F476" s="330"/>
      <c r="H476" s="325" t="s">
        <v>466</v>
      </c>
      <c r="I476" s="327" t="s">
        <v>467</v>
      </c>
      <c r="J476" s="327" t="s">
        <v>468</v>
      </c>
      <c r="K476" s="329" t="s">
        <v>469</v>
      </c>
      <c r="L476" s="330"/>
      <c r="N476" s="325" t="s">
        <v>466</v>
      </c>
      <c r="O476" s="327" t="s">
        <v>467</v>
      </c>
      <c r="P476" s="327" t="s">
        <v>468</v>
      </c>
      <c r="Q476" s="329" t="s">
        <v>469</v>
      </c>
      <c r="R476" s="330"/>
      <c r="T476" s="325" t="s">
        <v>466</v>
      </c>
      <c r="U476" s="327" t="s">
        <v>467</v>
      </c>
      <c r="V476" s="327" t="s">
        <v>468</v>
      </c>
      <c r="W476" s="329" t="s">
        <v>469</v>
      </c>
      <c r="X476" s="330"/>
    </row>
    <row r="477" spans="2:60" ht="14.4" thickBot="1" x14ac:dyDescent="0.3">
      <c r="B477" s="326"/>
      <c r="C477" s="328"/>
      <c r="D477" s="328"/>
      <c r="E477" s="232" t="s">
        <v>403</v>
      </c>
      <c r="F477" s="174" t="s">
        <v>402</v>
      </c>
      <c r="H477" s="326"/>
      <c r="I477" s="328"/>
      <c r="J477" s="328"/>
      <c r="K477" s="232" t="s">
        <v>403</v>
      </c>
      <c r="L477" s="174" t="s">
        <v>402</v>
      </c>
      <c r="N477" s="326"/>
      <c r="O477" s="328"/>
      <c r="P477" s="328"/>
      <c r="Q477" s="232" t="s">
        <v>403</v>
      </c>
      <c r="R477" s="174" t="s">
        <v>402</v>
      </c>
      <c r="T477" s="326"/>
      <c r="U477" s="328"/>
      <c r="V477" s="328"/>
      <c r="W477" s="232" t="s">
        <v>403</v>
      </c>
      <c r="X477" s="174" t="s">
        <v>402</v>
      </c>
    </row>
    <row r="478" spans="2:60" ht="14.4" thickTop="1" x14ac:dyDescent="0.25">
      <c r="B478" s="236">
        <v>41670</v>
      </c>
      <c r="C478" s="171"/>
      <c r="D478" s="166" t="s">
        <v>470</v>
      </c>
      <c r="E478" s="167">
        <f>SUMIF('Libro Diario Convencional'!$D$15:$D$167,D472,'Libro Diario Convencional'!$G$15:$G$167)</f>
        <v>0</v>
      </c>
      <c r="F478" s="168">
        <f>SUMIF('Libro Diario Convencional'!$D$15:$D$167,D472,'Libro Diario Convencional'!$H$15:$H$167)</f>
        <v>0</v>
      </c>
      <c r="H478" s="236">
        <v>41670</v>
      </c>
      <c r="I478" s="171"/>
      <c r="J478" s="166" t="s">
        <v>470</v>
      </c>
      <c r="K478" s="167">
        <f>SUMIF('Libro Diario Convencional'!$D$15:$D$167,J472,'Libro Diario Convencional'!$G$15:$G$167)</f>
        <v>0</v>
      </c>
      <c r="L478" s="168">
        <f>SUMIF('Libro Diario Convencional'!$D$15:$D$167,J472,'Libro Diario Convencional'!$H$15:$H$167)</f>
        <v>0</v>
      </c>
      <c r="N478" s="236">
        <v>41670</v>
      </c>
      <c r="O478" s="171"/>
      <c r="P478" s="166" t="s">
        <v>470</v>
      </c>
      <c r="Q478" s="167">
        <f>SUMIF('Libro Diario Convencional'!$D$15:$D$167,P472,'Libro Diario Convencional'!$G$15:$G$167)</f>
        <v>0</v>
      </c>
      <c r="R478" s="168">
        <f>SUMIF('Libro Diario Convencional'!$D$15:$D$167,P472,'Libro Diario Convencional'!$H$15:$H$167)</f>
        <v>0</v>
      </c>
      <c r="T478" s="236">
        <v>41670</v>
      </c>
      <c r="U478" s="171"/>
      <c r="V478" s="166" t="s">
        <v>470</v>
      </c>
      <c r="W478" s="167">
        <f>SUMIF('Libro Diario Convencional'!$D$15:$D$167,V472,'Libro Diario Convencional'!$G$15:$G$167)</f>
        <v>0</v>
      </c>
      <c r="X478" s="168">
        <f>SUMIF('Libro Diario Convencional'!$D$15:$D$167,V472,'Libro Diario Convencional'!$H$15:$H$167)</f>
        <v>0</v>
      </c>
    </row>
    <row r="479" spans="2:60" x14ac:dyDescent="0.25">
      <c r="B479" s="169"/>
      <c r="C479" s="172"/>
      <c r="D479" s="161"/>
      <c r="E479" s="162"/>
      <c r="F479" s="163"/>
      <c r="H479" s="169"/>
      <c r="I479" s="172"/>
      <c r="J479" s="161"/>
      <c r="K479" s="162"/>
      <c r="L479" s="163"/>
      <c r="N479" s="169"/>
      <c r="O479" s="172"/>
      <c r="P479" s="161"/>
      <c r="Q479" s="162"/>
      <c r="R479" s="163"/>
      <c r="T479" s="169"/>
      <c r="U479" s="172"/>
      <c r="V479" s="161"/>
      <c r="W479" s="162"/>
      <c r="X479" s="163"/>
    </row>
    <row r="480" spans="2:60" x14ac:dyDescent="0.25">
      <c r="B480" s="169"/>
      <c r="C480" s="172"/>
      <c r="D480" s="161"/>
      <c r="E480" s="162"/>
      <c r="F480" s="163"/>
      <c r="H480" s="169"/>
      <c r="I480" s="172"/>
      <c r="J480" s="161"/>
      <c r="K480" s="162"/>
      <c r="L480" s="163"/>
      <c r="N480" s="169"/>
      <c r="O480" s="172"/>
      <c r="P480" s="161"/>
      <c r="Q480" s="162"/>
      <c r="R480" s="163"/>
      <c r="T480" s="169"/>
      <c r="U480" s="172"/>
      <c r="V480" s="161"/>
      <c r="W480" s="162"/>
      <c r="X480" s="163"/>
    </row>
    <row r="481" spans="2:60" ht="14.4" thickBot="1" x14ac:dyDescent="0.3">
      <c r="B481" s="169"/>
      <c r="C481" s="172"/>
      <c r="D481" s="161"/>
      <c r="E481" s="162"/>
      <c r="F481" s="163"/>
      <c r="H481" s="169"/>
      <c r="I481" s="172"/>
      <c r="J481" s="161"/>
      <c r="K481" s="162"/>
      <c r="L481" s="163"/>
      <c r="N481" s="169"/>
      <c r="O481" s="172"/>
      <c r="P481" s="161"/>
      <c r="Q481" s="162"/>
      <c r="R481" s="163"/>
      <c r="T481" s="169"/>
      <c r="U481" s="172"/>
      <c r="V481" s="161"/>
      <c r="W481" s="162"/>
      <c r="X481" s="163"/>
    </row>
    <row r="482" spans="2:60" ht="15" thickBot="1" x14ac:dyDescent="0.3">
      <c r="B482" s="169"/>
      <c r="C482" s="172"/>
      <c r="D482" s="161" t="s">
        <v>471</v>
      </c>
      <c r="E482" s="162">
        <f>SUM(E478:E481)</f>
        <v>0</v>
      </c>
      <c r="F482" s="163">
        <f>SUM(F478:F481)</f>
        <v>0</v>
      </c>
      <c r="H482" s="169"/>
      <c r="I482" s="172"/>
      <c r="J482" s="161" t="s">
        <v>471</v>
      </c>
      <c r="K482" s="162">
        <f>SUM(K478:K481)</f>
        <v>0</v>
      </c>
      <c r="L482" s="163">
        <f>SUM(L478:L481)</f>
        <v>0</v>
      </c>
      <c r="N482" s="169"/>
      <c r="O482" s="172"/>
      <c r="P482" s="161" t="s">
        <v>471</v>
      </c>
      <c r="Q482" s="162">
        <f>SUM(Q478:Q481)</f>
        <v>0</v>
      </c>
      <c r="R482" s="163">
        <f>SUM(R478:R481)</f>
        <v>0</v>
      </c>
      <c r="T482" s="169"/>
      <c r="U482" s="172"/>
      <c r="V482" s="161" t="s">
        <v>471</v>
      </c>
      <c r="W482" s="162">
        <f>SUM(W478:W481)</f>
        <v>0</v>
      </c>
      <c r="X482" s="163">
        <f>SUM(X478:X481)</f>
        <v>0</v>
      </c>
      <c r="BG482" s="157">
        <f>SUM(E482,K482,Q482,W482,AC482,AI482,AO482,AU482,AX482,BD482)</f>
        <v>0</v>
      </c>
      <c r="BH482" s="158">
        <f>SUM(F482,L482,R482,X482,AD482,AJ482,AP482,AV482,AY482,BE482)</f>
        <v>0</v>
      </c>
    </row>
    <row r="483" spans="2:60" ht="14.4" thickBot="1" x14ac:dyDescent="0.3">
      <c r="B483" s="170"/>
      <c r="C483" s="173"/>
      <c r="D483" s="164" t="str">
        <f>IF(E482=F482,"",IF(E482&gt;F482,"Saldo Deudor","Saldo Acreedor"))</f>
        <v/>
      </c>
      <c r="E483" s="165" t="str">
        <f>IF(E482&gt;F482,E482-F482,"")</f>
        <v/>
      </c>
      <c r="F483" s="176" t="str">
        <f>IF(E482&lt;F482,F482-E482,"")</f>
        <v/>
      </c>
      <c r="H483" s="170"/>
      <c r="I483" s="173"/>
      <c r="J483" s="164" t="str">
        <f>IF(K482=L482,"",IF(K482&gt;L482,"Saldo Deudor","Saldo Acreedor"))</f>
        <v/>
      </c>
      <c r="K483" s="165" t="str">
        <f>IF(K482&gt;L482,K482-L482,"")</f>
        <v/>
      </c>
      <c r="L483" s="176" t="str">
        <f>IF(K482&lt;L482,L482-K482,"")</f>
        <v/>
      </c>
      <c r="N483" s="170"/>
      <c r="O483" s="173"/>
      <c r="P483" s="164" t="str">
        <f>IF(Q482=R482,"",IF(Q482&gt;R482,"Saldo Deudor","Saldo Acreedor"))</f>
        <v/>
      </c>
      <c r="Q483" s="165" t="str">
        <f>IF(Q482&gt;R482,Q482-R482,"")</f>
        <v/>
      </c>
      <c r="R483" s="176" t="str">
        <f>IF(Q482&lt;R482,R482-Q482,"")</f>
        <v/>
      </c>
      <c r="T483" s="170"/>
      <c r="U483" s="173"/>
      <c r="V483" s="164" t="str">
        <f>IF(W482=X482,"",IF(W482&gt;X482,"Saldo Deudor","Saldo Acreedor"))</f>
        <v/>
      </c>
      <c r="W483" s="165" t="str">
        <f>IF(W482&gt;X482,W482-X482,"")</f>
        <v/>
      </c>
      <c r="X483" s="176" t="str">
        <f>IF(W482&lt;X482,X482-W482,"")</f>
        <v/>
      </c>
    </row>
    <row r="486" spans="2:60" ht="15.6" x14ac:dyDescent="0.25">
      <c r="B486" s="324" t="s">
        <v>472</v>
      </c>
      <c r="C486" s="324"/>
      <c r="D486" s="175">
        <v>3331</v>
      </c>
      <c r="E486" s="160"/>
    </row>
    <row r="487" spans="2:60" x14ac:dyDescent="0.25">
      <c r="B487" s="160"/>
      <c r="C487" s="160"/>
      <c r="D487" s="160"/>
      <c r="E487" s="160"/>
    </row>
    <row r="488" spans="2:60" ht="15.6" x14ac:dyDescent="0.25">
      <c r="B488" s="324" t="s">
        <v>473</v>
      </c>
      <c r="C488" s="324"/>
      <c r="D488" s="234" t="str">
        <f>VLOOKUP(D486,DivisionariasContables,3,FALSE)</f>
        <v>Maquinarias y Equipos de Explotación</v>
      </c>
      <c r="E488" s="160"/>
    </row>
    <row r="489" spans="2:60" ht="14.4" thickBot="1" x14ac:dyDescent="0.3"/>
    <row r="490" spans="2:60" x14ac:dyDescent="0.25">
      <c r="B490" s="325" t="s">
        <v>466</v>
      </c>
      <c r="C490" s="327" t="s">
        <v>467</v>
      </c>
      <c r="D490" s="327" t="s">
        <v>468</v>
      </c>
      <c r="E490" s="329" t="s">
        <v>469</v>
      </c>
      <c r="F490" s="330"/>
    </row>
    <row r="491" spans="2:60" ht="14.4" thickBot="1" x14ac:dyDescent="0.3">
      <c r="B491" s="326"/>
      <c r="C491" s="328"/>
      <c r="D491" s="328"/>
      <c r="E491" s="232" t="s">
        <v>403</v>
      </c>
      <c r="F491" s="174" t="s">
        <v>402</v>
      </c>
    </row>
    <row r="492" spans="2:60" ht="14.4" thickTop="1" x14ac:dyDescent="0.25">
      <c r="B492" s="236">
        <v>41670</v>
      </c>
      <c r="C492" s="171"/>
      <c r="D492" s="166" t="s">
        <v>470</v>
      </c>
      <c r="E492" s="167">
        <f>SUMIF('Libro Diario Convencional'!$D$15:$D$167,D486,'Libro Diario Convencional'!$G$15:$G$167)</f>
        <v>0</v>
      </c>
      <c r="F492" s="168">
        <f>SUMIF('Libro Diario Convencional'!$D$15:$D$167,D486,'Libro Diario Convencional'!$H$15:$H$167)</f>
        <v>0</v>
      </c>
    </row>
    <row r="493" spans="2:60" x14ac:dyDescent="0.25">
      <c r="B493" s="169"/>
      <c r="C493" s="172"/>
      <c r="D493" s="161"/>
      <c r="E493" s="162"/>
      <c r="F493" s="163"/>
    </row>
    <row r="494" spans="2:60" x14ac:dyDescent="0.25">
      <c r="B494" s="169"/>
      <c r="C494" s="172"/>
      <c r="D494" s="161"/>
      <c r="E494" s="162"/>
      <c r="F494" s="163"/>
    </row>
    <row r="495" spans="2:60" ht="14.4" thickBot="1" x14ac:dyDescent="0.3">
      <c r="B495" s="169"/>
      <c r="C495" s="172"/>
      <c r="D495" s="161"/>
      <c r="E495" s="162"/>
      <c r="F495" s="163"/>
    </row>
    <row r="496" spans="2:60" ht="15" thickBot="1" x14ac:dyDescent="0.3">
      <c r="B496" s="169"/>
      <c r="C496" s="172"/>
      <c r="D496" s="161" t="s">
        <v>471</v>
      </c>
      <c r="E496" s="162">
        <f>SUM(E492:E495)</f>
        <v>0</v>
      </c>
      <c r="F496" s="163">
        <f>SUM(F492:F495)</f>
        <v>0</v>
      </c>
      <c r="BG496" s="157">
        <f>SUM(E496,K496,Q496,W496,AC496,AI496,AO496,AU496,AX496,BD496)</f>
        <v>0</v>
      </c>
      <c r="BH496" s="158">
        <f>SUM(F496,L496,R496,X496,AD496,AJ496,AP496,AV496,AY496,BE496)</f>
        <v>0</v>
      </c>
    </row>
    <row r="497" spans="2:60" ht="14.4" thickBot="1" x14ac:dyDescent="0.3">
      <c r="B497" s="170"/>
      <c r="C497" s="173"/>
      <c r="D497" s="164" t="str">
        <f>IF(E496=F496,"",IF(E496&gt;F496,"Saldo Deudor","Saldo Acreedor"))</f>
        <v/>
      </c>
      <c r="E497" s="165" t="str">
        <f>IF(E496&gt;F496,E496-F496,"")</f>
        <v/>
      </c>
      <c r="F497" s="176" t="str">
        <f>IF(E496&lt;F496,F496-E496,"")</f>
        <v/>
      </c>
    </row>
    <row r="500" spans="2:60" ht="15.6" x14ac:dyDescent="0.25">
      <c r="B500" s="324" t="s">
        <v>472</v>
      </c>
      <c r="C500" s="324"/>
      <c r="D500" s="175">
        <v>3341</v>
      </c>
      <c r="E500" s="160"/>
      <c r="H500" s="324" t="s">
        <v>472</v>
      </c>
      <c r="I500" s="324"/>
      <c r="J500" s="175">
        <v>3342</v>
      </c>
      <c r="K500" s="160"/>
    </row>
    <row r="501" spans="2:60" x14ac:dyDescent="0.25">
      <c r="B501" s="160"/>
      <c r="C501" s="160"/>
      <c r="D501" s="160"/>
      <c r="E501" s="160"/>
      <c r="H501" s="160"/>
      <c r="I501" s="160"/>
      <c r="J501" s="160"/>
      <c r="K501" s="160"/>
    </row>
    <row r="502" spans="2:60" ht="15.6" x14ac:dyDescent="0.25">
      <c r="B502" s="324" t="s">
        <v>473</v>
      </c>
      <c r="C502" s="324"/>
      <c r="D502" s="234" t="str">
        <f>VLOOKUP(D500,DivisionariasContables,3,FALSE)</f>
        <v>Equipo de Transporte - Vehículos Motorizados</v>
      </c>
      <c r="E502" s="160"/>
      <c r="H502" s="324" t="s">
        <v>473</v>
      </c>
      <c r="I502" s="324"/>
      <c r="J502" s="234" t="str">
        <f>VLOOKUP(J500,DivisionariasContables,3,FALSE)</f>
        <v>Equipo de Transporte - Vehículos No Motorizados</v>
      </c>
      <c r="K502" s="160"/>
    </row>
    <row r="503" spans="2:60" ht="14.4" thickBot="1" x14ac:dyDescent="0.3"/>
    <row r="504" spans="2:60" x14ac:dyDescent="0.25">
      <c r="B504" s="325" t="s">
        <v>466</v>
      </c>
      <c r="C504" s="327" t="s">
        <v>467</v>
      </c>
      <c r="D504" s="327" t="s">
        <v>468</v>
      </c>
      <c r="E504" s="329" t="s">
        <v>469</v>
      </c>
      <c r="F504" s="330"/>
      <c r="H504" s="325" t="s">
        <v>466</v>
      </c>
      <c r="I504" s="327" t="s">
        <v>467</v>
      </c>
      <c r="J504" s="327" t="s">
        <v>468</v>
      </c>
      <c r="K504" s="329" t="s">
        <v>469</v>
      </c>
      <c r="L504" s="330"/>
    </row>
    <row r="505" spans="2:60" ht="14.4" thickBot="1" x14ac:dyDescent="0.3">
      <c r="B505" s="326"/>
      <c r="C505" s="328"/>
      <c r="D505" s="328"/>
      <c r="E505" s="232" t="s">
        <v>403</v>
      </c>
      <c r="F505" s="174" t="s">
        <v>402</v>
      </c>
      <c r="H505" s="326"/>
      <c r="I505" s="328"/>
      <c r="J505" s="328"/>
      <c r="K505" s="232" t="s">
        <v>403</v>
      </c>
      <c r="L505" s="174" t="s">
        <v>402</v>
      </c>
    </row>
    <row r="506" spans="2:60" ht="14.4" thickTop="1" x14ac:dyDescent="0.25">
      <c r="B506" s="236">
        <v>41670</v>
      </c>
      <c r="C506" s="171"/>
      <c r="D506" s="166" t="s">
        <v>470</v>
      </c>
      <c r="E506" s="167">
        <f>SUMIF('Libro Diario Convencional'!$D$15:$D$167,D500,'Libro Diario Convencional'!$G$15:$G$167)</f>
        <v>0</v>
      </c>
      <c r="F506" s="168">
        <f>SUMIF('Libro Diario Convencional'!$D$15:$D$167,D500,'Libro Diario Convencional'!$H$15:$H$167)</f>
        <v>0</v>
      </c>
      <c r="H506" s="236">
        <v>41670</v>
      </c>
      <c r="I506" s="171"/>
      <c r="J506" s="166" t="s">
        <v>470</v>
      </c>
      <c r="K506" s="167">
        <f>SUMIF('Libro Diario Convencional'!$D$15:$D$167,J500,'Libro Diario Convencional'!$G$15:$G$167)</f>
        <v>0</v>
      </c>
      <c r="L506" s="168">
        <f>SUMIF('Libro Diario Convencional'!$D$15:$D$167,J500,'Libro Diario Convencional'!$H$15:$H$167)</f>
        <v>0</v>
      </c>
    </row>
    <row r="507" spans="2:60" x14ac:dyDescent="0.25">
      <c r="B507" s="169"/>
      <c r="C507" s="172"/>
      <c r="D507" s="161"/>
      <c r="E507" s="162"/>
      <c r="F507" s="163"/>
      <c r="H507" s="169"/>
      <c r="I507" s="172"/>
      <c r="J507" s="161"/>
      <c r="K507" s="162"/>
      <c r="L507" s="163"/>
    </row>
    <row r="508" spans="2:60" x14ac:dyDescent="0.25">
      <c r="B508" s="169"/>
      <c r="C508" s="172"/>
      <c r="D508" s="161"/>
      <c r="E508" s="162"/>
      <c r="F508" s="163"/>
      <c r="H508" s="169"/>
      <c r="I508" s="172"/>
      <c r="J508" s="161"/>
      <c r="K508" s="162"/>
      <c r="L508" s="163"/>
    </row>
    <row r="509" spans="2:60" ht="14.4" thickBot="1" x14ac:dyDescent="0.3">
      <c r="B509" s="169"/>
      <c r="C509" s="172"/>
      <c r="D509" s="161"/>
      <c r="E509" s="162"/>
      <c r="F509" s="163"/>
      <c r="H509" s="169"/>
      <c r="I509" s="172"/>
      <c r="J509" s="161"/>
      <c r="K509" s="162"/>
      <c r="L509" s="163"/>
    </row>
    <row r="510" spans="2:60" ht="15" thickBot="1" x14ac:dyDescent="0.3">
      <c r="B510" s="169"/>
      <c r="C510" s="172"/>
      <c r="D510" s="161" t="s">
        <v>471</v>
      </c>
      <c r="E510" s="162">
        <f>SUM(E506:E509)</f>
        <v>0</v>
      </c>
      <c r="F510" s="163">
        <f>SUM(F506:F509)</f>
        <v>0</v>
      </c>
      <c r="H510" s="169"/>
      <c r="I510" s="172"/>
      <c r="J510" s="161" t="s">
        <v>471</v>
      </c>
      <c r="K510" s="162">
        <f>SUM(K506:K509)</f>
        <v>0</v>
      </c>
      <c r="L510" s="163">
        <f>SUM(L506:L509)</f>
        <v>0</v>
      </c>
      <c r="BG510" s="157">
        <f>SUM(E510,K510,Q510,W510,AC510,AI510,AO510,AU510,AX510,BD510)</f>
        <v>0</v>
      </c>
      <c r="BH510" s="158">
        <f>SUM(F510,L510,R510,X510,AD510,AJ510,AP510,AV510,AY510,BE510)</f>
        <v>0</v>
      </c>
    </row>
    <row r="511" spans="2:60" ht="14.4" thickBot="1" x14ac:dyDescent="0.3">
      <c r="B511" s="170"/>
      <c r="C511" s="173"/>
      <c r="D511" s="164" t="str">
        <f>IF(E510=F510,"",IF(E510&gt;F510,"Saldo Deudor","Saldo Acreedor"))</f>
        <v/>
      </c>
      <c r="E511" s="165" t="str">
        <f>IF(E510&gt;F510,E510-F510,"")</f>
        <v/>
      </c>
      <c r="F511" s="176" t="str">
        <f>IF(E510&lt;F510,F510-E510,"")</f>
        <v/>
      </c>
      <c r="H511" s="170"/>
      <c r="I511" s="173"/>
      <c r="J511" s="164" t="str">
        <f>IF(K510=L510,"",IF(K510&gt;L510,"Saldo Deudor","Saldo Acreedor"))</f>
        <v/>
      </c>
      <c r="K511" s="165" t="str">
        <f>IF(K510&gt;L510,K510-L510,"")</f>
        <v/>
      </c>
      <c r="L511" s="176" t="str">
        <f>IF(K510&lt;L510,L510-K510,"")</f>
        <v/>
      </c>
    </row>
    <row r="514" spans="2:60" ht="15.6" x14ac:dyDescent="0.25">
      <c r="B514" s="324" t="s">
        <v>472</v>
      </c>
      <c r="C514" s="324"/>
      <c r="D514" s="175">
        <v>3351</v>
      </c>
      <c r="E514" s="160"/>
      <c r="H514" s="324" t="s">
        <v>472</v>
      </c>
      <c r="I514" s="324"/>
      <c r="J514" s="175">
        <v>3352</v>
      </c>
      <c r="K514" s="160"/>
    </row>
    <row r="515" spans="2:60" x14ac:dyDescent="0.25">
      <c r="B515" s="160"/>
      <c r="C515" s="160"/>
      <c r="D515" s="160"/>
      <c r="E515" s="160"/>
      <c r="H515" s="160"/>
      <c r="I515" s="160"/>
      <c r="J515" s="160"/>
      <c r="K515" s="160"/>
    </row>
    <row r="516" spans="2:60" ht="15.6" x14ac:dyDescent="0.25">
      <c r="B516" s="324" t="s">
        <v>473</v>
      </c>
      <c r="C516" s="324"/>
      <c r="D516" s="234" t="str">
        <f>VLOOKUP(D514,DivisionariasContables,3,FALSE)</f>
        <v>Muebles y Enseres - Muebles</v>
      </c>
      <c r="E516" s="160"/>
      <c r="H516" s="324" t="s">
        <v>473</v>
      </c>
      <c r="I516" s="324"/>
      <c r="J516" s="234" t="str">
        <f>VLOOKUP(J514,DivisionariasContables,3,FALSE)</f>
        <v>Muebles y Enseres - Enseres</v>
      </c>
      <c r="K516" s="160"/>
    </row>
    <row r="517" spans="2:60" ht="14.4" thickBot="1" x14ac:dyDescent="0.3"/>
    <row r="518" spans="2:60" x14ac:dyDescent="0.25">
      <c r="B518" s="325" t="s">
        <v>466</v>
      </c>
      <c r="C518" s="327" t="s">
        <v>467</v>
      </c>
      <c r="D518" s="327" t="s">
        <v>468</v>
      </c>
      <c r="E518" s="329" t="s">
        <v>469</v>
      </c>
      <c r="F518" s="330"/>
      <c r="H518" s="325" t="s">
        <v>466</v>
      </c>
      <c r="I518" s="327" t="s">
        <v>467</v>
      </c>
      <c r="J518" s="327" t="s">
        <v>468</v>
      </c>
      <c r="K518" s="329" t="s">
        <v>469</v>
      </c>
      <c r="L518" s="330"/>
    </row>
    <row r="519" spans="2:60" ht="14.4" thickBot="1" x14ac:dyDescent="0.3">
      <c r="B519" s="326"/>
      <c r="C519" s="328"/>
      <c r="D519" s="328"/>
      <c r="E519" s="232" t="s">
        <v>403</v>
      </c>
      <c r="F519" s="174" t="s">
        <v>402</v>
      </c>
      <c r="H519" s="326"/>
      <c r="I519" s="328"/>
      <c r="J519" s="328"/>
      <c r="K519" s="232" t="s">
        <v>403</v>
      </c>
      <c r="L519" s="174" t="s">
        <v>402</v>
      </c>
    </row>
    <row r="520" spans="2:60" ht="14.4" thickTop="1" x14ac:dyDescent="0.25">
      <c r="B520" s="236">
        <v>41670</v>
      </c>
      <c r="C520" s="171"/>
      <c r="D520" s="166" t="s">
        <v>470</v>
      </c>
      <c r="E520" s="167">
        <f>SUMIF('Libro Diario Convencional'!$D$15:$D$167,D514,'Libro Diario Convencional'!$G$15:$G$167)</f>
        <v>103800</v>
      </c>
      <c r="F520" s="168">
        <f>SUMIF('Libro Diario Convencional'!$D$15:$D$167,D514,'Libro Diario Convencional'!$H$15:$H$167)</f>
        <v>0</v>
      </c>
      <c r="H520" s="236">
        <v>41670</v>
      </c>
      <c r="I520" s="171"/>
      <c r="J520" s="166" t="s">
        <v>470</v>
      </c>
      <c r="K520" s="167">
        <f>SUMIF('Libro Diario Convencional'!$D$15:$D$167,J514,'Libro Diario Convencional'!$G$15:$G$167)</f>
        <v>0</v>
      </c>
      <c r="L520" s="168">
        <f>SUMIF('Libro Diario Convencional'!$D$15:$D$167,J514,'Libro Diario Convencional'!$H$15:$H$167)</f>
        <v>0</v>
      </c>
    </row>
    <row r="521" spans="2:60" x14ac:dyDescent="0.25">
      <c r="B521" s="169"/>
      <c r="C521" s="172"/>
      <c r="D521" s="161"/>
      <c r="E521" s="162"/>
      <c r="F521" s="163"/>
      <c r="H521" s="169"/>
      <c r="I521" s="172"/>
      <c r="J521" s="161"/>
      <c r="K521" s="162"/>
      <c r="L521" s="163"/>
    </row>
    <row r="522" spans="2:60" x14ac:dyDescent="0.25">
      <c r="B522" s="169"/>
      <c r="C522" s="172"/>
      <c r="D522" s="161"/>
      <c r="E522" s="162"/>
      <c r="F522" s="163"/>
      <c r="H522" s="169"/>
      <c r="I522" s="172"/>
      <c r="J522" s="161"/>
      <c r="K522" s="162"/>
      <c r="L522" s="163"/>
    </row>
    <row r="523" spans="2:60" ht="14.4" thickBot="1" x14ac:dyDescent="0.3">
      <c r="B523" s="169"/>
      <c r="C523" s="172"/>
      <c r="D523" s="161"/>
      <c r="E523" s="162"/>
      <c r="F523" s="163"/>
      <c r="H523" s="169"/>
      <c r="I523" s="172"/>
      <c r="J523" s="161"/>
      <c r="K523" s="162"/>
      <c r="L523" s="163"/>
    </row>
    <row r="524" spans="2:60" ht="15" thickBot="1" x14ac:dyDescent="0.3">
      <c r="B524" s="169"/>
      <c r="C524" s="172"/>
      <c r="D524" s="161" t="s">
        <v>471</v>
      </c>
      <c r="E524" s="162">
        <f>SUM(E520:E523)</f>
        <v>103800</v>
      </c>
      <c r="F524" s="163">
        <f>SUM(F520:F523)</f>
        <v>0</v>
      </c>
      <c r="H524" s="169"/>
      <c r="I524" s="172"/>
      <c r="J524" s="161" t="s">
        <v>471</v>
      </c>
      <c r="K524" s="162">
        <f>SUM(K520:K523)</f>
        <v>0</v>
      </c>
      <c r="L524" s="163">
        <f>SUM(L520:L523)</f>
        <v>0</v>
      </c>
      <c r="BG524" s="157">
        <f>SUM(E524,K524,Q524,W524,AC524,AI524,AO524,AU524,AX524,BD524)</f>
        <v>103800</v>
      </c>
      <c r="BH524" s="158">
        <f>SUM(F524,L524,R524,X524,AD524,AJ524,AP524,AV524,AY524,BE524)</f>
        <v>0</v>
      </c>
    </row>
    <row r="525" spans="2:60" ht="14.4" thickBot="1" x14ac:dyDescent="0.3">
      <c r="B525" s="170"/>
      <c r="C525" s="173"/>
      <c r="D525" s="164" t="str">
        <f>IF(E524=F524,"",IF(E524&gt;F524,"Saldo Deudor","Saldo Acreedor"))</f>
        <v>Saldo Deudor</v>
      </c>
      <c r="E525" s="165">
        <f>IF(E524&gt;F524,E524-F524,"")</f>
        <v>103800</v>
      </c>
      <c r="F525" s="176" t="str">
        <f>IF(E524&lt;F524,F524-E524,"")</f>
        <v/>
      </c>
      <c r="H525" s="170"/>
      <c r="I525" s="173"/>
      <c r="J525" s="164" t="str">
        <f>IF(K524=L524,"",IF(K524&gt;L524,"Saldo Deudor","Saldo Acreedor"))</f>
        <v/>
      </c>
      <c r="K525" s="165" t="str">
        <f>IF(K524&gt;L524,K524-L524,"")</f>
        <v/>
      </c>
      <c r="L525" s="176" t="str">
        <f>IF(K524&lt;L524,L524-K524,"")</f>
        <v/>
      </c>
    </row>
    <row r="528" spans="2:60" ht="15.6" x14ac:dyDescent="0.25">
      <c r="B528" s="324" t="s">
        <v>472</v>
      </c>
      <c r="C528" s="324"/>
      <c r="D528" s="175">
        <v>3361</v>
      </c>
      <c r="E528" s="160"/>
      <c r="H528" s="324" t="s">
        <v>472</v>
      </c>
      <c r="I528" s="324"/>
      <c r="J528" s="175">
        <v>3362</v>
      </c>
      <c r="K528" s="160"/>
      <c r="N528" s="324" t="s">
        <v>472</v>
      </c>
      <c r="O528" s="324"/>
      <c r="P528" s="175">
        <v>3363</v>
      </c>
      <c r="Q528" s="160"/>
      <c r="T528" s="324" t="s">
        <v>472</v>
      </c>
      <c r="U528" s="324"/>
      <c r="V528" s="175">
        <v>3369</v>
      </c>
      <c r="W528" s="160"/>
    </row>
    <row r="529" spans="2:60" x14ac:dyDescent="0.25">
      <c r="B529" s="160"/>
      <c r="C529" s="160"/>
      <c r="D529" s="160"/>
      <c r="E529" s="160"/>
      <c r="H529" s="160"/>
      <c r="I529" s="160"/>
      <c r="J529" s="160"/>
      <c r="K529" s="160"/>
      <c r="N529" s="160"/>
      <c r="O529" s="160"/>
      <c r="P529" s="160"/>
      <c r="Q529" s="160"/>
      <c r="T529" s="160"/>
      <c r="U529" s="160"/>
      <c r="V529" s="160"/>
      <c r="W529" s="160"/>
    </row>
    <row r="530" spans="2:60" ht="15.6" x14ac:dyDescent="0.25">
      <c r="B530" s="324" t="s">
        <v>473</v>
      </c>
      <c r="C530" s="324"/>
      <c r="D530" s="234" t="str">
        <f>VLOOKUP(D528,DivisionariasContables,3,FALSE)</f>
        <v>Equipo para Procesamiento de Información (de Cómputo)</v>
      </c>
      <c r="E530" s="160"/>
      <c r="H530" s="324" t="s">
        <v>473</v>
      </c>
      <c r="I530" s="324"/>
      <c r="J530" s="234" t="str">
        <f>VLOOKUP(J528,DivisionariasContables,3,FALSE)</f>
        <v>Equipo de Comunicación</v>
      </c>
      <c r="K530" s="160"/>
      <c r="N530" s="324" t="s">
        <v>473</v>
      </c>
      <c r="O530" s="324"/>
      <c r="P530" s="234" t="str">
        <f>VLOOKUP(P528,DivisionariasContables,3,FALSE)</f>
        <v>Equipo de Seguridad</v>
      </c>
      <c r="Q530" s="160"/>
      <c r="T530" s="324" t="s">
        <v>473</v>
      </c>
      <c r="U530" s="324"/>
      <c r="V530" s="234" t="str">
        <f>VLOOKUP(V528,DivisionariasContables,3,FALSE)</f>
        <v>Otros Equipos</v>
      </c>
      <c r="W530" s="160"/>
    </row>
    <row r="531" spans="2:60" ht="14.4" thickBot="1" x14ac:dyDescent="0.3"/>
    <row r="532" spans="2:60" x14ac:dyDescent="0.25">
      <c r="B532" s="325" t="s">
        <v>466</v>
      </c>
      <c r="C532" s="327" t="s">
        <v>467</v>
      </c>
      <c r="D532" s="327" t="s">
        <v>468</v>
      </c>
      <c r="E532" s="329" t="s">
        <v>469</v>
      </c>
      <c r="F532" s="330"/>
      <c r="H532" s="325" t="s">
        <v>466</v>
      </c>
      <c r="I532" s="327" t="s">
        <v>467</v>
      </c>
      <c r="J532" s="327" t="s">
        <v>468</v>
      </c>
      <c r="K532" s="329" t="s">
        <v>469</v>
      </c>
      <c r="L532" s="330"/>
      <c r="N532" s="325" t="s">
        <v>466</v>
      </c>
      <c r="O532" s="327" t="s">
        <v>467</v>
      </c>
      <c r="P532" s="327" t="s">
        <v>468</v>
      </c>
      <c r="Q532" s="329" t="s">
        <v>469</v>
      </c>
      <c r="R532" s="330"/>
      <c r="T532" s="325" t="s">
        <v>466</v>
      </c>
      <c r="U532" s="327" t="s">
        <v>467</v>
      </c>
      <c r="V532" s="327" t="s">
        <v>468</v>
      </c>
      <c r="W532" s="329" t="s">
        <v>469</v>
      </c>
      <c r="X532" s="330"/>
    </row>
    <row r="533" spans="2:60" ht="14.4" thickBot="1" x14ac:dyDescent="0.3">
      <c r="B533" s="326"/>
      <c r="C533" s="328"/>
      <c r="D533" s="328"/>
      <c r="E533" s="232" t="s">
        <v>403</v>
      </c>
      <c r="F533" s="174" t="s">
        <v>402</v>
      </c>
      <c r="H533" s="326"/>
      <c r="I533" s="328"/>
      <c r="J533" s="328"/>
      <c r="K533" s="232" t="s">
        <v>403</v>
      </c>
      <c r="L533" s="174" t="s">
        <v>402</v>
      </c>
      <c r="N533" s="326"/>
      <c r="O533" s="328"/>
      <c r="P533" s="328"/>
      <c r="Q533" s="232" t="s">
        <v>403</v>
      </c>
      <c r="R533" s="174" t="s">
        <v>402</v>
      </c>
      <c r="T533" s="326"/>
      <c r="U533" s="328"/>
      <c r="V533" s="328"/>
      <c r="W533" s="232" t="s">
        <v>403</v>
      </c>
      <c r="X533" s="174" t="s">
        <v>402</v>
      </c>
    </row>
    <row r="534" spans="2:60" ht="14.4" thickTop="1" x14ac:dyDescent="0.25">
      <c r="B534" s="236">
        <v>41670</v>
      </c>
      <c r="C534" s="171"/>
      <c r="D534" s="166" t="s">
        <v>470</v>
      </c>
      <c r="E534" s="167">
        <f>SUMIF('Libro Diario Convencional'!$D$15:$D$167,D528,'Libro Diario Convencional'!$G$15:$G$167)</f>
        <v>84650</v>
      </c>
      <c r="F534" s="168">
        <f>SUMIF('Libro Diario Convencional'!$D$15:$D$167,D528,'Libro Diario Convencional'!$H$15:$H$167)</f>
        <v>0</v>
      </c>
      <c r="H534" s="236">
        <v>41670</v>
      </c>
      <c r="I534" s="171"/>
      <c r="J534" s="166" t="s">
        <v>470</v>
      </c>
      <c r="K534" s="167">
        <f>SUMIF('Libro Diario Convencional'!$D$15:$D$167,J528,'Libro Diario Convencional'!$G$15:$G$167)</f>
        <v>0</v>
      </c>
      <c r="L534" s="168">
        <f>SUMIF('Libro Diario Convencional'!$D$15:$D$167,J528,'Libro Diario Convencional'!$H$15:$H$167)</f>
        <v>0</v>
      </c>
      <c r="N534" s="236">
        <v>41670</v>
      </c>
      <c r="O534" s="171"/>
      <c r="P534" s="166" t="s">
        <v>470</v>
      </c>
      <c r="Q534" s="167">
        <f>SUMIF('Libro Diario Convencional'!$D$15:$D$167,P528,'Libro Diario Convencional'!$G$15:$G$167)</f>
        <v>0</v>
      </c>
      <c r="R534" s="168">
        <f>SUMIF('Libro Diario Convencional'!$D$15:$D$167,P528,'Libro Diario Convencional'!$H$15:$H$167)</f>
        <v>0</v>
      </c>
      <c r="T534" s="236">
        <v>41670</v>
      </c>
      <c r="U534" s="171"/>
      <c r="V534" s="166" t="s">
        <v>470</v>
      </c>
      <c r="W534" s="167">
        <f>SUMIF('Libro Diario Convencional'!$D$15:$D$167,V528,'Libro Diario Convencional'!$G$15:$G$167)</f>
        <v>0</v>
      </c>
      <c r="X534" s="168">
        <f>SUMIF('Libro Diario Convencional'!$D$15:$D$167,V528,'Libro Diario Convencional'!$H$15:$H$167)</f>
        <v>0</v>
      </c>
    </row>
    <row r="535" spans="2:60" x14ac:dyDescent="0.25">
      <c r="B535" s="169"/>
      <c r="C535" s="172"/>
      <c r="D535" s="161"/>
      <c r="E535" s="162"/>
      <c r="F535" s="163"/>
      <c r="H535" s="169"/>
      <c r="I535" s="172"/>
      <c r="J535" s="161"/>
      <c r="K535" s="162"/>
      <c r="L535" s="163"/>
      <c r="N535" s="169"/>
      <c r="O535" s="172"/>
      <c r="P535" s="161"/>
      <c r="Q535" s="162"/>
      <c r="R535" s="163"/>
      <c r="T535" s="169"/>
      <c r="U535" s="172"/>
      <c r="V535" s="161"/>
      <c r="W535" s="162"/>
      <c r="X535" s="163"/>
    </row>
    <row r="536" spans="2:60" x14ac:dyDescent="0.25">
      <c r="B536" s="169"/>
      <c r="C536" s="172"/>
      <c r="D536" s="161"/>
      <c r="E536" s="162"/>
      <c r="F536" s="163"/>
      <c r="H536" s="169"/>
      <c r="I536" s="172"/>
      <c r="J536" s="161"/>
      <c r="K536" s="162"/>
      <c r="L536" s="163"/>
      <c r="N536" s="169"/>
      <c r="O536" s="172"/>
      <c r="P536" s="161"/>
      <c r="Q536" s="162"/>
      <c r="R536" s="163"/>
      <c r="T536" s="169"/>
      <c r="U536" s="172"/>
      <c r="V536" s="161"/>
      <c r="W536" s="162"/>
      <c r="X536" s="163"/>
    </row>
    <row r="537" spans="2:60" ht="14.4" thickBot="1" x14ac:dyDescent="0.3">
      <c r="B537" s="169"/>
      <c r="C537" s="172"/>
      <c r="D537" s="161"/>
      <c r="E537" s="162"/>
      <c r="F537" s="163"/>
      <c r="H537" s="169"/>
      <c r="I537" s="172"/>
      <c r="J537" s="161"/>
      <c r="K537" s="162"/>
      <c r="L537" s="163"/>
      <c r="N537" s="169"/>
      <c r="O537" s="172"/>
      <c r="P537" s="161"/>
      <c r="Q537" s="162"/>
      <c r="R537" s="163"/>
      <c r="T537" s="169"/>
      <c r="U537" s="172"/>
      <c r="V537" s="161"/>
      <c r="W537" s="162"/>
      <c r="X537" s="163"/>
    </row>
    <row r="538" spans="2:60" ht="15" thickBot="1" x14ac:dyDescent="0.3">
      <c r="B538" s="169"/>
      <c r="C538" s="172"/>
      <c r="D538" s="161" t="s">
        <v>471</v>
      </c>
      <c r="E538" s="162">
        <f>SUM(E534:E537)</f>
        <v>84650</v>
      </c>
      <c r="F538" s="163">
        <f>SUM(F534:F537)</f>
        <v>0</v>
      </c>
      <c r="H538" s="169"/>
      <c r="I538" s="172"/>
      <c r="J538" s="161" t="s">
        <v>471</v>
      </c>
      <c r="K538" s="162">
        <f>SUM(K534:K537)</f>
        <v>0</v>
      </c>
      <c r="L538" s="163">
        <f>SUM(L534:L537)</f>
        <v>0</v>
      </c>
      <c r="N538" s="169"/>
      <c r="O538" s="172"/>
      <c r="P538" s="161" t="s">
        <v>471</v>
      </c>
      <c r="Q538" s="162">
        <f>SUM(Q534:Q537)</f>
        <v>0</v>
      </c>
      <c r="R538" s="163">
        <f>SUM(R534:R537)</f>
        <v>0</v>
      </c>
      <c r="T538" s="169"/>
      <c r="U538" s="172"/>
      <c r="V538" s="161" t="s">
        <v>471</v>
      </c>
      <c r="W538" s="162">
        <f>SUM(W534:W537)</f>
        <v>0</v>
      </c>
      <c r="X538" s="163">
        <f>SUM(X534:X537)</f>
        <v>0</v>
      </c>
      <c r="BG538" s="157">
        <f>SUM(E538,K538,Q538,W538,AC538,AI538,AO538,AU538,AX538,BD538)</f>
        <v>84650</v>
      </c>
      <c r="BH538" s="158">
        <f>SUM(F538,L538,R538,X538,AD538,AJ538,AP538,AV538,AY538,BE538)</f>
        <v>0</v>
      </c>
    </row>
    <row r="539" spans="2:60" ht="14.4" thickBot="1" x14ac:dyDescent="0.3">
      <c r="B539" s="170"/>
      <c r="C539" s="173"/>
      <c r="D539" s="164" t="str">
        <f>IF(E538=F538,"",IF(E538&gt;F538,"Saldo Deudor","Saldo Acreedor"))</f>
        <v>Saldo Deudor</v>
      </c>
      <c r="E539" s="165">
        <f>IF(E538&gt;F538,E538-F538,"")</f>
        <v>84650</v>
      </c>
      <c r="F539" s="176" t="str">
        <f>IF(E538&lt;F538,F538-E538,"")</f>
        <v/>
      </c>
      <c r="H539" s="170"/>
      <c r="I539" s="173"/>
      <c r="J539" s="164" t="str">
        <f>IF(K538=L538,"",IF(K538&gt;L538,"Saldo Deudor","Saldo Acreedor"))</f>
        <v/>
      </c>
      <c r="K539" s="165" t="str">
        <f>IF(K538&gt;L538,K538-L538,"")</f>
        <v/>
      </c>
      <c r="L539" s="176" t="str">
        <f>IF(K538&lt;L538,L538-K538,"")</f>
        <v/>
      </c>
      <c r="N539" s="170"/>
      <c r="O539" s="173"/>
      <c r="P539" s="164" t="str">
        <f>IF(Q538=R538,"",IF(Q538&gt;R538,"Saldo Deudor","Saldo Acreedor"))</f>
        <v/>
      </c>
      <c r="Q539" s="165" t="str">
        <f>IF(Q538&gt;R538,Q538-R538,"")</f>
        <v/>
      </c>
      <c r="R539" s="176" t="str">
        <f>IF(Q538&lt;R538,R538-Q538,"")</f>
        <v/>
      </c>
      <c r="T539" s="170"/>
      <c r="U539" s="173"/>
      <c r="V539" s="164" t="str">
        <f>IF(W538=X538,"",IF(W538&gt;X538,"Saldo Deudor","Saldo Acreedor"))</f>
        <v/>
      </c>
      <c r="W539" s="165" t="str">
        <f>IF(W538&gt;X538,W538-X538,"")</f>
        <v/>
      </c>
      <c r="X539" s="176" t="str">
        <f>IF(W538&lt;X538,X538-W538,"")</f>
        <v/>
      </c>
    </row>
    <row r="542" spans="2:60" ht="15.6" x14ac:dyDescent="0.25">
      <c r="B542" s="324" t="s">
        <v>472</v>
      </c>
      <c r="C542" s="324"/>
      <c r="D542" s="175">
        <v>3371</v>
      </c>
      <c r="E542" s="160"/>
      <c r="H542" s="324" t="s">
        <v>472</v>
      </c>
      <c r="I542" s="324"/>
      <c r="J542" s="175">
        <v>3372</v>
      </c>
      <c r="K542" s="160"/>
    </row>
    <row r="543" spans="2:60" x14ac:dyDescent="0.25">
      <c r="B543" s="160"/>
      <c r="C543" s="160"/>
      <c r="D543" s="160"/>
      <c r="E543" s="160"/>
      <c r="H543" s="160"/>
      <c r="I543" s="160"/>
      <c r="J543" s="160"/>
      <c r="K543" s="160"/>
    </row>
    <row r="544" spans="2:60" ht="15.6" x14ac:dyDescent="0.25">
      <c r="B544" s="324" t="s">
        <v>473</v>
      </c>
      <c r="C544" s="324"/>
      <c r="D544" s="234" t="str">
        <f>VLOOKUP(D542,DivisionariasContables,3,FALSE)</f>
        <v>Herramientas y Unidades de Reemplazo - Herramientas</v>
      </c>
      <c r="E544" s="160"/>
      <c r="H544" s="324" t="s">
        <v>473</v>
      </c>
      <c r="I544" s="324"/>
      <c r="J544" s="234" t="str">
        <f>VLOOKUP(J542,DivisionariasContables,3,FALSE)</f>
        <v>Herramientas y Unidades de Reemplazo - Unidades de Reemplazo</v>
      </c>
      <c r="K544" s="160"/>
    </row>
    <row r="545" spans="2:60" ht="14.4" thickBot="1" x14ac:dyDescent="0.3"/>
    <row r="546" spans="2:60" x14ac:dyDescent="0.25">
      <c r="B546" s="325" t="s">
        <v>466</v>
      </c>
      <c r="C546" s="327" t="s">
        <v>467</v>
      </c>
      <c r="D546" s="327" t="s">
        <v>468</v>
      </c>
      <c r="E546" s="329" t="s">
        <v>469</v>
      </c>
      <c r="F546" s="330"/>
      <c r="H546" s="325" t="s">
        <v>466</v>
      </c>
      <c r="I546" s="327" t="s">
        <v>467</v>
      </c>
      <c r="J546" s="327" t="s">
        <v>468</v>
      </c>
      <c r="K546" s="329" t="s">
        <v>469</v>
      </c>
      <c r="L546" s="330"/>
    </row>
    <row r="547" spans="2:60" ht="14.4" thickBot="1" x14ac:dyDescent="0.3">
      <c r="B547" s="326"/>
      <c r="C547" s="328"/>
      <c r="D547" s="328"/>
      <c r="E547" s="232" t="s">
        <v>403</v>
      </c>
      <c r="F547" s="174" t="s">
        <v>402</v>
      </c>
      <c r="H547" s="326"/>
      <c r="I547" s="328"/>
      <c r="J547" s="328"/>
      <c r="K547" s="232" t="s">
        <v>403</v>
      </c>
      <c r="L547" s="174" t="s">
        <v>402</v>
      </c>
    </row>
    <row r="548" spans="2:60" ht="14.4" thickTop="1" x14ac:dyDescent="0.25">
      <c r="B548" s="236">
        <v>41670</v>
      </c>
      <c r="C548" s="171"/>
      <c r="D548" s="166" t="s">
        <v>470</v>
      </c>
      <c r="E548" s="167">
        <f>SUMIF('Libro Diario Convencional'!$D$15:$D$167,D542,'Libro Diario Convencional'!$G$15:$G$167)</f>
        <v>0</v>
      </c>
      <c r="F548" s="168">
        <f>SUMIF('Libro Diario Convencional'!$D$15:$D$167,D542,'Libro Diario Convencional'!$H$15:$H$167)</f>
        <v>0</v>
      </c>
      <c r="H548" s="236">
        <v>41670</v>
      </c>
      <c r="I548" s="171"/>
      <c r="J548" s="166" t="s">
        <v>470</v>
      </c>
      <c r="K548" s="167">
        <f>SUMIF('Libro Diario Convencional'!$D$15:$D$167,J542,'Libro Diario Convencional'!$G$15:$G$167)</f>
        <v>0</v>
      </c>
      <c r="L548" s="168">
        <f>SUMIF('Libro Diario Convencional'!$D$15:$D$167,J542,'Libro Diario Convencional'!$H$15:$H$167)</f>
        <v>0</v>
      </c>
    </row>
    <row r="549" spans="2:60" x14ac:dyDescent="0.25">
      <c r="B549" s="169"/>
      <c r="C549" s="172"/>
      <c r="D549" s="161"/>
      <c r="E549" s="162"/>
      <c r="F549" s="163"/>
      <c r="H549" s="169"/>
      <c r="I549" s="172"/>
      <c r="J549" s="161"/>
      <c r="K549" s="162"/>
      <c r="L549" s="163"/>
    </row>
    <row r="550" spans="2:60" x14ac:dyDescent="0.25">
      <c r="B550" s="169"/>
      <c r="C550" s="172"/>
      <c r="D550" s="161"/>
      <c r="E550" s="162"/>
      <c r="F550" s="163"/>
      <c r="H550" s="169"/>
      <c r="I550" s="172"/>
      <c r="J550" s="161"/>
      <c r="K550" s="162"/>
      <c r="L550" s="163"/>
    </row>
    <row r="551" spans="2:60" ht="14.4" thickBot="1" x14ac:dyDescent="0.3">
      <c r="B551" s="169"/>
      <c r="C551" s="172"/>
      <c r="D551" s="161"/>
      <c r="E551" s="162"/>
      <c r="F551" s="163"/>
      <c r="H551" s="169"/>
      <c r="I551" s="172"/>
      <c r="J551" s="161"/>
      <c r="K551" s="162"/>
      <c r="L551" s="163"/>
    </row>
    <row r="552" spans="2:60" ht="15" thickBot="1" x14ac:dyDescent="0.3">
      <c r="B552" s="169"/>
      <c r="C552" s="172"/>
      <c r="D552" s="161" t="s">
        <v>471</v>
      </c>
      <c r="E552" s="162">
        <f>SUM(E548:E551)</f>
        <v>0</v>
      </c>
      <c r="F552" s="163">
        <f>SUM(F548:F551)</f>
        <v>0</v>
      </c>
      <c r="H552" s="169"/>
      <c r="I552" s="172"/>
      <c r="J552" s="161" t="s">
        <v>471</v>
      </c>
      <c r="K552" s="162">
        <f>SUM(K548:K551)</f>
        <v>0</v>
      </c>
      <c r="L552" s="163">
        <f>SUM(L548:L551)</f>
        <v>0</v>
      </c>
      <c r="BG552" s="157">
        <f>SUM(E552,K552,Q552,W552,AC552,AI552,AO552,AU552,AX552,BD552)</f>
        <v>0</v>
      </c>
      <c r="BH552" s="158">
        <f>SUM(F552,L552,R552,X552,AD552,AJ552,AP552,AV552,AY552,BE552)</f>
        <v>0</v>
      </c>
    </row>
    <row r="553" spans="2:60" ht="14.4" thickBot="1" x14ac:dyDescent="0.3">
      <c r="B553" s="170"/>
      <c r="C553" s="173"/>
      <c r="D553" s="164" t="str">
        <f>IF(E552=F552,"",IF(E552&gt;F552,"Saldo Deudor","Saldo Acreedor"))</f>
        <v/>
      </c>
      <c r="E553" s="165" t="str">
        <f>IF(E552&gt;F552,E552-F552,"")</f>
        <v/>
      </c>
      <c r="F553" s="176" t="str">
        <f>IF(E552&lt;F552,F552-E552,"")</f>
        <v/>
      </c>
      <c r="H553" s="170"/>
      <c r="I553" s="173"/>
      <c r="J553" s="164" t="str">
        <f>IF(K552=L552,"",IF(K552&gt;L552,"Saldo Deudor","Saldo Acreedor"))</f>
        <v/>
      </c>
      <c r="K553" s="165" t="str">
        <f>IF(K552&gt;L552,K552-L552,"")</f>
        <v/>
      </c>
      <c r="L553" s="176" t="str">
        <f>IF(K552&lt;L552,L552-K552,"")</f>
        <v/>
      </c>
    </row>
    <row r="556" spans="2:60" ht="15.6" x14ac:dyDescent="0.25">
      <c r="B556" s="324" t="s">
        <v>472</v>
      </c>
      <c r="C556" s="324"/>
      <c r="D556" s="175">
        <v>3381</v>
      </c>
      <c r="E556" s="160"/>
      <c r="H556" s="324" t="s">
        <v>472</v>
      </c>
      <c r="I556" s="324"/>
      <c r="J556" s="175">
        <v>3382</v>
      </c>
      <c r="K556" s="160"/>
      <c r="N556" s="324" t="s">
        <v>472</v>
      </c>
      <c r="O556" s="324"/>
      <c r="P556" s="175">
        <v>3383</v>
      </c>
      <c r="Q556" s="160"/>
      <c r="T556" s="324" t="s">
        <v>472</v>
      </c>
      <c r="U556" s="324"/>
      <c r="V556" s="175">
        <v>3386</v>
      </c>
      <c r="W556" s="160"/>
      <c r="Z556" s="324" t="s">
        <v>472</v>
      </c>
      <c r="AA556" s="324"/>
      <c r="AB556" s="175">
        <v>3387</v>
      </c>
      <c r="AC556" s="160"/>
    </row>
    <row r="557" spans="2:60" x14ac:dyDescent="0.25">
      <c r="B557" s="160"/>
      <c r="C557" s="160"/>
      <c r="D557" s="160"/>
      <c r="E557" s="160"/>
      <c r="H557" s="160"/>
      <c r="I557" s="160"/>
      <c r="J557" s="160"/>
      <c r="K557" s="160"/>
      <c r="N557" s="160"/>
      <c r="O557" s="160"/>
      <c r="P557" s="160"/>
      <c r="Q557" s="160"/>
      <c r="T557" s="160"/>
      <c r="U557" s="160"/>
      <c r="V557" s="160"/>
      <c r="W557" s="160"/>
      <c r="Z557" s="160"/>
      <c r="AA557" s="160"/>
      <c r="AB557" s="160"/>
      <c r="AC557" s="160"/>
    </row>
    <row r="558" spans="2:60" ht="15.6" x14ac:dyDescent="0.25">
      <c r="B558" s="324" t="s">
        <v>473</v>
      </c>
      <c r="C558" s="324"/>
      <c r="D558" s="234" t="str">
        <f>VLOOKUP(D556,DivisionariasContables,3,FALSE)</f>
        <v>Unidades por Recibir - Maquinaria y Equipos de Explotación</v>
      </c>
      <c r="E558" s="160"/>
      <c r="H558" s="324" t="s">
        <v>473</v>
      </c>
      <c r="I558" s="324"/>
      <c r="J558" s="234" t="str">
        <f>VLOOKUP(J556,DivisionariasContables,3,FALSE)</f>
        <v>Unidades por Recibir - Equipo de Transporte</v>
      </c>
      <c r="K558" s="160"/>
      <c r="N558" s="324" t="s">
        <v>473</v>
      </c>
      <c r="O558" s="324"/>
      <c r="P558" s="234" t="str">
        <f>VLOOKUP(P556,DivisionariasContables,3,FALSE)</f>
        <v>Unidades por Recibir - Muebles y Enseres</v>
      </c>
      <c r="Q558" s="160"/>
      <c r="T558" s="324" t="s">
        <v>473</v>
      </c>
      <c r="U558" s="324"/>
      <c r="V558" s="234" t="str">
        <f>VLOOKUP(V556,DivisionariasContables,3,FALSE)</f>
        <v>Unidades por Recibir - Equipos Diversos</v>
      </c>
      <c r="W558" s="160"/>
      <c r="Z558" s="324" t="s">
        <v>473</v>
      </c>
      <c r="AA558" s="324"/>
      <c r="AB558" s="234" t="str">
        <f>VLOOKUP(AB556,DivisionariasContables,3,FALSE)</f>
        <v>Unidades por Recibir - Herramientas y Unidades de Reemplazo</v>
      </c>
      <c r="AC558" s="160"/>
    </row>
    <row r="559" spans="2:60" ht="14.4" thickBot="1" x14ac:dyDescent="0.3"/>
    <row r="560" spans="2:60" x14ac:dyDescent="0.25">
      <c r="B560" s="325" t="s">
        <v>466</v>
      </c>
      <c r="C560" s="327" t="s">
        <v>467</v>
      </c>
      <c r="D560" s="327" t="s">
        <v>468</v>
      </c>
      <c r="E560" s="329" t="s">
        <v>469</v>
      </c>
      <c r="F560" s="330"/>
      <c r="H560" s="325" t="s">
        <v>466</v>
      </c>
      <c r="I560" s="327" t="s">
        <v>467</v>
      </c>
      <c r="J560" s="327" t="s">
        <v>468</v>
      </c>
      <c r="K560" s="329" t="s">
        <v>469</v>
      </c>
      <c r="L560" s="330"/>
      <c r="N560" s="325" t="s">
        <v>466</v>
      </c>
      <c r="O560" s="327" t="s">
        <v>467</v>
      </c>
      <c r="P560" s="327" t="s">
        <v>468</v>
      </c>
      <c r="Q560" s="329" t="s">
        <v>469</v>
      </c>
      <c r="R560" s="330"/>
      <c r="T560" s="325" t="s">
        <v>466</v>
      </c>
      <c r="U560" s="327" t="s">
        <v>467</v>
      </c>
      <c r="V560" s="327" t="s">
        <v>468</v>
      </c>
      <c r="W560" s="329" t="s">
        <v>469</v>
      </c>
      <c r="X560" s="330"/>
      <c r="Z560" s="325" t="s">
        <v>466</v>
      </c>
      <c r="AA560" s="327" t="s">
        <v>467</v>
      </c>
      <c r="AB560" s="327" t="s">
        <v>468</v>
      </c>
      <c r="AC560" s="329" t="s">
        <v>469</v>
      </c>
      <c r="AD560" s="330"/>
    </row>
    <row r="561" spans="2:60" ht="14.4" thickBot="1" x14ac:dyDescent="0.3">
      <c r="B561" s="326"/>
      <c r="C561" s="328"/>
      <c r="D561" s="328"/>
      <c r="E561" s="232" t="s">
        <v>403</v>
      </c>
      <c r="F561" s="174" t="s">
        <v>402</v>
      </c>
      <c r="H561" s="326"/>
      <c r="I561" s="328"/>
      <c r="J561" s="328"/>
      <c r="K561" s="232" t="s">
        <v>403</v>
      </c>
      <c r="L561" s="174" t="s">
        <v>402</v>
      </c>
      <c r="N561" s="326"/>
      <c r="O561" s="328"/>
      <c r="P561" s="328"/>
      <c r="Q561" s="232" t="s">
        <v>403</v>
      </c>
      <c r="R561" s="174" t="s">
        <v>402</v>
      </c>
      <c r="T561" s="326"/>
      <c r="U561" s="328"/>
      <c r="V561" s="328"/>
      <c r="W561" s="232" t="s">
        <v>403</v>
      </c>
      <c r="X561" s="174" t="s">
        <v>402</v>
      </c>
      <c r="Z561" s="326"/>
      <c r="AA561" s="328"/>
      <c r="AB561" s="328"/>
      <c r="AC561" s="232" t="s">
        <v>403</v>
      </c>
      <c r="AD561" s="174" t="s">
        <v>402</v>
      </c>
    </row>
    <row r="562" spans="2:60" ht="14.4" thickTop="1" x14ac:dyDescent="0.25">
      <c r="B562" s="236">
        <v>41670</v>
      </c>
      <c r="C562" s="171"/>
      <c r="D562" s="166" t="s">
        <v>470</v>
      </c>
      <c r="E562" s="167">
        <f>SUMIF('Libro Diario Convencional'!$D$15:$D$167,D556,'Libro Diario Convencional'!$G$15:$G$167)</f>
        <v>0</v>
      </c>
      <c r="F562" s="168">
        <f>SUMIF('Libro Diario Convencional'!$D$15:$D$167,D556,'Libro Diario Convencional'!$H$15:$H$167)</f>
        <v>0</v>
      </c>
      <c r="H562" s="236">
        <v>41670</v>
      </c>
      <c r="I562" s="171"/>
      <c r="J562" s="166" t="s">
        <v>470</v>
      </c>
      <c r="K562" s="167">
        <f>SUMIF('Libro Diario Convencional'!$D$15:$D$167,J556,'Libro Diario Convencional'!$G$15:$G$167)</f>
        <v>0</v>
      </c>
      <c r="L562" s="168">
        <f>SUMIF('Libro Diario Convencional'!$D$15:$D$167,J556,'Libro Diario Convencional'!$H$15:$H$167)</f>
        <v>0</v>
      </c>
      <c r="N562" s="236">
        <v>41670</v>
      </c>
      <c r="O562" s="171"/>
      <c r="P562" s="166" t="s">
        <v>470</v>
      </c>
      <c r="Q562" s="167">
        <f>SUMIF('Libro Diario Convencional'!$D$15:$D$167,P556,'Libro Diario Convencional'!$G$15:$G$167)</f>
        <v>0</v>
      </c>
      <c r="R562" s="168">
        <f>SUMIF('Libro Diario Convencional'!$D$15:$D$167,P556,'Libro Diario Convencional'!$H$15:$H$167)</f>
        <v>0</v>
      </c>
      <c r="T562" s="236">
        <v>41670</v>
      </c>
      <c r="U562" s="171"/>
      <c r="V562" s="166" t="s">
        <v>470</v>
      </c>
      <c r="W562" s="167">
        <f>SUMIF('Libro Diario Convencional'!$D$15:$D$167,V556,'Libro Diario Convencional'!$G$15:$G$167)</f>
        <v>0</v>
      </c>
      <c r="X562" s="168">
        <f>SUMIF('Libro Diario Convencional'!$D$15:$D$167,V556,'Libro Diario Convencional'!$H$15:$H$167)</f>
        <v>0</v>
      </c>
      <c r="Z562" s="236">
        <v>41670</v>
      </c>
      <c r="AA562" s="171"/>
      <c r="AB562" s="166" t="s">
        <v>470</v>
      </c>
      <c r="AC562" s="167">
        <f>SUMIF('Libro Diario Convencional'!$D$15:$D$167,AB556,'Libro Diario Convencional'!$G$15:$G$167)</f>
        <v>0</v>
      </c>
      <c r="AD562" s="168">
        <f>SUMIF('Libro Diario Convencional'!$D$15:$D$167,AB556,'Libro Diario Convencional'!$H$15:$H$167)</f>
        <v>0</v>
      </c>
    </row>
    <row r="563" spans="2:60" x14ac:dyDescent="0.25">
      <c r="B563" s="169"/>
      <c r="C563" s="172"/>
      <c r="D563" s="161"/>
      <c r="E563" s="162"/>
      <c r="F563" s="163"/>
      <c r="H563" s="169"/>
      <c r="I563" s="172"/>
      <c r="J563" s="161"/>
      <c r="K563" s="162"/>
      <c r="L563" s="163"/>
      <c r="N563" s="169"/>
      <c r="O563" s="172"/>
      <c r="P563" s="161"/>
      <c r="Q563" s="162"/>
      <c r="R563" s="163"/>
      <c r="T563" s="169"/>
      <c r="U563" s="172"/>
      <c r="V563" s="161"/>
      <c r="W563" s="162"/>
      <c r="X563" s="163"/>
      <c r="Z563" s="169"/>
      <c r="AA563" s="172"/>
      <c r="AB563" s="161"/>
      <c r="AC563" s="162"/>
      <c r="AD563" s="163"/>
    </row>
    <row r="564" spans="2:60" x14ac:dyDescent="0.25">
      <c r="B564" s="169"/>
      <c r="C564" s="172"/>
      <c r="D564" s="161"/>
      <c r="E564" s="162"/>
      <c r="F564" s="163"/>
      <c r="H564" s="169"/>
      <c r="I564" s="172"/>
      <c r="J564" s="161"/>
      <c r="K564" s="162"/>
      <c r="L564" s="163"/>
      <c r="N564" s="169"/>
      <c r="O564" s="172"/>
      <c r="P564" s="161"/>
      <c r="Q564" s="162"/>
      <c r="R564" s="163"/>
      <c r="T564" s="169"/>
      <c r="U564" s="172"/>
      <c r="V564" s="161"/>
      <c r="W564" s="162"/>
      <c r="X564" s="163"/>
      <c r="Z564" s="169"/>
      <c r="AA564" s="172"/>
      <c r="AB564" s="161"/>
      <c r="AC564" s="162"/>
      <c r="AD564" s="163"/>
    </row>
    <row r="565" spans="2:60" ht="14.4" thickBot="1" x14ac:dyDescent="0.3">
      <c r="B565" s="169"/>
      <c r="C565" s="172"/>
      <c r="D565" s="161"/>
      <c r="E565" s="162"/>
      <c r="F565" s="163"/>
      <c r="H565" s="169"/>
      <c r="I565" s="172"/>
      <c r="J565" s="161"/>
      <c r="K565" s="162"/>
      <c r="L565" s="163"/>
      <c r="N565" s="169"/>
      <c r="O565" s="172"/>
      <c r="P565" s="161"/>
      <c r="Q565" s="162"/>
      <c r="R565" s="163"/>
      <c r="T565" s="169"/>
      <c r="U565" s="172"/>
      <c r="V565" s="161"/>
      <c r="W565" s="162"/>
      <c r="X565" s="163"/>
      <c r="Z565" s="169"/>
      <c r="AA565" s="172"/>
      <c r="AB565" s="161"/>
      <c r="AC565" s="162"/>
      <c r="AD565" s="163"/>
    </row>
    <row r="566" spans="2:60" ht="15" thickBot="1" x14ac:dyDescent="0.3">
      <c r="B566" s="169"/>
      <c r="C566" s="172"/>
      <c r="D566" s="161" t="s">
        <v>471</v>
      </c>
      <c r="E566" s="162">
        <f>SUM(E562:E565)</f>
        <v>0</v>
      </c>
      <c r="F566" s="163">
        <f>SUM(F562:F565)</f>
        <v>0</v>
      </c>
      <c r="H566" s="169"/>
      <c r="I566" s="172"/>
      <c r="J566" s="161" t="s">
        <v>471</v>
      </c>
      <c r="K566" s="162">
        <f>SUM(K562:K565)</f>
        <v>0</v>
      </c>
      <c r="L566" s="163">
        <f>SUM(L562:L565)</f>
        <v>0</v>
      </c>
      <c r="N566" s="169"/>
      <c r="O566" s="172"/>
      <c r="P566" s="161" t="s">
        <v>471</v>
      </c>
      <c r="Q566" s="162">
        <f>SUM(Q562:Q565)</f>
        <v>0</v>
      </c>
      <c r="R566" s="163">
        <f>SUM(R562:R565)</f>
        <v>0</v>
      </c>
      <c r="T566" s="169"/>
      <c r="U566" s="172"/>
      <c r="V566" s="161" t="s">
        <v>471</v>
      </c>
      <c r="W566" s="162">
        <f>SUM(W562:W565)</f>
        <v>0</v>
      </c>
      <c r="X566" s="163">
        <f>SUM(X562:X565)</f>
        <v>0</v>
      </c>
      <c r="Z566" s="169"/>
      <c r="AA566" s="172"/>
      <c r="AB566" s="161" t="s">
        <v>471</v>
      </c>
      <c r="AC566" s="162">
        <f>SUM(AC562:AC565)</f>
        <v>0</v>
      </c>
      <c r="AD566" s="163">
        <f>SUM(AD562:AD565)</f>
        <v>0</v>
      </c>
      <c r="BG566" s="157">
        <f>SUM(E566,K566,Q566,W566,AC566,AI566,AO566,AU566,AX566,BD566)</f>
        <v>0</v>
      </c>
      <c r="BH566" s="158">
        <f>SUM(F566,L566,R566,X566,AD566,AJ566,AP566,AV566,AY566,BE566)</f>
        <v>0</v>
      </c>
    </row>
    <row r="567" spans="2:60" ht="14.4" thickBot="1" x14ac:dyDescent="0.3">
      <c r="B567" s="170"/>
      <c r="C567" s="173"/>
      <c r="D567" s="164" t="str">
        <f>IF(E566=F566,"",IF(E566&gt;F566,"Saldo Deudor","Saldo Acreedor"))</f>
        <v/>
      </c>
      <c r="E567" s="165" t="str">
        <f>IF(E566&gt;F566,E566-F566,"")</f>
        <v/>
      </c>
      <c r="F567" s="176" t="str">
        <f>IF(E566&lt;F566,F566-E566,"")</f>
        <v/>
      </c>
      <c r="H567" s="170"/>
      <c r="I567" s="173"/>
      <c r="J567" s="164" t="str">
        <f>IF(K566=L566,"",IF(K566&gt;L566,"Saldo Deudor","Saldo Acreedor"))</f>
        <v/>
      </c>
      <c r="K567" s="165" t="str">
        <f>IF(K566&gt;L566,K566-L566,"")</f>
        <v/>
      </c>
      <c r="L567" s="176" t="str">
        <f>IF(K566&lt;L566,L566-K566,"")</f>
        <v/>
      </c>
      <c r="N567" s="170"/>
      <c r="O567" s="173"/>
      <c r="P567" s="164" t="str">
        <f>IF(Q566=R566,"",IF(Q566&gt;R566,"Saldo Deudor","Saldo Acreedor"))</f>
        <v/>
      </c>
      <c r="Q567" s="165" t="str">
        <f>IF(Q566&gt;R566,Q566-R566,"")</f>
        <v/>
      </c>
      <c r="R567" s="176" t="str">
        <f>IF(Q566&lt;R566,R566-Q566,"")</f>
        <v/>
      </c>
      <c r="T567" s="170"/>
      <c r="U567" s="173"/>
      <c r="V567" s="164" t="str">
        <f>IF(W566=X566,"",IF(W566&gt;X566,"Saldo Deudor","Saldo Acreedor"))</f>
        <v/>
      </c>
      <c r="W567" s="165" t="str">
        <f>IF(W566&gt;X566,W566-X566,"")</f>
        <v/>
      </c>
      <c r="X567" s="176" t="str">
        <f>IF(W566&lt;X566,X566-W566,"")</f>
        <v/>
      </c>
      <c r="Z567" s="170"/>
      <c r="AA567" s="173"/>
      <c r="AB567" s="164" t="str">
        <f>IF(AC566=AD566,"",IF(AC566&gt;AD566,"Saldo Deudor","Saldo Acreedor"))</f>
        <v/>
      </c>
      <c r="AC567" s="165" t="str">
        <f>IF(AC566&gt;AD566,AC566-AD566,"")</f>
        <v/>
      </c>
      <c r="AD567" s="176" t="str">
        <f>IF(AC566&lt;AD566,AD566-AC566,"")</f>
        <v/>
      </c>
    </row>
    <row r="570" spans="2:60" ht="15.6" x14ac:dyDescent="0.25">
      <c r="B570" s="324" t="s">
        <v>472</v>
      </c>
      <c r="C570" s="324"/>
      <c r="D570" s="175">
        <v>3391</v>
      </c>
      <c r="E570" s="160"/>
      <c r="H570" s="324" t="s">
        <v>472</v>
      </c>
      <c r="I570" s="324"/>
      <c r="J570" s="175">
        <v>3392</v>
      </c>
      <c r="K570" s="160"/>
      <c r="N570" s="324" t="s">
        <v>472</v>
      </c>
      <c r="O570" s="324"/>
      <c r="P570" s="175">
        <v>3393</v>
      </c>
      <c r="Q570" s="160"/>
      <c r="T570" s="324" t="s">
        <v>472</v>
      </c>
      <c r="U570" s="324"/>
      <c r="V570" s="175">
        <v>3394</v>
      </c>
      <c r="W570" s="160"/>
      <c r="Z570" s="324" t="s">
        <v>472</v>
      </c>
      <c r="AA570" s="324"/>
      <c r="AB570" s="175">
        <v>3397</v>
      </c>
      <c r="AC570" s="160"/>
      <c r="AF570" s="324" t="s">
        <v>472</v>
      </c>
      <c r="AG570" s="324"/>
      <c r="AH570" s="175">
        <v>3398</v>
      </c>
      <c r="AI570" s="160"/>
      <c r="AL570" s="324" t="s">
        <v>472</v>
      </c>
      <c r="AM570" s="324"/>
      <c r="AN570" s="175">
        <v>3399</v>
      </c>
      <c r="AO570" s="160"/>
    </row>
    <row r="571" spans="2:60" x14ac:dyDescent="0.25">
      <c r="B571" s="160"/>
      <c r="C571" s="160"/>
      <c r="D571" s="160"/>
      <c r="E571" s="160"/>
      <c r="H571" s="160"/>
      <c r="I571" s="160"/>
      <c r="J571" s="160"/>
      <c r="K571" s="160"/>
      <c r="N571" s="160"/>
      <c r="O571" s="160"/>
      <c r="P571" s="160"/>
      <c r="Q571" s="160"/>
      <c r="T571" s="160"/>
      <c r="U571" s="160"/>
      <c r="V571" s="160"/>
      <c r="W571" s="160"/>
      <c r="Z571" s="160"/>
      <c r="AA571" s="160"/>
      <c r="AB571" s="160"/>
      <c r="AC571" s="160"/>
      <c r="AF571" s="160"/>
      <c r="AG571" s="160"/>
      <c r="AH571" s="160"/>
      <c r="AI571" s="160"/>
      <c r="AL571" s="160"/>
      <c r="AM571" s="160"/>
      <c r="AN571" s="160"/>
      <c r="AO571" s="160"/>
    </row>
    <row r="572" spans="2:60" ht="15.6" x14ac:dyDescent="0.25">
      <c r="B572" s="324" t="s">
        <v>473</v>
      </c>
      <c r="C572" s="324"/>
      <c r="D572" s="234" t="str">
        <f>VLOOKUP(D570,DivisionariasContables,3,FALSE)</f>
        <v>Adaptación de Terrenos</v>
      </c>
      <c r="E572" s="160"/>
      <c r="H572" s="324" t="s">
        <v>473</v>
      </c>
      <c r="I572" s="324"/>
      <c r="J572" s="234" t="str">
        <f>VLOOKUP(J570,DivisionariasContables,3,FALSE)</f>
        <v>Construcciones en Curso</v>
      </c>
      <c r="K572" s="160"/>
      <c r="N572" s="324" t="s">
        <v>473</v>
      </c>
      <c r="O572" s="324"/>
      <c r="P572" s="234" t="str">
        <f>VLOOKUP(P570,DivisionariasContables,3,FALSE)</f>
        <v>Maquinaria en Montaje</v>
      </c>
      <c r="Q572" s="160"/>
      <c r="T572" s="324" t="s">
        <v>473</v>
      </c>
      <c r="U572" s="324"/>
      <c r="V572" s="234" t="str">
        <f>VLOOKUP(V570,DivisionariasContables,3,FALSE)</f>
        <v>Inversión Inmobiliaria en Curso</v>
      </c>
      <c r="W572" s="160"/>
      <c r="Z572" s="324" t="s">
        <v>473</v>
      </c>
      <c r="AA572" s="324"/>
      <c r="AB572" s="234" t="str">
        <f>VLOOKUP(AB570,DivisionariasContables,3,FALSE)</f>
        <v>Costo de Financiación - Inversiones Inmobiliarias</v>
      </c>
      <c r="AC572" s="160"/>
      <c r="AF572" s="324" t="s">
        <v>473</v>
      </c>
      <c r="AG572" s="324"/>
      <c r="AH572" s="234" t="str">
        <f>VLOOKUP(AH570,DivisionariasContables,3,FALSE)</f>
        <v>Costo de Financiación - Inmuebles, Maquinaria y Equipo</v>
      </c>
      <c r="AI572" s="160"/>
      <c r="AL572" s="324" t="s">
        <v>473</v>
      </c>
      <c r="AM572" s="324"/>
      <c r="AN572" s="234" t="str">
        <f>VLOOKUP(AN570,DivisionariasContables,3,FALSE)</f>
        <v>Otros Activos en Curso - Reclasificación de IGV al Costo</v>
      </c>
      <c r="AO572" s="160"/>
    </row>
    <row r="573" spans="2:60" ht="14.4" thickBot="1" x14ac:dyDescent="0.3"/>
    <row r="574" spans="2:60" x14ac:dyDescent="0.25">
      <c r="B574" s="325" t="s">
        <v>466</v>
      </c>
      <c r="C574" s="327" t="s">
        <v>467</v>
      </c>
      <c r="D574" s="327" t="s">
        <v>468</v>
      </c>
      <c r="E574" s="329" t="s">
        <v>469</v>
      </c>
      <c r="F574" s="330"/>
      <c r="H574" s="325" t="s">
        <v>466</v>
      </c>
      <c r="I574" s="327" t="s">
        <v>467</v>
      </c>
      <c r="J574" s="327" t="s">
        <v>468</v>
      </c>
      <c r="K574" s="329" t="s">
        <v>469</v>
      </c>
      <c r="L574" s="330"/>
      <c r="N574" s="325" t="s">
        <v>466</v>
      </c>
      <c r="O574" s="327" t="s">
        <v>467</v>
      </c>
      <c r="P574" s="327" t="s">
        <v>468</v>
      </c>
      <c r="Q574" s="329" t="s">
        <v>469</v>
      </c>
      <c r="R574" s="330"/>
      <c r="T574" s="325" t="s">
        <v>466</v>
      </c>
      <c r="U574" s="327" t="s">
        <v>467</v>
      </c>
      <c r="V574" s="327" t="s">
        <v>468</v>
      </c>
      <c r="W574" s="329" t="s">
        <v>469</v>
      </c>
      <c r="X574" s="330"/>
      <c r="Z574" s="325" t="s">
        <v>466</v>
      </c>
      <c r="AA574" s="327" t="s">
        <v>467</v>
      </c>
      <c r="AB574" s="327" t="s">
        <v>468</v>
      </c>
      <c r="AC574" s="329" t="s">
        <v>469</v>
      </c>
      <c r="AD574" s="330"/>
      <c r="AF574" s="325" t="s">
        <v>466</v>
      </c>
      <c r="AG574" s="327" t="s">
        <v>467</v>
      </c>
      <c r="AH574" s="327" t="s">
        <v>468</v>
      </c>
      <c r="AI574" s="329" t="s">
        <v>469</v>
      </c>
      <c r="AJ574" s="330"/>
      <c r="AL574" s="325" t="s">
        <v>466</v>
      </c>
      <c r="AM574" s="327" t="s">
        <v>467</v>
      </c>
      <c r="AN574" s="327" t="s">
        <v>468</v>
      </c>
      <c r="AO574" s="329" t="s">
        <v>469</v>
      </c>
      <c r="AP574" s="330"/>
    </row>
    <row r="575" spans="2:60" ht="14.4" thickBot="1" x14ac:dyDescent="0.3">
      <c r="B575" s="326"/>
      <c r="C575" s="328"/>
      <c r="D575" s="328"/>
      <c r="E575" s="232" t="s">
        <v>403</v>
      </c>
      <c r="F575" s="174" t="s">
        <v>402</v>
      </c>
      <c r="H575" s="326"/>
      <c r="I575" s="328"/>
      <c r="J575" s="328"/>
      <c r="K575" s="232" t="s">
        <v>403</v>
      </c>
      <c r="L575" s="174" t="s">
        <v>402</v>
      </c>
      <c r="N575" s="326"/>
      <c r="O575" s="328"/>
      <c r="P575" s="328"/>
      <c r="Q575" s="232" t="s">
        <v>403</v>
      </c>
      <c r="R575" s="174" t="s">
        <v>402</v>
      </c>
      <c r="T575" s="326"/>
      <c r="U575" s="328"/>
      <c r="V575" s="328"/>
      <c r="W575" s="232" t="s">
        <v>403</v>
      </c>
      <c r="X575" s="174" t="s">
        <v>402</v>
      </c>
      <c r="Z575" s="326"/>
      <c r="AA575" s="328"/>
      <c r="AB575" s="328"/>
      <c r="AC575" s="232" t="s">
        <v>403</v>
      </c>
      <c r="AD575" s="174" t="s">
        <v>402</v>
      </c>
      <c r="AF575" s="326"/>
      <c r="AG575" s="328"/>
      <c r="AH575" s="328"/>
      <c r="AI575" s="232" t="s">
        <v>403</v>
      </c>
      <c r="AJ575" s="174" t="s">
        <v>402</v>
      </c>
      <c r="AL575" s="326"/>
      <c r="AM575" s="328"/>
      <c r="AN575" s="328"/>
      <c r="AO575" s="232" t="s">
        <v>403</v>
      </c>
      <c r="AP575" s="174" t="s">
        <v>402</v>
      </c>
    </row>
    <row r="576" spans="2:60" ht="14.4" thickTop="1" x14ac:dyDescent="0.25">
      <c r="B576" s="236">
        <v>41670</v>
      </c>
      <c r="C576" s="171"/>
      <c r="D576" s="166" t="s">
        <v>470</v>
      </c>
      <c r="E576" s="167">
        <f>SUMIF('Libro Diario Convencional'!$D$15:$D$167,D570,'Libro Diario Convencional'!$G$15:$G$167)</f>
        <v>0</v>
      </c>
      <c r="F576" s="168">
        <f>SUMIF('Libro Diario Convencional'!$D$15:$D$167,D570,'Libro Diario Convencional'!$H$15:$H$167)</f>
        <v>0</v>
      </c>
      <c r="H576" s="236">
        <v>41670</v>
      </c>
      <c r="I576" s="171"/>
      <c r="J576" s="166" t="s">
        <v>470</v>
      </c>
      <c r="K576" s="167">
        <f>SUMIF('Libro Diario Convencional'!$D$15:$D$167,J570,'Libro Diario Convencional'!$G$15:$G$167)</f>
        <v>0</v>
      </c>
      <c r="L576" s="168">
        <f>SUMIF('Libro Diario Convencional'!$D$15:$D$167,J570,'Libro Diario Convencional'!$H$15:$H$167)</f>
        <v>0</v>
      </c>
      <c r="N576" s="236">
        <v>41670</v>
      </c>
      <c r="O576" s="171"/>
      <c r="P576" s="166" t="s">
        <v>470</v>
      </c>
      <c r="Q576" s="167">
        <f>SUMIF('Libro Diario Convencional'!$D$15:$D$167,P570,'Libro Diario Convencional'!$G$15:$G$167)</f>
        <v>0</v>
      </c>
      <c r="R576" s="168">
        <f>SUMIF('Libro Diario Convencional'!$D$15:$D$167,P570,'Libro Diario Convencional'!$H$15:$H$167)</f>
        <v>0</v>
      </c>
      <c r="T576" s="236">
        <v>41670</v>
      </c>
      <c r="U576" s="171"/>
      <c r="V576" s="166" t="s">
        <v>470</v>
      </c>
      <c r="W576" s="167">
        <f>SUMIF('Libro Diario Convencional'!$D$15:$D$167,V570,'Libro Diario Convencional'!$G$15:$G$167)</f>
        <v>0</v>
      </c>
      <c r="X576" s="168">
        <f>SUMIF('Libro Diario Convencional'!$D$15:$D$167,V570,'Libro Diario Convencional'!$H$15:$H$167)</f>
        <v>0</v>
      </c>
      <c r="Z576" s="236">
        <v>41670</v>
      </c>
      <c r="AA576" s="171"/>
      <c r="AB576" s="166" t="s">
        <v>470</v>
      </c>
      <c r="AC576" s="167">
        <f>SUMIF('Libro Diario Convencional'!$D$15:$D$167,AB570,'Libro Diario Convencional'!$G$15:$G$167)</f>
        <v>0</v>
      </c>
      <c r="AD576" s="168">
        <f>SUMIF('Libro Diario Convencional'!$D$15:$D$167,AB570,'Libro Diario Convencional'!$H$15:$H$167)</f>
        <v>0</v>
      </c>
      <c r="AF576" s="236">
        <v>41670</v>
      </c>
      <c r="AG576" s="171"/>
      <c r="AH576" s="166" t="s">
        <v>470</v>
      </c>
      <c r="AI576" s="167">
        <f>SUMIF('Libro Diario Convencional'!$D$15:$D$167,AH570,'Libro Diario Convencional'!$G$15:$G$167)</f>
        <v>0</v>
      </c>
      <c r="AJ576" s="168">
        <f>SUMIF('Libro Diario Convencional'!$D$15:$D$167,AH570,'Libro Diario Convencional'!$H$15:$H$167)</f>
        <v>0</v>
      </c>
      <c r="AL576" s="236">
        <v>41670</v>
      </c>
      <c r="AM576" s="171"/>
      <c r="AN576" s="166" t="s">
        <v>470</v>
      </c>
      <c r="AO576" s="167">
        <f>SUMIF('Libro Diario Convencional'!$D$15:$D$167,AN570,'Libro Diario Convencional'!$G$15:$G$167)</f>
        <v>0</v>
      </c>
      <c r="AP576" s="168">
        <f>SUMIF('Libro Diario Convencional'!$D$15:$D$167,AN570,'Libro Diario Convencional'!$H$15:$H$167)</f>
        <v>0</v>
      </c>
    </row>
    <row r="577" spans="2:60" x14ac:dyDescent="0.25">
      <c r="B577" s="169"/>
      <c r="C577" s="172"/>
      <c r="D577" s="161"/>
      <c r="E577" s="162"/>
      <c r="F577" s="163"/>
      <c r="H577" s="169"/>
      <c r="I577" s="172"/>
      <c r="J577" s="161"/>
      <c r="K577" s="162"/>
      <c r="L577" s="163"/>
      <c r="N577" s="169"/>
      <c r="O577" s="172"/>
      <c r="P577" s="161"/>
      <c r="Q577" s="162"/>
      <c r="R577" s="163"/>
      <c r="T577" s="169"/>
      <c r="U577" s="172"/>
      <c r="V577" s="161"/>
      <c r="W577" s="162"/>
      <c r="X577" s="163"/>
      <c r="Z577" s="169"/>
      <c r="AA577" s="172"/>
      <c r="AB577" s="161"/>
      <c r="AC577" s="162"/>
      <c r="AD577" s="163"/>
      <c r="AF577" s="169"/>
      <c r="AG577" s="172"/>
      <c r="AH577" s="161"/>
      <c r="AI577" s="162"/>
      <c r="AJ577" s="163"/>
      <c r="AL577" s="169"/>
      <c r="AM577" s="172"/>
      <c r="AN577" s="161"/>
      <c r="AO577" s="162"/>
      <c r="AP577" s="163"/>
    </row>
    <row r="578" spans="2:60" x14ac:dyDescent="0.25">
      <c r="B578" s="169"/>
      <c r="C578" s="172"/>
      <c r="D578" s="161"/>
      <c r="E578" s="162"/>
      <c r="F578" s="163"/>
      <c r="H578" s="169"/>
      <c r="I578" s="172"/>
      <c r="J578" s="161"/>
      <c r="K578" s="162"/>
      <c r="L578" s="163"/>
      <c r="N578" s="169"/>
      <c r="O578" s="172"/>
      <c r="P578" s="161"/>
      <c r="Q578" s="162"/>
      <c r="R578" s="163"/>
      <c r="T578" s="169"/>
      <c r="U578" s="172"/>
      <c r="V578" s="161"/>
      <c r="W578" s="162"/>
      <c r="X578" s="163"/>
      <c r="Z578" s="169"/>
      <c r="AA578" s="172"/>
      <c r="AB578" s="161"/>
      <c r="AC578" s="162"/>
      <c r="AD578" s="163"/>
      <c r="AF578" s="169"/>
      <c r="AG578" s="172"/>
      <c r="AH578" s="161"/>
      <c r="AI578" s="162"/>
      <c r="AJ578" s="163"/>
      <c r="AL578" s="169"/>
      <c r="AM578" s="172"/>
      <c r="AN578" s="161"/>
      <c r="AO578" s="162"/>
      <c r="AP578" s="163"/>
    </row>
    <row r="579" spans="2:60" ht="14.4" thickBot="1" x14ac:dyDescent="0.3">
      <c r="B579" s="169"/>
      <c r="C579" s="172"/>
      <c r="D579" s="161"/>
      <c r="E579" s="162"/>
      <c r="F579" s="163"/>
      <c r="H579" s="169"/>
      <c r="I579" s="172"/>
      <c r="J579" s="161"/>
      <c r="K579" s="162"/>
      <c r="L579" s="163"/>
      <c r="N579" s="169"/>
      <c r="O579" s="172"/>
      <c r="P579" s="161"/>
      <c r="Q579" s="162"/>
      <c r="R579" s="163"/>
      <c r="T579" s="169"/>
      <c r="U579" s="172"/>
      <c r="V579" s="161"/>
      <c r="W579" s="162"/>
      <c r="X579" s="163"/>
      <c r="Z579" s="169"/>
      <c r="AA579" s="172"/>
      <c r="AB579" s="161"/>
      <c r="AC579" s="162"/>
      <c r="AD579" s="163"/>
      <c r="AF579" s="169"/>
      <c r="AG579" s="172"/>
      <c r="AH579" s="161"/>
      <c r="AI579" s="162"/>
      <c r="AJ579" s="163"/>
      <c r="AL579" s="169"/>
      <c r="AM579" s="172"/>
      <c r="AN579" s="161"/>
      <c r="AO579" s="162"/>
      <c r="AP579" s="163"/>
    </row>
    <row r="580" spans="2:60" ht="15" thickBot="1" x14ac:dyDescent="0.3">
      <c r="B580" s="169"/>
      <c r="C580" s="172"/>
      <c r="D580" s="161" t="s">
        <v>471</v>
      </c>
      <c r="E580" s="162">
        <f>SUM(E576:E579)</f>
        <v>0</v>
      </c>
      <c r="F580" s="163">
        <f>SUM(F576:F579)</f>
        <v>0</v>
      </c>
      <c r="H580" s="169"/>
      <c r="I580" s="172"/>
      <c r="J580" s="161" t="s">
        <v>471</v>
      </c>
      <c r="K580" s="162">
        <f>SUM(K576:K579)</f>
        <v>0</v>
      </c>
      <c r="L580" s="163">
        <f>SUM(L576:L579)</f>
        <v>0</v>
      </c>
      <c r="N580" s="169"/>
      <c r="O580" s="172"/>
      <c r="P580" s="161" t="s">
        <v>471</v>
      </c>
      <c r="Q580" s="162">
        <f>SUM(Q576:Q579)</f>
        <v>0</v>
      </c>
      <c r="R580" s="163">
        <f>SUM(R576:R579)</f>
        <v>0</v>
      </c>
      <c r="T580" s="169"/>
      <c r="U580" s="172"/>
      <c r="V580" s="161" t="s">
        <v>471</v>
      </c>
      <c r="W580" s="162">
        <f>SUM(W576:W579)</f>
        <v>0</v>
      </c>
      <c r="X580" s="163">
        <f>SUM(X576:X579)</f>
        <v>0</v>
      </c>
      <c r="Z580" s="169"/>
      <c r="AA580" s="172"/>
      <c r="AB580" s="161" t="s">
        <v>471</v>
      </c>
      <c r="AC580" s="162">
        <f>SUM(AC576:AC579)</f>
        <v>0</v>
      </c>
      <c r="AD580" s="163">
        <f>SUM(AD576:AD579)</f>
        <v>0</v>
      </c>
      <c r="AF580" s="169"/>
      <c r="AG580" s="172"/>
      <c r="AH580" s="161" t="s">
        <v>471</v>
      </c>
      <c r="AI580" s="162">
        <f>SUM(AI576:AI579)</f>
        <v>0</v>
      </c>
      <c r="AJ580" s="163">
        <f>SUM(AJ576:AJ579)</f>
        <v>0</v>
      </c>
      <c r="AL580" s="169"/>
      <c r="AM580" s="172"/>
      <c r="AN580" s="161" t="s">
        <v>471</v>
      </c>
      <c r="AO580" s="162">
        <f>SUM(AO576:AO579)</f>
        <v>0</v>
      </c>
      <c r="AP580" s="163">
        <f>SUM(AP576:AP579)</f>
        <v>0</v>
      </c>
      <c r="BG580" s="157">
        <f>SUM(E580,K580,Q580,W580,AC580,AI580,AO580,AU580,AX580,BD580)</f>
        <v>0</v>
      </c>
      <c r="BH580" s="158">
        <f>SUM(F580,L580,R580,X580,AD580,AJ580,AP580,AV580,AY580,BE580)</f>
        <v>0</v>
      </c>
    </row>
    <row r="581" spans="2:60" ht="14.4" thickBot="1" x14ac:dyDescent="0.3">
      <c r="B581" s="170"/>
      <c r="C581" s="173"/>
      <c r="D581" s="164" t="str">
        <f>IF(E580=F580,"",IF(E580&gt;F580,"Saldo Deudor","Saldo Acreedor"))</f>
        <v/>
      </c>
      <c r="E581" s="165" t="str">
        <f>IF(E580&gt;F580,E580-F580,"")</f>
        <v/>
      </c>
      <c r="F581" s="176" t="str">
        <f>IF(E580&lt;F580,F580-E580,"")</f>
        <v/>
      </c>
      <c r="H581" s="170"/>
      <c r="I581" s="173"/>
      <c r="J581" s="164" t="str">
        <f>IF(K580=L580,"",IF(K580&gt;L580,"Saldo Deudor","Saldo Acreedor"))</f>
        <v/>
      </c>
      <c r="K581" s="165" t="str">
        <f>IF(K580&gt;L580,K580-L580,"")</f>
        <v/>
      </c>
      <c r="L581" s="176" t="str">
        <f>IF(K580&lt;L580,L580-K580,"")</f>
        <v/>
      </c>
      <c r="N581" s="170"/>
      <c r="O581" s="173"/>
      <c r="P581" s="164" t="str">
        <f>IF(Q580=R580,"",IF(Q580&gt;R580,"Saldo Deudor","Saldo Acreedor"))</f>
        <v/>
      </c>
      <c r="Q581" s="165" t="str">
        <f>IF(Q580&gt;R580,Q580-R580,"")</f>
        <v/>
      </c>
      <c r="R581" s="176" t="str">
        <f>IF(Q580&lt;R580,R580-Q580,"")</f>
        <v/>
      </c>
      <c r="T581" s="170"/>
      <c r="U581" s="173"/>
      <c r="V581" s="164" t="str">
        <f>IF(W580=X580,"",IF(W580&gt;X580,"Saldo Deudor","Saldo Acreedor"))</f>
        <v/>
      </c>
      <c r="W581" s="165" t="str">
        <f>IF(W580&gt;X580,W580-X580,"")</f>
        <v/>
      </c>
      <c r="X581" s="176" t="str">
        <f>IF(W580&lt;X580,X580-W580,"")</f>
        <v/>
      </c>
      <c r="Z581" s="170"/>
      <c r="AA581" s="173"/>
      <c r="AB581" s="164" t="str">
        <f>IF(AC580=AD580,"",IF(AC580&gt;AD580,"Saldo Deudor","Saldo Acreedor"))</f>
        <v/>
      </c>
      <c r="AC581" s="165" t="str">
        <f>IF(AC580&gt;AD580,AC580-AD580,"")</f>
        <v/>
      </c>
      <c r="AD581" s="176" t="str">
        <f>IF(AC580&lt;AD580,AD580-AC580,"")</f>
        <v/>
      </c>
      <c r="AF581" s="170"/>
      <c r="AG581" s="173"/>
      <c r="AH581" s="164" t="str">
        <f>IF(AI580=AJ580,"",IF(AI580&gt;AJ580,"Saldo Deudor","Saldo Acreedor"))</f>
        <v/>
      </c>
      <c r="AI581" s="165" t="str">
        <f>IF(AI580&gt;AJ580,AI580-AJ580,"")</f>
        <v/>
      </c>
      <c r="AJ581" s="176" t="str">
        <f>IF(AI580&lt;AJ580,AJ580-AI580,"")</f>
        <v/>
      </c>
      <c r="AL581" s="170"/>
      <c r="AM581" s="173"/>
      <c r="AN581" s="164" t="str">
        <f>IF(AO580=AP580,"",IF(AO580&gt;AP580,"Saldo Deudor","Saldo Acreedor"))</f>
        <v/>
      </c>
      <c r="AO581" s="165" t="str">
        <f>IF(AO580&gt;AP580,AO580-AP580,"")</f>
        <v/>
      </c>
      <c r="AP581" s="176" t="str">
        <f>IF(AO580&lt;AP580,AP580-AO580,"")</f>
        <v/>
      </c>
    </row>
    <row r="584" spans="2:60" ht="15.6" x14ac:dyDescent="0.25">
      <c r="B584" s="324" t="s">
        <v>472</v>
      </c>
      <c r="C584" s="324"/>
      <c r="D584" s="175">
        <v>3411</v>
      </c>
      <c r="E584" s="160"/>
      <c r="H584" s="324" t="s">
        <v>472</v>
      </c>
      <c r="I584" s="324"/>
      <c r="J584" s="175">
        <v>3412</v>
      </c>
      <c r="K584" s="160"/>
      <c r="N584" s="324" t="s">
        <v>472</v>
      </c>
      <c r="O584" s="324"/>
      <c r="P584" s="175">
        <v>3419</v>
      </c>
      <c r="Q584" s="160"/>
    </row>
    <row r="585" spans="2:60" x14ac:dyDescent="0.25">
      <c r="B585" s="160"/>
      <c r="C585" s="160"/>
      <c r="D585" s="160"/>
      <c r="E585" s="160"/>
      <c r="H585" s="160"/>
      <c r="I585" s="160"/>
      <c r="J585" s="160"/>
      <c r="K585" s="160"/>
      <c r="N585" s="160"/>
      <c r="O585" s="160"/>
      <c r="P585" s="160"/>
      <c r="Q585" s="160"/>
    </row>
    <row r="586" spans="2:60" ht="15.6" x14ac:dyDescent="0.25">
      <c r="B586" s="324" t="s">
        <v>473</v>
      </c>
      <c r="C586" s="324"/>
      <c r="D586" s="234" t="str">
        <f>VLOOKUP(D584,DivisionariasContables,3,FALSE)</f>
        <v>Concesiones</v>
      </c>
      <c r="E586" s="160"/>
      <c r="H586" s="324" t="s">
        <v>473</v>
      </c>
      <c r="I586" s="324"/>
      <c r="J586" s="234" t="str">
        <f>VLOOKUP(J584,DivisionariasContables,3,FALSE)</f>
        <v>Licencias</v>
      </c>
      <c r="K586" s="160"/>
      <c r="N586" s="324" t="s">
        <v>473</v>
      </c>
      <c r="O586" s="324"/>
      <c r="P586" s="234" t="str">
        <f>VLOOKUP(P584,DivisionariasContables,3,FALSE)</f>
        <v>Otros Derechos</v>
      </c>
      <c r="Q586" s="160"/>
    </row>
    <row r="587" spans="2:60" ht="14.4" thickBot="1" x14ac:dyDescent="0.3"/>
    <row r="588" spans="2:60" x14ac:dyDescent="0.25">
      <c r="B588" s="325" t="s">
        <v>466</v>
      </c>
      <c r="C588" s="327" t="s">
        <v>467</v>
      </c>
      <c r="D588" s="327" t="s">
        <v>468</v>
      </c>
      <c r="E588" s="329" t="s">
        <v>469</v>
      </c>
      <c r="F588" s="330"/>
      <c r="H588" s="325" t="s">
        <v>466</v>
      </c>
      <c r="I588" s="327" t="s">
        <v>467</v>
      </c>
      <c r="J588" s="327" t="s">
        <v>468</v>
      </c>
      <c r="K588" s="329" t="s">
        <v>469</v>
      </c>
      <c r="L588" s="330"/>
      <c r="N588" s="325" t="s">
        <v>466</v>
      </c>
      <c r="O588" s="327" t="s">
        <v>467</v>
      </c>
      <c r="P588" s="327" t="s">
        <v>468</v>
      </c>
      <c r="Q588" s="329" t="s">
        <v>469</v>
      </c>
      <c r="R588" s="330"/>
    </row>
    <row r="589" spans="2:60" ht="14.4" thickBot="1" x14ac:dyDescent="0.3">
      <c r="B589" s="326"/>
      <c r="C589" s="328"/>
      <c r="D589" s="328"/>
      <c r="E589" s="232" t="s">
        <v>403</v>
      </c>
      <c r="F589" s="174" t="s">
        <v>402</v>
      </c>
      <c r="H589" s="326"/>
      <c r="I589" s="328"/>
      <c r="J589" s="328"/>
      <c r="K589" s="232" t="s">
        <v>403</v>
      </c>
      <c r="L589" s="174" t="s">
        <v>402</v>
      </c>
      <c r="N589" s="326"/>
      <c r="O589" s="328"/>
      <c r="P589" s="328"/>
      <c r="Q589" s="232" t="s">
        <v>403</v>
      </c>
      <c r="R589" s="174" t="s">
        <v>402</v>
      </c>
    </row>
    <row r="590" spans="2:60" ht="14.4" thickTop="1" x14ac:dyDescent="0.25">
      <c r="B590" s="236">
        <v>41670</v>
      </c>
      <c r="C590" s="171"/>
      <c r="D590" s="166" t="s">
        <v>470</v>
      </c>
      <c r="E590" s="167">
        <f>SUMIF('Libro Diario Convencional'!$D$15:$D$167,D584,'Libro Diario Convencional'!$G$15:$G$167)</f>
        <v>0</v>
      </c>
      <c r="F590" s="168">
        <f>SUMIF('Libro Diario Convencional'!$D$15:$D$167,D584,'Libro Diario Convencional'!$H$15:$H$167)</f>
        <v>0</v>
      </c>
      <c r="H590" s="236">
        <v>41670</v>
      </c>
      <c r="I590" s="171"/>
      <c r="J590" s="166" t="s">
        <v>470</v>
      </c>
      <c r="K590" s="167">
        <f>SUMIF('Libro Diario Convencional'!$D$15:$D$167,J584,'Libro Diario Convencional'!$G$15:$G$167)</f>
        <v>0</v>
      </c>
      <c r="L590" s="168">
        <f>SUMIF('Libro Diario Convencional'!$D$15:$D$167,J584,'Libro Diario Convencional'!$H$15:$H$167)</f>
        <v>0</v>
      </c>
      <c r="N590" s="236">
        <v>41670</v>
      </c>
      <c r="O590" s="171"/>
      <c r="P590" s="166" t="s">
        <v>470</v>
      </c>
      <c r="Q590" s="167">
        <f>SUMIF('Libro Diario Convencional'!$D$15:$D$167,P584,'Libro Diario Convencional'!$G$15:$G$167)</f>
        <v>0</v>
      </c>
      <c r="R590" s="168">
        <f>SUMIF('Libro Diario Convencional'!$D$15:$D$167,P584,'Libro Diario Convencional'!$H$15:$H$167)</f>
        <v>0</v>
      </c>
    </row>
    <row r="591" spans="2:60" x14ac:dyDescent="0.25">
      <c r="B591" s="169"/>
      <c r="C591" s="172"/>
      <c r="D591" s="161"/>
      <c r="E591" s="162"/>
      <c r="F591" s="163"/>
      <c r="H591" s="169"/>
      <c r="I591" s="172"/>
      <c r="J591" s="161"/>
      <c r="K591" s="162"/>
      <c r="L591" s="163"/>
      <c r="N591" s="169"/>
      <c r="O591" s="172"/>
      <c r="P591" s="161"/>
      <c r="Q591" s="162"/>
      <c r="R591" s="163"/>
    </row>
    <row r="592" spans="2:60" x14ac:dyDescent="0.25">
      <c r="B592" s="169"/>
      <c r="C592" s="172"/>
      <c r="D592" s="161"/>
      <c r="E592" s="162"/>
      <c r="F592" s="163"/>
      <c r="H592" s="169"/>
      <c r="I592" s="172"/>
      <c r="J592" s="161"/>
      <c r="K592" s="162"/>
      <c r="L592" s="163"/>
      <c r="N592" s="169"/>
      <c r="O592" s="172"/>
      <c r="P592" s="161"/>
      <c r="Q592" s="162"/>
      <c r="R592" s="163"/>
    </row>
    <row r="593" spans="2:60" ht="14.4" thickBot="1" x14ac:dyDescent="0.3">
      <c r="B593" s="169"/>
      <c r="C593" s="172"/>
      <c r="D593" s="161"/>
      <c r="E593" s="162"/>
      <c r="F593" s="163"/>
      <c r="H593" s="169"/>
      <c r="I593" s="172"/>
      <c r="J593" s="161"/>
      <c r="K593" s="162"/>
      <c r="L593" s="163"/>
      <c r="N593" s="169"/>
      <c r="O593" s="172"/>
      <c r="P593" s="161"/>
      <c r="Q593" s="162"/>
      <c r="R593" s="163"/>
    </row>
    <row r="594" spans="2:60" ht="15" thickBot="1" x14ac:dyDescent="0.3">
      <c r="B594" s="169"/>
      <c r="C594" s="172"/>
      <c r="D594" s="161" t="s">
        <v>471</v>
      </c>
      <c r="E594" s="162">
        <f>SUM(E590:E593)</f>
        <v>0</v>
      </c>
      <c r="F594" s="163">
        <f>SUM(F590:F593)</f>
        <v>0</v>
      </c>
      <c r="H594" s="169"/>
      <c r="I594" s="172"/>
      <c r="J594" s="161" t="s">
        <v>471</v>
      </c>
      <c r="K594" s="162">
        <f>SUM(K590:K593)</f>
        <v>0</v>
      </c>
      <c r="L594" s="163">
        <f>SUM(L590:L593)</f>
        <v>0</v>
      </c>
      <c r="N594" s="169"/>
      <c r="O594" s="172"/>
      <c r="P594" s="161" t="s">
        <v>471</v>
      </c>
      <c r="Q594" s="162">
        <f>SUM(Q590:Q593)</f>
        <v>0</v>
      </c>
      <c r="R594" s="163">
        <f>SUM(R590:R593)</f>
        <v>0</v>
      </c>
      <c r="BG594" s="157">
        <f>SUM(E594,K594,Q594,W594,AC594,AI594,AO594,AU594,AX594,BD594)</f>
        <v>0</v>
      </c>
      <c r="BH594" s="158">
        <f>SUM(F594,L594,R594,X594,AD594,AJ594,AP594,AV594,AY594,BE594)</f>
        <v>0</v>
      </c>
    </row>
    <row r="595" spans="2:60" ht="14.4" thickBot="1" x14ac:dyDescent="0.3">
      <c r="B595" s="170"/>
      <c r="C595" s="173"/>
      <c r="D595" s="164" t="str">
        <f>IF(E594=F594,"",IF(E594&gt;F594,"Saldo Deudor","Saldo Acreedor"))</f>
        <v/>
      </c>
      <c r="E595" s="165" t="str">
        <f>IF(E594&gt;F594,E594-F594,"")</f>
        <v/>
      </c>
      <c r="F595" s="176" t="str">
        <f>IF(E594&lt;F594,F594-E594,"")</f>
        <v/>
      </c>
      <c r="H595" s="170"/>
      <c r="I595" s="173"/>
      <c r="J595" s="164" t="str">
        <f>IF(K594=L594,"",IF(K594&gt;L594,"Saldo Deudor","Saldo Acreedor"))</f>
        <v/>
      </c>
      <c r="K595" s="165" t="str">
        <f>IF(K594&gt;L594,K594-L594,"")</f>
        <v/>
      </c>
      <c r="L595" s="176" t="str">
        <f>IF(K594&lt;L594,L594-K594,"")</f>
        <v/>
      </c>
      <c r="N595" s="170"/>
      <c r="O595" s="173"/>
      <c r="P595" s="164" t="str">
        <f>IF(Q594=R594,"",IF(Q594&gt;R594,"Saldo Deudor","Saldo Acreedor"))</f>
        <v/>
      </c>
      <c r="Q595" s="165" t="str">
        <f>IF(Q594&gt;R594,Q594-R594,"")</f>
        <v/>
      </c>
      <c r="R595" s="176" t="str">
        <f>IF(Q594&lt;R594,R594-Q594,"")</f>
        <v/>
      </c>
    </row>
    <row r="598" spans="2:60" ht="15.6" x14ac:dyDescent="0.25">
      <c r="B598" s="324" t="s">
        <v>472</v>
      </c>
      <c r="C598" s="324"/>
      <c r="D598" s="175">
        <v>3421</v>
      </c>
      <c r="E598" s="160"/>
      <c r="H598" s="324" t="s">
        <v>472</v>
      </c>
      <c r="I598" s="324"/>
      <c r="J598" s="175">
        <v>3422</v>
      </c>
      <c r="K598" s="160"/>
    </row>
    <row r="599" spans="2:60" x14ac:dyDescent="0.25">
      <c r="B599" s="160"/>
      <c r="C599" s="160"/>
      <c r="D599" s="160"/>
      <c r="E599" s="160"/>
      <c r="H599" s="160"/>
      <c r="I599" s="160"/>
      <c r="J599" s="160"/>
      <c r="K599" s="160"/>
    </row>
    <row r="600" spans="2:60" ht="15.6" x14ac:dyDescent="0.25">
      <c r="B600" s="324" t="s">
        <v>473</v>
      </c>
      <c r="C600" s="324"/>
      <c r="D600" s="234" t="str">
        <f>VLOOKUP(D598,DivisionariasContables,3,FALSE)</f>
        <v>Patentes</v>
      </c>
      <c r="E600" s="160"/>
      <c r="H600" s="324" t="s">
        <v>473</v>
      </c>
      <c r="I600" s="324"/>
      <c r="J600" s="234" t="str">
        <f>VLOOKUP(J598,DivisionariasContables,3,FALSE)</f>
        <v>Marcas</v>
      </c>
      <c r="K600" s="160"/>
    </row>
    <row r="601" spans="2:60" ht="14.4" thickBot="1" x14ac:dyDescent="0.3"/>
    <row r="602" spans="2:60" x14ac:dyDescent="0.25">
      <c r="B602" s="325" t="s">
        <v>466</v>
      </c>
      <c r="C602" s="327" t="s">
        <v>467</v>
      </c>
      <c r="D602" s="327" t="s">
        <v>468</v>
      </c>
      <c r="E602" s="329" t="s">
        <v>469</v>
      </c>
      <c r="F602" s="330"/>
      <c r="H602" s="325" t="s">
        <v>466</v>
      </c>
      <c r="I602" s="327" t="s">
        <v>467</v>
      </c>
      <c r="J602" s="327" t="s">
        <v>468</v>
      </c>
      <c r="K602" s="329" t="s">
        <v>469</v>
      </c>
      <c r="L602" s="330"/>
    </row>
    <row r="603" spans="2:60" ht="14.4" thickBot="1" x14ac:dyDescent="0.3">
      <c r="B603" s="326"/>
      <c r="C603" s="328"/>
      <c r="D603" s="328"/>
      <c r="E603" s="232" t="s">
        <v>403</v>
      </c>
      <c r="F603" s="174" t="s">
        <v>402</v>
      </c>
      <c r="H603" s="326"/>
      <c r="I603" s="328"/>
      <c r="J603" s="328"/>
      <c r="K603" s="232" t="s">
        <v>403</v>
      </c>
      <c r="L603" s="174" t="s">
        <v>402</v>
      </c>
    </row>
    <row r="604" spans="2:60" ht="14.4" thickTop="1" x14ac:dyDescent="0.25">
      <c r="B604" s="236">
        <v>41670</v>
      </c>
      <c r="C604" s="171"/>
      <c r="D604" s="166" t="s">
        <v>470</v>
      </c>
      <c r="E604" s="167">
        <f>SUMIF('Libro Diario Convencional'!$D$15:$D$167,D598,'Libro Diario Convencional'!$G$15:$G$167)</f>
        <v>0</v>
      </c>
      <c r="F604" s="168">
        <f>SUMIF('Libro Diario Convencional'!$D$15:$D$167,D598,'Libro Diario Convencional'!$H$15:$H$167)</f>
        <v>0</v>
      </c>
      <c r="H604" s="236">
        <v>41670</v>
      </c>
      <c r="I604" s="171"/>
      <c r="J604" s="166" t="s">
        <v>470</v>
      </c>
      <c r="K604" s="167">
        <f>SUMIF('Libro Diario Convencional'!$D$15:$D$167,J598,'Libro Diario Convencional'!$G$15:$G$167)</f>
        <v>0</v>
      </c>
      <c r="L604" s="168">
        <f>SUMIF('Libro Diario Convencional'!$D$15:$D$167,J598,'Libro Diario Convencional'!$H$15:$H$167)</f>
        <v>0</v>
      </c>
    </row>
    <row r="605" spans="2:60" x14ac:dyDescent="0.25">
      <c r="B605" s="169"/>
      <c r="C605" s="172"/>
      <c r="D605" s="161"/>
      <c r="E605" s="162"/>
      <c r="F605" s="163"/>
      <c r="H605" s="169"/>
      <c r="I605" s="172"/>
      <c r="J605" s="161"/>
      <c r="K605" s="162"/>
      <c r="L605" s="163"/>
    </row>
    <row r="606" spans="2:60" x14ac:dyDescent="0.25">
      <c r="B606" s="169"/>
      <c r="C606" s="172"/>
      <c r="D606" s="161"/>
      <c r="E606" s="162"/>
      <c r="F606" s="163"/>
      <c r="H606" s="169"/>
      <c r="I606" s="172"/>
      <c r="J606" s="161"/>
      <c r="K606" s="162"/>
      <c r="L606" s="163"/>
    </row>
    <row r="607" spans="2:60" ht="14.4" thickBot="1" x14ac:dyDescent="0.3">
      <c r="B607" s="169"/>
      <c r="C607" s="172"/>
      <c r="D607" s="161"/>
      <c r="E607" s="162"/>
      <c r="F607" s="163"/>
      <c r="H607" s="169"/>
      <c r="I607" s="172"/>
      <c r="J607" s="161"/>
      <c r="K607" s="162"/>
      <c r="L607" s="163"/>
    </row>
    <row r="608" spans="2:60" ht="15" thickBot="1" x14ac:dyDescent="0.3">
      <c r="B608" s="169"/>
      <c r="C608" s="172"/>
      <c r="D608" s="161" t="s">
        <v>471</v>
      </c>
      <c r="E608" s="162">
        <f>SUM(E604:E607)</f>
        <v>0</v>
      </c>
      <c r="F608" s="163">
        <f>SUM(F604:F607)</f>
        <v>0</v>
      </c>
      <c r="H608" s="169"/>
      <c r="I608" s="172"/>
      <c r="J608" s="161" t="s">
        <v>471</v>
      </c>
      <c r="K608" s="162">
        <f>SUM(K604:K607)</f>
        <v>0</v>
      </c>
      <c r="L608" s="163">
        <f>SUM(L604:L607)</f>
        <v>0</v>
      </c>
      <c r="BG608" s="157">
        <f>SUM(E608,K608,Q608,W608,AC608,AI608,AO608,AU608,AX608,BD608)</f>
        <v>0</v>
      </c>
      <c r="BH608" s="158">
        <f>SUM(F608,L608,R608,X608,AD608,AJ608,AP608,AV608,AY608,BE608)</f>
        <v>0</v>
      </c>
    </row>
    <row r="609" spans="2:60" ht="14.4" thickBot="1" x14ac:dyDescent="0.3">
      <c r="B609" s="170"/>
      <c r="C609" s="173"/>
      <c r="D609" s="164" t="str">
        <f>IF(E608=F608,"",IF(E608&gt;F608,"Saldo Deudor","Saldo Acreedor"))</f>
        <v/>
      </c>
      <c r="E609" s="165" t="str">
        <f>IF(E608&gt;F608,E608-F608,"")</f>
        <v/>
      </c>
      <c r="F609" s="176" t="str">
        <f>IF(E608&lt;F608,F608-E608,"")</f>
        <v/>
      </c>
      <c r="H609" s="170"/>
      <c r="I609" s="173"/>
      <c r="J609" s="164" t="str">
        <f>IF(K608=L608,"",IF(K608&gt;L608,"Saldo Deudor","Saldo Acreedor"))</f>
        <v/>
      </c>
      <c r="K609" s="165" t="str">
        <f>IF(K608&gt;L608,K608-L608,"")</f>
        <v/>
      </c>
      <c r="L609" s="176" t="str">
        <f>IF(K608&lt;L608,L608-K608,"")</f>
        <v/>
      </c>
    </row>
    <row r="612" spans="2:60" ht="15.6" x14ac:dyDescent="0.25">
      <c r="B612" s="324" t="s">
        <v>472</v>
      </c>
      <c r="C612" s="324"/>
      <c r="D612" s="175">
        <v>3431</v>
      </c>
      <c r="E612" s="160"/>
    </row>
    <row r="613" spans="2:60" x14ac:dyDescent="0.25">
      <c r="B613" s="160"/>
      <c r="C613" s="160"/>
      <c r="D613" s="160"/>
      <c r="E613" s="160"/>
    </row>
    <row r="614" spans="2:60" ht="15.6" x14ac:dyDescent="0.25">
      <c r="B614" s="324" t="s">
        <v>473</v>
      </c>
      <c r="C614" s="324"/>
      <c r="D614" s="234" t="str">
        <f>VLOOKUP(D612,DivisionariasContables,3,FALSE)</f>
        <v>Aplicaciones Informáticas</v>
      </c>
      <c r="E614" s="160"/>
    </row>
    <row r="615" spans="2:60" ht="14.4" thickBot="1" x14ac:dyDescent="0.3"/>
    <row r="616" spans="2:60" x14ac:dyDescent="0.25">
      <c r="B616" s="325" t="s">
        <v>466</v>
      </c>
      <c r="C616" s="327" t="s">
        <v>467</v>
      </c>
      <c r="D616" s="327" t="s">
        <v>468</v>
      </c>
      <c r="E616" s="329" t="s">
        <v>469</v>
      </c>
      <c r="F616" s="330"/>
    </row>
    <row r="617" spans="2:60" ht="14.4" thickBot="1" x14ac:dyDescent="0.3">
      <c r="B617" s="326"/>
      <c r="C617" s="328"/>
      <c r="D617" s="328"/>
      <c r="E617" s="232" t="s">
        <v>403</v>
      </c>
      <c r="F617" s="174" t="s">
        <v>402</v>
      </c>
    </row>
    <row r="618" spans="2:60" ht="14.4" thickTop="1" x14ac:dyDescent="0.25">
      <c r="B618" s="236">
        <v>41670</v>
      </c>
      <c r="C618" s="171"/>
      <c r="D618" s="166" t="s">
        <v>470</v>
      </c>
      <c r="E618" s="167">
        <f>SUMIF('Libro Diario Convencional'!$D$15:$D$167,D612,'Libro Diario Convencional'!$G$15:$G$167)</f>
        <v>0</v>
      </c>
      <c r="F618" s="168">
        <f>SUMIF('Libro Diario Convencional'!$D$15:$D$167,D612,'Libro Diario Convencional'!$H$15:$H$167)</f>
        <v>0</v>
      </c>
    </row>
    <row r="619" spans="2:60" x14ac:dyDescent="0.25">
      <c r="B619" s="169"/>
      <c r="C619" s="172"/>
      <c r="D619" s="161"/>
      <c r="E619" s="162"/>
      <c r="F619" s="163"/>
    </row>
    <row r="620" spans="2:60" x14ac:dyDescent="0.25">
      <c r="B620" s="169"/>
      <c r="C620" s="172"/>
      <c r="D620" s="161"/>
      <c r="E620" s="162"/>
      <c r="F620" s="163"/>
    </row>
    <row r="621" spans="2:60" ht="14.4" thickBot="1" x14ac:dyDescent="0.3">
      <c r="B621" s="169"/>
      <c r="C621" s="172"/>
      <c r="D621" s="161"/>
      <c r="E621" s="162"/>
      <c r="F621" s="163"/>
    </row>
    <row r="622" spans="2:60" ht="15" thickBot="1" x14ac:dyDescent="0.3">
      <c r="B622" s="169"/>
      <c r="C622" s="172"/>
      <c r="D622" s="161" t="s">
        <v>471</v>
      </c>
      <c r="E622" s="162">
        <f>SUM(E618:E621)</f>
        <v>0</v>
      </c>
      <c r="F622" s="163">
        <f>SUM(F618:F621)</f>
        <v>0</v>
      </c>
      <c r="BG622" s="157">
        <f>SUM(E622,K622,Q622,W622,AC622,AI622,AO622,AU622,AX622,BD622)</f>
        <v>0</v>
      </c>
      <c r="BH622" s="158">
        <f>SUM(F622,L622,R622,X622,AD622,AJ622,AP622,AV622,AY622,BE622)</f>
        <v>0</v>
      </c>
    </row>
    <row r="623" spans="2:60" ht="14.4" thickBot="1" x14ac:dyDescent="0.3">
      <c r="B623" s="170"/>
      <c r="C623" s="173"/>
      <c r="D623" s="164" t="str">
        <f>IF(E622=F622,"",IF(E622&gt;F622,"Saldo Deudor","Saldo Acreedor"))</f>
        <v/>
      </c>
      <c r="E623" s="165" t="str">
        <f>IF(E622&gt;F622,E622-F622,"")</f>
        <v/>
      </c>
      <c r="F623" s="176" t="str">
        <f>IF(E622&lt;F622,F622-E622,"")</f>
        <v/>
      </c>
    </row>
    <row r="626" spans="2:60" ht="15.6" x14ac:dyDescent="0.25">
      <c r="B626" s="324" t="s">
        <v>472</v>
      </c>
      <c r="C626" s="324"/>
      <c r="D626" s="175">
        <v>3441</v>
      </c>
      <c r="E626" s="160"/>
      <c r="H626" s="324" t="s">
        <v>472</v>
      </c>
      <c r="I626" s="324"/>
      <c r="J626" s="175">
        <v>3442</v>
      </c>
      <c r="K626" s="160"/>
    </row>
    <row r="627" spans="2:60" x14ac:dyDescent="0.25">
      <c r="B627" s="160"/>
      <c r="C627" s="160"/>
      <c r="D627" s="160"/>
      <c r="E627" s="160"/>
      <c r="H627" s="160"/>
      <c r="I627" s="160"/>
      <c r="J627" s="160"/>
      <c r="K627" s="160"/>
    </row>
    <row r="628" spans="2:60" ht="15.6" x14ac:dyDescent="0.25">
      <c r="B628" s="324" t="s">
        <v>473</v>
      </c>
      <c r="C628" s="324"/>
      <c r="D628" s="234" t="str">
        <f>VLOOKUP(D626,DivisionariasContables,3,FALSE)</f>
        <v>Costos de Exploración</v>
      </c>
      <c r="E628" s="160"/>
      <c r="H628" s="324" t="s">
        <v>473</v>
      </c>
      <c r="I628" s="324"/>
      <c r="J628" s="234" t="str">
        <f>VLOOKUP(J626,DivisionariasContables,3,FALSE)</f>
        <v>Costos de Desarrollo</v>
      </c>
      <c r="K628" s="160"/>
    </row>
    <row r="629" spans="2:60" ht="14.4" thickBot="1" x14ac:dyDescent="0.3"/>
    <row r="630" spans="2:60" x14ac:dyDescent="0.25">
      <c r="B630" s="325" t="s">
        <v>466</v>
      </c>
      <c r="C630" s="327" t="s">
        <v>467</v>
      </c>
      <c r="D630" s="327" t="s">
        <v>468</v>
      </c>
      <c r="E630" s="329" t="s">
        <v>469</v>
      </c>
      <c r="F630" s="330"/>
      <c r="H630" s="325" t="s">
        <v>466</v>
      </c>
      <c r="I630" s="327" t="s">
        <v>467</v>
      </c>
      <c r="J630" s="327" t="s">
        <v>468</v>
      </c>
      <c r="K630" s="329" t="s">
        <v>469</v>
      </c>
      <c r="L630" s="330"/>
    </row>
    <row r="631" spans="2:60" ht="14.4" thickBot="1" x14ac:dyDescent="0.3">
      <c r="B631" s="326"/>
      <c r="C631" s="328"/>
      <c r="D631" s="328"/>
      <c r="E631" s="232" t="s">
        <v>403</v>
      </c>
      <c r="F631" s="174" t="s">
        <v>402</v>
      </c>
      <c r="H631" s="326"/>
      <c r="I631" s="328"/>
      <c r="J631" s="328"/>
      <c r="K631" s="232" t="s">
        <v>403</v>
      </c>
      <c r="L631" s="174" t="s">
        <v>402</v>
      </c>
    </row>
    <row r="632" spans="2:60" ht="14.4" thickTop="1" x14ac:dyDescent="0.25">
      <c r="B632" s="236">
        <v>41670</v>
      </c>
      <c r="C632" s="171"/>
      <c r="D632" s="166" t="s">
        <v>470</v>
      </c>
      <c r="E632" s="167">
        <f>SUMIF('Libro Diario Convencional'!$D$15:$D$167,D626,'Libro Diario Convencional'!$G$15:$G$167)</f>
        <v>0</v>
      </c>
      <c r="F632" s="168">
        <f>SUMIF('Libro Diario Convencional'!$D$15:$D$167,D626,'Libro Diario Convencional'!$H$15:$H$167)</f>
        <v>0</v>
      </c>
      <c r="H632" s="236">
        <v>41670</v>
      </c>
      <c r="I632" s="171"/>
      <c r="J632" s="166" t="s">
        <v>470</v>
      </c>
      <c r="K632" s="167">
        <f>SUMIF('Libro Diario Convencional'!$D$15:$D$167,J626,'Libro Diario Convencional'!$G$15:$G$167)</f>
        <v>0</v>
      </c>
      <c r="L632" s="168">
        <f>SUMIF('Libro Diario Convencional'!$D$15:$D$167,J626,'Libro Diario Convencional'!$H$15:$H$167)</f>
        <v>0</v>
      </c>
    </row>
    <row r="633" spans="2:60" x14ac:dyDescent="0.25">
      <c r="B633" s="169"/>
      <c r="C633" s="172"/>
      <c r="D633" s="161"/>
      <c r="E633" s="162"/>
      <c r="F633" s="163"/>
      <c r="H633" s="169"/>
      <c r="I633" s="172"/>
      <c r="J633" s="161"/>
      <c r="K633" s="162"/>
      <c r="L633" s="163"/>
    </row>
    <row r="634" spans="2:60" x14ac:dyDescent="0.25">
      <c r="B634" s="169"/>
      <c r="C634" s="172"/>
      <c r="D634" s="161"/>
      <c r="E634" s="162"/>
      <c r="F634" s="163"/>
      <c r="H634" s="169"/>
      <c r="I634" s="172"/>
      <c r="J634" s="161"/>
      <c r="K634" s="162"/>
      <c r="L634" s="163"/>
    </row>
    <row r="635" spans="2:60" ht="14.4" thickBot="1" x14ac:dyDescent="0.3">
      <c r="B635" s="169"/>
      <c r="C635" s="172"/>
      <c r="D635" s="161"/>
      <c r="E635" s="162"/>
      <c r="F635" s="163"/>
      <c r="H635" s="169"/>
      <c r="I635" s="172"/>
      <c r="J635" s="161"/>
      <c r="K635" s="162"/>
      <c r="L635" s="163"/>
    </row>
    <row r="636" spans="2:60" ht="15" thickBot="1" x14ac:dyDescent="0.3">
      <c r="B636" s="169"/>
      <c r="C636" s="172"/>
      <c r="D636" s="161" t="s">
        <v>471</v>
      </c>
      <c r="E636" s="162">
        <f>SUM(E632:E635)</f>
        <v>0</v>
      </c>
      <c r="F636" s="163">
        <f>SUM(F632:F635)</f>
        <v>0</v>
      </c>
      <c r="H636" s="169"/>
      <c r="I636" s="172"/>
      <c r="J636" s="161" t="s">
        <v>471</v>
      </c>
      <c r="K636" s="162">
        <f>SUM(K632:K635)</f>
        <v>0</v>
      </c>
      <c r="L636" s="163">
        <f>SUM(L632:L635)</f>
        <v>0</v>
      </c>
      <c r="BG636" s="157">
        <f>SUM(E636,K636,Q636,W636,AC636,AI636,AO636,AU636,AX636,BD636)</f>
        <v>0</v>
      </c>
      <c r="BH636" s="158">
        <f>SUM(F636,L636,R636,X636,AD636,AJ636,AP636,AV636,AY636,BE636)</f>
        <v>0</v>
      </c>
    </row>
    <row r="637" spans="2:60" ht="14.4" thickBot="1" x14ac:dyDescent="0.3">
      <c r="B637" s="170"/>
      <c r="C637" s="173"/>
      <c r="D637" s="164" t="str">
        <f>IF(E636=F636,"",IF(E636&gt;F636,"Saldo Deudor","Saldo Acreedor"))</f>
        <v/>
      </c>
      <c r="E637" s="165" t="str">
        <f>IF(E636&gt;F636,E636-F636,"")</f>
        <v/>
      </c>
      <c r="F637" s="176" t="str">
        <f>IF(E636&lt;F636,F636-E636,"")</f>
        <v/>
      </c>
      <c r="H637" s="170"/>
      <c r="I637" s="173"/>
      <c r="J637" s="164" t="str">
        <f>IF(K636=L636,"",IF(K636&gt;L636,"Saldo Deudor","Saldo Acreedor"))</f>
        <v/>
      </c>
      <c r="K637" s="165" t="str">
        <f>IF(K636&gt;L636,K636-L636,"")</f>
        <v/>
      </c>
      <c r="L637" s="176" t="str">
        <f>IF(K636&lt;L636,L636-K636,"")</f>
        <v/>
      </c>
    </row>
    <row r="640" spans="2:60" ht="15.6" x14ac:dyDescent="0.25">
      <c r="B640" s="324" t="s">
        <v>472</v>
      </c>
      <c r="C640" s="324"/>
      <c r="D640" s="175">
        <v>3451</v>
      </c>
      <c r="E640" s="160"/>
      <c r="H640" s="324" t="s">
        <v>472</v>
      </c>
      <c r="I640" s="324"/>
      <c r="J640" s="175">
        <v>3452</v>
      </c>
      <c r="K640" s="160"/>
    </row>
    <row r="641" spans="2:60" x14ac:dyDescent="0.25">
      <c r="B641" s="160"/>
      <c r="C641" s="160"/>
      <c r="D641" s="160"/>
      <c r="E641" s="160"/>
      <c r="H641" s="160"/>
      <c r="I641" s="160"/>
      <c r="J641" s="160"/>
      <c r="K641" s="160"/>
    </row>
    <row r="642" spans="2:60" ht="15.6" x14ac:dyDescent="0.25">
      <c r="B642" s="324" t="s">
        <v>473</v>
      </c>
      <c r="C642" s="324"/>
      <c r="D642" s="234" t="str">
        <f>VLOOKUP(D640,DivisionariasContables,3,FALSE)</f>
        <v>Fórmulas</v>
      </c>
      <c r="E642" s="160"/>
      <c r="H642" s="324" t="s">
        <v>473</v>
      </c>
      <c r="I642" s="324"/>
      <c r="J642" s="234" t="str">
        <f>VLOOKUP(J640,DivisionariasContables,3,FALSE)</f>
        <v>Diseños y Prototipos</v>
      </c>
      <c r="K642" s="160"/>
    </row>
    <row r="643" spans="2:60" ht="14.4" thickBot="1" x14ac:dyDescent="0.3"/>
    <row r="644" spans="2:60" x14ac:dyDescent="0.25">
      <c r="B644" s="325" t="s">
        <v>466</v>
      </c>
      <c r="C644" s="327" t="s">
        <v>467</v>
      </c>
      <c r="D644" s="327" t="s">
        <v>468</v>
      </c>
      <c r="E644" s="329" t="s">
        <v>469</v>
      </c>
      <c r="F644" s="330"/>
      <c r="H644" s="325" t="s">
        <v>466</v>
      </c>
      <c r="I644" s="327" t="s">
        <v>467</v>
      </c>
      <c r="J644" s="327" t="s">
        <v>468</v>
      </c>
      <c r="K644" s="329" t="s">
        <v>469</v>
      </c>
      <c r="L644" s="330"/>
    </row>
    <row r="645" spans="2:60" ht="14.4" thickBot="1" x14ac:dyDescent="0.3">
      <c r="B645" s="326"/>
      <c r="C645" s="328"/>
      <c r="D645" s="328"/>
      <c r="E645" s="232" t="s">
        <v>403</v>
      </c>
      <c r="F645" s="174" t="s">
        <v>402</v>
      </c>
      <c r="H645" s="326"/>
      <c r="I645" s="328"/>
      <c r="J645" s="328"/>
      <c r="K645" s="232" t="s">
        <v>403</v>
      </c>
      <c r="L645" s="174" t="s">
        <v>402</v>
      </c>
    </row>
    <row r="646" spans="2:60" ht="14.4" thickTop="1" x14ac:dyDescent="0.25">
      <c r="B646" s="236">
        <v>41670</v>
      </c>
      <c r="C646" s="171"/>
      <c r="D646" s="166" t="s">
        <v>470</v>
      </c>
      <c r="E646" s="167">
        <f>SUMIF('Libro Diario Convencional'!$D$15:$D$167,D640,'Libro Diario Convencional'!$G$15:$G$167)</f>
        <v>0</v>
      </c>
      <c r="F646" s="168">
        <f>SUMIF('Libro Diario Convencional'!$D$15:$D$167,D640,'Libro Diario Convencional'!$H$15:$H$167)</f>
        <v>0</v>
      </c>
      <c r="H646" s="236">
        <v>41670</v>
      </c>
      <c r="I646" s="171"/>
      <c r="J646" s="166" t="s">
        <v>470</v>
      </c>
      <c r="K646" s="167">
        <f>SUMIF('Libro Diario Convencional'!$D$15:$D$167,J640,'Libro Diario Convencional'!$G$15:$G$167)</f>
        <v>0</v>
      </c>
      <c r="L646" s="168">
        <f>SUMIF('Libro Diario Convencional'!$D$15:$D$167,J640,'Libro Diario Convencional'!$H$15:$H$167)</f>
        <v>0</v>
      </c>
    </row>
    <row r="647" spans="2:60" x14ac:dyDescent="0.25">
      <c r="B647" s="169"/>
      <c r="C647" s="172"/>
      <c r="D647" s="161"/>
      <c r="E647" s="162"/>
      <c r="F647" s="163"/>
      <c r="H647" s="169"/>
      <c r="I647" s="172"/>
      <c r="J647" s="161"/>
      <c r="K647" s="162"/>
      <c r="L647" s="163"/>
    </row>
    <row r="648" spans="2:60" x14ac:dyDescent="0.25">
      <c r="B648" s="169"/>
      <c r="C648" s="172"/>
      <c r="D648" s="161"/>
      <c r="E648" s="162"/>
      <c r="F648" s="163"/>
      <c r="H648" s="169"/>
      <c r="I648" s="172"/>
      <c r="J648" s="161"/>
      <c r="K648" s="162"/>
      <c r="L648" s="163"/>
    </row>
    <row r="649" spans="2:60" ht="14.4" thickBot="1" x14ac:dyDescent="0.3">
      <c r="B649" s="169"/>
      <c r="C649" s="172"/>
      <c r="D649" s="161"/>
      <c r="E649" s="162"/>
      <c r="F649" s="163"/>
      <c r="H649" s="169"/>
      <c r="I649" s="172"/>
      <c r="J649" s="161"/>
      <c r="K649" s="162"/>
      <c r="L649" s="163"/>
    </row>
    <row r="650" spans="2:60" ht="15" thickBot="1" x14ac:dyDescent="0.3">
      <c r="B650" s="169"/>
      <c r="C650" s="172"/>
      <c r="D650" s="161" t="s">
        <v>471</v>
      </c>
      <c r="E650" s="162">
        <f>SUM(E646:E649)</f>
        <v>0</v>
      </c>
      <c r="F650" s="163">
        <f>SUM(F646:F649)</f>
        <v>0</v>
      </c>
      <c r="H650" s="169"/>
      <c r="I650" s="172"/>
      <c r="J650" s="161" t="s">
        <v>471</v>
      </c>
      <c r="K650" s="162">
        <f>SUM(K646:K649)</f>
        <v>0</v>
      </c>
      <c r="L650" s="163">
        <f>SUM(L646:L649)</f>
        <v>0</v>
      </c>
      <c r="BG650" s="157">
        <f>SUM(E650,K650,Q650,W650,AC650,AI650,AO650,AU650,AX650,BD650)</f>
        <v>0</v>
      </c>
      <c r="BH650" s="158">
        <f>SUM(F650,L650,R650,X650,AD650,AJ650,AP650,AV650,AY650,BE650)</f>
        <v>0</v>
      </c>
    </row>
    <row r="651" spans="2:60" ht="14.4" thickBot="1" x14ac:dyDescent="0.3">
      <c r="B651" s="170"/>
      <c r="C651" s="173"/>
      <c r="D651" s="164" t="str">
        <f>IF(E650=F650,"",IF(E650&gt;F650,"Saldo Deudor","Saldo Acreedor"))</f>
        <v/>
      </c>
      <c r="E651" s="165" t="str">
        <f>IF(E650&gt;F650,E650-F650,"")</f>
        <v/>
      </c>
      <c r="F651" s="176" t="str">
        <f>IF(E650&lt;F650,F650-E650,"")</f>
        <v/>
      </c>
      <c r="H651" s="170"/>
      <c r="I651" s="173"/>
      <c r="J651" s="164" t="str">
        <f>IF(K650=L650,"",IF(K650&gt;L650,"Saldo Deudor","Saldo Acreedor"))</f>
        <v/>
      </c>
      <c r="K651" s="165" t="str">
        <f>IF(K650&gt;L650,K650-L650,"")</f>
        <v/>
      </c>
      <c r="L651" s="176" t="str">
        <f>IF(K650&lt;L650,L650-K650,"")</f>
        <v/>
      </c>
    </row>
    <row r="654" spans="2:60" ht="15.6" x14ac:dyDescent="0.25">
      <c r="B654" s="324" t="s">
        <v>472</v>
      </c>
      <c r="C654" s="324"/>
      <c r="D654" s="175">
        <v>3461</v>
      </c>
      <c r="E654" s="160"/>
      <c r="H654" s="324" t="s">
        <v>472</v>
      </c>
      <c r="I654" s="324"/>
      <c r="J654" s="175">
        <v>3462</v>
      </c>
      <c r="K654" s="160"/>
      <c r="N654" s="324" t="s">
        <v>472</v>
      </c>
      <c r="O654" s="324"/>
      <c r="P654" s="175">
        <v>3463</v>
      </c>
      <c r="Q654" s="160"/>
      <c r="T654" s="324" t="s">
        <v>472</v>
      </c>
      <c r="U654" s="324"/>
      <c r="V654" s="175">
        <v>3469</v>
      </c>
      <c r="W654" s="160"/>
    </row>
    <row r="655" spans="2:60" x14ac:dyDescent="0.25">
      <c r="B655" s="160"/>
      <c r="C655" s="160"/>
      <c r="D655" s="160"/>
      <c r="E655" s="160"/>
      <c r="H655" s="160"/>
      <c r="I655" s="160"/>
      <c r="J655" s="160"/>
      <c r="K655" s="160"/>
      <c r="N655" s="160"/>
      <c r="O655" s="160"/>
      <c r="P655" s="160"/>
      <c r="Q655" s="160"/>
      <c r="T655" s="160"/>
      <c r="U655" s="160"/>
      <c r="V655" s="160"/>
      <c r="W655" s="160"/>
    </row>
    <row r="656" spans="2:60" ht="15.6" x14ac:dyDescent="0.25">
      <c r="B656" s="324" t="s">
        <v>473</v>
      </c>
      <c r="C656" s="324"/>
      <c r="D656" s="234" t="str">
        <f>VLOOKUP(D654,DivisionariasContables,3,FALSE)</f>
        <v>Minerales</v>
      </c>
      <c r="E656" s="160"/>
      <c r="H656" s="324" t="s">
        <v>473</v>
      </c>
      <c r="I656" s="324"/>
      <c r="J656" s="234" t="str">
        <f>VLOOKUP(J654,DivisionariasContables,3,FALSE)</f>
        <v>Petróleo y Gas</v>
      </c>
      <c r="K656" s="160"/>
      <c r="N656" s="324" t="s">
        <v>473</v>
      </c>
      <c r="O656" s="324"/>
      <c r="P656" s="234" t="str">
        <f>VLOOKUP(P654,DivisionariasContables,3,FALSE)</f>
        <v>Madera</v>
      </c>
      <c r="Q656" s="160"/>
      <c r="T656" s="324" t="s">
        <v>473</v>
      </c>
      <c r="U656" s="324"/>
      <c r="V656" s="234" t="str">
        <f>VLOOKUP(V654,DivisionariasContables,3,FALSE)</f>
        <v>Otros Recursos Extraíbles</v>
      </c>
      <c r="W656" s="160"/>
    </row>
    <row r="657" spans="2:60" ht="14.4" thickBot="1" x14ac:dyDescent="0.3"/>
    <row r="658" spans="2:60" x14ac:dyDescent="0.25">
      <c r="B658" s="325" t="s">
        <v>466</v>
      </c>
      <c r="C658" s="327" t="s">
        <v>467</v>
      </c>
      <c r="D658" s="327" t="s">
        <v>468</v>
      </c>
      <c r="E658" s="329" t="s">
        <v>469</v>
      </c>
      <c r="F658" s="330"/>
      <c r="H658" s="325" t="s">
        <v>466</v>
      </c>
      <c r="I658" s="327" t="s">
        <v>467</v>
      </c>
      <c r="J658" s="327" t="s">
        <v>468</v>
      </c>
      <c r="K658" s="329" t="s">
        <v>469</v>
      </c>
      <c r="L658" s="330"/>
      <c r="N658" s="325" t="s">
        <v>466</v>
      </c>
      <c r="O658" s="327" t="s">
        <v>467</v>
      </c>
      <c r="P658" s="327" t="s">
        <v>468</v>
      </c>
      <c r="Q658" s="329" t="s">
        <v>469</v>
      </c>
      <c r="R658" s="330"/>
      <c r="T658" s="325" t="s">
        <v>466</v>
      </c>
      <c r="U658" s="327" t="s">
        <v>467</v>
      </c>
      <c r="V658" s="327" t="s">
        <v>468</v>
      </c>
      <c r="W658" s="329" t="s">
        <v>469</v>
      </c>
      <c r="X658" s="330"/>
    </row>
    <row r="659" spans="2:60" ht="14.4" thickBot="1" x14ac:dyDescent="0.3">
      <c r="B659" s="326"/>
      <c r="C659" s="328"/>
      <c r="D659" s="328"/>
      <c r="E659" s="232" t="s">
        <v>403</v>
      </c>
      <c r="F659" s="174" t="s">
        <v>402</v>
      </c>
      <c r="H659" s="326"/>
      <c r="I659" s="328"/>
      <c r="J659" s="328"/>
      <c r="K659" s="232" t="s">
        <v>403</v>
      </c>
      <c r="L659" s="174" t="s">
        <v>402</v>
      </c>
      <c r="N659" s="326"/>
      <c r="O659" s="328"/>
      <c r="P659" s="328"/>
      <c r="Q659" s="232" t="s">
        <v>403</v>
      </c>
      <c r="R659" s="174" t="s">
        <v>402</v>
      </c>
      <c r="T659" s="326"/>
      <c r="U659" s="328"/>
      <c r="V659" s="328"/>
      <c r="W659" s="232" t="s">
        <v>403</v>
      </c>
      <c r="X659" s="174" t="s">
        <v>402</v>
      </c>
    </row>
    <row r="660" spans="2:60" ht="14.4" thickTop="1" x14ac:dyDescent="0.25">
      <c r="B660" s="236">
        <v>41670</v>
      </c>
      <c r="C660" s="171"/>
      <c r="D660" s="166" t="s">
        <v>470</v>
      </c>
      <c r="E660" s="167">
        <f>SUMIF('Libro Diario Convencional'!$D$15:$D$167,D654,'Libro Diario Convencional'!$G$15:$G$167)</f>
        <v>0</v>
      </c>
      <c r="F660" s="168">
        <f>SUMIF('Libro Diario Convencional'!$D$15:$D$167,D654,'Libro Diario Convencional'!$H$15:$H$167)</f>
        <v>0</v>
      </c>
      <c r="H660" s="236">
        <v>41670</v>
      </c>
      <c r="I660" s="171"/>
      <c r="J660" s="166" t="s">
        <v>470</v>
      </c>
      <c r="K660" s="167">
        <f>SUMIF('Libro Diario Convencional'!$D$15:$D$167,J654,'Libro Diario Convencional'!$G$15:$G$167)</f>
        <v>0</v>
      </c>
      <c r="L660" s="168">
        <f>SUMIF('Libro Diario Convencional'!$D$15:$D$167,J654,'Libro Diario Convencional'!$H$15:$H$167)</f>
        <v>0</v>
      </c>
      <c r="N660" s="236">
        <v>41670</v>
      </c>
      <c r="O660" s="171"/>
      <c r="P660" s="166" t="s">
        <v>470</v>
      </c>
      <c r="Q660" s="167">
        <f>SUMIF('Libro Diario Convencional'!$D$15:$D$167,P654,'Libro Diario Convencional'!$G$15:$G$167)</f>
        <v>0</v>
      </c>
      <c r="R660" s="168">
        <f>SUMIF('Libro Diario Convencional'!$D$15:$D$167,P654,'Libro Diario Convencional'!$H$15:$H$167)</f>
        <v>0</v>
      </c>
      <c r="T660" s="236">
        <v>41670</v>
      </c>
      <c r="U660" s="171"/>
      <c r="V660" s="166" t="s">
        <v>470</v>
      </c>
      <c r="W660" s="167">
        <f>SUMIF('Libro Diario Convencional'!$D$15:$D$167,V654,'Libro Diario Convencional'!$G$15:$G$167)</f>
        <v>0</v>
      </c>
      <c r="X660" s="168">
        <f>SUMIF('Libro Diario Convencional'!$D$15:$D$167,V654,'Libro Diario Convencional'!$H$15:$H$167)</f>
        <v>0</v>
      </c>
    </row>
    <row r="661" spans="2:60" x14ac:dyDescent="0.25">
      <c r="B661" s="169"/>
      <c r="C661" s="172"/>
      <c r="D661" s="161"/>
      <c r="E661" s="162"/>
      <c r="F661" s="163"/>
      <c r="H661" s="169"/>
      <c r="I661" s="172"/>
      <c r="J661" s="161"/>
      <c r="K661" s="162"/>
      <c r="L661" s="163"/>
      <c r="N661" s="169"/>
      <c r="O661" s="172"/>
      <c r="P661" s="161"/>
      <c r="Q661" s="162"/>
      <c r="R661" s="163"/>
      <c r="T661" s="169"/>
      <c r="U661" s="172"/>
      <c r="V661" s="161"/>
      <c r="W661" s="162"/>
      <c r="X661" s="163"/>
    </row>
    <row r="662" spans="2:60" x14ac:dyDescent="0.25">
      <c r="B662" s="169"/>
      <c r="C662" s="172"/>
      <c r="D662" s="161"/>
      <c r="E662" s="162"/>
      <c r="F662" s="163"/>
      <c r="H662" s="169"/>
      <c r="I662" s="172"/>
      <c r="J662" s="161"/>
      <c r="K662" s="162"/>
      <c r="L662" s="163"/>
      <c r="N662" s="169"/>
      <c r="O662" s="172"/>
      <c r="P662" s="161"/>
      <c r="Q662" s="162"/>
      <c r="R662" s="163"/>
      <c r="T662" s="169"/>
      <c r="U662" s="172"/>
      <c r="V662" s="161"/>
      <c r="W662" s="162"/>
      <c r="X662" s="163"/>
    </row>
    <row r="663" spans="2:60" ht="14.4" thickBot="1" x14ac:dyDescent="0.3">
      <c r="B663" s="169"/>
      <c r="C663" s="172"/>
      <c r="D663" s="161"/>
      <c r="E663" s="162"/>
      <c r="F663" s="163"/>
      <c r="H663" s="169"/>
      <c r="I663" s="172"/>
      <c r="J663" s="161"/>
      <c r="K663" s="162"/>
      <c r="L663" s="163"/>
      <c r="N663" s="169"/>
      <c r="O663" s="172"/>
      <c r="P663" s="161"/>
      <c r="Q663" s="162"/>
      <c r="R663" s="163"/>
      <c r="T663" s="169"/>
      <c r="U663" s="172"/>
      <c r="V663" s="161"/>
      <c r="W663" s="162"/>
      <c r="X663" s="163"/>
    </row>
    <row r="664" spans="2:60" ht="15" thickBot="1" x14ac:dyDescent="0.3">
      <c r="B664" s="169"/>
      <c r="C664" s="172"/>
      <c r="D664" s="161" t="s">
        <v>471</v>
      </c>
      <c r="E664" s="162">
        <f>SUM(E660:E663)</f>
        <v>0</v>
      </c>
      <c r="F664" s="163">
        <f>SUM(F660:F663)</f>
        <v>0</v>
      </c>
      <c r="H664" s="169"/>
      <c r="I664" s="172"/>
      <c r="J664" s="161" t="s">
        <v>471</v>
      </c>
      <c r="K664" s="162">
        <f>SUM(K660:K663)</f>
        <v>0</v>
      </c>
      <c r="L664" s="163">
        <f>SUM(L660:L663)</f>
        <v>0</v>
      </c>
      <c r="N664" s="169"/>
      <c r="O664" s="172"/>
      <c r="P664" s="161" t="s">
        <v>471</v>
      </c>
      <c r="Q664" s="162">
        <f>SUM(Q660:Q663)</f>
        <v>0</v>
      </c>
      <c r="R664" s="163">
        <f>SUM(R660:R663)</f>
        <v>0</v>
      </c>
      <c r="T664" s="169"/>
      <c r="U664" s="172"/>
      <c r="V664" s="161" t="s">
        <v>471</v>
      </c>
      <c r="W664" s="162">
        <f>SUM(W660:W663)</f>
        <v>0</v>
      </c>
      <c r="X664" s="163">
        <f>SUM(X660:X663)</f>
        <v>0</v>
      </c>
      <c r="BG664" s="157">
        <f>SUM(E664,K664,Q664,W664,AC664,AI664,AO664,AU664,AX664,BD664)</f>
        <v>0</v>
      </c>
      <c r="BH664" s="158">
        <f>SUM(F664,L664,R664,X664,AD664,AJ664,AP664,AV664,AY664,BE664)</f>
        <v>0</v>
      </c>
    </row>
    <row r="665" spans="2:60" ht="14.4" thickBot="1" x14ac:dyDescent="0.3">
      <c r="B665" s="170"/>
      <c r="C665" s="173"/>
      <c r="D665" s="164" t="str">
        <f>IF(E664=F664,"",IF(E664&gt;F664,"Saldo Deudor","Saldo Acreedor"))</f>
        <v/>
      </c>
      <c r="E665" s="165" t="str">
        <f>IF(E664&gt;F664,E664-F664,"")</f>
        <v/>
      </c>
      <c r="F665" s="176" t="str">
        <f>IF(E664&lt;F664,F664-E664,"")</f>
        <v/>
      </c>
      <c r="H665" s="170"/>
      <c r="I665" s="173"/>
      <c r="J665" s="164" t="str">
        <f>IF(K664=L664,"",IF(K664&gt;L664,"Saldo Deudor","Saldo Acreedor"))</f>
        <v/>
      </c>
      <c r="K665" s="165" t="str">
        <f>IF(K664&gt;L664,K664-L664,"")</f>
        <v/>
      </c>
      <c r="L665" s="176" t="str">
        <f>IF(K664&lt;L664,L664-K664,"")</f>
        <v/>
      </c>
      <c r="N665" s="170"/>
      <c r="O665" s="173"/>
      <c r="P665" s="164" t="str">
        <f>IF(Q664=R664,"",IF(Q664&gt;R664,"Saldo Deudor","Saldo Acreedor"))</f>
        <v/>
      </c>
      <c r="Q665" s="165" t="str">
        <f>IF(Q664&gt;R664,Q664-R664,"")</f>
        <v/>
      </c>
      <c r="R665" s="176" t="str">
        <f>IF(Q664&lt;R664,R664-Q664,"")</f>
        <v/>
      </c>
      <c r="T665" s="170"/>
      <c r="U665" s="173"/>
      <c r="V665" s="164" t="str">
        <f>IF(W664=X664,"",IF(W664&gt;X664,"Saldo Deudor","Saldo Acreedor"))</f>
        <v/>
      </c>
      <c r="W665" s="165" t="str">
        <f>IF(W664&gt;X664,W664-X664,"")</f>
        <v/>
      </c>
      <c r="X665" s="176" t="str">
        <f>IF(W664&lt;X664,X664-W664,"")</f>
        <v/>
      </c>
    </row>
    <row r="668" spans="2:60" ht="15.6" x14ac:dyDescent="0.25">
      <c r="B668" s="324" t="s">
        <v>472</v>
      </c>
      <c r="C668" s="324"/>
      <c r="D668" s="175">
        <v>3471</v>
      </c>
      <c r="E668" s="160"/>
    </row>
    <row r="669" spans="2:60" x14ac:dyDescent="0.25">
      <c r="B669" s="160"/>
      <c r="C669" s="160"/>
      <c r="D669" s="160"/>
      <c r="E669" s="160"/>
    </row>
    <row r="670" spans="2:60" ht="15.6" x14ac:dyDescent="0.25">
      <c r="B670" s="324" t="s">
        <v>473</v>
      </c>
      <c r="C670" s="324"/>
      <c r="D670" s="234" t="str">
        <f>VLOOKUP(D668,DivisionariasContables,3,FALSE)</f>
        <v>Plusvalía Mercantil</v>
      </c>
      <c r="E670" s="160"/>
    </row>
    <row r="671" spans="2:60" ht="14.4" thickBot="1" x14ac:dyDescent="0.3"/>
    <row r="672" spans="2:60" x14ac:dyDescent="0.25">
      <c r="B672" s="325" t="s">
        <v>466</v>
      </c>
      <c r="C672" s="327" t="s">
        <v>467</v>
      </c>
      <c r="D672" s="327" t="s">
        <v>468</v>
      </c>
      <c r="E672" s="329" t="s">
        <v>469</v>
      </c>
      <c r="F672" s="330"/>
    </row>
    <row r="673" spans="2:60" ht="14.4" thickBot="1" x14ac:dyDescent="0.3">
      <c r="B673" s="326"/>
      <c r="C673" s="328"/>
      <c r="D673" s="328"/>
      <c r="E673" s="232" t="s">
        <v>403</v>
      </c>
      <c r="F673" s="174" t="s">
        <v>402</v>
      </c>
    </row>
    <row r="674" spans="2:60" ht="14.4" thickTop="1" x14ac:dyDescent="0.25">
      <c r="B674" s="236">
        <v>41670</v>
      </c>
      <c r="C674" s="171"/>
      <c r="D674" s="166" t="s">
        <v>470</v>
      </c>
      <c r="E674" s="167">
        <f>SUMIF('Libro Diario Convencional'!$D$15:$D$167,D668,'Libro Diario Convencional'!$G$15:$G$167)</f>
        <v>0</v>
      </c>
      <c r="F674" s="168">
        <f>SUMIF('Libro Diario Convencional'!$D$15:$D$167,D668,'Libro Diario Convencional'!$H$15:$H$167)</f>
        <v>0</v>
      </c>
    </row>
    <row r="675" spans="2:60" x14ac:dyDescent="0.25">
      <c r="B675" s="169"/>
      <c r="C675" s="172"/>
      <c r="D675" s="161"/>
      <c r="E675" s="162"/>
      <c r="F675" s="163"/>
    </row>
    <row r="676" spans="2:60" x14ac:dyDescent="0.25">
      <c r="B676" s="169"/>
      <c r="C676" s="172"/>
      <c r="D676" s="161"/>
      <c r="E676" s="162"/>
      <c r="F676" s="163"/>
    </row>
    <row r="677" spans="2:60" ht="14.4" thickBot="1" x14ac:dyDescent="0.3">
      <c r="B677" s="169"/>
      <c r="C677" s="172"/>
      <c r="D677" s="161"/>
      <c r="E677" s="162"/>
      <c r="F677" s="163"/>
    </row>
    <row r="678" spans="2:60" ht="15" thickBot="1" x14ac:dyDescent="0.3">
      <c r="B678" s="169"/>
      <c r="C678" s="172"/>
      <c r="D678" s="161" t="s">
        <v>471</v>
      </c>
      <c r="E678" s="162">
        <f>SUM(E674:E677)</f>
        <v>0</v>
      </c>
      <c r="F678" s="163">
        <f>SUM(F674:F677)</f>
        <v>0</v>
      </c>
      <c r="BG678" s="157">
        <f>SUM(E678,K678,Q678,W678,AC678,AI678,AO678,AU678,AX678,BD678)</f>
        <v>0</v>
      </c>
      <c r="BH678" s="158">
        <f>SUM(F678,L678,R678,X678,AD678,AJ678,AP678,AV678,AY678,BE678)</f>
        <v>0</v>
      </c>
    </row>
    <row r="679" spans="2:60" ht="14.4" thickBot="1" x14ac:dyDescent="0.3">
      <c r="B679" s="170"/>
      <c r="C679" s="173"/>
      <c r="D679" s="164" t="str">
        <f>IF(E678=F678,"",IF(E678&gt;F678,"Saldo Deudor","Saldo Acreedor"))</f>
        <v/>
      </c>
      <c r="E679" s="165" t="str">
        <f>IF(E678&gt;F678,E678-F678,"")</f>
        <v/>
      </c>
      <c r="F679" s="176" t="str">
        <f>IF(E678&lt;F678,F678-E678,"")</f>
        <v/>
      </c>
    </row>
    <row r="682" spans="2:60" ht="15.6" x14ac:dyDescent="0.25">
      <c r="B682" s="324" t="s">
        <v>472</v>
      </c>
      <c r="C682" s="324"/>
      <c r="D682" s="175">
        <v>3491</v>
      </c>
      <c r="E682" s="160"/>
      <c r="H682" s="324" t="s">
        <v>472</v>
      </c>
      <c r="I682" s="324"/>
      <c r="J682" s="175">
        <v>3499</v>
      </c>
      <c r="K682" s="160"/>
    </row>
    <row r="683" spans="2:60" x14ac:dyDescent="0.25">
      <c r="B683" s="160"/>
      <c r="C683" s="160"/>
      <c r="D683" s="160"/>
      <c r="E683" s="160"/>
      <c r="H683" s="160"/>
      <c r="I683" s="160"/>
      <c r="J683" s="160"/>
      <c r="K683" s="160"/>
    </row>
    <row r="684" spans="2:60" ht="15.6" x14ac:dyDescent="0.25">
      <c r="B684" s="324" t="s">
        <v>473</v>
      </c>
      <c r="C684" s="324"/>
      <c r="D684" s="234" t="str">
        <f>VLOOKUP(D682,DivisionariasContables,3,FALSE)</f>
        <v>Otros Activos Intangibles</v>
      </c>
      <c r="E684" s="160"/>
      <c r="H684" s="324" t="s">
        <v>473</v>
      </c>
      <c r="I684" s="324"/>
      <c r="J684" s="234" t="str">
        <f>VLOOKUP(J682,DivisionariasContables,3,FALSE)</f>
        <v>Reclasificación de IGV al Costo</v>
      </c>
      <c r="K684" s="160"/>
    </row>
    <row r="685" spans="2:60" ht="14.4" thickBot="1" x14ac:dyDescent="0.3"/>
    <row r="686" spans="2:60" x14ac:dyDescent="0.25">
      <c r="B686" s="325" t="s">
        <v>466</v>
      </c>
      <c r="C686" s="327" t="s">
        <v>467</v>
      </c>
      <c r="D686" s="327" t="s">
        <v>468</v>
      </c>
      <c r="E686" s="329" t="s">
        <v>469</v>
      </c>
      <c r="F686" s="330"/>
      <c r="H686" s="325" t="s">
        <v>466</v>
      </c>
      <c r="I686" s="327" t="s">
        <v>467</v>
      </c>
      <c r="J686" s="327" t="s">
        <v>468</v>
      </c>
      <c r="K686" s="329" t="s">
        <v>469</v>
      </c>
      <c r="L686" s="330"/>
    </row>
    <row r="687" spans="2:60" ht="14.4" thickBot="1" x14ac:dyDescent="0.3">
      <c r="B687" s="326"/>
      <c r="C687" s="328"/>
      <c r="D687" s="328"/>
      <c r="E687" s="232" t="s">
        <v>403</v>
      </c>
      <c r="F687" s="174" t="s">
        <v>402</v>
      </c>
      <c r="H687" s="326"/>
      <c r="I687" s="328"/>
      <c r="J687" s="328"/>
      <c r="K687" s="232" t="s">
        <v>403</v>
      </c>
      <c r="L687" s="174" t="s">
        <v>402</v>
      </c>
    </row>
    <row r="688" spans="2:60" ht="14.4" thickTop="1" x14ac:dyDescent="0.25">
      <c r="B688" s="236">
        <v>41670</v>
      </c>
      <c r="C688" s="171"/>
      <c r="D688" s="166" t="s">
        <v>470</v>
      </c>
      <c r="E688" s="167">
        <f>SUMIF('Libro Diario Convencional'!$D$15:$D$167,D682,'Libro Diario Convencional'!$G$15:$G$167)</f>
        <v>0</v>
      </c>
      <c r="F688" s="168">
        <f>SUMIF('Libro Diario Convencional'!$D$15:$D$167,D682,'Libro Diario Convencional'!$H$15:$H$167)</f>
        <v>0</v>
      </c>
      <c r="H688" s="236">
        <v>41670</v>
      </c>
      <c r="I688" s="171"/>
      <c r="J688" s="166" t="s">
        <v>470</v>
      </c>
      <c r="K688" s="167">
        <f>SUMIF('Libro Diario Convencional'!$D$15:$D$167,J682,'Libro Diario Convencional'!$G$15:$G$167)</f>
        <v>0</v>
      </c>
      <c r="L688" s="168">
        <f>SUMIF('Libro Diario Convencional'!$D$15:$D$167,J682,'Libro Diario Convencional'!$H$15:$H$167)</f>
        <v>0</v>
      </c>
    </row>
    <row r="689" spans="2:60" x14ac:dyDescent="0.25">
      <c r="B689" s="169"/>
      <c r="C689" s="172"/>
      <c r="D689" s="161"/>
      <c r="E689" s="162"/>
      <c r="F689" s="163"/>
      <c r="H689" s="169"/>
      <c r="I689" s="172"/>
      <c r="J689" s="161"/>
      <c r="K689" s="162"/>
      <c r="L689" s="163"/>
    </row>
    <row r="690" spans="2:60" x14ac:dyDescent="0.25">
      <c r="B690" s="169"/>
      <c r="C690" s="172"/>
      <c r="D690" s="161"/>
      <c r="E690" s="162"/>
      <c r="F690" s="163"/>
      <c r="H690" s="169"/>
      <c r="I690" s="172"/>
      <c r="J690" s="161"/>
      <c r="K690" s="162"/>
      <c r="L690" s="163"/>
    </row>
    <row r="691" spans="2:60" ht="14.4" thickBot="1" x14ac:dyDescent="0.3">
      <c r="B691" s="169"/>
      <c r="C691" s="172"/>
      <c r="D691" s="161"/>
      <c r="E691" s="162"/>
      <c r="F691" s="163"/>
      <c r="H691" s="169"/>
      <c r="I691" s="172"/>
      <c r="J691" s="161"/>
      <c r="K691" s="162"/>
      <c r="L691" s="163"/>
    </row>
    <row r="692" spans="2:60" ht="15" thickBot="1" x14ac:dyDescent="0.3">
      <c r="B692" s="169"/>
      <c r="C692" s="172"/>
      <c r="D692" s="161" t="s">
        <v>471</v>
      </c>
      <c r="E692" s="162">
        <f>SUM(E688:E691)</f>
        <v>0</v>
      </c>
      <c r="F692" s="163">
        <f>SUM(F688:F691)</f>
        <v>0</v>
      </c>
      <c r="H692" s="169"/>
      <c r="I692" s="172"/>
      <c r="J692" s="161" t="s">
        <v>471</v>
      </c>
      <c r="K692" s="162">
        <f>SUM(K688:K691)</f>
        <v>0</v>
      </c>
      <c r="L692" s="163">
        <f>SUM(L688:L691)</f>
        <v>0</v>
      </c>
      <c r="BG692" s="157">
        <f>SUM(E692,K692,Q692,W692,AC692,AI692,AO692,AU692,AX692,BD692)</f>
        <v>0</v>
      </c>
      <c r="BH692" s="158">
        <f>SUM(F692,L692,R692,X692,AD692,AJ692,AP692,AV692,AY692,BE692)</f>
        <v>0</v>
      </c>
    </row>
    <row r="693" spans="2:60" ht="14.4" thickBot="1" x14ac:dyDescent="0.3">
      <c r="B693" s="170"/>
      <c r="C693" s="173"/>
      <c r="D693" s="164" t="str">
        <f>IF(E692=F692,"",IF(E692&gt;F692,"Saldo Deudor","Saldo Acreedor"))</f>
        <v/>
      </c>
      <c r="E693" s="165" t="str">
        <f>IF(E692&gt;F692,E692-F692,"")</f>
        <v/>
      </c>
      <c r="F693" s="176" t="str">
        <f>IF(E692&lt;F692,F692-E692,"")</f>
        <v/>
      </c>
      <c r="H693" s="170"/>
      <c r="I693" s="173"/>
      <c r="J693" s="164" t="str">
        <f>IF(K692=L692,"",IF(K692&gt;L692,"Saldo Deudor","Saldo Acreedor"))</f>
        <v/>
      </c>
      <c r="K693" s="165" t="str">
        <f>IF(K692&gt;L692,K692-L692,"")</f>
        <v/>
      </c>
      <c r="L693" s="176" t="str">
        <f>IF(K692&lt;L692,L692-K692,"")</f>
        <v/>
      </c>
    </row>
    <row r="696" spans="2:60" ht="15.6" x14ac:dyDescent="0.25">
      <c r="B696" s="324" t="s">
        <v>472</v>
      </c>
      <c r="C696" s="324"/>
      <c r="D696" s="175">
        <v>3511</v>
      </c>
      <c r="E696" s="160"/>
      <c r="H696" s="324" t="s">
        <v>472</v>
      </c>
      <c r="I696" s="324"/>
      <c r="J696" s="175">
        <v>3512</v>
      </c>
      <c r="K696" s="160"/>
    </row>
    <row r="697" spans="2:60" x14ac:dyDescent="0.25">
      <c r="B697" s="160"/>
      <c r="C697" s="160"/>
      <c r="D697" s="160"/>
      <c r="E697" s="160"/>
      <c r="H697" s="160"/>
      <c r="I697" s="160"/>
      <c r="J697" s="160"/>
      <c r="K697" s="160"/>
    </row>
    <row r="698" spans="2:60" ht="15.6" x14ac:dyDescent="0.25">
      <c r="B698" s="324" t="s">
        <v>473</v>
      </c>
      <c r="C698" s="324"/>
      <c r="D698" s="234" t="str">
        <f>VLOOKUP(D696,DivisionariasContables,3,FALSE)</f>
        <v>Activos Biológicos en Producción - De Origen Animal</v>
      </c>
      <c r="E698" s="160"/>
      <c r="H698" s="324" t="s">
        <v>473</v>
      </c>
      <c r="I698" s="324"/>
      <c r="J698" s="234" t="str">
        <f>VLOOKUP(J696,DivisionariasContables,3,FALSE)</f>
        <v>Activos Biológicos en Producción - De Origen Vegetal</v>
      </c>
      <c r="K698" s="160"/>
    </row>
    <row r="699" spans="2:60" ht="14.4" thickBot="1" x14ac:dyDescent="0.3"/>
    <row r="700" spans="2:60" x14ac:dyDescent="0.25">
      <c r="B700" s="325" t="s">
        <v>466</v>
      </c>
      <c r="C700" s="327" t="s">
        <v>467</v>
      </c>
      <c r="D700" s="327" t="s">
        <v>468</v>
      </c>
      <c r="E700" s="329" t="s">
        <v>469</v>
      </c>
      <c r="F700" s="330"/>
      <c r="H700" s="325" t="s">
        <v>466</v>
      </c>
      <c r="I700" s="327" t="s">
        <v>467</v>
      </c>
      <c r="J700" s="327" t="s">
        <v>468</v>
      </c>
      <c r="K700" s="329" t="s">
        <v>469</v>
      </c>
      <c r="L700" s="330"/>
    </row>
    <row r="701" spans="2:60" ht="14.4" thickBot="1" x14ac:dyDescent="0.3">
      <c r="B701" s="326"/>
      <c r="C701" s="328"/>
      <c r="D701" s="328"/>
      <c r="E701" s="232" t="s">
        <v>403</v>
      </c>
      <c r="F701" s="174" t="s">
        <v>402</v>
      </c>
      <c r="H701" s="326"/>
      <c r="I701" s="328"/>
      <c r="J701" s="328"/>
      <c r="K701" s="232" t="s">
        <v>403</v>
      </c>
      <c r="L701" s="174" t="s">
        <v>402</v>
      </c>
    </row>
    <row r="702" spans="2:60" ht="14.4" thickTop="1" x14ac:dyDescent="0.25">
      <c r="B702" s="236">
        <v>41670</v>
      </c>
      <c r="C702" s="171"/>
      <c r="D702" s="166" t="s">
        <v>470</v>
      </c>
      <c r="E702" s="167">
        <f>SUMIF('Libro Diario Convencional'!$D$15:$D$167,D696,'Libro Diario Convencional'!$G$15:$G$167)</f>
        <v>0</v>
      </c>
      <c r="F702" s="168">
        <f>SUMIF('Libro Diario Convencional'!$D$15:$D$167,D696,'Libro Diario Convencional'!$H$15:$H$167)</f>
        <v>0</v>
      </c>
      <c r="H702" s="236">
        <v>41670</v>
      </c>
      <c r="I702" s="171"/>
      <c r="J702" s="166" t="s">
        <v>470</v>
      </c>
      <c r="K702" s="167">
        <f>SUMIF('Libro Diario Convencional'!$D$15:$D$167,J696,'Libro Diario Convencional'!$G$15:$G$167)</f>
        <v>0</v>
      </c>
      <c r="L702" s="168">
        <f>SUMIF('Libro Diario Convencional'!$D$15:$D$167,J696,'Libro Diario Convencional'!$H$15:$H$167)</f>
        <v>0</v>
      </c>
    </row>
    <row r="703" spans="2:60" x14ac:dyDescent="0.25">
      <c r="B703" s="169"/>
      <c r="C703" s="172"/>
      <c r="D703" s="161"/>
      <c r="E703" s="162"/>
      <c r="F703" s="163"/>
      <c r="H703" s="169"/>
      <c r="I703" s="172"/>
      <c r="J703" s="161"/>
      <c r="K703" s="162"/>
      <c r="L703" s="163"/>
    </row>
    <row r="704" spans="2:60" x14ac:dyDescent="0.25">
      <c r="B704" s="169"/>
      <c r="C704" s="172"/>
      <c r="D704" s="161"/>
      <c r="E704" s="162"/>
      <c r="F704" s="163"/>
      <c r="H704" s="169"/>
      <c r="I704" s="172"/>
      <c r="J704" s="161"/>
      <c r="K704" s="162"/>
      <c r="L704" s="163"/>
    </row>
    <row r="705" spans="2:60" ht="14.4" thickBot="1" x14ac:dyDescent="0.3">
      <c r="B705" s="169"/>
      <c r="C705" s="172"/>
      <c r="D705" s="161"/>
      <c r="E705" s="162"/>
      <c r="F705" s="163"/>
      <c r="H705" s="169"/>
      <c r="I705" s="172"/>
      <c r="J705" s="161"/>
      <c r="K705" s="162"/>
      <c r="L705" s="163"/>
    </row>
    <row r="706" spans="2:60" ht="15" thickBot="1" x14ac:dyDescent="0.3">
      <c r="B706" s="169"/>
      <c r="C706" s="172"/>
      <c r="D706" s="161" t="s">
        <v>471</v>
      </c>
      <c r="E706" s="162">
        <f>SUM(E702:E705)</f>
        <v>0</v>
      </c>
      <c r="F706" s="163">
        <f>SUM(F702:F705)</f>
        <v>0</v>
      </c>
      <c r="H706" s="169"/>
      <c r="I706" s="172"/>
      <c r="J706" s="161" t="s">
        <v>471</v>
      </c>
      <c r="K706" s="162">
        <f>SUM(K702:K705)</f>
        <v>0</v>
      </c>
      <c r="L706" s="163">
        <f>SUM(L702:L705)</f>
        <v>0</v>
      </c>
      <c r="BG706" s="157">
        <f>SUM(E706,K706,Q706,W706,AC706,AI706,AO706,AU706,AX706,BD706)</f>
        <v>0</v>
      </c>
      <c r="BH706" s="158">
        <f>SUM(F706,L706,R706,X706,AD706,AJ706,AP706,AV706,AY706,BE706)</f>
        <v>0</v>
      </c>
    </row>
    <row r="707" spans="2:60" ht="14.4" thickBot="1" x14ac:dyDescent="0.3">
      <c r="B707" s="170"/>
      <c r="C707" s="173"/>
      <c r="D707" s="164" t="str">
        <f>IF(E706=F706,"",IF(E706&gt;F706,"Saldo Deudor","Saldo Acreedor"))</f>
        <v/>
      </c>
      <c r="E707" s="165" t="str">
        <f>IF(E706&gt;F706,E706-F706,"")</f>
        <v/>
      </c>
      <c r="F707" s="176" t="str">
        <f>IF(E706&lt;F706,F706-E706,"")</f>
        <v/>
      </c>
      <c r="H707" s="170"/>
      <c r="I707" s="173"/>
      <c r="J707" s="164" t="str">
        <f>IF(K706=L706,"",IF(K706&gt;L706,"Saldo Deudor","Saldo Acreedor"))</f>
        <v/>
      </c>
      <c r="K707" s="165" t="str">
        <f>IF(K706&gt;L706,K706-L706,"")</f>
        <v/>
      </c>
      <c r="L707" s="176" t="str">
        <f>IF(K706&lt;L706,L706-K706,"")</f>
        <v/>
      </c>
    </row>
    <row r="710" spans="2:60" ht="15.6" x14ac:dyDescent="0.25">
      <c r="B710" s="324" t="s">
        <v>472</v>
      </c>
      <c r="C710" s="324"/>
      <c r="D710" s="175">
        <v>3521</v>
      </c>
      <c r="E710" s="160"/>
      <c r="H710" s="324" t="s">
        <v>472</v>
      </c>
      <c r="I710" s="324"/>
      <c r="J710" s="175">
        <v>3522</v>
      </c>
      <c r="K710" s="160"/>
    </row>
    <row r="711" spans="2:60" x14ac:dyDescent="0.25">
      <c r="B711" s="160"/>
      <c r="C711" s="160"/>
      <c r="D711" s="160"/>
      <c r="E711" s="160"/>
      <c r="H711" s="160"/>
      <c r="I711" s="160"/>
      <c r="J711" s="160"/>
      <c r="K711" s="160"/>
    </row>
    <row r="712" spans="2:60" ht="15.6" x14ac:dyDescent="0.25">
      <c r="B712" s="324" t="s">
        <v>473</v>
      </c>
      <c r="C712" s="324"/>
      <c r="D712" s="234" t="str">
        <f>VLOOKUP(D710,DivisionariasContables,3,FALSE)</f>
        <v>Activos Biológicos en Desarrollo - De Origen Animal</v>
      </c>
      <c r="E712" s="160"/>
      <c r="H712" s="324" t="s">
        <v>473</v>
      </c>
      <c r="I712" s="324"/>
      <c r="J712" s="234" t="str">
        <f>VLOOKUP(J710,DivisionariasContables,3,FALSE)</f>
        <v>Activos Biológicos en Desarrollo - De Origen Vegetal</v>
      </c>
      <c r="K712" s="160"/>
    </row>
    <row r="713" spans="2:60" ht="14.4" thickBot="1" x14ac:dyDescent="0.3"/>
    <row r="714" spans="2:60" x14ac:dyDescent="0.25">
      <c r="B714" s="325" t="s">
        <v>466</v>
      </c>
      <c r="C714" s="327" t="s">
        <v>467</v>
      </c>
      <c r="D714" s="327" t="s">
        <v>468</v>
      </c>
      <c r="E714" s="329" t="s">
        <v>469</v>
      </c>
      <c r="F714" s="330"/>
      <c r="H714" s="325" t="s">
        <v>466</v>
      </c>
      <c r="I714" s="327" t="s">
        <v>467</v>
      </c>
      <c r="J714" s="327" t="s">
        <v>468</v>
      </c>
      <c r="K714" s="329" t="s">
        <v>469</v>
      </c>
      <c r="L714" s="330"/>
    </row>
    <row r="715" spans="2:60" ht="14.4" thickBot="1" x14ac:dyDescent="0.3">
      <c r="B715" s="326"/>
      <c r="C715" s="328"/>
      <c r="D715" s="328"/>
      <c r="E715" s="232" t="s">
        <v>403</v>
      </c>
      <c r="F715" s="174" t="s">
        <v>402</v>
      </c>
      <c r="H715" s="326"/>
      <c r="I715" s="328"/>
      <c r="J715" s="328"/>
      <c r="K715" s="232" t="s">
        <v>403</v>
      </c>
      <c r="L715" s="174" t="s">
        <v>402</v>
      </c>
    </row>
    <row r="716" spans="2:60" ht="14.4" thickTop="1" x14ac:dyDescent="0.25">
      <c r="B716" s="236">
        <v>41670</v>
      </c>
      <c r="C716" s="171"/>
      <c r="D716" s="166" t="s">
        <v>470</v>
      </c>
      <c r="E716" s="167">
        <f>SUMIF('Libro Diario Convencional'!$D$15:$D$167,D710,'Libro Diario Convencional'!$G$15:$G$167)</f>
        <v>0</v>
      </c>
      <c r="F716" s="168">
        <f>SUMIF('Libro Diario Convencional'!$D$15:$D$167,D710,'Libro Diario Convencional'!$H$15:$H$167)</f>
        <v>0</v>
      </c>
      <c r="H716" s="236">
        <v>41670</v>
      </c>
      <c r="I716" s="171"/>
      <c r="J716" s="166" t="s">
        <v>470</v>
      </c>
      <c r="K716" s="167">
        <f>SUMIF('Libro Diario Convencional'!$D$15:$D$167,J710,'Libro Diario Convencional'!$G$15:$G$167)</f>
        <v>0</v>
      </c>
      <c r="L716" s="168">
        <f>SUMIF('Libro Diario Convencional'!$D$15:$D$167,J710,'Libro Diario Convencional'!$H$15:$H$167)</f>
        <v>0</v>
      </c>
    </row>
    <row r="717" spans="2:60" x14ac:dyDescent="0.25">
      <c r="B717" s="169"/>
      <c r="C717" s="172"/>
      <c r="D717" s="161"/>
      <c r="E717" s="162"/>
      <c r="F717" s="163"/>
      <c r="H717" s="169"/>
      <c r="I717" s="172"/>
      <c r="J717" s="161"/>
      <c r="K717" s="162"/>
      <c r="L717" s="163"/>
    </row>
    <row r="718" spans="2:60" x14ac:dyDescent="0.25">
      <c r="B718" s="169"/>
      <c r="C718" s="172"/>
      <c r="D718" s="161"/>
      <c r="E718" s="162"/>
      <c r="F718" s="163"/>
      <c r="H718" s="169"/>
      <c r="I718" s="172"/>
      <c r="J718" s="161"/>
      <c r="K718" s="162"/>
      <c r="L718" s="163"/>
    </row>
    <row r="719" spans="2:60" ht="14.4" thickBot="1" x14ac:dyDescent="0.3">
      <c r="B719" s="169"/>
      <c r="C719" s="172"/>
      <c r="D719" s="161"/>
      <c r="E719" s="162"/>
      <c r="F719" s="163"/>
      <c r="H719" s="169"/>
      <c r="I719" s="172"/>
      <c r="J719" s="161"/>
      <c r="K719" s="162"/>
      <c r="L719" s="163"/>
    </row>
    <row r="720" spans="2:60" ht="15" thickBot="1" x14ac:dyDescent="0.3">
      <c r="B720" s="169"/>
      <c r="C720" s="172"/>
      <c r="D720" s="161" t="s">
        <v>471</v>
      </c>
      <c r="E720" s="162">
        <f>SUM(E716:E719)</f>
        <v>0</v>
      </c>
      <c r="F720" s="163">
        <f>SUM(F716:F719)</f>
        <v>0</v>
      </c>
      <c r="H720" s="169"/>
      <c r="I720" s="172"/>
      <c r="J720" s="161" t="s">
        <v>471</v>
      </c>
      <c r="K720" s="162">
        <f>SUM(K716:K719)</f>
        <v>0</v>
      </c>
      <c r="L720" s="163">
        <f>SUM(L716:L719)</f>
        <v>0</v>
      </c>
      <c r="BG720" s="157">
        <f>SUM(E720,K720,Q720,W720,AC720,AI720,AO720,AU720,AX720,BD720)</f>
        <v>0</v>
      </c>
      <c r="BH720" s="158">
        <f>SUM(F720,L720,R720,X720,AD720,AJ720,AP720,AV720,AY720,BE720)</f>
        <v>0</v>
      </c>
    </row>
    <row r="721" spans="2:60" ht="14.4" thickBot="1" x14ac:dyDescent="0.3">
      <c r="B721" s="170"/>
      <c r="C721" s="173"/>
      <c r="D721" s="164" t="str">
        <f>IF(E720=F720,"",IF(E720&gt;F720,"Saldo Deudor","Saldo Acreedor"))</f>
        <v/>
      </c>
      <c r="E721" s="165" t="str">
        <f>IF(E720&gt;F720,E720-F720,"")</f>
        <v/>
      </c>
      <c r="F721" s="176" t="str">
        <f>IF(E720&lt;F720,F720-E720,"")</f>
        <v/>
      </c>
      <c r="H721" s="170"/>
      <c r="I721" s="173"/>
      <c r="J721" s="164" t="str">
        <f>IF(K720=L720,"",IF(K720&gt;L720,"Saldo Deudor","Saldo Acreedor"))</f>
        <v/>
      </c>
      <c r="K721" s="165" t="str">
        <f>IF(K720&gt;L720,K720-L720,"")</f>
        <v/>
      </c>
      <c r="L721" s="176" t="str">
        <f>IF(K720&lt;L720,L720-K720,"")</f>
        <v/>
      </c>
    </row>
    <row r="724" spans="2:60" ht="15.6" x14ac:dyDescent="0.25">
      <c r="B724" s="324" t="s">
        <v>472</v>
      </c>
      <c r="C724" s="324"/>
      <c r="D724" s="175">
        <v>3599</v>
      </c>
      <c r="E724" s="160"/>
    </row>
    <row r="725" spans="2:60" x14ac:dyDescent="0.25">
      <c r="B725" s="160"/>
      <c r="C725" s="160"/>
      <c r="D725" s="160"/>
      <c r="E725" s="160"/>
    </row>
    <row r="726" spans="2:60" ht="15.6" x14ac:dyDescent="0.25">
      <c r="B726" s="324" t="s">
        <v>473</v>
      </c>
      <c r="C726" s="324"/>
      <c r="D726" s="234" t="str">
        <f>VLOOKUP(D724,DivisionariasContables,3,FALSE)</f>
        <v>Reclasificación de IGV al Costo</v>
      </c>
      <c r="E726" s="160"/>
    </row>
    <row r="727" spans="2:60" ht="14.4" thickBot="1" x14ac:dyDescent="0.3"/>
    <row r="728" spans="2:60" x14ac:dyDescent="0.25">
      <c r="B728" s="325" t="s">
        <v>466</v>
      </c>
      <c r="C728" s="327" t="s">
        <v>467</v>
      </c>
      <c r="D728" s="327" t="s">
        <v>468</v>
      </c>
      <c r="E728" s="329" t="s">
        <v>469</v>
      </c>
      <c r="F728" s="330"/>
    </row>
    <row r="729" spans="2:60" ht="14.4" thickBot="1" x14ac:dyDescent="0.3">
      <c r="B729" s="326"/>
      <c r="C729" s="328"/>
      <c r="D729" s="328"/>
      <c r="E729" s="232" t="s">
        <v>403</v>
      </c>
      <c r="F729" s="174" t="s">
        <v>402</v>
      </c>
    </row>
    <row r="730" spans="2:60" ht="14.4" thickTop="1" x14ac:dyDescent="0.25">
      <c r="B730" s="236">
        <v>41670</v>
      </c>
      <c r="C730" s="171"/>
      <c r="D730" s="166" t="s">
        <v>470</v>
      </c>
      <c r="E730" s="167">
        <f>SUMIF('Libro Diario Convencional'!$D$15:$D$167,D724,'Libro Diario Convencional'!$G$15:$G$167)</f>
        <v>0</v>
      </c>
      <c r="F730" s="168">
        <f>SUMIF('Libro Diario Convencional'!$D$15:$D$167,D724,'Libro Diario Convencional'!$H$15:$H$167)</f>
        <v>0</v>
      </c>
    </row>
    <row r="731" spans="2:60" x14ac:dyDescent="0.25">
      <c r="B731" s="169"/>
      <c r="C731" s="172"/>
      <c r="D731" s="161"/>
      <c r="E731" s="162"/>
      <c r="F731" s="163"/>
    </row>
    <row r="732" spans="2:60" x14ac:dyDescent="0.25">
      <c r="B732" s="169"/>
      <c r="C732" s="172"/>
      <c r="D732" s="161"/>
      <c r="E732" s="162"/>
      <c r="F732" s="163"/>
    </row>
    <row r="733" spans="2:60" ht="14.4" thickBot="1" x14ac:dyDescent="0.3">
      <c r="B733" s="169"/>
      <c r="C733" s="172"/>
      <c r="D733" s="161"/>
      <c r="E733" s="162"/>
      <c r="F733" s="163"/>
    </row>
    <row r="734" spans="2:60" ht="15" thickBot="1" x14ac:dyDescent="0.3">
      <c r="B734" s="169"/>
      <c r="C734" s="172"/>
      <c r="D734" s="161" t="s">
        <v>471</v>
      </c>
      <c r="E734" s="162">
        <f>SUM(E730:E733)</f>
        <v>0</v>
      </c>
      <c r="F734" s="163">
        <f>SUM(F730:F733)</f>
        <v>0</v>
      </c>
      <c r="BG734" s="157">
        <f>SUM(E734,K734,Q734,W734,AC734,AI734,AO734,AU734,AX734,BD734)</f>
        <v>0</v>
      </c>
      <c r="BH734" s="158">
        <f>SUM(F734,L734,R734,X734,AD734,AJ734,AP734,AV734,AY734,BE734)</f>
        <v>0</v>
      </c>
    </row>
    <row r="735" spans="2:60" ht="14.4" thickBot="1" x14ac:dyDescent="0.3">
      <c r="B735" s="170"/>
      <c r="C735" s="173"/>
      <c r="D735" s="164" t="str">
        <f>IF(E734=F734,"",IF(E734&gt;F734,"Saldo Deudor","Saldo Acreedor"))</f>
        <v/>
      </c>
      <c r="E735" s="165" t="str">
        <f>IF(E734&gt;F734,E734-F734,"")</f>
        <v/>
      </c>
      <c r="F735" s="176" t="str">
        <f>IF(E734&lt;F734,F734-E734,"")</f>
        <v/>
      </c>
    </row>
    <row r="738" spans="2:60" ht="15.6" x14ac:dyDescent="0.25">
      <c r="B738" s="324" t="s">
        <v>472</v>
      </c>
      <c r="C738" s="324"/>
      <c r="D738" s="175">
        <v>3711</v>
      </c>
      <c r="E738" s="160"/>
    </row>
    <row r="739" spans="2:60" x14ac:dyDescent="0.25">
      <c r="B739" s="160"/>
      <c r="C739" s="160"/>
      <c r="D739" s="160"/>
      <c r="E739" s="160"/>
    </row>
    <row r="740" spans="2:60" ht="15.6" x14ac:dyDescent="0.25">
      <c r="B740" s="324" t="s">
        <v>473</v>
      </c>
      <c r="C740" s="324"/>
      <c r="D740" s="234" t="str">
        <f>VLOOKUP(D738,DivisionariasContables,3,FALSE)</f>
        <v>Impuesto a la Renta Diferido – Patrimonio</v>
      </c>
      <c r="E740" s="160"/>
    </row>
    <row r="741" spans="2:60" ht="14.4" thickBot="1" x14ac:dyDescent="0.3"/>
    <row r="742" spans="2:60" x14ac:dyDescent="0.25">
      <c r="B742" s="325" t="s">
        <v>466</v>
      </c>
      <c r="C742" s="327" t="s">
        <v>467</v>
      </c>
      <c r="D742" s="327" t="s">
        <v>468</v>
      </c>
      <c r="E742" s="329" t="s">
        <v>469</v>
      </c>
      <c r="F742" s="330"/>
    </row>
    <row r="743" spans="2:60" ht="14.4" thickBot="1" x14ac:dyDescent="0.3">
      <c r="B743" s="326"/>
      <c r="C743" s="328"/>
      <c r="D743" s="328"/>
      <c r="E743" s="232" t="s">
        <v>403</v>
      </c>
      <c r="F743" s="174" t="s">
        <v>402</v>
      </c>
    </row>
    <row r="744" spans="2:60" ht="14.4" thickTop="1" x14ac:dyDescent="0.25">
      <c r="B744" s="236">
        <v>41670</v>
      </c>
      <c r="C744" s="171"/>
      <c r="D744" s="166" t="s">
        <v>470</v>
      </c>
      <c r="E744" s="167">
        <f>SUMIF('Libro Diario Convencional'!$D$15:$D$167,D738,'Libro Diario Convencional'!$G$15:$G$167)</f>
        <v>0</v>
      </c>
      <c r="F744" s="168">
        <f>SUMIF('Libro Diario Convencional'!$D$15:$D$167,D738,'Libro Diario Convencional'!$H$15:$H$167)</f>
        <v>0</v>
      </c>
    </row>
    <row r="745" spans="2:60" x14ac:dyDescent="0.25">
      <c r="B745" s="169"/>
      <c r="C745" s="172"/>
      <c r="D745" s="161"/>
      <c r="E745" s="162"/>
      <c r="F745" s="163"/>
    </row>
    <row r="746" spans="2:60" x14ac:dyDescent="0.25">
      <c r="B746" s="169"/>
      <c r="C746" s="172"/>
      <c r="D746" s="161"/>
      <c r="E746" s="162"/>
      <c r="F746" s="163"/>
    </row>
    <row r="747" spans="2:60" ht="14.4" thickBot="1" x14ac:dyDescent="0.3">
      <c r="B747" s="169"/>
      <c r="C747" s="172"/>
      <c r="D747" s="161"/>
      <c r="E747" s="162"/>
      <c r="F747" s="163"/>
    </row>
    <row r="748" spans="2:60" ht="15" thickBot="1" x14ac:dyDescent="0.3">
      <c r="B748" s="169"/>
      <c r="C748" s="172"/>
      <c r="D748" s="161" t="s">
        <v>471</v>
      </c>
      <c r="E748" s="162">
        <f>SUM(E744:E747)</f>
        <v>0</v>
      </c>
      <c r="F748" s="163">
        <f>SUM(F744:F747)</f>
        <v>0</v>
      </c>
      <c r="BG748" s="157">
        <f>SUM(E748,K748,Q748,W748,AC748,AI748,AO748,AU748,AX748,BD748)</f>
        <v>0</v>
      </c>
      <c r="BH748" s="158">
        <f>SUM(F748,L748,R748,X748,AD748,AJ748,AP748,AV748,AY748,BE748)</f>
        <v>0</v>
      </c>
    </row>
    <row r="749" spans="2:60" ht="14.4" thickBot="1" x14ac:dyDescent="0.3">
      <c r="B749" s="170"/>
      <c r="C749" s="173"/>
      <c r="D749" s="164" t="str">
        <f>IF(E748=F748,"",IF(E748&gt;F748,"Saldo Deudor","Saldo Acreedor"))</f>
        <v/>
      </c>
      <c r="E749" s="165" t="str">
        <f>IF(E748&gt;F748,E748-F748,"")</f>
        <v/>
      </c>
      <c r="F749" s="176" t="str">
        <f>IF(E748&lt;F748,F748-E748,"")</f>
        <v/>
      </c>
    </row>
    <row r="752" spans="2:60" ht="15.6" x14ac:dyDescent="0.25">
      <c r="B752" s="324" t="s">
        <v>472</v>
      </c>
      <c r="C752" s="324"/>
      <c r="D752" s="175">
        <v>3811</v>
      </c>
      <c r="E752" s="160"/>
      <c r="H752" s="324" t="s">
        <v>472</v>
      </c>
      <c r="I752" s="324"/>
      <c r="J752" s="175">
        <v>3812</v>
      </c>
      <c r="K752" s="160"/>
      <c r="N752" s="324" t="s">
        <v>472</v>
      </c>
      <c r="O752" s="324"/>
      <c r="P752" s="175">
        <v>3813</v>
      </c>
      <c r="Q752" s="160"/>
    </row>
    <row r="753" spans="2:60" x14ac:dyDescent="0.25">
      <c r="B753" s="160"/>
      <c r="C753" s="160"/>
      <c r="D753" s="160"/>
      <c r="E753" s="160"/>
      <c r="H753" s="160"/>
      <c r="I753" s="160"/>
      <c r="J753" s="160"/>
      <c r="K753" s="160"/>
      <c r="N753" s="160"/>
      <c r="O753" s="160"/>
      <c r="P753" s="160"/>
      <c r="Q753" s="160"/>
    </row>
    <row r="754" spans="2:60" ht="15.6" x14ac:dyDescent="0.25">
      <c r="B754" s="324" t="s">
        <v>473</v>
      </c>
      <c r="C754" s="324"/>
      <c r="D754" s="234" t="str">
        <f>VLOOKUP(D752,DivisionariasContables,3,FALSE)</f>
        <v>Bienes de Arte y Cultura - Obras de Arte</v>
      </c>
      <c r="E754" s="160"/>
      <c r="H754" s="324" t="s">
        <v>473</v>
      </c>
      <c r="I754" s="324"/>
      <c r="J754" s="234" t="str">
        <f>VLOOKUP(J752,DivisionariasContables,3,FALSE)</f>
        <v>Bienes de Arte y Cultura - Biblioteca</v>
      </c>
      <c r="K754" s="160"/>
      <c r="N754" s="324" t="s">
        <v>473</v>
      </c>
      <c r="O754" s="324"/>
      <c r="P754" s="234" t="str">
        <f>VLOOKUP(P752,DivisionariasContables,3,FALSE)</f>
        <v>Bienes de Arte y Cultura - Otros</v>
      </c>
      <c r="Q754" s="160"/>
    </row>
    <row r="755" spans="2:60" ht="14.4" thickBot="1" x14ac:dyDescent="0.3"/>
    <row r="756" spans="2:60" x14ac:dyDescent="0.25">
      <c r="B756" s="325" t="s">
        <v>466</v>
      </c>
      <c r="C756" s="327" t="s">
        <v>467</v>
      </c>
      <c r="D756" s="327" t="s">
        <v>468</v>
      </c>
      <c r="E756" s="329" t="s">
        <v>469</v>
      </c>
      <c r="F756" s="330"/>
      <c r="H756" s="325" t="s">
        <v>466</v>
      </c>
      <c r="I756" s="327" t="s">
        <v>467</v>
      </c>
      <c r="J756" s="327" t="s">
        <v>468</v>
      </c>
      <c r="K756" s="329" t="s">
        <v>469</v>
      </c>
      <c r="L756" s="330"/>
      <c r="N756" s="325" t="s">
        <v>466</v>
      </c>
      <c r="O756" s="327" t="s">
        <v>467</v>
      </c>
      <c r="P756" s="327" t="s">
        <v>468</v>
      </c>
      <c r="Q756" s="329" t="s">
        <v>469</v>
      </c>
      <c r="R756" s="330"/>
    </row>
    <row r="757" spans="2:60" ht="14.4" thickBot="1" x14ac:dyDescent="0.3">
      <c r="B757" s="326"/>
      <c r="C757" s="328"/>
      <c r="D757" s="328"/>
      <c r="E757" s="232" t="s">
        <v>403</v>
      </c>
      <c r="F757" s="174" t="s">
        <v>402</v>
      </c>
      <c r="H757" s="326"/>
      <c r="I757" s="328"/>
      <c r="J757" s="328"/>
      <c r="K757" s="232" t="s">
        <v>403</v>
      </c>
      <c r="L757" s="174" t="s">
        <v>402</v>
      </c>
      <c r="N757" s="326"/>
      <c r="O757" s="328"/>
      <c r="P757" s="328"/>
      <c r="Q757" s="232" t="s">
        <v>403</v>
      </c>
      <c r="R757" s="174" t="s">
        <v>402</v>
      </c>
    </row>
    <row r="758" spans="2:60" ht="14.4" thickTop="1" x14ac:dyDescent="0.25">
      <c r="B758" s="236">
        <v>41670</v>
      </c>
      <c r="C758" s="171"/>
      <c r="D758" s="166" t="s">
        <v>470</v>
      </c>
      <c r="E758" s="167">
        <f>SUMIF('Libro Diario Convencional'!$D$15:$D$167,D752,'Libro Diario Convencional'!$G$15:$G$167)</f>
        <v>0</v>
      </c>
      <c r="F758" s="168">
        <f>SUMIF('Libro Diario Convencional'!$D$15:$D$167,D752,'Libro Diario Convencional'!$H$15:$H$167)</f>
        <v>0</v>
      </c>
      <c r="H758" s="236">
        <v>41670</v>
      </c>
      <c r="I758" s="171"/>
      <c r="J758" s="166" t="s">
        <v>470</v>
      </c>
      <c r="K758" s="167">
        <f>SUMIF('Libro Diario Convencional'!$D$15:$D$167,J752,'Libro Diario Convencional'!$G$15:$G$167)</f>
        <v>0</v>
      </c>
      <c r="L758" s="168">
        <f>SUMIF('Libro Diario Convencional'!$D$15:$D$167,J752,'Libro Diario Convencional'!$H$15:$H$167)</f>
        <v>0</v>
      </c>
      <c r="N758" s="236">
        <v>41670</v>
      </c>
      <c r="O758" s="171"/>
      <c r="P758" s="166" t="s">
        <v>470</v>
      </c>
      <c r="Q758" s="167">
        <f>SUMIF('Libro Diario Convencional'!$D$15:$D$167,P752,'Libro Diario Convencional'!$G$15:$G$167)</f>
        <v>0</v>
      </c>
      <c r="R758" s="168">
        <f>SUMIF('Libro Diario Convencional'!$D$15:$D$167,P752,'Libro Diario Convencional'!$H$15:$H$167)</f>
        <v>0</v>
      </c>
    </row>
    <row r="759" spans="2:60" x14ac:dyDescent="0.25">
      <c r="B759" s="169"/>
      <c r="C759" s="172"/>
      <c r="D759" s="161"/>
      <c r="E759" s="162"/>
      <c r="F759" s="163"/>
      <c r="H759" s="169"/>
      <c r="I759" s="172"/>
      <c r="J759" s="161"/>
      <c r="K759" s="162"/>
      <c r="L759" s="163"/>
      <c r="N759" s="169"/>
      <c r="O759" s="172"/>
      <c r="P759" s="161"/>
      <c r="Q759" s="162"/>
      <c r="R759" s="163"/>
    </row>
    <row r="760" spans="2:60" x14ac:dyDescent="0.25">
      <c r="B760" s="169"/>
      <c r="C760" s="172"/>
      <c r="D760" s="161"/>
      <c r="E760" s="162"/>
      <c r="F760" s="163"/>
      <c r="H760" s="169"/>
      <c r="I760" s="172"/>
      <c r="J760" s="161"/>
      <c r="K760" s="162"/>
      <c r="L760" s="163"/>
      <c r="N760" s="169"/>
      <c r="O760" s="172"/>
      <c r="P760" s="161"/>
      <c r="Q760" s="162"/>
      <c r="R760" s="163"/>
    </row>
    <row r="761" spans="2:60" ht="14.4" thickBot="1" x14ac:dyDescent="0.3">
      <c r="B761" s="169"/>
      <c r="C761" s="172"/>
      <c r="D761" s="161"/>
      <c r="E761" s="162"/>
      <c r="F761" s="163"/>
      <c r="H761" s="169"/>
      <c r="I761" s="172"/>
      <c r="J761" s="161"/>
      <c r="K761" s="162"/>
      <c r="L761" s="163"/>
      <c r="N761" s="169"/>
      <c r="O761" s="172"/>
      <c r="P761" s="161"/>
      <c r="Q761" s="162"/>
      <c r="R761" s="163"/>
    </row>
    <row r="762" spans="2:60" ht="15" thickBot="1" x14ac:dyDescent="0.3">
      <c r="B762" s="169"/>
      <c r="C762" s="172"/>
      <c r="D762" s="161" t="s">
        <v>471</v>
      </c>
      <c r="E762" s="162">
        <f>SUM(E758:E761)</f>
        <v>0</v>
      </c>
      <c r="F762" s="163">
        <f>SUM(F758:F761)</f>
        <v>0</v>
      </c>
      <c r="H762" s="169"/>
      <c r="I762" s="172"/>
      <c r="J762" s="161" t="s">
        <v>471</v>
      </c>
      <c r="K762" s="162">
        <f>SUM(K758:K761)</f>
        <v>0</v>
      </c>
      <c r="L762" s="163">
        <f>SUM(L758:L761)</f>
        <v>0</v>
      </c>
      <c r="N762" s="169"/>
      <c r="O762" s="172"/>
      <c r="P762" s="161" t="s">
        <v>471</v>
      </c>
      <c r="Q762" s="162">
        <f>SUM(Q758:Q761)</f>
        <v>0</v>
      </c>
      <c r="R762" s="163">
        <f>SUM(R758:R761)</f>
        <v>0</v>
      </c>
      <c r="BG762" s="157">
        <f>SUM(E762,K762,Q762,W762,AC762,AI762,AO762,AU762,AX762,BD762)</f>
        <v>0</v>
      </c>
      <c r="BH762" s="158">
        <f>SUM(F762,L762,R762,X762,AD762,AJ762,AP762,AV762,AY762,BE762)</f>
        <v>0</v>
      </c>
    </row>
    <row r="763" spans="2:60" ht="14.4" thickBot="1" x14ac:dyDescent="0.3">
      <c r="B763" s="170"/>
      <c r="C763" s="173"/>
      <c r="D763" s="164" t="str">
        <f>IF(E762=F762,"",IF(E762&gt;F762,"Saldo Deudor","Saldo Acreedor"))</f>
        <v/>
      </c>
      <c r="E763" s="165" t="str">
        <f>IF(E762&gt;F762,E762-F762,"")</f>
        <v/>
      </c>
      <c r="F763" s="176" t="str">
        <f>IF(E762&lt;F762,F762-E762,"")</f>
        <v/>
      </c>
      <c r="H763" s="170"/>
      <c r="I763" s="173"/>
      <c r="J763" s="164" t="str">
        <f>IF(K762=L762,"",IF(K762&gt;L762,"Saldo Deudor","Saldo Acreedor"))</f>
        <v/>
      </c>
      <c r="K763" s="165" t="str">
        <f>IF(K762&gt;L762,K762-L762,"")</f>
        <v/>
      </c>
      <c r="L763" s="176" t="str">
        <f>IF(K762&lt;L762,L762-K762,"")</f>
        <v/>
      </c>
      <c r="N763" s="170"/>
      <c r="O763" s="173"/>
      <c r="P763" s="164" t="str">
        <f>IF(Q762=R762,"",IF(Q762&gt;R762,"Saldo Deudor","Saldo Acreedor"))</f>
        <v/>
      </c>
      <c r="Q763" s="165" t="str">
        <f>IF(Q762&gt;R762,Q762-R762,"")</f>
        <v/>
      </c>
      <c r="R763" s="176" t="str">
        <f>IF(Q762&lt;R762,R762-Q762,"")</f>
        <v/>
      </c>
    </row>
    <row r="766" spans="2:60" ht="15.6" x14ac:dyDescent="0.25">
      <c r="B766" s="324" t="s">
        <v>472</v>
      </c>
      <c r="C766" s="324"/>
      <c r="D766" s="175">
        <v>3821</v>
      </c>
      <c r="E766" s="160"/>
      <c r="H766" s="324" t="s">
        <v>472</v>
      </c>
      <c r="I766" s="324"/>
      <c r="J766" s="175">
        <v>3822</v>
      </c>
      <c r="K766" s="160"/>
      <c r="N766" s="324" t="s">
        <v>472</v>
      </c>
      <c r="O766" s="324"/>
      <c r="P766" s="175">
        <v>3823</v>
      </c>
      <c r="Q766" s="160"/>
    </row>
    <row r="767" spans="2:60" x14ac:dyDescent="0.25">
      <c r="B767" s="160"/>
      <c r="C767" s="160"/>
      <c r="D767" s="160"/>
      <c r="E767" s="160"/>
      <c r="H767" s="160"/>
      <c r="I767" s="160"/>
      <c r="J767" s="160"/>
      <c r="K767" s="160"/>
      <c r="N767" s="160"/>
      <c r="O767" s="160"/>
      <c r="P767" s="160"/>
      <c r="Q767" s="160"/>
    </row>
    <row r="768" spans="2:60" ht="15.6" x14ac:dyDescent="0.25">
      <c r="B768" s="324" t="s">
        <v>473</v>
      </c>
      <c r="C768" s="324"/>
      <c r="D768" s="234" t="str">
        <f>VLOOKUP(D766,DivisionariasContables,3,FALSE)</f>
        <v>Monedas y Joyas</v>
      </c>
      <c r="E768" s="160"/>
      <c r="H768" s="324" t="s">
        <v>473</v>
      </c>
      <c r="I768" s="324"/>
      <c r="J768" s="234" t="str">
        <f>VLOOKUP(J766,DivisionariasContables,3,FALSE)</f>
        <v>Bienes Entregados en Comodato</v>
      </c>
      <c r="K768" s="160"/>
      <c r="N768" s="324" t="s">
        <v>473</v>
      </c>
      <c r="O768" s="324"/>
      <c r="P768" s="234" t="str">
        <f>VLOOKUP(P766,DivisionariasContables,3,FALSE)</f>
        <v>Bienes Recibidos en Pago (Adjudicados y Realizables)</v>
      </c>
      <c r="Q768" s="160"/>
    </row>
    <row r="769" spans="2:60" ht="14.4" thickBot="1" x14ac:dyDescent="0.3"/>
    <row r="770" spans="2:60" x14ac:dyDescent="0.25">
      <c r="B770" s="325" t="s">
        <v>466</v>
      </c>
      <c r="C770" s="327" t="s">
        <v>467</v>
      </c>
      <c r="D770" s="327" t="s">
        <v>468</v>
      </c>
      <c r="E770" s="329" t="s">
        <v>469</v>
      </c>
      <c r="F770" s="330"/>
      <c r="H770" s="325" t="s">
        <v>466</v>
      </c>
      <c r="I770" s="327" t="s">
        <v>467</v>
      </c>
      <c r="J770" s="327" t="s">
        <v>468</v>
      </c>
      <c r="K770" s="329" t="s">
        <v>469</v>
      </c>
      <c r="L770" s="330"/>
      <c r="N770" s="325" t="s">
        <v>466</v>
      </c>
      <c r="O770" s="327" t="s">
        <v>467</v>
      </c>
      <c r="P770" s="327" t="s">
        <v>468</v>
      </c>
      <c r="Q770" s="329" t="s">
        <v>469</v>
      </c>
      <c r="R770" s="330"/>
    </row>
    <row r="771" spans="2:60" ht="14.4" thickBot="1" x14ac:dyDescent="0.3">
      <c r="B771" s="326"/>
      <c r="C771" s="328"/>
      <c r="D771" s="328"/>
      <c r="E771" s="232" t="s">
        <v>403</v>
      </c>
      <c r="F771" s="174" t="s">
        <v>402</v>
      </c>
      <c r="H771" s="326"/>
      <c r="I771" s="328"/>
      <c r="J771" s="328"/>
      <c r="K771" s="232" t="s">
        <v>403</v>
      </c>
      <c r="L771" s="174" t="s">
        <v>402</v>
      </c>
      <c r="N771" s="326"/>
      <c r="O771" s="328"/>
      <c r="P771" s="328"/>
      <c r="Q771" s="232" t="s">
        <v>403</v>
      </c>
      <c r="R771" s="174" t="s">
        <v>402</v>
      </c>
    </row>
    <row r="772" spans="2:60" ht="14.4" thickTop="1" x14ac:dyDescent="0.25">
      <c r="B772" s="236">
        <v>41670</v>
      </c>
      <c r="C772" s="171"/>
      <c r="D772" s="166" t="s">
        <v>470</v>
      </c>
      <c r="E772" s="167">
        <f>SUMIF('Libro Diario Convencional'!$D$15:$D$167,D766,'Libro Diario Convencional'!$G$15:$G$167)</f>
        <v>0</v>
      </c>
      <c r="F772" s="168">
        <f>SUMIF('Libro Diario Convencional'!$D$15:$D$167,D766,'Libro Diario Convencional'!$H$15:$H$167)</f>
        <v>0</v>
      </c>
      <c r="H772" s="236">
        <v>41670</v>
      </c>
      <c r="I772" s="171"/>
      <c r="J772" s="166" t="s">
        <v>470</v>
      </c>
      <c r="K772" s="167">
        <f>SUMIF('Libro Diario Convencional'!$D$15:$D$167,J766,'Libro Diario Convencional'!$G$15:$G$167)</f>
        <v>0</v>
      </c>
      <c r="L772" s="168">
        <f>SUMIF('Libro Diario Convencional'!$D$15:$D$167,J766,'Libro Diario Convencional'!$H$15:$H$167)</f>
        <v>0</v>
      </c>
      <c r="N772" s="236">
        <v>41670</v>
      </c>
      <c r="O772" s="171"/>
      <c r="P772" s="166" t="s">
        <v>470</v>
      </c>
      <c r="Q772" s="167">
        <f>SUMIF('Libro Diario Convencional'!$D$15:$D$167,P766,'Libro Diario Convencional'!$G$15:$G$167)</f>
        <v>0</v>
      </c>
      <c r="R772" s="168">
        <f>SUMIF('Libro Diario Convencional'!$D$15:$D$167,P766,'Libro Diario Convencional'!$H$15:$H$167)</f>
        <v>0</v>
      </c>
    </row>
    <row r="773" spans="2:60" x14ac:dyDescent="0.25">
      <c r="B773" s="169"/>
      <c r="C773" s="172"/>
      <c r="D773" s="161"/>
      <c r="E773" s="162"/>
      <c r="F773" s="163"/>
      <c r="H773" s="169"/>
      <c r="I773" s="172"/>
      <c r="J773" s="161"/>
      <c r="K773" s="162"/>
      <c r="L773" s="163"/>
      <c r="N773" s="169"/>
      <c r="O773" s="172"/>
      <c r="P773" s="161"/>
      <c r="Q773" s="162"/>
      <c r="R773" s="163"/>
    </row>
    <row r="774" spans="2:60" x14ac:dyDescent="0.25">
      <c r="B774" s="169"/>
      <c r="C774" s="172"/>
      <c r="D774" s="161"/>
      <c r="E774" s="162"/>
      <c r="F774" s="163"/>
      <c r="H774" s="169"/>
      <c r="I774" s="172"/>
      <c r="J774" s="161"/>
      <c r="K774" s="162"/>
      <c r="L774" s="163"/>
      <c r="N774" s="169"/>
      <c r="O774" s="172"/>
      <c r="P774" s="161"/>
      <c r="Q774" s="162"/>
      <c r="R774" s="163"/>
    </row>
    <row r="775" spans="2:60" ht="14.4" thickBot="1" x14ac:dyDescent="0.3">
      <c r="B775" s="169"/>
      <c r="C775" s="172"/>
      <c r="D775" s="161"/>
      <c r="E775" s="162"/>
      <c r="F775" s="163"/>
      <c r="H775" s="169"/>
      <c r="I775" s="172"/>
      <c r="J775" s="161"/>
      <c r="K775" s="162"/>
      <c r="L775" s="163"/>
      <c r="N775" s="169"/>
      <c r="O775" s="172"/>
      <c r="P775" s="161"/>
      <c r="Q775" s="162"/>
      <c r="R775" s="163"/>
    </row>
    <row r="776" spans="2:60" ht="15" thickBot="1" x14ac:dyDescent="0.3">
      <c r="B776" s="169"/>
      <c r="C776" s="172"/>
      <c r="D776" s="161" t="s">
        <v>471</v>
      </c>
      <c r="E776" s="162">
        <f>SUM(E772:E775)</f>
        <v>0</v>
      </c>
      <c r="F776" s="163">
        <f>SUM(F772:F775)</f>
        <v>0</v>
      </c>
      <c r="H776" s="169"/>
      <c r="I776" s="172"/>
      <c r="J776" s="161" t="s">
        <v>471</v>
      </c>
      <c r="K776" s="162">
        <f>SUM(K772:K775)</f>
        <v>0</v>
      </c>
      <c r="L776" s="163">
        <f>SUM(L772:L775)</f>
        <v>0</v>
      </c>
      <c r="N776" s="169"/>
      <c r="O776" s="172"/>
      <c r="P776" s="161" t="s">
        <v>471</v>
      </c>
      <c r="Q776" s="162">
        <f>SUM(Q772:Q775)</f>
        <v>0</v>
      </c>
      <c r="R776" s="163">
        <f>SUM(R772:R775)</f>
        <v>0</v>
      </c>
      <c r="BG776" s="157">
        <f>SUM(E776,K776,Q776,W776,AC776,AI776,AO776,AU776,AX776,BD776)</f>
        <v>0</v>
      </c>
      <c r="BH776" s="158">
        <f>SUM(F776,L776,R776,X776,AD776,AJ776,AP776,AV776,AY776,BE776)</f>
        <v>0</v>
      </c>
    </row>
    <row r="777" spans="2:60" ht="14.4" thickBot="1" x14ac:dyDescent="0.3">
      <c r="B777" s="170"/>
      <c r="C777" s="173"/>
      <c r="D777" s="164" t="str">
        <f>IF(E776=F776,"",IF(E776&gt;F776,"Saldo Deudor","Saldo Acreedor"))</f>
        <v/>
      </c>
      <c r="E777" s="165" t="str">
        <f>IF(E776&gt;F776,E776-F776,"")</f>
        <v/>
      </c>
      <c r="F777" s="176" t="str">
        <f>IF(E776&lt;F776,F776-E776,"")</f>
        <v/>
      </c>
      <c r="H777" s="170"/>
      <c r="I777" s="173"/>
      <c r="J777" s="164" t="str">
        <f>IF(K776=L776,"",IF(K776&gt;L776,"Saldo Deudor","Saldo Acreedor"))</f>
        <v/>
      </c>
      <c r="K777" s="165" t="str">
        <f>IF(K776&gt;L776,K776-L776,"")</f>
        <v/>
      </c>
      <c r="L777" s="176" t="str">
        <f>IF(K776&lt;L776,L776-K776,"")</f>
        <v/>
      </c>
      <c r="N777" s="170"/>
      <c r="O777" s="173"/>
      <c r="P777" s="164" t="str">
        <f>IF(Q776=R776,"",IF(Q776&gt;R776,"Saldo Deudor","Saldo Acreedor"))</f>
        <v/>
      </c>
      <c r="Q777" s="165" t="str">
        <f>IF(Q776&gt;R776,Q776-R776,"")</f>
        <v/>
      </c>
      <c r="R777" s="176" t="str">
        <f>IF(Q776&lt;R776,R776-Q776,"")</f>
        <v/>
      </c>
    </row>
    <row r="780" spans="2:60" ht="15.6" x14ac:dyDescent="0.25">
      <c r="B780" s="324" t="s">
        <v>472</v>
      </c>
      <c r="C780" s="324"/>
      <c r="D780" s="175">
        <v>3899</v>
      </c>
      <c r="E780" s="160"/>
    </row>
    <row r="781" spans="2:60" x14ac:dyDescent="0.25">
      <c r="B781" s="160"/>
      <c r="C781" s="160"/>
      <c r="D781" s="160"/>
      <c r="E781" s="160"/>
    </row>
    <row r="782" spans="2:60" ht="15.6" x14ac:dyDescent="0.25">
      <c r="B782" s="324" t="s">
        <v>473</v>
      </c>
      <c r="C782" s="324"/>
      <c r="D782" s="234" t="str">
        <f>VLOOKUP(D780,DivisionariasContables,3,FALSE)</f>
        <v>Reclasificación de IGV al Costo</v>
      </c>
      <c r="E782" s="160"/>
    </row>
    <row r="783" spans="2:60" ht="14.4" thickBot="1" x14ac:dyDescent="0.3"/>
    <row r="784" spans="2:60" x14ac:dyDescent="0.25">
      <c r="B784" s="325" t="s">
        <v>466</v>
      </c>
      <c r="C784" s="327" t="s">
        <v>467</v>
      </c>
      <c r="D784" s="327" t="s">
        <v>468</v>
      </c>
      <c r="E784" s="329" t="s">
        <v>469</v>
      </c>
      <c r="F784" s="330"/>
    </row>
    <row r="785" spans="2:60" ht="14.4" thickBot="1" x14ac:dyDescent="0.3">
      <c r="B785" s="326"/>
      <c r="C785" s="328"/>
      <c r="D785" s="328"/>
      <c r="E785" s="232" t="s">
        <v>403</v>
      </c>
      <c r="F785" s="174" t="s">
        <v>402</v>
      </c>
    </row>
    <row r="786" spans="2:60" ht="14.4" thickTop="1" x14ac:dyDescent="0.25">
      <c r="B786" s="236">
        <v>41670</v>
      </c>
      <c r="C786" s="171"/>
      <c r="D786" s="166" t="s">
        <v>470</v>
      </c>
      <c r="E786" s="167">
        <f>SUMIF('Libro Diario Convencional'!$D$15:$D$167,D780,'Libro Diario Convencional'!$G$15:$G$167)</f>
        <v>0</v>
      </c>
      <c r="F786" s="168">
        <f>SUMIF('Libro Diario Convencional'!$D$15:$D$167,D780,'Libro Diario Convencional'!$H$15:$H$167)</f>
        <v>0</v>
      </c>
    </row>
    <row r="787" spans="2:60" x14ac:dyDescent="0.25">
      <c r="B787" s="169"/>
      <c r="C787" s="172"/>
      <c r="D787" s="161"/>
      <c r="E787" s="162"/>
      <c r="F787" s="163"/>
    </row>
    <row r="788" spans="2:60" x14ac:dyDescent="0.25">
      <c r="B788" s="169"/>
      <c r="C788" s="172"/>
      <c r="D788" s="161"/>
      <c r="E788" s="162"/>
      <c r="F788" s="163"/>
    </row>
    <row r="789" spans="2:60" ht="14.4" thickBot="1" x14ac:dyDescent="0.3">
      <c r="B789" s="169"/>
      <c r="C789" s="172"/>
      <c r="D789" s="161"/>
      <c r="E789" s="162"/>
      <c r="F789" s="163"/>
    </row>
    <row r="790" spans="2:60" ht="15" thickBot="1" x14ac:dyDescent="0.3">
      <c r="B790" s="169"/>
      <c r="C790" s="172"/>
      <c r="D790" s="161" t="s">
        <v>471</v>
      </c>
      <c r="E790" s="162">
        <f>SUM(E786:E789)</f>
        <v>0</v>
      </c>
      <c r="F790" s="163">
        <f>SUM(F786:F789)</f>
        <v>0</v>
      </c>
      <c r="BG790" s="157">
        <f>SUM(E790,K790,Q790,W790,AC790,AI790,AO790,AU790,AX790,BD790)</f>
        <v>0</v>
      </c>
      <c r="BH790" s="158">
        <f>SUM(F790,L790,R790,X790,AD790,AJ790,AP790,AV790,AY790,BE790)</f>
        <v>0</v>
      </c>
    </row>
    <row r="791" spans="2:60" ht="14.4" thickBot="1" x14ac:dyDescent="0.3">
      <c r="B791" s="170"/>
      <c r="C791" s="173"/>
      <c r="D791" s="164" t="str">
        <f>IF(E790=F790,"",IF(E790&gt;F790,"Saldo Deudor","Saldo Acreedor"))</f>
        <v/>
      </c>
      <c r="E791" s="165" t="str">
        <f>IF(E790&gt;F790,E790-F790,"")</f>
        <v/>
      </c>
      <c r="F791" s="176" t="str">
        <f>IF(E790&lt;F790,F790-E790,"")</f>
        <v/>
      </c>
    </row>
    <row r="794" spans="2:60" ht="15.6" x14ac:dyDescent="0.25">
      <c r="B794" s="324" t="s">
        <v>472</v>
      </c>
      <c r="C794" s="324"/>
      <c r="D794" s="175">
        <v>3911</v>
      </c>
      <c r="E794" s="160"/>
      <c r="H794" s="324" t="s">
        <v>472</v>
      </c>
      <c r="I794" s="324"/>
      <c r="J794" s="175">
        <v>3913</v>
      </c>
      <c r="K794" s="160"/>
    </row>
    <row r="795" spans="2:60" x14ac:dyDescent="0.25">
      <c r="B795" s="160"/>
      <c r="C795" s="160"/>
      <c r="D795" s="160"/>
      <c r="E795" s="160"/>
      <c r="H795" s="160"/>
      <c r="I795" s="160"/>
      <c r="J795" s="160"/>
      <c r="K795" s="160"/>
    </row>
    <row r="796" spans="2:60" ht="15.6" x14ac:dyDescent="0.25">
      <c r="B796" s="324" t="s">
        <v>473</v>
      </c>
      <c r="C796" s="324"/>
      <c r="D796" s="234" t="str">
        <f>VLOOKUP(D794,DivisionariasContables,3,FALSE)</f>
        <v>Inversiones Inmobiliarias</v>
      </c>
      <c r="E796" s="160"/>
      <c r="H796" s="324" t="s">
        <v>473</v>
      </c>
      <c r="I796" s="324"/>
      <c r="J796" s="234" t="str">
        <f>VLOOKUP(J794,DivisionariasContables,3,FALSE)</f>
        <v>Inmuebles, Maquinaria y Equipo - Costo</v>
      </c>
      <c r="K796" s="160"/>
    </row>
    <row r="797" spans="2:60" ht="14.4" thickBot="1" x14ac:dyDescent="0.3"/>
    <row r="798" spans="2:60" x14ac:dyDescent="0.25">
      <c r="B798" s="325" t="s">
        <v>466</v>
      </c>
      <c r="C798" s="327" t="s">
        <v>467</v>
      </c>
      <c r="D798" s="327" t="s">
        <v>468</v>
      </c>
      <c r="E798" s="329" t="s">
        <v>469</v>
      </c>
      <c r="F798" s="330"/>
      <c r="H798" s="325" t="s">
        <v>466</v>
      </c>
      <c r="I798" s="327" t="s">
        <v>467</v>
      </c>
      <c r="J798" s="327" t="s">
        <v>468</v>
      </c>
      <c r="K798" s="329" t="s">
        <v>469</v>
      </c>
      <c r="L798" s="330"/>
    </row>
    <row r="799" spans="2:60" ht="14.4" thickBot="1" x14ac:dyDescent="0.3">
      <c r="B799" s="326"/>
      <c r="C799" s="328"/>
      <c r="D799" s="328"/>
      <c r="E799" s="232" t="s">
        <v>403</v>
      </c>
      <c r="F799" s="174" t="s">
        <v>402</v>
      </c>
      <c r="H799" s="326"/>
      <c r="I799" s="328"/>
      <c r="J799" s="328"/>
      <c r="K799" s="232" t="s">
        <v>403</v>
      </c>
      <c r="L799" s="174" t="s">
        <v>402</v>
      </c>
    </row>
    <row r="800" spans="2:60" ht="14.4" thickTop="1" x14ac:dyDescent="0.25">
      <c r="B800" s="236">
        <v>41670</v>
      </c>
      <c r="C800" s="171"/>
      <c r="D800" s="166" t="s">
        <v>470</v>
      </c>
      <c r="E800" s="167">
        <f>SUMIF('Libro Diario Convencional'!$D$15:$D$167,D794,'Libro Diario Convencional'!$G$15:$G$167)</f>
        <v>0</v>
      </c>
      <c r="F800" s="168">
        <f>SUMIF('Libro Diario Convencional'!$D$15:$D$167,D794,'Libro Diario Convencional'!$H$15:$H$167)</f>
        <v>31542.5</v>
      </c>
      <c r="H800" s="236">
        <v>41670</v>
      </c>
      <c r="I800" s="171"/>
      <c r="J800" s="166" t="s">
        <v>470</v>
      </c>
      <c r="K800" s="167">
        <f>SUMIF('Libro Diario Convencional'!$D$15:$D$167,J794,'Libro Diario Convencional'!$G$15:$G$167)</f>
        <v>0</v>
      </c>
      <c r="L800" s="168">
        <f>SUMIF('Libro Diario Convencional'!$D$15:$D$167,J794,'Libro Diario Convencional'!$H$15:$H$167)</f>
        <v>0</v>
      </c>
    </row>
    <row r="801" spans="2:60" x14ac:dyDescent="0.25">
      <c r="B801" s="169"/>
      <c r="C801" s="172"/>
      <c r="D801" s="161"/>
      <c r="E801" s="162"/>
      <c r="F801" s="163"/>
      <c r="H801" s="169"/>
      <c r="I801" s="172"/>
      <c r="J801" s="161"/>
      <c r="K801" s="162"/>
      <c r="L801" s="163"/>
    </row>
    <row r="802" spans="2:60" x14ac:dyDescent="0.25">
      <c r="B802" s="169"/>
      <c r="C802" s="172"/>
      <c r="D802" s="161"/>
      <c r="E802" s="162"/>
      <c r="F802" s="163"/>
      <c r="H802" s="169"/>
      <c r="I802" s="172"/>
      <c r="J802" s="161"/>
      <c r="K802" s="162"/>
      <c r="L802" s="163"/>
    </row>
    <row r="803" spans="2:60" ht="14.4" thickBot="1" x14ac:dyDescent="0.3">
      <c r="B803" s="169"/>
      <c r="C803" s="172"/>
      <c r="D803" s="161"/>
      <c r="E803" s="162"/>
      <c r="F803" s="163"/>
      <c r="H803" s="169"/>
      <c r="I803" s="172"/>
      <c r="J803" s="161"/>
      <c r="K803" s="162"/>
      <c r="L803" s="163"/>
    </row>
    <row r="804" spans="2:60" ht="15" thickBot="1" x14ac:dyDescent="0.3">
      <c r="B804" s="169"/>
      <c r="C804" s="172"/>
      <c r="D804" s="161" t="s">
        <v>471</v>
      </c>
      <c r="E804" s="162">
        <f>SUM(E800:E803)</f>
        <v>0</v>
      </c>
      <c r="F804" s="163">
        <f>SUM(F800:F803)</f>
        <v>31542.5</v>
      </c>
      <c r="H804" s="169"/>
      <c r="I804" s="172"/>
      <c r="J804" s="161" t="s">
        <v>471</v>
      </c>
      <c r="K804" s="162">
        <f>SUM(K800:K803)</f>
        <v>0</v>
      </c>
      <c r="L804" s="163">
        <f>SUM(L800:L803)</f>
        <v>0</v>
      </c>
      <c r="BG804" s="157">
        <f>SUM(E804,K804,Q804,W804,AC804,AI804,AO804,AU804,AX804,BD804)</f>
        <v>0</v>
      </c>
      <c r="BH804" s="158">
        <f>SUM(F804,L804,R804,X804,AD804,AJ804,AP804,AV804,AY804,BE804)</f>
        <v>31542.5</v>
      </c>
    </row>
    <row r="805" spans="2:60" ht="14.4" thickBot="1" x14ac:dyDescent="0.3">
      <c r="B805" s="170"/>
      <c r="C805" s="173"/>
      <c r="D805" s="164" t="str">
        <f>IF(E804=F804,"",IF(E804&gt;F804,"Saldo Deudor","Saldo Acreedor"))</f>
        <v>Saldo Acreedor</v>
      </c>
      <c r="E805" s="165" t="str">
        <f>IF(E804&gt;F804,E804-F804,"")</f>
        <v/>
      </c>
      <c r="F805" s="176">
        <f>IF(E804&lt;F804,F804-E804,"")</f>
        <v>31542.5</v>
      </c>
      <c r="H805" s="170"/>
      <c r="I805" s="173"/>
      <c r="J805" s="164" t="str">
        <f>IF(K804=L804,"",IF(K804&gt;L804,"Saldo Deudor","Saldo Acreedor"))</f>
        <v/>
      </c>
      <c r="K805" s="165" t="str">
        <f>IF(K804&gt;L804,K804-L804,"")</f>
        <v/>
      </c>
      <c r="L805" s="176" t="str">
        <f>IF(K804&lt;L804,L804-K804,"")</f>
        <v/>
      </c>
    </row>
    <row r="808" spans="2:60" ht="15.6" x14ac:dyDescent="0.25">
      <c r="B808" s="324" t="s">
        <v>472</v>
      </c>
      <c r="C808" s="324"/>
      <c r="D808" s="175">
        <v>4011</v>
      </c>
      <c r="E808" s="160"/>
      <c r="H808" s="324" t="s">
        <v>472</v>
      </c>
      <c r="I808" s="324"/>
      <c r="J808" s="175">
        <v>4012</v>
      </c>
      <c r="K808" s="160"/>
      <c r="N808" s="324" t="s">
        <v>472</v>
      </c>
      <c r="O808" s="324"/>
      <c r="P808" s="175">
        <v>4017</v>
      </c>
      <c r="Q808" s="160"/>
      <c r="T808" s="324" t="s">
        <v>472</v>
      </c>
      <c r="U808" s="324"/>
      <c r="V808" s="175">
        <v>4018</v>
      </c>
      <c r="W808" s="160"/>
    </row>
    <row r="809" spans="2:60" x14ac:dyDescent="0.25">
      <c r="B809" s="160"/>
      <c r="C809" s="160"/>
      <c r="D809" s="160"/>
      <c r="E809" s="160"/>
      <c r="H809" s="160"/>
      <c r="I809" s="160"/>
      <c r="J809" s="160"/>
      <c r="K809" s="160"/>
      <c r="N809" s="160"/>
      <c r="O809" s="160"/>
      <c r="P809" s="160"/>
      <c r="Q809" s="160"/>
      <c r="T809" s="160"/>
      <c r="U809" s="160"/>
      <c r="V809" s="160"/>
      <c r="W809" s="160"/>
    </row>
    <row r="810" spans="2:60" ht="15.6" x14ac:dyDescent="0.25">
      <c r="B810" s="324" t="s">
        <v>473</v>
      </c>
      <c r="C810" s="324"/>
      <c r="D810" s="234" t="str">
        <f>VLOOKUP(D808,DivisionariasContables,3,FALSE)</f>
        <v>Impuesto General a las Ventas</v>
      </c>
      <c r="E810" s="160"/>
      <c r="H810" s="324" t="s">
        <v>473</v>
      </c>
      <c r="I810" s="324"/>
      <c r="J810" s="234" t="str">
        <f>VLOOKUP(J808,DivisionariasContables,3,FALSE)</f>
        <v>Impuesto Selectivo al Consumo</v>
      </c>
      <c r="K810" s="160"/>
      <c r="N810" s="324" t="s">
        <v>473</v>
      </c>
      <c r="O810" s="324"/>
      <c r="P810" s="234" t="str">
        <f>VLOOKUP(P808,DivisionariasContables,3,FALSE)</f>
        <v>Impuesto a la Renta</v>
      </c>
      <c r="Q810" s="160"/>
      <c r="T810" s="324" t="s">
        <v>473</v>
      </c>
      <c r="U810" s="324"/>
      <c r="V810" s="234" t="str">
        <f>VLOOKUP(V808,DivisionariasContables,3,FALSE)</f>
        <v>Otros Impuestos y Contraprestaciones</v>
      </c>
      <c r="W810" s="160"/>
    </row>
    <row r="811" spans="2:60" ht="14.4" thickBot="1" x14ac:dyDescent="0.3"/>
    <row r="812" spans="2:60" x14ac:dyDescent="0.25">
      <c r="B812" s="325" t="s">
        <v>466</v>
      </c>
      <c r="C812" s="327" t="s">
        <v>467</v>
      </c>
      <c r="D812" s="327" t="s">
        <v>468</v>
      </c>
      <c r="E812" s="329" t="s">
        <v>469</v>
      </c>
      <c r="F812" s="330"/>
      <c r="H812" s="325" t="s">
        <v>466</v>
      </c>
      <c r="I812" s="327" t="s">
        <v>467</v>
      </c>
      <c r="J812" s="327" t="s">
        <v>468</v>
      </c>
      <c r="K812" s="329" t="s">
        <v>469</v>
      </c>
      <c r="L812" s="330"/>
      <c r="N812" s="325" t="s">
        <v>466</v>
      </c>
      <c r="O812" s="327" t="s">
        <v>467</v>
      </c>
      <c r="P812" s="327" t="s">
        <v>468</v>
      </c>
      <c r="Q812" s="329" t="s">
        <v>469</v>
      </c>
      <c r="R812" s="330"/>
      <c r="T812" s="325" t="s">
        <v>466</v>
      </c>
      <c r="U812" s="327" t="s">
        <v>467</v>
      </c>
      <c r="V812" s="327" t="s">
        <v>468</v>
      </c>
      <c r="W812" s="329" t="s">
        <v>469</v>
      </c>
      <c r="X812" s="330"/>
    </row>
    <row r="813" spans="2:60" ht="14.4" thickBot="1" x14ac:dyDescent="0.3">
      <c r="B813" s="326"/>
      <c r="C813" s="328"/>
      <c r="D813" s="328"/>
      <c r="E813" s="232" t="s">
        <v>403</v>
      </c>
      <c r="F813" s="174" t="s">
        <v>402</v>
      </c>
      <c r="H813" s="326"/>
      <c r="I813" s="328"/>
      <c r="J813" s="328"/>
      <c r="K813" s="232" t="s">
        <v>403</v>
      </c>
      <c r="L813" s="174" t="s">
        <v>402</v>
      </c>
      <c r="N813" s="326"/>
      <c r="O813" s="328"/>
      <c r="P813" s="328"/>
      <c r="Q813" s="232" t="s">
        <v>403</v>
      </c>
      <c r="R813" s="174" t="s">
        <v>402</v>
      </c>
      <c r="T813" s="326"/>
      <c r="U813" s="328"/>
      <c r="V813" s="328"/>
      <c r="W813" s="232" t="s">
        <v>403</v>
      </c>
      <c r="X813" s="174" t="s">
        <v>402</v>
      </c>
    </row>
    <row r="814" spans="2:60" ht="14.4" thickTop="1" x14ac:dyDescent="0.25">
      <c r="B814" s="236">
        <v>41670</v>
      </c>
      <c r="C814" s="171"/>
      <c r="D814" s="166" t="s">
        <v>470</v>
      </c>
      <c r="E814" s="167">
        <f>SUMIF('Libro Diario Convencional'!$D$15:$D$167,D808,'Libro Diario Convencional'!$G$15:$G$167)</f>
        <v>3058.6271186440677</v>
      </c>
      <c r="F814" s="168">
        <f>SUMIF('Libro Diario Convencional'!$D$15:$D$167,D808,'Libro Diario Convencional'!$H$15:$H$167)</f>
        <v>0</v>
      </c>
      <c r="H814" s="236">
        <v>41670</v>
      </c>
      <c r="I814" s="171"/>
      <c r="J814" s="166" t="s">
        <v>470</v>
      </c>
      <c r="K814" s="167">
        <f>SUMIF('Libro Diario Convencional'!$D$15:$D$167,J808,'Libro Diario Convencional'!$G$15:$G$167)</f>
        <v>0</v>
      </c>
      <c r="L814" s="168">
        <f>SUMIF('Libro Diario Convencional'!$D$15:$D$167,J808,'Libro Diario Convencional'!$H$15:$H$167)</f>
        <v>0</v>
      </c>
      <c r="N814" s="236">
        <v>41670</v>
      </c>
      <c r="O814" s="171"/>
      <c r="P814" s="166" t="s">
        <v>470</v>
      </c>
      <c r="Q814" s="167">
        <f>SUMIF('Libro Diario Convencional'!$D$15:$D$167,P808,'Libro Diario Convencional'!$G$15:$G$167)</f>
        <v>0</v>
      </c>
      <c r="R814" s="168">
        <f>SUMIF('Libro Diario Convencional'!$D$15:$D$167,P808,'Libro Diario Convencional'!$H$15:$H$167)</f>
        <v>0</v>
      </c>
      <c r="T814" s="236">
        <v>41670</v>
      </c>
      <c r="U814" s="171"/>
      <c r="V814" s="166" t="s">
        <v>470</v>
      </c>
      <c r="W814" s="167">
        <f>SUMIF('Libro Diario Convencional'!$D$15:$D$167,V808,'Libro Diario Convencional'!$G$15:$G$167)</f>
        <v>0</v>
      </c>
      <c r="X814" s="168">
        <f>SUMIF('Libro Diario Convencional'!$D$15:$D$167,V808,'Libro Diario Convencional'!$H$15:$H$167)</f>
        <v>0</v>
      </c>
    </row>
    <row r="815" spans="2:60" x14ac:dyDescent="0.25">
      <c r="B815" s="169"/>
      <c r="C815" s="172"/>
      <c r="D815" s="161"/>
      <c r="E815" s="162"/>
      <c r="F815" s="163"/>
      <c r="H815" s="169"/>
      <c r="I815" s="172"/>
      <c r="J815" s="161"/>
      <c r="K815" s="162"/>
      <c r="L815" s="163"/>
      <c r="N815" s="169"/>
      <c r="O815" s="172"/>
      <c r="P815" s="161"/>
      <c r="Q815" s="162"/>
      <c r="R815" s="163"/>
      <c r="T815" s="169"/>
      <c r="U815" s="172"/>
      <c r="V815" s="161"/>
      <c r="W815" s="162"/>
      <c r="X815" s="163"/>
    </row>
    <row r="816" spans="2:60" x14ac:dyDescent="0.25">
      <c r="B816" s="169"/>
      <c r="C816" s="172"/>
      <c r="D816" s="161"/>
      <c r="E816" s="162"/>
      <c r="F816" s="163"/>
      <c r="H816" s="169"/>
      <c r="I816" s="172"/>
      <c r="J816" s="161"/>
      <c r="K816" s="162"/>
      <c r="L816" s="163"/>
      <c r="N816" s="169"/>
      <c r="O816" s="172"/>
      <c r="P816" s="161"/>
      <c r="Q816" s="162"/>
      <c r="R816" s="163"/>
      <c r="T816" s="169"/>
      <c r="U816" s="172"/>
      <c r="V816" s="161"/>
      <c r="W816" s="162"/>
      <c r="X816" s="163"/>
    </row>
    <row r="817" spans="2:60" ht="14.4" thickBot="1" x14ac:dyDescent="0.3">
      <c r="B817" s="169"/>
      <c r="C817" s="172"/>
      <c r="D817" s="161"/>
      <c r="E817" s="162"/>
      <c r="F817" s="163"/>
      <c r="H817" s="169"/>
      <c r="I817" s="172"/>
      <c r="J817" s="161"/>
      <c r="K817" s="162"/>
      <c r="L817" s="163"/>
      <c r="N817" s="169"/>
      <c r="O817" s="172"/>
      <c r="P817" s="161"/>
      <c r="Q817" s="162"/>
      <c r="R817" s="163"/>
      <c r="T817" s="169"/>
      <c r="U817" s="172"/>
      <c r="V817" s="161"/>
      <c r="W817" s="162"/>
      <c r="X817" s="163"/>
    </row>
    <row r="818" spans="2:60" ht="15" thickBot="1" x14ac:dyDescent="0.3">
      <c r="B818" s="169"/>
      <c r="C818" s="172"/>
      <c r="D818" s="161" t="s">
        <v>471</v>
      </c>
      <c r="E818" s="162">
        <f>SUM(E814:E817)</f>
        <v>3058.6271186440677</v>
      </c>
      <c r="F818" s="163">
        <f>SUM(F814:F817)</f>
        <v>0</v>
      </c>
      <c r="H818" s="169"/>
      <c r="I818" s="172"/>
      <c r="J818" s="161" t="s">
        <v>471</v>
      </c>
      <c r="K818" s="162">
        <f>SUM(K814:K817)</f>
        <v>0</v>
      </c>
      <c r="L818" s="163">
        <f>SUM(L814:L817)</f>
        <v>0</v>
      </c>
      <c r="N818" s="169"/>
      <c r="O818" s="172"/>
      <c r="P818" s="161" t="s">
        <v>471</v>
      </c>
      <c r="Q818" s="162">
        <f>SUM(Q814:Q817)</f>
        <v>0</v>
      </c>
      <c r="R818" s="163">
        <f>SUM(R814:R817)</f>
        <v>0</v>
      </c>
      <c r="T818" s="169"/>
      <c r="U818" s="172"/>
      <c r="V818" s="161" t="s">
        <v>471</v>
      </c>
      <c r="W818" s="162">
        <f>SUM(W814:W817)</f>
        <v>0</v>
      </c>
      <c r="X818" s="163">
        <f>SUM(X814:X817)</f>
        <v>0</v>
      </c>
      <c r="BG818" s="157">
        <f>SUM(E818,K818,Q818,W818,AC818,AI818,AO818,AU818,AX818,BD818)</f>
        <v>3058.6271186440677</v>
      </c>
      <c r="BH818" s="158">
        <f>SUM(F818,L818,R818,X818,AD818,AJ818,AP818,AV818,AY818,BE818)</f>
        <v>0</v>
      </c>
    </row>
    <row r="819" spans="2:60" ht="14.4" thickBot="1" x14ac:dyDescent="0.3">
      <c r="B819" s="170"/>
      <c r="C819" s="173"/>
      <c r="D819" s="164" t="str">
        <f>IF(E818=F818,"",IF(E818&gt;F818,"Saldo Deudor","Saldo Acreedor"))</f>
        <v>Saldo Deudor</v>
      </c>
      <c r="E819" s="165">
        <f>IF(E818&gt;F818,E818-F818,"")</f>
        <v>3058.6271186440677</v>
      </c>
      <c r="F819" s="176" t="str">
        <f>IF(E818&lt;F818,F818-E818,"")</f>
        <v/>
      </c>
      <c r="H819" s="170"/>
      <c r="I819" s="173"/>
      <c r="J819" s="164" t="str">
        <f>IF(K818=L818,"",IF(K818&gt;L818,"Saldo Deudor","Saldo Acreedor"))</f>
        <v/>
      </c>
      <c r="K819" s="165" t="str">
        <f>IF(K818&gt;L818,K818-L818,"")</f>
        <v/>
      </c>
      <c r="L819" s="176" t="str">
        <f>IF(K818&lt;L818,L818-K818,"")</f>
        <v/>
      </c>
      <c r="N819" s="170"/>
      <c r="O819" s="173"/>
      <c r="P819" s="164" t="str">
        <f>IF(Q818=R818,"",IF(Q818&gt;R818,"Saldo Deudor","Saldo Acreedor"))</f>
        <v/>
      </c>
      <c r="Q819" s="165" t="str">
        <f>IF(Q818&gt;R818,Q818-R818,"")</f>
        <v/>
      </c>
      <c r="R819" s="176" t="str">
        <f>IF(Q818&lt;R818,R818-Q818,"")</f>
        <v/>
      </c>
      <c r="T819" s="170"/>
      <c r="U819" s="173"/>
      <c r="V819" s="164" t="str">
        <f>IF(W818=X818,"",IF(W818&gt;X818,"Saldo Deudor","Saldo Acreedor"))</f>
        <v/>
      </c>
      <c r="W819" s="165" t="str">
        <f>IF(W818&gt;X818,W818-X818,"")</f>
        <v/>
      </c>
      <c r="X819" s="176" t="str">
        <f>IF(W818&lt;X818,X818-W818,"")</f>
        <v/>
      </c>
    </row>
    <row r="822" spans="2:60" ht="15.6" x14ac:dyDescent="0.25">
      <c r="B822" s="324" t="s">
        <v>472</v>
      </c>
      <c r="C822" s="324"/>
      <c r="D822" s="175">
        <v>4031</v>
      </c>
      <c r="E822" s="160"/>
      <c r="H822" s="324" t="s">
        <v>472</v>
      </c>
      <c r="I822" s="324"/>
      <c r="J822" s="175">
        <v>4032</v>
      </c>
      <c r="K822" s="160"/>
    </row>
    <row r="823" spans="2:60" x14ac:dyDescent="0.25">
      <c r="B823" s="160"/>
      <c r="C823" s="160"/>
      <c r="D823" s="160"/>
      <c r="E823" s="160"/>
      <c r="H823" s="160"/>
      <c r="I823" s="160"/>
      <c r="J823" s="160"/>
      <c r="K823" s="160"/>
    </row>
    <row r="824" spans="2:60" ht="15.6" x14ac:dyDescent="0.25">
      <c r="B824" s="324" t="s">
        <v>473</v>
      </c>
      <c r="C824" s="324"/>
      <c r="D824" s="234" t="str">
        <f>VLOOKUP(D822,DivisionariasContables,3,FALSE)</f>
        <v>ESSALUD</v>
      </c>
      <c r="E824" s="160"/>
      <c r="H824" s="324" t="s">
        <v>473</v>
      </c>
      <c r="I824" s="324"/>
      <c r="J824" s="234" t="str">
        <f>VLOOKUP(J822,DivisionariasContables,3,FALSE)</f>
        <v>ONP</v>
      </c>
      <c r="K824" s="160"/>
    </row>
    <row r="825" spans="2:60" ht="14.4" thickBot="1" x14ac:dyDescent="0.3"/>
    <row r="826" spans="2:60" x14ac:dyDescent="0.25">
      <c r="B826" s="325" t="s">
        <v>466</v>
      </c>
      <c r="C826" s="327" t="s">
        <v>467</v>
      </c>
      <c r="D826" s="327" t="s">
        <v>468</v>
      </c>
      <c r="E826" s="329" t="s">
        <v>469</v>
      </c>
      <c r="F826" s="330"/>
      <c r="H826" s="325" t="s">
        <v>466</v>
      </c>
      <c r="I826" s="327" t="s">
        <v>467</v>
      </c>
      <c r="J826" s="327" t="s">
        <v>468</v>
      </c>
      <c r="K826" s="329" t="s">
        <v>469</v>
      </c>
      <c r="L826" s="330"/>
    </row>
    <row r="827" spans="2:60" ht="14.4" thickBot="1" x14ac:dyDescent="0.3">
      <c r="B827" s="326"/>
      <c r="C827" s="328"/>
      <c r="D827" s="328"/>
      <c r="E827" s="232" t="s">
        <v>403</v>
      </c>
      <c r="F827" s="174" t="s">
        <v>402</v>
      </c>
      <c r="H827" s="326"/>
      <c r="I827" s="328"/>
      <c r="J827" s="328"/>
      <c r="K827" s="232" t="s">
        <v>403</v>
      </c>
      <c r="L827" s="174" t="s">
        <v>402</v>
      </c>
    </row>
    <row r="828" spans="2:60" ht="14.4" thickTop="1" x14ac:dyDescent="0.25">
      <c r="B828" s="236">
        <v>41670</v>
      </c>
      <c r="C828" s="171"/>
      <c r="D828" s="166" t="s">
        <v>470</v>
      </c>
      <c r="E828" s="167">
        <f>SUMIF('Libro Diario Convencional'!$D$15:$D$167,D822,'Libro Diario Convencional'!$G$15:$G$167)</f>
        <v>0</v>
      </c>
      <c r="F828" s="168">
        <f>SUMIF('Libro Diario Convencional'!$D$15:$D$167,D822,'Libro Diario Convencional'!$H$15:$H$167)</f>
        <v>27000</v>
      </c>
      <c r="H828" s="236">
        <v>41670</v>
      </c>
      <c r="I828" s="171"/>
      <c r="J828" s="166" t="s">
        <v>470</v>
      </c>
      <c r="K828" s="167">
        <f>SUMIF('Libro Diario Convencional'!$D$15:$D$167,J822,'Libro Diario Convencional'!$G$15:$G$167)</f>
        <v>0</v>
      </c>
      <c r="L828" s="168">
        <f>SUMIF('Libro Diario Convencional'!$D$15:$D$167,J822,'Libro Diario Convencional'!$H$15:$H$167)</f>
        <v>12480</v>
      </c>
    </row>
    <row r="829" spans="2:60" x14ac:dyDescent="0.25">
      <c r="B829" s="169"/>
      <c r="C829" s="172"/>
      <c r="D829" s="161"/>
      <c r="E829" s="162"/>
      <c r="F829" s="163"/>
      <c r="H829" s="169"/>
      <c r="I829" s="172"/>
      <c r="J829" s="161"/>
      <c r="K829" s="162"/>
      <c r="L829" s="163"/>
    </row>
    <row r="830" spans="2:60" x14ac:dyDescent="0.25">
      <c r="B830" s="169"/>
      <c r="C830" s="172"/>
      <c r="D830" s="161"/>
      <c r="E830" s="162"/>
      <c r="F830" s="163"/>
      <c r="H830" s="169"/>
      <c r="I830" s="172"/>
      <c r="J830" s="161"/>
      <c r="K830" s="162"/>
      <c r="L830" s="163"/>
    </row>
    <row r="831" spans="2:60" ht="14.4" thickBot="1" x14ac:dyDescent="0.3">
      <c r="B831" s="169"/>
      <c r="C831" s="172"/>
      <c r="D831" s="161"/>
      <c r="E831" s="162"/>
      <c r="F831" s="163"/>
      <c r="H831" s="169"/>
      <c r="I831" s="172"/>
      <c r="J831" s="161"/>
      <c r="K831" s="162"/>
      <c r="L831" s="163"/>
    </row>
    <row r="832" spans="2:60" ht="15" thickBot="1" x14ac:dyDescent="0.3">
      <c r="B832" s="169"/>
      <c r="C832" s="172"/>
      <c r="D832" s="161" t="s">
        <v>471</v>
      </c>
      <c r="E832" s="162">
        <f>SUM(E828:E831)</f>
        <v>0</v>
      </c>
      <c r="F832" s="163">
        <f>SUM(F828:F831)</f>
        <v>27000</v>
      </c>
      <c r="H832" s="169"/>
      <c r="I832" s="172"/>
      <c r="J832" s="161" t="s">
        <v>471</v>
      </c>
      <c r="K832" s="162">
        <f>SUM(K828:K831)</f>
        <v>0</v>
      </c>
      <c r="L832" s="163">
        <f>SUM(L828:L831)</f>
        <v>12480</v>
      </c>
      <c r="BG832" s="157">
        <f>SUM(E832,K832,Q832,W832,AC832,AI832,AO832,AU832,AX832,BD832)</f>
        <v>0</v>
      </c>
      <c r="BH832" s="158">
        <f>SUM(F832,L832,R832,X832,AD832,AJ832,AP832,AV832,AY832,BE832)</f>
        <v>39480</v>
      </c>
    </row>
    <row r="833" spans="2:60" ht="14.4" thickBot="1" x14ac:dyDescent="0.3">
      <c r="B833" s="170"/>
      <c r="C833" s="173"/>
      <c r="D833" s="164" t="str">
        <f>IF(E832=F832,"",IF(E832&gt;F832,"Saldo Deudor","Saldo Acreedor"))</f>
        <v>Saldo Acreedor</v>
      </c>
      <c r="E833" s="165" t="str">
        <f>IF(E832&gt;F832,E832-F832,"")</f>
        <v/>
      </c>
      <c r="F833" s="176">
        <f>IF(E832&lt;F832,F832-E832,"")</f>
        <v>27000</v>
      </c>
      <c r="H833" s="170"/>
      <c r="I833" s="173"/>
      <c r="J833" s="164" t="str">
        <f>IF(K832=L832,"",IF(K832&gt;L832,"Saldo Deudor","Saldo Acreedor"))</f>
        <v>Saldo Acreedor</v>
      </c>
      <c r="K833" s="165" t="str">
        <f>IF(K832&gt;L832,K832-L832,"")</f>
        <v/>
      </c>
      <c r="L833" s="176">
        <f>IF(K832&lt;L832,L832-K832,"")</f>
        <v>12480</v>
      </c>
    </row>
    <row r="836" spans="2:60" ht="15.6" x14ac:dyDescent="0.25">
      <c r="B836" s="324" t="s">
        <v>472</v>
      </c>
      <c r="C836" s="324"/>
      <c r="D836" s="175">
        <v>4041</v>
      </c>
      <c r="E836" s="160"/>
    </row>
    <row r="837" spans="2:60" x14ac:dyDescent="0.25">
      <c r="B837" s="160"/>
      <c r="C837" s="160"/>
      <c r="D837" s="160"/>
      <c r="E837" s="160"/>
    </row>
    <row r="838" spans="2:60" ht="15.6" x14ac:dyDescent="0.25">
      <c r="B838" s="324" t="s">
        <v>473</v>
      </c>
      <c r="C838" s="324"/>
      <c r="D838" s="234" t="str">
        <f>VLOOKUP(D836,DivisionariasContables,3,FALSE)</f>
        <v>Seguro Complementario de Trabajo de Riesgo</v>
      </c>
      <c r="E838" s="160"/>
    </row>
    <row r="839" spans="2:60" ht="14.4" thickBot="1" x14ac:dyDescent="0.3"/>
    <row r="840" spans="2:60" x14ac:dyDescent="0.25">
      <c r="B840" s="325" t="s">
        <v>466</v>
      </c>
      <c r="C840" s="327" t="s">
        <v>467</v>
      </c>
      <c r="D840" s="327" t="s">
        <v>468</v>
      </c>
      <c r="E840" s="329" t="s">
        <v>469</v>
      </c>
      <c r="F840" s="330"/>
    </row>
    <row r="841" spans="2:60" ht="14.4" thickBot="1" x14ac:dyDescent="0.3">
      <c r="B841" s="326"/>
      <c r="C841" s="328"/>
      <c r="D841" s="328"/>
      <c r="E841" s="232" t="s">
        <v>403</v>
      </c>
      <c r="F841" s="174" t="s">
        <v>402</v>
      </c>
    </row>
    <row r="842" spans="2:60" ht="14.4" thickTop="1" x14ac:dyDescent="0.25">
      <c r="B842" s="236">
        <v>41670</v>
      </c>
      <c r="C842" s="171"/>
      <c r="D842" s="166" t="s">
        <v>470</v>
      </c>
      <c r="E842" s="167">
        <f>SUMIF('Libro Diario Convencional'!$D$15:$D$167,D836,'Libro Diario Convencional'!$G$15:$G$167)</f>
        <v>0</v>
      </c>
      <c r="F842" s="168">
        <f>SUMIF('Libro Diario Convencional'!$D$15:$D$167,D836,'Libro Diario Convencional'!$H$15:$H$167)</f>
        <v>0</v>
      </c>
    </row>
    <row r="843" spans="2:60" x14ac:dyDescent="0.25">
      <c r="B843" s="169"/>
      <c r="C843" s="172"/>
      <c r="D843" s="161"/>
      <c r="E843" s="162"/>
      <c r="F843" s="163"/>
    </row>
    <row r="844" spans="2:60" x14ac:dyDescent="0.25">
      <c r="B844" s="169"/>
      <c r="C844" s="172"/>
      <c r="D844" s="161"/>
      <c r="E844" s="162"/>
      <c r="F844" s="163"/>
    </row>
    <row r="845" spans="2:60" ht="14.4" thickBot="1" x14ac:dyDescent="0.3">
      <c r="B845" s="169"/>
      <c r="C845" s="172"/>
      <c r="D845" s="161"/>
      <c r="E845" s="162"/>
      <c r="F845" s="163"/>
    </row>
    <row r="846" spans="2:60" ht="15" thickBot="1" x14ac:dyDescent="0.3">
      <c r="B846" s="169"/>
      <c r="C846" s="172"/>
      <c r="D846" s="161" t="s">
        <v>471</v>
      </c>
      <c r="E846" s="162">
        <f>SUM(E842:E845)</f>
        <v>0</v>
      </c>
      <c r="F846" s="163">
        <f>SUM(F842:F845)</f>
        <v>0</v>
      </c>
      <c r="BG846" s="157">
        <f>SUM(E846,K846,Q846,W846,AC846,AI846,AO846,AU846,AX846,BD846)</f>
        <v>0</v>
      </c>
      <c r="BH846" s="158">
        <f>SUM(F846,L846,R846,X846,AD846,AJ846,AP846,AV846,AY846,BE846)</f>
        <v>0</v>
      </c>
    </row>
    <row r="847" spans="2:60" ht="14.4" thickBot="1" x14ac:dyDescent="0.3">
      <c r="B847" s="170"/>
      <c r="C847" s="173"/>
      <c r="D847" s="164" t="str">
        <f>IF(E846=F846,"",IF(E846&gt;F846,"Saldo Deudor","Saldo Acreedor"))</f>
        <v/>
      </c>
      <c r="E847" s="165" t="str">
        <f>IF(E846&gt;F846,E846-F846,"")</f>
        <v/>
      </c>
      <c r="F847" s="176" t="str">
        <f>IF(E846&lt;F846,F846-E846,"")</f>
        <v/>
      </c>
    </row>
    <row r="850" spans="2:60" ht="15.6" x14ac:dyDescent="0.25">
      <c r="B850" s="324" t="s">
        <v>472</v>
      </c>
      <c r="C850" s="324"/>
      <c r="D850" s="175">
        <v>4071</v>
      </c>
      <c r="E850" s="160"/>
      <c r="H850" s="324" t="s">
        <v>472</v>
      </c>
      <c r="I850" s="324"/>
      <c r="J850" s="175">
        <v>4072</v>
      </c>
      <c r="K850" s="160"/>
      <c r="N850" s="324" t="s">
        <v>472</v>
      </c>
      <c r="O850" s="324"/>
      <c r="P850" s="175">
        <v>4073</v>
      </c>
      <c r="Q850" s="160"/>
      <c r="T850" s="324" t="s">
        <v>472</v>
      </c>
      <c r="U850" s="324"/>
      <c r="V850" s="175">
        <v>4074</v>
      </c>
      <c r="W850" s="160"/>
    </row>
    <row r="851" spans="2:60" x14ac:dyDescent="0.25">
      <c r="B851" s="160"/>
      <c r="C851" s="160"/>
      <c r="D851" s="160"/>
      <c r="E851" s="160"/>
      <c r="H851" s="160"/>
      <c r="I851" s="160"/>
      <c r="J851" s="160"/>
      <c r="K851" s="160"/>
      <c r="N851" s="160"/>
      <c r="O851" s="160"/>
      <c r="P851" s="160"/>
      <c r="Q851" s="160"/>
      <c r="T851" s="160"/>
      <c r="U851" s="160"/>
      <c r="V851" s="160"/>
      <c r="W851" s="160"/>
    </row>
    <row r="852" spans="2:60" ht="15.6" x14ac:dyDescent="0.25">
      <c r="B852" s="324" t="s">
        <v>473</v>
      </c>
      <c r="C852" s="324"/>
      <c r="D852" s="234" t="str">
        <f>VLOOKUP(D850,DivisionariasContables,3,FALSE)</f>
        <v>Habitat</v>
      </c>
      <c r="E852" s="160"/>
      <c r="H852" s="324" t="s">
        <v>473</v>
      </c>
      <c r="I852" s="324"/>
      <c r="J852" s="234" t="str">
        <f>VLOOKUP(J850,DivisionariasContables,3,FALSE)</f>
        <v>Integra</v>
      </c>
      <c r="K852" s="160"/>
      <c r="N852" s="324" t="s">
        <v>473</v>
      </c>
      <c r="O852" s="324"/>
      <c r="P852" s="234" t="str">
        <f>VLOOKUP(P850,DivisionariasContables,3,FALSE)</f>
        <v>Prima</v>
      </c>
      <c r="Q852" s="160"/>
      <c r="T852" s="324" t="s">
        <v>473</v>
      </c>
      <c r="U852" s="324"/>
      <c r="V852" s="234" t="str">
        <f>VLOOKUP(V850,DivisionariasContables,3,FALSE)</f>
        <v>Profuturo</v>
      </c>
      <c r="W852" s="160"/>
    </row>
    <row r="853" spans="2:60" ht="14.4" thickBot="1" x14ac:dyDescent="0.3"/>
    <row r="854" spans="2:60" x14ac:dyDescent="0.25">
      <c r="B854" s="325" t="s">
        <v>466</v>
      </c>
      <c r="C854" s="327" t="s">
        <v>467</v>
      </c>
      <c r="D854" s="327" t="s">
        <v>468</v>
      </c>
      <c r="E854" s="329" t="s">
        <v>469</v>
      </c>
      <c r="F854" s="330"/>
      <c r="H854" s="325" t="s">
        <v>466</v>
      </c>
      <c r="I854" s="327" t="s">
        <v>467</v>
      </c>
      <c r="J854" s="327" t="s">
        <v>468</v>
      </c>
      <c r="K854" s="329" t="s">
        <v>469</v>
      </c>
      <c r="L854" s="330"/>
      <c r="N854" s="325" t="s">
        <v>466</v>
      </c>
      <c r="O854" s="327" t="s">
        <v>467</v>
      </c>
      <c r="P854" s="327" t="s">
        <v>468</v>
      </c>
      <c r="Q854" s="329" t="s">
        <v>469</v>
      </c>
      <c r="R854" s="330"/>
      <c r="T854" s="325" t="s">
        <v>466</v>
      </c>
      <c r="U854" s="327" t="s">
        <v>467</v>
      </c>
      <c r="V854" s="327" t="s">
        <v>468</v>
      </c>
      <c r="W854" s="329" t="s">
        <v>469</v>
      </c>
      <c r="X854" s="330"/>
    </row>
    <row r="855" spans="2:60" ht="14.4" thickBot="1" x14ac:dyDescent="0.3">
      <c r="B855" s="326"/>
      <c r="C855" s="328"/>
      <c r="D855" s="328"/>
      <c r="E855" s="232" t="s">
        <v>403</v>
      </c>
      <c r="F855" s="174" t="s">
        <v>402</v>
      </c>
      <c r="H855" s="326"/>
      <c r="I855" s="328"/>
      <c r="J855" s="328"/>
      <c r="K855" s="232" t="s">
        <v>403</v>
      </c>
      <c r="L855" s="174" t="s">
        <v>402</v>
      </c>
      <c r="N855" s="326"/>
      <c r="O855" s="328"/>
      <c r="P855" s="328"/>
      <c r="Q855" s="232" t="s">
        <v>403</v>
      </c>
      <c r="R855" s="174" t="s">
        <v>402</v>
      </c>
      <c r="T855" s="326"/>
      <c r="U855" s="328"/>
      <c r="V855" s="328"/>
      <c r="W855" s="232" t="s">
        <v>403</v>
      </c>
      <c r="X855" s="174" t="s">
        <v>402</v>
      </c>
    </row>
    <row r="856" spans="2:60" ht="14.4" thickTop="1" x14ac:dyDescent="0.25">
      <c r="B856" s="236">
        <v>41670</v>
      </c>
      <c r="C856" s="171"/>
      <c r="D856" s="166" t="s">
        <v>470</v>
      </c>
      <c r="E856" s="167">
        <f>SUMIF('Libro Diario Convencional'!$D$15:$D$167,D850,'Libro Diario Convencional'!$G$15:$G$167)</f>
        <v>0</v>
      </c>
      <c r="F856" s="168">
        <f>SUMIF('Libro Diario Convencional'!$D$15:$D$167,D850,'Libro Diario Convencional'!$H$15:$H$167)</f>
        <v>5664</v>
      </c>
      <c r="H856" s="236">
        <v>41670</v>
      </c>
      <c r="I856" s="171"/>
      <c r="J856" s="166" t="s">
        <v>470</v>
      </c>
      <c r="K856" s="167">
        <f>SUMIF('Libro Diario Convencional'!$D$15:$D$167,J850,'Libro Diario Convencional'!$G$15:$G$167)</f>
        <v>0</v>
      </c>
      <c r="L856" s="168">
        <f>SUMIF('Libro Diario Convencional'!$D$15:$D$167,J850,'Libro Diario Convencional'!$H$15:$H$167)</f>
        <v>6901.2</v>
      </c>
      <c r="N856" s="236">
        <v>41670</v>
      </c>
      <c r="O856" s="171"/>
      <c r="P856" s="166" t="s">
        <v>470</v>
      </c>
      <c r="Q856" s="167">
        <f>SUMIF('Libro Diario Convencional'!$D$15:$D$167,P850,'Libro Diario Convencional'!$G$15:$G$167)</f>
        <v>0</v>
      </c>
      <c r="R856" s="168">
        <f>SUMIF('Libro Diario Convencional'!$D$15:$D$167,P850,'Libro Diario Convencional'!$H$15:$H$167)</f>
        <v>13096.8</v>
      </c>
      <c r="T856" s="236">
        <v>41670</v>
      </c>
      <c r="U856" s="171"/>
      <c r="V856" s="166" t="s">
        <v>470</v>
      </c>
      <c r="W856" s="167">
        <f>SUMIF('Libro Diario Convencional'!$D$15:$D$167,V850,'Libro Diario Convencional'!$G$15:$G$167)</f>
        <v>0</v>
      </c>
      <c r="X856" s="168">
        <f>SUMIF('Libro Diario Convencional'!$D$15:$D$167,V850,'Libro Diario Convencional'!$H$15:$H$167)</f>
        <v>0</v>
      </c>
    </row>
    <row r="857" spans="2:60" x14ac:dyDescent="0.25">
      <c r="B857" s="169"/>
      <c r="C857" s="172"/>
      <c r="D857" s="161"/>
      <c r="E857" s="162"/>
      <c r="F857" s="163"/>
      <c r="H857" s="169"/>
      <c r="I857" s="172"/>
      <c r="J857" s="161"/>
      <c r="K857" s="162"/>
      <c r="L857" s="163"/>
      <c r="N857" s="169"/>
      <c r="O857" s="172"/>
      <c r="P857" s="161"/>
      <c r="Q857" s="162"/>
      <c r="R857" s="163"/>
      <c r="T857" s="169"/>
      <c r="U857" s="172"/>
      <c r="V857" s="161"/>
      <c r="W857" s="162"/>
      <c r="X857" s="163"/>
    </row>
    <row r="858" spans="2:60" x14ac:dyDescent="0.25">
      <c r="B858" s="169"/>
      <c r="C858" s="172"/>
      <c r="D858" s="161"/>
      <c r="E858" s="162"/>
      <c r="F858" s="163"/>
      <c r="H858" s="169"/>
      <c r="I858" s="172"/>
      <c r="J858" s="161"/>
      <c r="K858" s="162"/>
      <c r="L858" s="163"/>
      <c r="N858" s="169"/>
      <c r="O858" s="172"/>
      <c r="P858" s="161"/>
      <c r="Q858" s="162"/>
      <c r="R858" s="163"/>
      <c r="T858" s="169"/>
      <c r="U858" s="172"/>
      <c r="V858" s="161"/>
      <c r="W858" s="162"/>
      <c r="X858" s="163"/>
    </row>
    <row r="859" spans="2:60" ht="14.4" thickBot="1" x14ac:dyDescent="0.3">
      <c r="B859" s="169"/>
      <c r="C859" s="172"/>
      <c r="D859" s="161"/>
      <c r="E859" s="162"/>
      <c r="F859" s="163"/>
      <c r="H859" s="169"/>
      <c r="I859" s="172"/>
      <c r="J859" s="161"/>
      <c r="K859" s="162"/>
      <c r="L859" s="163"/>
      <c r="N859" s="169"/>
      <c r="O859" s="172"/>
      <c r="P859" s="161"/>
      <c r="Q859" s="162"/>
      <c r="R859" s="163"/>
      <c r="T859" s="169"/>
      <c r="U859" s="172"/>
      <c r="V859" s="161"/>
      <c r="W859" s="162"/>
      <c r="X859" s="163"/>
    </row>
    <row r="860" spans="2:60" ht="15" thickBot="1" x14ac:dyDescent="0.3">
      <c r="B860" s="169"/>
      <c r="C860" s="172"/>
      <c r="D860" s="161" t="s">
        <v>471</v>
      </c>
      <c r="E860" s="162">
        <f>SUM(E856:E859)</f>
        <v>0</v>
      </c>
      <c r="F860" s="163">
        <f>SUM(F856:F859)</f>
        <v>5664</v>
      </c>
      <c r="H860" s="169"/>
      <c r="I860" s="172"/>
      <c r="J860" s="161" t="s">
        <v>471</v>
      </c>
      <c r="K860" s="162">
        <f>SUM(K856:K859)</f>
        <v>0</v>
      </c>
      <c r="L860" s="163">
        <f>SUM(L856:L859)</f>
        <v>6901.2</v>
      </c>
      <c r="N860" s="169"/>
      <c r="O860" s="172"/>
      <c r="P860" s="161" t="s">
        <v>471</v>
      </c>
      <c r="Q860" s="162">
        <f>SUM(Q856:Q859)</f>
        <v>0</v>
      </c>
      <c r="R860" s="163">
        <f>SUM(R856:R859)</f>
        <v>13096.8</v>
      </c>
      <c r="T860" s="169"/>
      <c r="U860" s="172"/>
      <c r="V860" s="161" t="s">
        <v>471</v>
      </c>
      <c r="W860" s="162">
        <f>SUM(W856:W859)</f>
        <v>0</v>
      </c>
      <c r="X860" s="163">
        <f>SUM(X856:X859)</f>
        <v>0</v>
      </c>
      <c r="BG860" s="157">
        <f>SUM(E860,K860,Q860,W860,AC860,AI860,AO860,AU860,AX860,BD860)</f>
        <v>0</v>
      </c>
      <c r="BH860" s="158">
        <f>SUM(F860,L860,R860,X860,AD860,AJ860,AP860,AV860,AY860,BE860)</f>
        <v>25662</v>
      </c>
    </row>
    <row r="861" spans="2:60" ht="14.4" thickBot="1" x14ac:dyDescent="0.3">
      <c r="B861" s="170"/>
      <c r="C861" s="173"/>
      <c r="D861" s="164" t="str">
        <f>IF(E860=F860,"",IF(E860&gt;F860,"Saldo Deudor","Saldo Acreedor"))</f>
        <v>Saldo Acreedor</v>
      </c>
      <c r="E861" s="165" t="str">
        <f>IF(E860&gt;F860,E860-F860,"")</f>
        <v/>
      </c>
      <c r="F861" s="176">
        <f>IF(E860&lt;F860,F860-E860,"")</f>
        <v>5664</v>
      </c>
      <c r="H861" s="170"/>
      <c r="I861" s="173"/>
      <c r="J861" s="164" t="str">
        <f>IF(K860=L860,"",IF(K860&gt;L860,"Saldo Deudor","Saldo Acreedor"))</f>
        <v>Saldo Acreedor</v>
      </c>
      <c r="K861" s="165" t="str">
        <f>IF(K860&gt;L860,K860-L860,"")</f>
        <v/>
      </c>
      <c r="L861" s="176">
        <f>IF(K860&lt;L860,L860-K860,"")</f>
        <v>6901.2</v>
      </c>
      <c r="N861" s="170"/>
      <c r="O861" s="173"/>
      <c r="P861" s="164" t="str">
        <f>IF(Q860=R860,"",IF(Q860&gt;R860,"Saldo Deudor","Saldo Acreedor"))</f>
        <v>Saldo Acreedor</v>
      </c>
      <c r="Q861" s="165" t="str">
        <f>IF(Q860&gt;R860,Q860-R860,"")</f>
        <v/>
      </c>
      <c r="R861" s="176">
        <f>IF(Q860&lt;R860,R860-Q860,"")</f>
        <v>13096.8</v>
      </c>
      <c r="T861" s="170"/>
      <c r="U861" s="173"/>
      <c r="V861" s="164" t="str">
        <f>IF(W860=X860,"",IF(W860&gt;X860,"Saldo Deudor","Saldo Acreedor"))</f>
        <v/>
      </c>
      <c r="W861" s="165" t="str">
        <f>IF(W860&gt;X860,W860-X860,"")</f>
        <v/>
      </c>
      <c r="X861" s="176" t="str">
        <f>IF(W860&lt;X860,X860-W860,"")</f>
        <v/>
      </c>
    </row>
    <row r="864" spans="2:60" ht="15.6" x14ac:dyDescent="0.25">
      <c r="B864" s="324" t="s">
        <v>472</v>
      </c>
      <c r="C864" s="324"/>
      <c r="D864" s="175">
        <v>4111</v>
      </c>
      <c r="E864" s="160"/>
    </row>
    <row r="865" spans="2:60" x14ac:dyDescent="0.25">
      <c r="B865" s="160"/>
      <c r="C865" s="160"/>
      <c r="D865" s="160"/>
      <c r="E865" s="160"/>
    </row>
    <row r="866" spans="2:60" ht="15.6" x14ac:dyDescent="0.25">
      <c r="B866" s="324" t="s">
        <v>473</v>
      </c>
      <c r="C866" s="324"/>
      <c r="D866" s="234" t="str">
        <f>VLOOKUP(D864,DivisionariasContables,3,FALSE)</f>
        <v>Sueldos y Salarios por Pagar</v>
      </c>
      <c r="E866" s="160"/>
    </row>
    <row r="867" spans="2:60" ht="14.4" thickBot="1" x14ac:dyDescent="0.3"/>
    <row r="868" spans="2:60" x14ac:dyDescent="0.25">
      <c r="B868" s="325" t="s">
        <v>466</v>
      </c>
      <c r="C868" s="327" t="s">
        <v>467</v>
      </c>
      <c r="D868" s="327" t="s">
        <v>468</v>
      </c>
      <c r="E868" s="329" t="s">
        <v>469</v>
      </c>
      <c r="F868" s="330"/>
    </row>
    <row r="869" spans="2:60" ht="14.4" thickBot="1" x14ac:dyDescent="0.3">
      <c r="B869" s="326"/>
      <c r="C869" s="328"/>
      <c r="D869" s="328"/>
      <c r="E869" s="232" t="s">
        <v>403</v>
      </c>
      <c r="F869" s="174" t="s">
        <v>402</v>
      </c>
    </row>
    <row r="870" spans="2:60" ht="14.4" thickTop="1" x14ac:dyDescent="0.25">
      <c r="B870" s="236">
        <v>41670</v>
      </c>
      <c r="C870" s="171"/>
      <c r="D870" s="166" t="s">
        <v>470</v>
      </c>
      <c r="E870" s="167">
        <f>SUMIF('Libro Diario Convencional'!$D$15:$D$167,D864,'Libro Diario Convencional'!$G$15:$G$167)</f>
        <v>0</v>
      </c>
      <c r="F870" s="168">
        <f>SUMIF('Libro Diario Convencional'!$D$15:$D$167,D864,'Libro Diario Convencional'!$H$15:$H$167)</f>
        <v>261858</v>
      </c>
    </row>
    <row r="871" spans="2:60" x14ac:dyDescent="0.25">
      <c r="B871" s="169"/>
      <c r="C871" s="172"/>
      <c r="D871" s="161"/>
      <c r="E871" s="162"/>
      <c r="F871" s="163"/>
    </row>
    <row r="872" spans="2:60" x14ac:dyDescent="0.25">
      <c r="B872" s="169"/>
      <c r="C872" s="172"/>
      <c r="D872" s="161"/>
      <c r="E872" s="162"/>
      <c r="F872" s="163"/>
    </row>
    <row r="873" spans="2:60" ht="14.4" thickBot="1" x14ac:dyDescent="0.3">
      <c r="B873" s="169"/>
      <c r="C873" s="172"/>
      <c r="D873" s="161"/>
      <c r="E873" s="162"/>
      <c r="F873" s="163"/>
    </row>
    <row r="874" spans="2:60" ht="15" thickBot="1" x14ac:dyDescent="0.3">
      <c r="B874" s="169"/>
      <c r="C874" s="172"/>
      <c r="D874" s="161" t="s">
        <v>471</v>
      </c>
      <c r="E874" s="162">
        <f>SUM(E870:E873)</f>
        <v>0</v>
      </c>
      <c r="F874" s="163">
        <f>SUM(F870:F873)</f>
        <v>261858</v>
      </c>
      <c r="BG874" s="157">
        <f>SUM(E874,K874,Q874,W874,AC874,AI874,AO874,AU874,AX874,BD874)</f>
        <v>0</v>
      </c>
      <c r="BH874" s="158">
        <f>SUM(F874,L874,R874,X874,AD874,AJ874,AP874,AV874,AY874,BE874)</f>
        <v>261858</v>
      </c>
    </row>
    <row r="875" spans="2:60" ht="14.4" thickBot="1" x14ac:dyDescent="0.3">
      <c r="B875" s="170"/>
      <c r="C875" s="173"/>
      <c r="D875" s="164" t="str">
        <f>IF(E874=F874,"",IF(E874&gt;F874,"Saldo Deudor","Saldo Acreedor"))</f>
        <v>Saldo Acreedor</v>
      </c>
      <c r="E875" s="165" t="str">
        <f>IF(E874&gt;F874,E874-F874,"")</f>
        <v/>
      </c>
      <c r="F875" s="176">
        <f>IF(E874&lt;F874,F874-E874,"")</f>
        <v>261858</v>
      </c>
    </row>
    <row r="878" spans="2:60" ht="15.6" x14ac:dyDescent="0.25">
      <c r="B878" s="324" t="s">
        <v>472</v>
      </c>
      <c r="C878" s="324"/>
      <c r="D878" s="175">
        <v>4151</v>
      </c>
      <c r="E878" s="160"/>
    </row>
    <row r="879" spans="2:60" x14ac:dyDescent="0.25">
      <c r="B879" s="160"/>
      <c r="C879" s="160"/>
      <c r="D879" s="160"/>
      <c r="E879" s="160"/>
    </row>
    <row r="880" spans="2:60" ht="15.6" x14ac:dyDescent="0.25">
      <c r="B880" s="324" t="s">
        <v>473</v>
      </c>
      <c r="C880" s="324"/>
      <c r="D880" s="234" t="str">
        <f>VLOOKUP(D878,DivisionariasContables,3,FALSE)</f>
        <v>Compensación por Tiempo de Servicios</v>
      </c>
      <c r="E880" s="160"/>
    </row>
    <row r="881" spans="2:60" ht="14.4" thickBot="1" x14ac:dyDescent="0.3"/>
    <row r="882" spans="2:60" x14ac:dyDescent="0.25">
      <c r="B882" s="325" t="s">
        <v>466</v>
      </c>
      <c r="C882" s="327" t="s">
        <v>467</v>
      </c>
      <c r="D882" s="327" t="s">
        <v>468</v>
      </c>
      <c r="E882" s="329" t="s">
        <v>469</v>
      </c>
      <c r="F882" s="330"/>
    </row>
    <row r="883" spans="2:60" ht="14.4" thickBot="1" x14ac:dyDescent="0.3">
      <c r="B883" s="326"/>
      <c r="C883" s="328"/>
      <c r="D883" s="328"/>
      <c r="E883" s="232" t="s">
        <v>403</v>
      </c>
      <c r="F883" s="174" t="s">
        <v>402</v>
      </c>
    </row>
    <row r="884" spans="2:60" ht="14.4" thickTop="1" x14ac:dyDescent="0.25">
      <c r="B884" s="236">
        <v>41670</v>
      </c>
      <c r="C884" s="171"/>
      <c r="D884" s="166" t="s">
        <v>470</v>
      </c>
      <c r="E884" s="167">
        <f>SUMIF('Libro Diario Convencional'!$D$15:$D$167,D878,'Libro Diario Convencional'!$G$15:$G$167)</f>
        <v>0</v>
      </c>
      <c r="F884" s="168">
        <f>SUMIF('Libro Diario Convencional'!$D$15:$D$167,D878,'Libro Diario Convencional'!$H$15:$H$167)</f>
        <v>0</v>
      </c>
    </row>
    <row r="885" spans="2:60" x14ac:dyDescent="0.25">
      <c r="B885" s="169"/>
      <c r="C885" s="172"/>
      <c r="D885" s="161"/>
      <c r="E885" s="162"/>
      <c r="F885" s="163"/>
    </row>
    <row r="886" spans="2:60" x14ac:dyDescent="0.25">
      <c r="B886" s="169"/>
      <c r="C886" s="172"/>
      <c r="D886" s="161"/>
      <c r="E886" s="162"/>
      <c r="F886" s="163"/>
    </row>
    <row r="887" spans="2:60" ht="14.4" thickBot="1" x14ac:dyDescent="0.3">
      <c r="B887" s="169"/>
      <c r="C887" s="172"/>
      <c r="D887" s="161"/>
      <c r="E887" s="162"/>
      <c r="F887" s="163"/>
    </row>
    <row r="888" spans="2:60" ht="15" thickBot="1" x14ac:dyDescent="0.3">
      <c r="B888" s="169"/>
      <c r="C888" s="172"/>
      <c r="D888" s="161" t="s">
        <v>471</v>
      </c>
      <c r="E888" s="162">
        <f>SUM(E884:E887)</f>
        <v>0</v>
      </c>
      <c r="F888" s="163">
        <f>SUM(F884:F887)</f>
        <v>0</v>
      </c>
      <c r="BG888" s="157">
        <f>SUM(E888,K888,Q888,W888,AC888,AI888,AO888,AU888,AX888,BD888)</f>
        <v>0</v>
      </c>
      <c r="BH888" s="158">
        <f>SUM(F888,L888,R888,X888,AD888,AJ888,AP888,AV888,AY888,BE888)</f>
        <v>0</v>
      </c>
    </row>
    <row r="889" spans="2:60" ht="14.4" thickBot="1" x14ac:dyDescent="0.3">
      <c r="B889" s="170"/>
      <c r="C889" s="173"/>
      <c r="D889" s="164" t="str">
        <f>IF(E888=F888,"",IF(E888&gt;F888,"Saldo Deudor","Saldo Acreedor"))</f>
        <v/>
      </c>
      <c r="E889" s="165" t="str">
        <f>IF(E888&gt;F888,E888-F888,"")</f>
        <v/>
      </c>
      <c r="F889" s="176" t="str">
        <f>IF(E888&lt;F888,F888-E888,"")</f>
        <v/>
      </c>
    </row>
    <row r="892" spans="2:60" ht="15.6" x14ac:dyDescent="0.25">
      <c r="B892" s="324" t="s">
        <v>472</v>
      </c>
      <c r="C892" s="324"/>
      <c r="D892" s="175">
        <v>4212</v>
      </c>
      <c r="E892" s="160"/>
    </row>
    <row r="893" spans="2:60" x14ac:dyDescent="0.25">
      <c r="B893" s="160"/>
      <c r="C893" s="160"/>
      <c r="D893" s="160"/>
      <c r="E893" s="160"/>
    </row>
    <row r="894" spans="2:60" ht="15.6" x14ac:dyDescent="0.25">
      <c r="B894" s="324" t="s">
        <v>473</v>
      </c>
      <c r="C894" s="324"/>
      <c r="D894" s="234" t="str">
        <f>VLOOKUP(D892,DivisionariasContables,3,FALSE)</f>
        <v>Facturas, Boletas y Otros Comprobantes por Pagar - Emitidas</v>
      </c>
      <c r="E894" s="160"/>
    </row>
    <row r="895" spans="2:60" ht="14.4" thickBot="1" x14ac:dyDescent="0.3"/>
    <row r="896" spans="2:60" x14ac:dyDescent="0.25">
      <c r="B896" s="325" t="s">
        <v>466</v>
      </c>
      <c r="C896" s="327" t="s">
        <v>467</v>
      </c>
      <c r="D896" s="327" t="s">
        <v>468</v>
      </c>
      <c r="E896" s="329" t="s">
        <v>469</v>
      </c>
      <c r="F896" s="330"/>
    </row>
    <row r="897" spans="2:60" ht="14.4" thickBot="1" x14ac:dyDescent="0.3">
      <c r="B897" s="326"/>
      <c r="C897" s="328"/>
      <c r="D897" s="328"/>
      <c r="E897" s="232" t="s">
        <v>403</v>
      </c>
      <c r="F897" s="174" t="s">
        <v>402</v>
      </c>
    </row>
    <row r="898" spans="2:60" ht="14.4" thickTop="1" x14ac:dyDescent="0.25">
      <c r="B898" s="236">
        <v>41670</v>
      </c>
      <c r="C898" s="171"/>
      <c r="D898" s="166" t="s">
        <v>470</v>
      </c>
      <c r="E898" s="167">
        <f>SUMIF('Libro Diario Convencional'!$D$15:$D$167,D892,'Libro Diario Convencional'!$G$15:$G$167)</f>
        <v>181838</v>
      </c>
      <c r="F898" s="168">
        <f>SUMIF('Libro Diario Convencional'!$D$15:$D$167,D892,'Libro Diario Convencional'!$H$15:$H$167)</f>
        <v>0</v>
      </c>
    </row>
    <row r="899" spans="2:60" x14ac:dyDescent="0.25">
      <c r="B899" s="169"/>
      <c r="C899" s="172"/>
      <c r="D899" s="161"/>
      <c r="E899" s="162"/>
      <c r="F899" s="163"/>
    </row>
    <row r="900" spans="2:60" x14ac:dyDescent="0.25">
      <c r="B900" s="169"/>
      <c r="C900" s="172"/>
      <c r="D900" s="161"/>
      <c r="E900" s="162"/>
      <c r="F900" s="163"/>
    </row>
    <row r="901" spans="2:60" ht="14.4" thickBot="1" x14ac:dyDescent="0.3">
      <c r="B901" s="169"/>
      <c r="C901" s="172"/>
      <c r="D901" s="161"/>
      <c r="E901" s="162"/>
      <c r="F901" s="163"/>
    </row>
    <row r="902" spans="2:60" ht="15" thickBot="1" x14ac:dyDescent="0.3">
      <c r="B902" s="169"/>
      <c r="C902" s="172"/>
      <c r="D902" s="161" t="s">
        <v>471</v>
      </c>
      <c r="E902" s="162">
        <f>SUM(E898:E901)</f>
        <v>181838</v>
      </c>
      <c r="F902" s="163">
        <f>SUM(F898:F901)</f>
        <v>0</v>
      </c>
      <c r="BG902" s="157">
        <f>SUM(E902,K902,Q902,W902,AC902,AI902,AO902,AU902,AX902,BD902)</f>
        <v>181838</v>
      </c>
      <c r="BH902" s="158">
        <f>SUM(F902,L902,R902,X902,AD902,AJ902,AP902,AV902,AY902,BE902)</f>
        <v>0</v>
      </c>
    </row>
    <row r="903" spans="2:60" ht="14.4" thickBot="1" x14ac:dyDescent="0.3">
      <c r="B903" s="170"/>
      <c r="C903" s="173"/>
      <c r="D903" s="164" t="str">
        <f>IF(E902=F902,"",IF(E902&gt;F902,"Saldo Deudor","Saldo Acreedor"))</f>
        <v>Saldo Deudor</v>
      </c>
      <c r="E903" s="165">
        <f>IF(E902&gt;F902,E902-F902,"")</f>
        <v>181838</v>
      </c>
      <c r="F903" s="176" t="str">
        <f>IF(E902&lt;F902,F902-E902,"")</f>
        <v/>
      </c>
    </row>
    <row r="906" spans="2:60" ht="15.6" x14ac:dyDescent="0.25">
      <c r="B906" s="324" t="s">
        <v>472</v>
      </c>
      <c r="C906" s="324"/>
      <c r="D906" s="175">
        <v>4241</v>
      </c>
      <c r="E906" s="160"/>
    </row>
    <row r="907" spans="2:60" x14ac:dyDescent="0.25">
      <c r="B907" s="160"/>
      <c r="C907" s="160"/>
      <c r="D907" s="160"/>
      <c r="E907" s="160"/>
    </row>
    <row r="908" spans="2:60" ht="15.6" x14ac:dyDescent="0.25">
      <c r="B908" s="324" t="s">
        <v>473</v>
      </c>
      <c r="C908" s="324"/>
      <c r="D908" s="234" t="str">
        <f>VLOOKUP(D906,DivisionariasContables,3,FALSE)</f>
        <v>Honorarios por Pagar</v>
      </c>
      <c r="E908" s="160"/>
    </row>
    <row r="909" spans="2:60" ht="14.4" thickBot="1" x14ac:dyDescent="0.3"/>
    <row r="910" spans="2:60" x14ac:dyDescent="0.25">
      <c r="B910" s="325" t="s">
        <v>466</v>
      </c>
      <c r="C910" s="327" t="s">
        <v>467</v>
      </c>
      <c r="D910" s="327" t="s">
        <v>468</v>
      </c>
      <c r="E910" s="329" t="s">
        <v>469</v>
      </c>
      <c r="F910" s="330"/>
    </row>
    <row r="911" spans="2:60" ht="14.4" thickBot="1" x14ac:dyDescent="0.3">
      <c r="B911" s="326"/>
      <c r="C911" s="328"/>
      <c r="D911" s="328"/>
      <c r="E911" s="232" t="s">
        <v>403</v>
      </c>
      <c r="F911" s="174" t="s">
        <v>402</v>
      </c>
    </row>
    <row r="912" spans="2:60" ht="14.4" thickTop="1" x14ac:dyDescent="0.25">
      <c r="B912" s="236">
        <v>41670</v>
      </c>
      <c r="C912" s="171"/>
      <c r="D912" s="166" t="s">
        <v>470</v>
      </c>
      <c r="E912" s="167">
        <f>SUMIF('Libro Diario Convencional'!$D$15:$D$167,D906,'Libro Diario Convencional'!$G$15:$G$167)</f>
        <v>0</v>
      </c>
      <c r="F912" s="168">
        <f>SUMIF('Libro Diario Convencional'!$D$15:$D$167,D906,'Libro Diario Convencional'!$H$15:$H$167)</f>
        <v>11040</v>
      </c>
    </row>
    <row r="913" spans="2:60" x14ac:dyDescent="0.25">
      <c r="B913" s="169"/>
      <c r="C913" s="172"/>
      <c r="D913" s="161"/>
      <c r="E913" s="162"/>
      <c r="F913" s="163"/>
    </row>
    <row r="914" spans="2:60" x14ac:dyDescent="0.25">
      <c r="B914" s="169"/>
      <c r="C914" s="172"/>
      <c r="D914" s="161"/>
      <c r="E914" s="162"/>
      <c r="F914" s="163"/>
    </row>
    <row r="915" spans="2:60" ht="14.4" thickBot="1" x14ac:dyDescent="0.3">
      <c r="B915" s="169"/>
      <c r="C915" s="172"/>
      <c r="D915" s="161"/>
      <c r="E915" s="162"/>
      <c r="F915" s="163"/>
    </row>
    <row r="916" spans="2:60" ht="15" thickBot="1" x14ac:dyDescent="0.3">
      <c r="B916" s="169"/>
      <c r="C916" s="172"/>
      <c r="D916" s="161" t="s">
        <v>471</v>
      </c>
      <c r="E916" s="162">
        <f>SUM(E912:E915)</f>
        <v>0</v>
      </c>
      <c r="F916" s="163">
        <f>SUM(F912:F915)</f>
        <v>11040</v>
      </c>
      <c r="BG916" s="157">
        <f>SUM(E916,K916,Q916,W916,AC916,AI916,AO916,AU916,AX916,BD916)</f>
        <v>0</v>
      </c>
      <c r="BH916" s="158">
        <f>SUM(F916,L916,R916,X916,AD916,AJ916,AP916,AV916,AY916,BE916)</f>
        <v>11040</v>
      </c>
    </row>
    <row r="917" spans="2:60" ht="14.4" thickBot="1" x14ac:dyDescent="0.3">
      <c r="B917" s="170"/>
      <c r="C917" s="173"/>
      <c r="D917" s="164" t="str">
        <f>IF(E916=F916,"",IF(E916&gt;F916,"Saldo Deudor","Saldo Acreedor"))</f>
        <v>Saldo Acreedor</v>
      </c>
      <c r="E917" s="165" t="str">
        <f>IF(E916&gt;F916,E916-F916,"")</f>
        <v/>
      </c>
      <c r="F917" s="176">
        <f>IF(E916&lt;F916,F916-E916,"")</f>
        <v>11040</v>
      </c>
    </row>
    <row r="920" spans="2:60" ht="15.6" x14ac:dyDescent="0.25">
      <c r="B920" s="324" t="s">
        <v>472</v>
      </c>
      <c r="C920" s="324"/>
      <c r="D920" s="175">
        <v>4699</v>
      </c>
      <c r="E920" s="160"/>
    </row>
    <row r="921" spans="2:60" x14ac:dyDescent="0.25">
      <c r="B921" s="160"/>
      <c r="C921" s="160"/>
      <c r="D921" s="160"/>
      <c r="E921" s="160"/>
    </row>
    <row r="922" spans="2:60" ht="15.6" x14ac:dyDescent="0.25">
      <c r="B922" s="324" t="s">
        <v>473</v>
      </c>
      <c r="C922" s="324"/>
      <c r="D922" s="234" t="str">
        <f>VLOOKUP(D920,DivisionariasContables,3,FALSE)</f>
        <v>Otras Cuentas por Pagar Diversas</v>
      </c>
      <c r="E922" s="160"/>
    </row>
    <row r="923" spans="2:60" ht="14.4" thickBot="1" x14ac:dyDescent="0.3"/>
    <row r="924" spans="2:60" x14ac:dyDescent="0.25">
      <c r="B924" s="325" t="s">
        <v>466</v>
      </c>
      <c r="C924" s="327" t="s">
        <v>467</v>
      </c>
      <c r="D924" s="327" t="s">
        <v>468</v>
      </c>
      <c r="E924" s="329" t="s">
        <v>469</v>
      </c>
      <c r="F924" s="330"/>
    </row>
    <row r="925" spans="2:60" ht="14.4" thickBot="1" x14ac:dyDescent="0.3">
      <c r="B925" s="326"/>
      <c r="C925" s="328"/>
      <c r="D925" s="328"/>
      <c r="E925" s="232" t="s">
        <v>403</v>
      </c>
      <c r="F925" s="174" t="s">
        <v>402</v>
      </c>
    </row>
    <row r="926" spans="2:60" ht="14.4" thickTop="1" x14ac:dyDescent="0.25">
      <c r="B926" s="236">
        <v>41670</v>
      </c>
      <c r="C926" s="171"/>
      <c r="D926" s="166" t="s">
        <v>470</v>
      </c>
      <c r="E926" s="167">
        <f>SUMIF('Libro Diario Convencional'!$D$15:$D$167,D920,'Libro Diario Convencional'!$G$15:$G$167)</f>
        <v>0</v>
      </c>
      <c r="F926" s="168">
        <f>SUMIF('Libro Diario Convencional'!$D$15:$D$167,D920,'Libro Diario Convencional'!$H$15:$H$167)</f>
        <v>9971</v>
      </c>
    </row>
    <row r="927" spans="2:60" x14ac:dyDescent="0.25">
      <c r="B927" s="169"/>
      <c r="C927" s="172"/>
      <c r="D927" s="161"/>
      <c r="E927" s="162"/>
      <c r="F927" s="163"/>
    </row>
    <row r="928" spans="2:60" x14ac:dyDescent="0.25">
      <c r="B928" s="169"/>
      <c r="C928" s="172"/>
      <c r="D928" s="161"/>
      <c r="E928" s="162"/>
      <c r="F928" s="163"/>
    </row>
    <row r="929" spans="2:60" ht="14.4" thickBot="1" x14ac:dyDescent="0.3">
      <c r="B929" s="169"/>
      <c r="C929" s="172"/>
      <c r="D929" s="161"/>
      <c r="E929" s="162"/>
      <c r="F929" s="163"/>
    </row>
    <row r="930" spans="2:60" ht="15" thickBot="1" x14ac:dyDescent="0.3">
      <c r="B930" s="169"/>
      <c r="C930" s="172"/>
      <c r="D930" s="161" t="s">
        <v>471</v>
      </c>
      <c r="E930" s="162">
        <f>SUM(E926:E929)</f>
        <v>0</v>
      </c>
      <c r="F930" s="163">
        <f>SUM(F926:F929)</f>
        <v>9971</v>
      </c>
      <c r="BG930" s="157">
        <f>SUM(E930,K930,Q930,W930,AC930,AI930,AO930,AU930,AX930,BD930)</f>
        <v>0</v>
      </c>
      <c r="BH930" s="158">
        <f>SUM(F930,L930,R930,X930,AD930,AJ930,AP930,AV930,AY930,BE930)</f>
        <v>9971</v>
      </c>
    </row>
    <row r="931" spans="2:60" ht="14.4" thickBot="1" x14ac:dyDescent="0.3">
      <c r="B931" s="170"/>
      <c r="C931" s="173"/>
      <c r="D931" s="164" t="str">
        <f>IF(E930=F930,"",IF(E930&gt;F930,"Saldo Deudor","Saldo Acreedor"))</f>
        <v>Saldo Acreedor</v>
      </c>
      <c r="E931" s="165" t="str">
        <f>IF(E930&gt;F930,E930-F930,"")</f>
        <v/>
      </c>
      <c r="F931" s="176">
        <f>IF(E930&lt;F930,F930-E930,"")</f>
        <v>9971</v>
      </c>
    </row>
    <row r="934" spans="2:60" ht="15.6" x14ac:dyDescent="0.25">
      <c r="B934" s="324" t="s">
        <v>472</v>
      </c>
      <c r="C934" s="324"/>
      <c r="D934" s="175">
        <v>5011</v>
      </c>
      <c r="E934" s="160"/>
      <c r="H934" s="324" t="s">
        <v>472</v>
      </c>
      <c r="I934" s="324"/>
      <c r="J934" s="175">
        <v>5012</v>
      </c>
      <c r="K934" s="160"/>
    </row>
    <row r="935" spans="2:60" x14ac:dyDescent="0.25">
      <c r="B935" s="160"/>
      <c r="C935" s="160"/>
      <c r="D935" s="160"/>
      <c r="E935" s="160"/>
      <c r="H935" s="160"/>
      <c r="I935" s="160"/>
      <c r="J935" s="160"/>
      <c r="K935" s="160"/>
    </row>
    <row r="936" spans="2:60" ht="15.6" x14ac:dyDescent="0.25">
      <c r="B936" s="324" t="s">
        <v>473</v>
      </c>
      <c r="C936" s="324"/>
      <c r="D936" s="234" t="str">
        <f>VLOOKUP(D934,DivisionariasContables,3,FALSE)</f>
        <v>Acciones</v>
      </c>
      <c r="E936" s="160"/>
      <c r="H936" s="324" t="s">
        <v>473</v>
      </c>
      <c r="I936" s="324"/>
      <c r="J936" s="234" t="str">
        <f>VLOOKUP(J934,DivisionariasContables,3,FALSE)</f>
        <v>Participaciones</v>
      </c>
      <c r="K936" s="160"/>
    </row>
    <row r="937" spans="2:60" ht="14.4" thickBot="1" x14ac:dyDescent="0.3"/>
    <row r="938" spans="2:60" x14ac:dyDescent="0.25">
      <c r="B938" s="325" t="s">
        <v>466</v>
      </c>
      <c r="C938" s="327" t="s">
        <v>467</v>
      </c>
      <c r="D938" s="327" t="s">
        <v>468</v>
      </c>
      <c r="E938" s="329" t="s">
        <v>469</v>
      </c>
      <c r="F938" s="330"/>
      <c r="H938" s="325" t="s">
        <v>466</v>
      </c>
      <c r="I938" s="327" t="s">
        <v>467</v>
      </c>
      <c r="J938" s="327" t="s">
        <v>468</v>
      </c>
      <c r="K938" s="329" t="s">
        <v>469</v>
      </c>
      <c r="L938" s="330"/>
    </row>
    <row r="939" spans="2:60" ht="14.4" thickBot="1" x14ac:dyDescent="0.3">
      <c r="B939" s="326"/>
      <c r="C939" s="328"/>
      <c r="D939" s="328"/>
      <c r="E939" s="232" t="s">
        <v>403</v>
      </c>
      <c r="F939" s="174" t="s">
        <v>402</v>
      </c>
      <c r="H939" s="326"/>
      <c r="I939" s="328"/>
      <c r="J939" s="328"/>
      <c r="K939" s="232" t="s">
        <v>403</v>
      </c>
      <c r="L939" s="174" t="s">
        <v>402</v>
      </c>
    </row>
    <row r="940" spans="2:60" ht="14.4" thickTop="1" x14ac:dyDescent="0.25">
      <c r="B940" s="236">
        <v>41670</v>
      </c>
      <c r="C940" s="171"/>
      <c r="D940" s="166" t="s">
        <v>470</v>
      </c>
      <c r="E940" s="167">
        <f>SUMIF('Libro Diario Convencional'!$D$15:$D$167,D934,'Libro Diario Convencional'!$G$15:$G$167)</f>
        <v>0</v>
      </c>
      <c r="F940" s="168">
        <f>SUMIF('Libro Diario Convencional'!$D$15:$D$167,D934,'Libro Diario Convencional'!$H$15:$H$167)</f>
        <v>0</v>
      </c>
      <c r="H940" s="236">
        <v>41670</v>
      </c>
      <c r="I940" s="171"/>
      <c r="J940" s="166" t="s">
        <v>470</v>
      </c>
      <c r="K940" s="167">
        <f>SUMIF('Libro Diario Convencional'!$D$15:$D$167,J934,'Libro Diario Convencional'!$G$15:$G$167)</f>
        <v>0</v>
      </c>
      <c r="L940" s="168">
        <f>SUMIF('Libro Diario Convencional'!$D$15:$D$167,J934,'Libro Diario Convencional'!$H$15:$H$167)</f>
        <v>0</v>
      </c>
    </row>
    <row r="941" spans="2:60" x14ac:dyDescent="0.25">
      <c r="B941" s="169"/>
      <c r="C941" s="172"/>
      <c r="D941" s="161"/>
      <c r="E941" s="162"/>
      <c r="F941" s="163"/>
      <c r="H941" s="169"/>
      <c r="I941" s="172"/>
      <c r="J941" s="161"/>
      <c r="K941" s="162"/>
      <c r="L941" s="163"/>
    </row>
    <row r="942" spans="2:60" x14ac:dyDescent="0.25">
      <c r="B942" s="169"/>
      <c r="C942" s="172"/>
      <c r="D942" s="161"/>
      <c r="E942" s="162"/>
      <c r="F942" s="163"/>
      <c r="H942" s="169"/>
      <c r="I942" s="172"/>
      <c r="J942" s="161"/>
      <c r="K942" s="162"/>
      <c r="L942" s="163"/>
    </row>
    <row r="943" spans="2:60" ht="14.4" thickBot="1" x14ac:dyDescent="0.3">
      <c r="B943" s="169"/>
      <c r="C943" s="172"/>
      <c r="D943" s="161"/>
      <c r="E943" s="162"/>
      <c r="F943" s="163"/>
      <c r="H943" s="169"/>
      <c r="I943" s="172"/>
      <c r="J943" s="161"/>
      <c r="K943" s="162"/>
      <c r="L943" s="163"/>
    </row>
    <row r="944" spans="2:60" ht="15" thickBot="1" x14ac:dyDescent="0.3">
      <c r="B944" s="169"/>
      <c r="C944" s="172"/>
      <c r="D944" s="161" t="s">
        <v>471</v>
      </c>
      <c r="E944" s="162">
        <f>SUM(E940:E943)</f>
        <v>0</v>
      </c>
      <c r="F944" s="163">
        <f>SUM(F940:F943)</f>
        <v>0</v>
      </c>
      <c r="H944" s="169"/>
      <c r="I944" s="172"/>
      <c r="J944" s="161" t="s">
        <v>471</v>
      </c>
      <c r="K944" s="162">
        <f>SUM(K940:K943)</f>
        <v>0</v>
      </c>
      <c r="L944" s="163">
        <f>SUM(L940:L943)</f>
        <v>0</v>
      </c>
      <c r="BG944" s="157">
        <f>SUM(E944,K944,Q944,W944,AC944,AI944,AO944,AU944,AX944,BD944)</f>
        <v>0</v>
      </c>
      <c r="BH944" s="158">
        <f>SUM(F944,L944,R944,X944,AD944,AJ944,AP944,AV944,AY944,BE944)</f>
        <v>0</v>
      </c>
    </row>
    <row r="945" spans="2:60" ht="14.4" thickBot="1" x14ac:dyDescent="0.3">
      <c r="B945" s="170"/>
      <c r="C945" s="173"/>
      <c r="D945" s="164" t="str">
        <f>IF(E944=F944,"",IF(E944&gt;F944,"Saldo Deudor","Saldo Acreedor"))</f>
        <v/>
      </c>
      <c r="E945" s="165" t="str">
        <f>IF(E944&gt;F944,E944-F944,"")</f>
        <v/>
      </c>
      <c r="F945" s="176" t="str">
        <f>IF(E944&lt;F944,F944-E944,"")</f>
        <v/>
      </c>
      <c r="H945" s="170"/>
      <c r="I945" s="173"/>
      <c r="J945" s="164" t="str">
        <f>IF(K944=L944,"",IF(K944&gt;L944,"Saldo Deudor","Saldo Acreedor"))</f>
        <v/>
      </c>
      <c r="K945" s="165" t="str">
        <f>IF(K944&gt;L944,K944-L944,"")</f>
        <v/>
      </c>
      <c r="L945" s="176" t="str">
        <f>IF(K944&lt;L944,L944-K944,"")</f>
        <v/>
      </c>
    </row>
    <row r="948" spans="2:60" ht="15.6" x14ac:dyDescent="0.25">
      <c r="B948" s="324" t="s">
        <v>472</v>
      </c>
      <c r="C948" s="324"/>
      <c r="D948" s="175">
        <v>5911</v>
      </c>
      <c r="E948" s="160"/>
    </row>
    <row r="949" spans="2:60" x14ac:dyDescent="0.25">
      <c r="B949" s="160"/>
      <c r="C949" s="160"/>
      <c r="D949" s="160"/>
      <c r="E949" s="160"/>
    </row>
    <row r="950" spans="2:60" ht="15.6" x14ac:dyDescent="0.25">
      <c r="B950" s="324" t="s">
        <v>473</v>
      </c>
      <c r="C950" s="324"/>
      <c r="D950" s="234" t="str">
        <f>VLOOKUP(D948,DivisionariasContables,3,FALSE)</f>
        <v>Utilidades Acumuladas</v>
      </c>
      <c r="E950" s="160"/>
    </row>
    <row r="951" spans="2:60" ht="14.4" thickBot="1" x14ac:dyDescent="0.3"/>
    <row r="952" spans="2:60" x14ac:dyDescent="0.25">
      <c r="B952" s="325" t="s">
        <v>466</v>
      </c>
      <c r="C952" s="327" t="s">
        <v>467</v>
      </c>
      <c r="D952" s="327" t="s">
        <v>468</v>
      </c>
      <c r="E952" s="329" t="s">
        <v>469</v>
      </c>
      <c r="F952" s="330"/>
    </row>
    <row r="953" spans="2:60" ht="14.4" thickBot="1" x14ac:dyDescent="0.3">
      <c r="B953" s="326"/>
      <c r="C953" s="328"/>
      <c r="D953" s="328"/>
      <c r="E953" s="232" t="s">
        <v>403</v>
      </c>
      <c r="F953" s="174" t="s">
        <v>402</v>
      </c>
    </row>
    <row r="954" spans="2:60" ht="14.4" thickTop="1" x14ac:dyDescent="0.25">
      <c r="B954" s="236">
        <v>41670</v>
      </c>
      <c r="C954" s="171"/>
      <c r="D954" s="166" t="s">
        <v>470</v>
      </c>
      <c r="E954" s="167">
        <f>SUMIF('Libro Diario Convencional'!$D$15:$D$167,D948,'Libro Diario Convencional'!$G$15:$G$167)</f>
        <v>0</v>
      </c>
      <c r="F954" s="168">
        <f>SUMIF('Libro Diario Convencional'!$D$15:$D$167,D948,'Libro Diario Convencional'!$H$15:$H$167)</f>
        <v>0</v>
      </c>
    </row>
    <row r="955" spans="2:60" x14ac:dyDescent="0.25">
      <c r="B955" s="169"/>
      <c r="C955" s="172"/>
      <c r="D955" s="161"/>
      <c r="E955" s="162"/>
      <c r="F955" s="163"/>
    </row>
    <row r="956" spans="2:60" x14ac:dyDescent="0.25">
      <c r="B956" s="169"/>
      <c r="C956" s="172"/>
      <c r="D956" s="161"/>
      <c r="E956" s="162"/>
      <c r="F956" s="163"/>
    </row>
    <row r="957" spans="2:60" ht="14.4" thickBot="1" x14ac:dyDescent="0.3">
      <c r="B957" s="169"/>
      <c r="C957" s="172"/>
      <c r="D957" s="161"/>
      <c r="E957" s="162"/>
      <c r="F957" s="163"/>
    </row>
    <row r="958" spans="2:60" ht="15" thickBot="1" x14ac:dyDescent="0.3">
      <c r="B958" s="169"/>
      <c r="C958" s="172"/>
      <c r="D958" s="161" t="s">
        <v>471</v>
      </c>
      <c r="E958" s="162">
        <f>SUM(E954:E957)</f>
        <v>0</v>
      </c>
      <c r="F958" s="163">
        <f>SUM(F954:F957)</f>
        <v>0</v>
      </c>
      <c r="BG958" s="157">
        <f>SUM(E958,K958,Q958,W958,AC958,AI958,AO958,AU958,AX958,BD958)</f>
        <v>0</v>
      </c>
      <c r="BH958" s="158">
        <f>SUM(F958,L958,R958,X958,AD958,AJ958,AP958,AV958,AY958,BE958)</f>
        <v>0</v>
      </c>
    </row>
    <row r="959" spans="2:60" ht="14.4" thickBot="1" x14ac:dyDescent="0.3">
      <c r="B959" s="170"/>
      <c r="C959" s="173"/>
      <c r="D959" s="164" t="str">
        <f>IF(E958=F958,"",IF(E958&gt;F958,"Saldo Deudor","Saldo Acreedor"))</f>
        <v/>
      </c>
      <c r="E959" s="165" t="str">
        <f>IF(E958&gt;F958,E958-F958,"")</f>
        <v/>
      </c>
      <c r="F959" s="176" t="str">
        <f>IF(E958&lt;F958,F958-E958,"")</f>
        <v/>
      </c>
    </row>
    <row r="962" spans="2:60" ht="15.6" x14ac:dyDescent="0.25">
      <c r="B962" s="324" t="s">
        <v>472</v>
      </c>
      <c r="C962" s="324"/>
      <c r="D962" s="175">
        <v>5921</v>
      </c>
      <c r="E962" s="160"/>
    </row>
    <row r="963" spans="2:60" x14ac:dyDescent="0.25">
      <c r="B963" s="160"/>
      <c r="C963" s="160"/>
      <c r="D963" s="160"/>
      <c r="E963" s="160"/>
    </row>
    <row r="964" spans="2:60" ht="15.6" x14ac:dyDescent="0.25">
      <c r="B964" s="324" t="s">
        <v>473</v>
      </c>
      <c r="C964" s="324"/>
      <c r="D964" s="234" t="str">
        <f>VLOOKUP(D962,DivisionariasContables,3,FALSE)</f>
        <v>Pérdidas Acumuladas</v>
      </c>
      <c r="E964" s="160"/>
    </row>
    <row r="965" spans="2:60" ht="14.4" thickBot="1" x14ac:dyDescent="0.3"/>
    <row r="966" spans="2:60" x14ac:dyDescent="0.25">
      <c r="B966" s="325" t="s">
        <v>466</v>
      </c>
      <c r="C966" s="327" t="s">
        <v>467</v>
      </c>
      <c r="D966" s="327" t="s">
        <v>468</v>
      </c>
      <c r="E966" s="329" t="s">
        <v>469</v>
      </c>
      <c r="F966" s="330"/>
    </row>
    <row r="967" spans="2:60" ht="14.4" thickBot="1" x14ac:dyDescent="0.3">
      <c r="B967" s="326"/>
      <c r="C967" s="328"/>
      <c r="D967" s="328"/>
      <c r="E967" s="232" t="s">
        <v>403</v>
      </c>
      <c r="F967" s="174" t="s">
        <v>402</v>
      </c>
    </row>
    <row r="968" spans="2:60" ht="14.4" thickTop="1" x14ac:dyDescent="0.25">
      <c r="B968" s="236">
        <v>41670</v>
      </c>
      <c r="C968" s="171"/>
      <c r="D968" s="166" t="s">
        <v>470</v>
      </c>
      <c r="E968" s="167">
        <f>SUMIF('Libro Diario Convencional'!$D$15:$D$167,D962,'Libro Diario Convencional'!$G$15:$G$167)</f>
        <v>0</v>
      </c>
      <c r="F968" s="168">
        <f>SUMIF('Libro Diario Convencional'!$D$15:$D$167,D962,'Libro Diario Convencional'!$H$15:$H$167)</f>
        <v>0</v>
      </c>
    </row>
    <row r="969" spans="2:60" x14ac:dyDescent="0.25">
      <c r="B969" s="169"/>
      <c r="C969" s="172"/>
      <c r="D969" s="161"/>
      <c r="E969" s="162"/>
      <c r="F969" s="163"/>
    </row>
    <row r="970" spans="2:60" x14ac:dyDescent="0.25">
      <c r="B970" s="169"/>
      <c r="C970" s="172"/>
      <c r="D970" s="161"/>
      <c r="E970" s="162"/>
      <c r="F970" s="163"/>
    </row>
    <row r="971" spans="2:60" ht="14.4" thickBot="1" x14ac:dyDescent="0.3">
      <c r="B971" s="169"/>
      <c r="C971" s="172"/>
      <c r="D971" s="161"/>
      <c r="E971" s="162"/>
      <c r="F971" s="163"/>
    </row>
    <row r="972" spans="2:60" ht="15" thickBot="1" x14ac:dyDescent="0.3">
      <c r="B972" s="169"/>
      <c r="C972" s="172"/>
      <c r="D972" s="161" t="s">
        <v>471</v>
      </c>
      <c r="E972" s="162">
        <f>SUM(E968:E971)</f>
        <v>0</v>
      </c>
      <c r="F972" s="163">
        <f>SUM(F968:F971)</f>
        <v>0</v>
      </c>
      <c r="BG972" s="157">
        <f>SUM(E972,K972,Q972,W972,AC972,AI972,AO972,AU972,AX972,BD972)</f>
        <v>0</v>
      </c>
      <c r="BH972" s="158">
        <f>SUM(F972,L972,R972,X972,AD972,AJ972,AP972,AV972,AY972,BE972)</f>
        <v>0</v>
      </c>
    </row>
    <row r="973" spans="2:60" ht="14.4" thickBot="1" x14ac:dyDescent="0.3">
      <c r="B973" s="170"/>
      <c r="C973" s="173"/>
      <c r="D973" s="164" t="str">
        <f>IF(E972=F972,"",IF(E972&gt;F972,"Saldo Deudor","Saldo Acreedor"))</f>
        <v/>
      </c>
      <c r="E973" s="165" t="str">
        <f>IF(E972&gt;F972,E972-F972,"")</f>
        <v/>
      </c>
      <c r="F973" s="176" t="str">
        <f>IF(E972&lt;F972,F972-E972,"")</f>
        <v/>
      </c>
    </row>
    <row r="976" spans="2:60" ht="15.6" x14ac:dyDescent="0.25">
      <c r="B976" s="324" t="s">
        <v>472</v>
      </c>
      <c r="C976" s="324"/>
      <c r="D976" s="175">
        <v>6011</v>
      </c>
      <c r="E976" s="160"/>
      <c r="H976" s="324" t="s">
        <v>472</v>
      </c>
      <c r="I976" s="324"/>
      <c r="J976" s="175">
        <v>6012</v>
      </c>
      <c r="K976" s="160"/>
      <c r="N976" s="324" t="s">
        <v>472</v>
      </c>
      <c r="O976" s="324"/>
      <c r="P976" s="175">
        <v>6013</v>
      </c>
      <c r="Q976" s="160"/>
      <c r="T976" s="324" t="s">
        <v>472</v>
      </c>
      <c r="U976" s="324"/>
      <c r="V976" s="175">
        <v>6014</v>
      </c>
      <c r="W976" s="160"/>
      <c r="Z976" s="324" t="s">
        <v>472</v>
      </c>
      <c r="AA976" s="324"/>
      <c r="AB976" s="175">
        <v>6018</v>
      </c>
      <c r="AC976" s="160"/>
    </row>
    <row r="977" spans="2:60" x14ac:dyDescent="0.25">
      <c r="B977" s="160"/>
      <c r="C977" s="160"/>
      <c r="D977" s="160"/>
      <c r="E977" s="160"/>
      <c r="H977" s="160"/>
      <c r="I977" s="160"/>
      <c r="J977" s="160"/>
      <c r="K977" s="160"/>
      <c r="N977" s="160"/>
      <c r="O977" s="160"/>
      <c r="P977" s="160"/>
      <c r="Q977" s="160"/>
      <c r="T977" s="160"/>
      <c r="U977" s="160"/>
      <c r="V977" s="160"/>
      <c r="W977" s="160"/>
      <c r="Z977" s="160"/>
      <c r="AA977" s="160"/>
      <c r="AB977" s="160"/>
      <c r="AC977" s="160"/>
    </row>
    <row r="978" spans="2:60" ht="15.6" x14ac:dyDescent="0.25">
      <c r="B978" s="324" t="s">
        <v>473</v>
      </c>
      <c r="C978" s="324"/>
      <c r="D978" s="234" t="str">
        <f>VLOOKUP(D976,DivisionariasContables,3,FALSE)</f>
        <v>Mercaderías - Mercaderías Manufacturadas</v>
      </c>
      <c r="E978" s="160"/>
      <c r="H978" s="324" t="s">
        <v>473</v>
      </c>
      <c r="I978" s="324"/>
      <c r="J978" s="234" t="str">
        <f>VLOOKUP(J976,DivisionariasContables,3,FALSE)</f>
        <v>Mercaderías - Mercaderías de Extracción</v>
      </c>
      <c r="K978" s="160"/>
      <c r="N978" s="324" t="s">
        <v>473</v>
      </c>
      <c r="O978" s="324"/>
      <c r="P978" s="234" t="str">
        <f>VLOOKUP(P976,DivisionariasContables,3,FALSE)</f>
        <v>Mercaderías - Mercaderías Agropecuarias y Piscícolas</v>
      </c>
      <c r="Q978" s="160"/>
      <c r="T978" s="324" t="s">
        <v>473</v>
      </c>
      <c r="U978" s="324"/>
      <c r="V978" s="234" t="str">
        <f>VLOOKUP(V976,DivisionariasContables,3,FALSE)</f>
        <v>Mercaderías - Mercaderías Inmuebles</v>
      </c>
      <c r="W978" s="160"/>
      <c r="Z978" s="324" t="s">
        <v>473</v>
      </c>
      <c r="AA978" s="324"/>
      <c r="AB978" s="234" t="str">
        <f>VLOOKUP(AB976,DivisionariasContables,3,FALSE)</f>
        <v>Mercaderías - Otras Mercaderías</v>
      </c>
      <c r="AC978" s="160"/>
    </row>
    <row r="979" spans="2:60" ht="14.4" thickBot="1" x14ac:dyDescent="0.3"/>
    <row r="980" spans="2:60" x14ac:dyDescent="0.25">
      <c r="B980" s="325" t="s">
        <v>466</v>
      </c>
      <c r="C980" s="327" t="s">
        <v>467</v>
      </c>
      <c r="D980" s="327" t="s">
        <v>468</v>
      </c>
      <c r="E980" s="329" t="s">
        <v>469</v>
      </c>
      <c r="F980" s="330"/>
      <c r="H980" s="325" t="s">
        <v>466</v>
      </c>
      <c r="I980" s="327" t="s">
        <v>467</v>
      </c>
      <c r="J980" s="327" t="s">
        <v>468</v>
      </c>
      <c r="K980" s="329" t="s">
        <v>469</v>
      </c>
      <c r="L980" s="330"/>
      <c r="N980" s="325" t="s">
        <v>466</v>
      </c>
      <c r="O980" s="327" t="s">
        <v>467</v>
      </c>
      <c r="P980" s="327" t="s">
        <v>468</v>
      </c>
      <c r="Q980" s="329" t="s">
        <v>469</v>
      </c>
      <c r="R980" s="330"/>
      <c r="T980" s="325" t="s">
        <v>466</v>
      </c>
      <c r="U980" s="327" t="s">
        <v>467</v>
      </c>
      <c r="V980" s="327" t="s">
        <v>468</v>
      </c>
      <c r="W980" s="329" t="s">
        <v>469</v>
      </c>
      <c r="X980" s="330"/>
      <c r="Z980" s="325" t="s">
        <v>466</v>
      </c>
      <c r="AA980" s="327" t="s">
        <v>467</v>
      </c>
      <c r="AB980" s="327" t="s">
        <v>468</v>
      </c>
      <c r="AC980" s="329" t="s">
        <v>469</v>
      </c>
      <c r="AD980" s="330"/>
    </row>
    <row r="981" spans="2:60" ht="14.4" thickBot="1" x14ac:dyDescent="0.3">
      <c r="B981" s="326"/>
      <c r="C981" s="328"/>
      <c r="D981" s="328"/>
      <c r="E981" s="232" t="s">
        <v>403</v>
      </c>
      <c r="F981" s="174" t="s">
        <v>402</v>
      </c>
      <c r="H981" s="326"/>
      <c r="I981" s="328"/>
      <c r="J981" s="328"/>
      <c r="K981" s="232" t="s">
        <v>403</v>
      </c>
      <c r="L981" s="174" t="s">
        <v>402</v>
      </c>
      <c r="N981" s="326"/>
      <c r="O981" s="328"/>
      <c r="P981" s="328"/>
      <c r="Q981" s="232" t="s">
        <v>403</v>
      </c>
      <c r="R981" s="174" t="s">
        <v>402</v>
      </c>
      <c r="T981" s="326"/>
      <c r="U981" s="328"/>
      <c r="V981" s="328"/>
      <c r="W981" s="232" t="s">
        <v>403</v>
      </c>
      <c r="X981" s="174" t="s">
        <v>402</v>
      </c>
      <c r="Z981" s="326"/>
      <c r="AA981" s="328"/>
      <c r="AB981" s="328"/>
      <c r="AC981" s="232" t="s">
        <v>403</v>
      </c>
      <c r="AD981" s="174" t="s">
        <v>402</v>
      </c>
    </row>
    <row r="982" spans="2:60" ht="14.4" thickTop="1" x14ac:dyDescent="0.25">
      <c r="B982" s="236">
        <v>41670</v>
      </c>
      <c r="C982" s="171"/>
      <c r="D982" s="166" t="s">
        <v>470</v>
      </c>
      <c r="E982" s="167">
        <f>SUMIF('Libro Diario Convencional'!$D$15:$D$167,D976,'Libro Diario Convencional'!$G$15:$G$167)</f>
        <v>0</v>
      </c>
      <c r="F982" s="168">
        <f>SUMIF('Libro Diario Convencional'!$D$15:$D$167,D976,'Libro Diario Convencional'!$H$15:$H$167)</f>
        <v>0</v>
      </c>
      <c r="H982" s="236">
        <v>41670</v>
      </c>
      <c r="I982" s="171"/>
      <c r="J982" s="166" t="s">
        <v>470</v>
      </c>
      <c r="K982" s="167">
        <f>SUMIF('Libro Diario Convencional'!$D$15:$D$167,J976,'Libro Diario Convencional'!$G$15:$G$167)</f>
        <v>0</v>
      </c>
      <c r="L982" s="168">
        <f>SUMIF('Libro Diario Convencional'!$D$15:$D$167,J976,'Libro Diario Convencional'!$H$15:$H$167)</f>
        <v>0</v>
      </c>
      <c r="N982" s="236">
        <v>41670</v>
      </c>
      <c r="O982" s="171"/>
      <c r="P982" s="166" t="s">
        <v>470</v>
      </c>
      <c r="Q982" s="167">
        <f>SUMIF('Libro Diario Convencional'!$D$15:$D$167,P976,'Libro Diario Convencional'!$G$15:$G$167)</f>
        <v>0</v>
      </c>
      <c r="R982" s="168">
        <f>SUMIF('Libro Diario Convencional'!$D$15:$D$167,P976,'Libro Diario Convencional'!$H$15:$H$167)</f>
        <v>0</v>
      </c>
      <c r="T982" s="236">
        <v>41670</v>
      </c>
      <c r="U982" s="171"/>
      <c r="V982" s="166" t="s">
        <v>470</v>
      </c>
      <c r="W982" s="167">
        <f>SUMIF('Libro Diario Convencional'!$D$15:$D$167,V976,'Libro Diario Convencional'!$G$15:$G$167)</f>
        <v>0</v>
      </c>
      <c r="X982" s="168">
        <f>SUMIF('Libro Diario Convencional'!$D$15:$D$167,V976,'Libro Diario Convencional'!$H$15:$H$167)</f>
        <v>0</v>
      </c>
      <c r="Z982" s="236">
        <v>41670</v>
      </c>
      <c r="AA982" s="171"/>
      <c r="AB982" s="166" t="s">
        <v>470</v>
      </c>
      <c r="AC982" s="167">
        <f>SUMIF('Libro Diario Convencional'!$D$15:$D$167,AB976,'Libro Diario Convencional'!$G$15:$G$167)</f>
        <v>0</v>
      </c>
      <c r="AD982" s="168">
        <f>SUMIF('Libro Diario Convencional'!$D$15:$D$167,AB976,'Libro Diario Convencional'!$H$15:$H$167)</f>
        <v>0</v>
      </c>
    </row>
    <row r="983" spans="2:60" x14ac:dyDescent="0.25">
      <c r="B983" s="169"/>
      <c r="C983" s="172"/>
      <c r="D983" s="161"/>
      <c r="E983" s="162"/>
      <c r="F983" s="163"/>
      <c r="H983" s="169"/>
      <c r="I983" s="172"/>
      <c r="J983" s="161"/>
      <c r="K983" s="162"/>
      <c r="L983" s="163"/>
      <c r="N983" s="169"/>
      <c r="O983" s="172"/>
      <c r="P983" s="161"/>
      <c r="Q983" s="162"/>
      <c r="R983" s="163"/>
      <c r="T983" s="169"/>
      <c r="U983" s="172"/>
      <c r="V983" s="161"/>
      <c r="W983" s="162"/>
      <c r="X983" s="163"/>
      <c r="Z983" s="169"/>
      <c r="AA983" s="172"/>
      <c r="AB983" s="161"/>
      <c r="AC983" s="162"/>
      <c r="AD983" s="163"/>
    </row>
    <row r="984" spans="2:60" x14ac:dyDescent="0.25">
      <c r="B984" s="169"/>
      <c r="C984" s="172"/>
      <c r="D984" s="161"/>
      <c r="E984" s="162"/>
      <c r="F984" s="163"/>
      <c r="H984" s="169"/>
      <c r="I984" s="172"/>
      <c r="J984" s="161"/>
      <c r="K984" s="162"/>
      <c r="L984" s="163"/>
      <c r="N984" s="169"/>
      <c r="O984" s="172"/>
      <c r="P984" s="161"/>
      <c r="Q984" s="162"/>
      <c r="R984" s="163"/>
      <c r="T984" s="169"/>
      <c r="U984" s="172"/>
      <c r="V984" s="161"/>
      <c r="W984" s="162"/>
      <c r="X984" s="163"/>
      <c r="Z984" s="169"/>
      <c r="AA984" s="172"/>
      <c r="AB984" s="161"/>
      <c r="AC984" s="162"/>
      <c r="AD984" s="163"/>
    </row>
    <row r="985" spans="2:60" ht="14.4" thickBot="1" x14ac:dyDescent="0.3">
      <c r="B985" s="169"/>
      <c r="C985" s="172"/>
      <c r="D985" s="161"/>
      <c r="E985" s="162"/>
      <c r="F985" s="163"/>
      <c r="H985" s="169"/>
      <c r="I985" s="172"/>
      <c r="J985" s="161"/>
      <c r="K985" s="162"/>
      <c r="L985" s="163"/>
      <c r="N985" s="169"/>
      <c r="O985" s="172"/>
      <c r="P985" s="161"/>
      <c r="Q985" s="162"/>
      <c r="R985" s="163"/>
      <c r="T985" s="169"/>
      <c r="U985" s="172"/>
      <c r="V985" s="161"/>
      <c r="W985" s="162"/>
      <c r="X985" s="163"/>
      <c r="Z985" s="169"/>
      <c r="AA985" s="172"/>
      <c r="AB985" s="161"/>
      <c r="AC985" s="162"/>
      <c r="AD985" s="163"/>
    </row>
    <row r="986" spans="2:60" ht="15" thickBot="1" x14ac:dyDescent="0.3">
      <c r="B986" s="169"/>
      <c r="C986" s="172"/>
      <c r="D986" s="161" t="s">
        <v>471</v>
      </c>
      <c r="E986" s="162">
        <f>SUM(E982:E985)</f>
        <v>0</v>
      </c>
      <c r="F986" s="163">
        <f>SUM(F982:F985)</f>
        <v>0</v>
      </c>
      <c r="H986" s="169"/>
      <c r="I986" s="172"/>
      <c r="J986" s="161" t="s">
        <v>471</v>
      </c>
      <c r="K986" s="162">
        <f>SUM(K982:K985)</f>
        <v>0</v>
      </c>
      <c r="L986" s="163">
        <f>SUM(L982:L985)</f>
        <v>0</v>
      </c>
      <c r="N986" s="169"/>
      <c r="O986" s="172"/>
      <c r="P986" s="161" t="s">
        <v>471</v>
      </c>
      <c r="Q986" s="162">
        <f>SUM(Q982:Q985)</f>
        <v>0</v>
      </c>
      <c r="R986" s="163">
        <f>SUM(R982:R985)</f>
        <v>0</v>
      </c>
      <c r="T986" s="169"/>
      <c r="U986" s="172"/>
      <c r="V986" s="161" t="s">
        <v>471</v>
      </c>
      <c r="W986" s="162">
        <f>SUM(W982:W985)</f>
        <v>0</v>
      </c>
      <c r="X986" s="163">
        <f>SUM(X982:X985)</f>
        <v>0</v>
      </c>
      <c r="Z986" s="169"/>
      <c r="AA986" s="172"/>
      <c r="AB986" s="161" t="s">
        <v>471</v>
      </c>
      <c r="AC986" s="162">
        <f>SUM(AC982:AC985)</f>
        <v>0</v>
      </c>
      <c r="AD986" s="163">
        <f>SUM(AD982:AD985)</f>
        <v>0</v>
      </c>
      <c r="BG986" s="157">
        <f>SUM(E986,K986,Q986,W986,AC986,AI986,AO986,AU986,AX986,BD986)</f>
        <v>0</v>
      </c>
      <c r="BH986" s="158">
        <f>SUM(F986,L986,R986,X986,AD986,AJ986,AP986,AV986,AY986,BE986)</f>
        <v>0</v>
      </c>
    </row>
    <row r="987" spans="2:60" ht="14.4" thickBot="1" x14ac:dyDescent="0.3">
      <c r="B987" s="170"/>
      <c r="C987" s="173"/>
      <c r="D987" s="164" t="str">
        <f>IF(E986=F986,"",IF(E986&gt;F986,"Saldo Deudor","Saldo Acreedor"))</f>
        <v/>
      </c>
      <c r="E987" s="165" t="str">
        <f>IF(E986&gt;F986,E986-F986,"")</f>
        <v/>
      </c>
      <c r="F987" s="176" t="str">
        <f>IF(E986&lt;F986,F986-E986,"")</f>
        <v/>
      </c>
      <c r="H987" s="170"/>
      <c r="I987" s="173"/>
      <c r="J987" s="164" t="str">
        <f>IF(K986=L986,"",IF(K986&gt;L986,"Saldo Deudor","Saldo Acreedor"))</f>
        <v/>
      </c>
      <c r="K987" s="165" t="str">
        <f>IF(K986&gt;L986,K986-L986,"")</f>
        <v/>
      </c>
      <c r="L987" s="176" t="str">
        <f>IF(K986&lt;L986,L986-K986,"")</f>
        <v/>
      </c>
      <c r="N987" s="170"/>
      <c r="O987" s="173"/>
      <c r="P987" s="164" t="str">
        <f>IF(Q986=R986,"",IF(Q986&gt;R986,"Saldo Deudor","Saldo Acreedor"))</f>
        <v/>
      </c>
      <c r="Q987" s="165" t="str">
        <f>IF(Q986&gt;R986,Q986-R986,"")</f>
        <v/>
      </c>
      <c r="R987" s="176" t="str">
        <f>IF(Q986&lt;R986,R986-Q986,"")</f>
        <v/>
      </c>
      <c r="T987" s="170"/>
      <c r="U987" s="173"/>
      <c r="V987" s="164" t="str">
        <f>IF(W986=X986,"",IF(W986&gt;X986,"Saldo Deudor","Saldo Acreedor"))</f>
        <v/>
      </c>
      <c r="W987" s="165" t="str">
        <f>IF(W986&gt;X986,W986-X986,"")</f>
        <v/>
      </c>
      <c r="X987" s="176" t="str">
        <f>IF(W986&lt;X986,X986-W986,"")</f>
        <v/>
      </c>
      <c r="Z987" s="170"/>
      <c r="AA987" s="173"/>
      <c r="AB987" s="164" t="str">
        <f>IF(AC986=AD986,"",IF(AC986&gt;AD986,"Saldo Deudor","Saldo Acreedor"))</f>
        <v/>
      </c>
      <c r="AC987" s="165" t="str">
        <f>IF(AC986&gt;AD986,AC986-AD986,"")</f>
        <v/>
      </c>
      <c r="AD987" s="176" t="str">
        <f>IF(AC986&lt;AD986,AD986-AC986,"")</f>
        <v/>
      </c>
    </row>
    <row r="990" spans="2:60" ht="15.6" x14ac:dyDescent="0.25">
      <c r="B990" s="324" t="s">
        <v>472</v>
      </c>
      <c r="C990" s="324"/>
      <c r="D990" s="175">
        <v>6021</v>
      </c>
      <c r="E990" s="160"/>
      <c r="H990" s="324" t="s">
        <v>472</v>
      </c>
      <c r="I990" s="324"/>
      <c r="J990" s="175">
        <v>6022</v>
      </c>
      <c r="K990" s="160"/>
      <c r="N990" s="324" t="s">
        <v>472</v>
      </c>
      <c r="O990" s="324"/>
      <c r="P990" s="175">
        <v>6023</v>
      </c>
      <c r="Q990" s="160"/>
      <c r="T990" s="324" t="s">
        <v>472</v>
      </c>
      <c r="U990" s="324"/>
      <c r="V990" s="175">
        <v>6024</v>
      </c>
      <c r="W990" s="160"/>
    </row>
    <row r="991" spans="2:60" x14ac:dyDescent="0.25">
      <c r="B991" s="160"/>
      <c r="C991" s="160"/>
      <c r="D991" s="160"/>
      <c r="E991" s="160"/>
      <c r="H991" s="160"/>
      <c r="I991" s="160"/>
      <c r="J991" s="160"/>
      <c r="K991" s="160"/>
      <c r="N991" s="160"/>
      <c r="O991" s="160"/>
      <c r="P991" s="160"/>
      <c r="Q991" s="160"/>
      <c r="T991" s="160"/>
      <c r="U991" s="160"/>
      <c r="V991" s="160"/>
      <c r="W991" s="160"/>
    </row>
    <row r="992" spans="2:60" ht="15.6" x14ac:dyDescent="0.25">
      <c r="B992" s="324" t="s">
        <v>473</v>
      </c>
      <c r="C992" s="324"/>
      <c r="D992" s="234" t="str">
        <f>VLOOKUP(D990,DivisionariasContables,3,FALSE)</f>
        <v>Materias Primas - Materias Primas para Productos Manufacturados</v>
      </c>
      <c r="E992" s="160"/>
      <c r="H992" s="324" t="s">
        <v>473</v>
      </c>
      <c r="I992" s="324"/>
      <c r="J992" s="234" t="str">
        <f>VLOOKUP(J990,DivisionariasContables,3,FALSE)</f>
        <v>Materias Primas - Materias Primas para Productos de Extracción</v>
      </c>
      <c r="K992" s="160"/>
      <c r="N992" s="324" t="s">
        <v>473</v>
      </c>
      <c r="O992" s="324"/>
      <c r="P992" s="234" t="str">
        <f>VLOOKUP(P990,DivisionariasContables,3,FALSE)</f>
        <v>Materias Primas - Materias Primas para Productos Agropecuarios y Piscícolas</v>
      </c>
      <c r="Q992" s="160"/>
      <c r="T992" s="324" t="s">
        <v>473</v>
      </c>
      <c r="U992" s="324"/>
      <c r="V992" s="234" t="str">
        <f>VLOOKUP(V990,DivisionariasContables,3,FALSE)</f>
        <v>Materias Primas - Materias Primas para Productos Inmuebles</v>
      </c>
      <c r="W992" s="160"/>
    </row>
    <row r="993" spans="2:60" ht="14.4" thickBot="1" x14ac:dyDescent="0.3"/>
    <row r="994" spans="2:60" x14ac:dyDescent="0.25">
      <c r="B994" s="325" t="s">
        <v>466</v>
      </c>
      <c r="C994" s="327" t="s">
        <v>467</v>
      </c>
      <c r="D994" s="327" t="s">
        <v>468</v>
      </c>
      <c r="E994" s="329" t="s">
        <v>469</v>
      </c>
      <c r="F994" s="330"/>
      <c r="H994" s="325" t="s">
        <v>466</v>
      </c>
      <c r="I994" s="327" t="s">
        <v>467</v>
      </c>
      <c r="J994" s="327" t="s">
        <v>468</v>
      </c>
      <c r="K994" s="329" t="s">
        <v>469</v>
      </c>
      <c r="L994" s="330"/>
      <c r="N994" s="325" t="s">
        <v>466</v>
      </c>
      <c r="O994" s="327" t="s">
        <v>467</v>
      </c>
      <c r="P994" s="327" t="s">
        <v>468</v>
      </c>
      <c r="Q994" s="329" t="s">
        <v>469</v>
      </c>
      <c r="R994" s="330"/>
      <c r="T994" s="325" t="s">
        <v>466</v>
      </c>
      <c r="U994" s="327" t="s">
        <v>467</v>
      </c>
      <c r="V994" s="327" t="s">
        <v>468</v>
      </c>
      <c r="W994" s="329" t="s">
        <v>469</v>
      </c>
      <c r="X994" s="330"/>
    </row>
    <row r="995" spans="2:60" ht="14.4" thickBot="1" x14ac:dyDescent="0.3">
      <c r="B995" s="326"/>
      <c r="C995" s="328"/>
      <c r="D995" s="328"/>
      <c r="E995" s="232" t="s">
        <v>403</v>
      </c>
      <c r="F995" s="174" t="s">
        <v>402</v>
      </c>
      <c r="H995" s="326"/>
      <c r="I995" s="328"/>
      <c r="J995" s="328"/>
      <c r="K995" s="232" t="s">
        <v>403</v>
      </c>
      <c r="L995" s="174" t="s">
        <v>402</v>
      </c>
      <c r="N995" s="326"/>
      <c r="O995" s="328"/>
      <c r="P995" s="328"/>
      <c r="Q995" s="232" t="s">
        <v>403</v>
      </c>
      <c r="R995" s="174" t="s">
        <v>402</v>
      </c>
      <c r="T995" s="326"/>
      <c r="U995" s="328"/>
      <c r="V995" s="328"/>
      <c r="W995" s="232" t="s">
        <v>403</v>
      </c>
      <c r="X995" s="174" t="s">
        <v>402</v>
      </c>
    </row>
    <row r="996" spans="2:60" ht="14.4" thickTop="1" x14ac:dyDescent="0.25">
      <c r="B996" s="236">
        <v>41670</v>
      </c>
      <c r="C996" s="171"/>
      <c r="D996" s="166" t="s">
        <v>470</v>
      </c>
      <c r="E996" s="167">
        <f>SUMIF('Libro Diario Convencional'!$D$15:$D$167,D990,'Libro Diario Convencional'!$G$15:$G$167)</f>
        <v>0</v>
      </c>
      <c r="F996" s="168">
        <f>SUMIF('Libro Diario Convencional'!$D$15:$D$167,D990,'Libro Diario Convencional'!$H$15:$H$167)</f>
        <v>0</v>
      </c>
      <c r="H996" s="236">
        <v>41670</v>
      </c>
      <c r="I996" s="171"/>
      <c r="J996" s="166" t="s">
        <v>470</v>
      </c>
      <c r="K996" s="167">
        <f>SUMIF('Libro Diario Convencional'!$D$15:$D$167,J990,'Libro Diario Convencional'!$G$15:$G$167)</f>
        <v>0</v>
      </c>
      <c r="L996" s="168">
        <f>SUMIF('Libro Diario Convencional'!$D$15:$D$167,J990,'Libro Diario Convencional'!$H$15:$H$167)</f>
        <v>0</v>
      </c>
      <c r="N996" s="236">
        <v>41670</v>
      </c>
      <c r="O996" s="171"/>
      <c r="P996" s="166" t="s">
        <v>470</v>
      </c>
      <c r="Q996" s="167">
        <f>SUMIF('Libro Diario Convencional'!$D$15:$D$167,P990,'Libro Diario Convencional'!$G$15:$G$167)</f>
        <v>0</v>
      </c>
      <c r="R996" s="168">
        <f>SUMIF('Libro Diario Convencional'!$D$15:$D$167,P990,'Libro Diario Convencional'!$H$15:$H$167)</f>
        <v>0</v>
      </c>
      <c r="T996" s="236">
        <v>41670</v>
      </c>
      <c r="U996" s="171"/>
      <c r="V996" s="166" t="s">
        <v>470</v>
      </c>
      <c r="W996" s="167">
        <f>SUMIF('Libro Diario Convencional'!$D$15:$D$167,V990,'Libro Diario Convencional'!$G$15:$G$167)</f>
        <v>0</v>
      </c>
      <c r="X996" s="168">
        <f>SUMIF('Libro Diario Convencional'!$D$15:$D$167,V990,'Libro Diario Convencional'!$H$15:$H$167)</f>
        <v>0</v>
      </c>
    </row>
    <row r="997" spans="2:60" x14ac:dyDescent="0.25">
      <c r="B997" s="169"/>
      <c r="C997" s="172"/>
      <c r="D997" s="161"/>
      <c r="E997" s="162"/>
      <c r="F997" s="163"/>
      <c r="H997" s="169"/>
      <c r="I997" s="172"/>
      <c r="J997" s="161"/>
      <c r="K997" s="162"/>
      <c r="L997" s="163"/>
      <c r="N997" s="169"/>
      <c r="O997" s="172"/>
      <c r="P997" s="161"/>
      <c r="Q997" s="162"/>
      <c r="R997" s="163"/>
      <c r="T997" s="169"/>
      <c r="U997" s="172"/>
      <c r="V997" s="161"/>
      <c r="W997" s="162"/>
      <c r="X997" s="163"/>
    </row>
    <row r="998" spans="2:60" x14ac:dyDescent="0.25">
      <c r="B998" s="169"/>
      <c r="C998" s="172"/>
      <c r="D998" s="161"/>
      <c r="E998" s="162"/>
      <c r="F998" s="163"/>
      <c r="H998" s="169"/>
      <c r="I998" s="172"/>
      <c r="J998" s="161"/>
      <c r="K998" s="162"/>
      <c r="L998" s="163"/>
      <c r="N998" s="169"/>
      <c r="O998" s="172"/>
      <c r="P998" s="161"/>
      <c r="Q998" s="162"/>
      <c r="R998" s="163"/>
      <c r="T998" s="169"/>
      <c r="U998" s="172"/>
      <c r="V998" s="161"/>
      <c r="W998" s="162"/>
      <c r="X998" s="163"/>
    </row>
    <row r="999" spans="2:60" ht="14.4" thickBot="1" x14ac:dyDescent="0.3">
      <c r="B999" s="169"/>
      <c r="C999" s="172"/>
      <c r="D999" s="161"/>
      <c r="E999" s="162"/>
      <c r="F999" s="163"/>
      <c r="H999" s="169"/>
      <c r="I999" s="172"/>
      <c r="J999" s="161"/>
      <c r="K999" s="162"/>
      <c r="L999" s="163"/>
      <c r="N999" s="169"/>
      <c r="O999" s="172"/>
      <c r="P999" s="161"/>
      <c r="Q999" s="162"/>
      <c r="R999" s="163"/>
      <c r="T999" s="169"/>
      <c r="U999" s="172"/>
      <c r="V999" s="161"/>
      <c r="W999" s="162"/>
      <c r="X999" s="163"/>
    </row>
    <row r="1000" spans="2:60" ht="15" thickBot="1" x14ac:dyDescent="0.3">
      <c r="B1000" s="169"/>
      <c r="C1000" s="172"/>
      <c r="D1000" s="161" t="s">
        <v>471</v>
      </c>
      <c r="E1000" s="162">
        <f>SUM(E996:E999)</f>
        <v>0</v>
      </c>
      <c r="F1000" s="163">
        <f>SUM(F996:F999)</f>
        <v>0</v>
      </c>
      <c r="H1000" s="169"/>
      <c r="I1000" s="172"/>
      <c r="J1000" s="161" t="s">
        <v>471</v>
      </c>
      <c r="K1000" s="162">
        <f>SUM(K996:K999)</f>
        <v>0</v>
      </c>
      <c r="L1000" s="163">
        <f>SUM(L996:L999)</f>
        <v>0</v>
      </c>
      <c r="N1000" s="169"/>
      <c r="O1000" s="172"/>
      <c r="P1000" s="161" t="s">
        <v>471</v>
      </c>
      <c r="Q1000" s="162">
        <f>SUM(Q996:Q999)</f>
        <v>0</v>
      </c>
      <c r="R1000" s="163">
        <f>SUM(R996:R999)</f>
        <v>0</v>
      </c>
      <c r="T1000" s="169"/>
      <c r="U1000" s="172"/>
      <c r="V1000" s="161" t="s">
        <v>471</v>
      </c>
      <c r="W1000" s="162">
        <f>SUM(W996:W999)</f>
        <v>0</v>
      </c>
      <c r="X1000" s="163">
        <f>SUM(X996:X999)</f>
        <v>0</v>
      </c>
      <c r="BG1000" s="157">
        <f>SUM(E1000,K1000,Q1000,W1000,AC1000,AI1000,AO1000,AU1000,AX1000,BD1000)</f>
        <v>0</v>
      </c>
      <c r="BH1000" s="158">
        <f>SUM(F1000,L1000,R1000,X1000,AD1000,AJ1000,AP1000,AV1000,AY1000,BE1000)</f>
        <v>0</v>
      </c>
    </row>
    <row r="1001" spans="2:60" ht="14.4" thickBot="1" x14ac:dyDescent="0.3">
      <c r="B1001" s="170"/>
      <c r="C1001" s="173"/>
      <c r="D1001" s="164" t="str">
        <f>IF(E1000=F1000,"",IF(E1000&gt;F1000,"Saldo Deudor","Saldo Acreedor"))</f>
        <v/>
      </c>
      <c r="E1001" s="165" t="str">
        <f>IF(E1000&gt;F1000,E1000-F1000,"")</f>
        <v/>
      </c>
      <c r="F1001" s="176" t="str">
        <f>IF(E1000&lt;F1000,F1000-E1000,"")</f>
        <v/>
      </c>
      <c r="H1001" s="170"/>
      <c r="I1001" s="173"/>
      <c r="J1001" s="164" t="str">
        <f>IF(K1000=L1000,"",IF(K1000&gt;L1000,"Saldo Deudor","Saldo Acreedor"))</f>
        <v/>
      </c>
      <c r="K1001" s="165" t="str">
        <f>IF(K1000&gt;L1000,K1000-L1000,"")</f>
        <v/>
      </c>
      <c r="L1001" s="176" t="str">
        <f>IF(K1000&lt;L1000,L1000-K1000,"")</f>
        <v/>
      </c>
      <c r="N1001" s="170"/>
      <c r="O1001" s="173"/>
      <c r="P1001" s="164" t="str">
        <f>IF(Q1000=R1000,"",IF(Q1000&gt;R1000,"Saldo Deudor","Saldo Acreedor"))</f>
        <v/>
      </c>
      <c r="Q1001" s="165" t="str">
        <f>IF(Q1000&gt;R1000,Q1000-R1000,"")</f>
        <v/>
      </c>
      <c r="R1001" s="176" t="str">
        <f>IF(Q1000&lt;R1000,R1000-Q1000,"")</f>
        <v/>
      </c>
      <c r="T1001" s="170"/>
      <c r="U1001" s="173"/>
      <c r="V1001" s="164" t="str">
        <f>IF(W1000=X1000,"",IF(W1000&gt;X1000,"Saldo Deudor","Saldo Acreedor"))</f>
        <v/>
      </c>
      <c r="W1001" s="165" t="str">
        <f>IF(W1000&gt;X1000,W1000-X1000,"")</f>
        <v/>
      </c>
      <c r="X1001" s="176" t="str">
        <f>IF(W1000&lt;X1000,X1000-W1000,"")</f>
        <v/>
      </c>
    </row>
    <row r="1004" spans="2:60" ht="15.6" x14ac:dyDescent="0.25">
      <c r="B1004" s="324" t="s">
        <v>472</v>
      </c>
      <c r="C1004" s="324"/>
      <c r="D1004" s="175">
        <v>6031</v>
      </c>
      <c r="E1004" s="160"/>
      <c r="H1004" s="324" t="s">
        <v>472</v>
      </c>
      <c r="I1004" s="324"/>
      <c r="J1004" s="175">
        <v>6032</v>
      </c>
      <c r="K1004" s="160"/>
      <c r="N1004" s="324" t="s">
        <v>472</v>
      </c>
      <c r="O1004" s="324"/>
      <c r="P1004" s="175">
        <v>6033</v>
      </c>
      <c r="Q1004" s="160"/>
    </row>
    <row r="1005" spans="2:60" x14ac:dyDescent="0.25">
      <c r="B1005" s="160"/>
      <c r="C1005" s="160"/>
      <c r="D1005" s="160"/>
      <c r="E1005" s="160"/>
      <c r="H1005" s="160"/>
      <c r="I1005" s="160"/>
      <c r="J1005" s="160"/>
      <c r="K1005" s="160"/>
      <c r="N1005" s="160"/>
      <c r="O1005" s="160"/>
      <c r="P1005" s="160"/>
      <c r="Q1005" s="160"/>
    </row>
    <row r="1006" spans="2:60" ht="15.6" x14ac:dyDescent="0.25">
      <c r="B1006" s="324" t="s">
        <v>473</v>
      </c>
      <c r="C1006" s="324"/>
      <c r="D1006" s="234" t="str">
        <f>VLOOKUP(D1004,DivisionariasContables,3,FALSE)</f>
        <v>Materiales Auxiliares, Suministros y Repuestos - Materiales Auxiliares</v>
      </c>
      <c r="E1006" s="160"/>
      <c r="H1006" s="324" t="s">
        <v>473</v>
      </c>
      <c r="I1006" s="324"/>
      <c r="J1006" s="234" t="str">
        <f>VLOOKUP(J1004,DivisionariasContables,3,FALSE)</f>
        <v>Materiales Auxiliares, Suministros y Repuestos - Suministros</v>
      </c>
      <c r="K1006" s="160"/>
      <c r="N1006" s="324" t="s">
        <v>473</v>
      </c>
      <c r="O1006" s="324"/>
      <c r="P1006" s="234" t="str">
        <f>VLOOKUP(P1004,DivisionariasContables,3,FALSE)</f>
        <v>Materiales Auxiliares, Suministros y Repuestos - Repuestos</v>
      </c>
      <c r="Q1006" s="160"/>
    </row>
    <row r="1007" spans="2:60" ht="14.4" thickBot="1" x14ac:dyDescent="0.3"/>
    <row r="1008" spans="2:60" x14ac:dyDescent="0.25">
      <c r="B1008" s="325" t="s">
        <v>466</v>
      </c>
      <c r="C1008" s="327" t="s">
        <v>467</v>
      </c>
      <c r="D1008" s="327" t="s">
        <v>468</v>
      </c>
      <c r="E1008" s="329" t="s">
        <v>469</v>
      </c>
      <c r="F1008" s="330"/>
      <c r="H1008" s="325" t="s">
        <v>466</v>
      </c>
      <c r="I1008" s="327" t="s">
        <v>467</v>
      </c>
      <c r="J1008" s="327" t="s">
        <v>468</v>
      </c>
      <c r="K1008" s="329" t="s">
        <v>469</v>
      </c>
      <c r="L1008" s="330"/>
      <c r="N1008" s="325" t="s">
        <v>466</v>
      </c>
      <c r="O1008" s="327" t="s">
        <v>467</v>
      </c>
      <c r="P1008" s="327" t="s">
        <v>468</v>
      </c>
      <c r="Q1008" s="329" t="s">
        <v>469</v>
      </c>
      <c r="R1008" s="330"/>
    </row>
    <row r="1009" spans="2:60" ht="14.4" thickBot="1" x14ac:dyDescent="0.3">
      <c r="B1009" s="326"/>
      <c r="C1009" s="328"/>
      <c r="D1009" s="328"/>
      <c r="E1009" s="232" t="s">
        <v>403</v>
      </c>
      <c r="F1009" s="174" t="s">
        <v>402</v>
      </c>
      <c r="H1009" s="326"/>
      <c r="I1009" s="328"/>
      <c r="J1009" s="328"/>
      <c r="K1009" s="232" t="s">
        <v>403</v>
      </c>
      <c r="L1009" s="174" t="s">
        <v>402</v>
      </c>
      <c r="N1009" s="326"/>
      <c r="O1009" s="328"/>
      <c r="P1009" s="328"/>
      <c r="Q1009" s="232" t="s">
        <v>403</v>
      </c>
      <c r="R1009" s="174" t="s">
        <v>402</v>
      </c>
    </row>
    <row r="1010" spans="2:60" ht="14.4" thickTop="1" x14ac:dyDescent="0.25">
      <c r="B1010" s="236">
        <v>41670</v>
      </c>
      <c r="C1010" s="171"/>
      <c r="D1010" s="166" t="s">
        <v>470</v>
      </c>
      <c r="E1010" s="167">
        <f>SUMIF('Libro Diario Convencional'!$D$15:$D$167,D1004,'Libro Diario Convencional'!$G$15:$G$167)</f>
        <v>0</v>
      </c>
      <c r="F1010" s="168">
        <f>SUMIF('Libro Diario Convencional'!$D$15:$D$167,D1004,'Libro Diario Convencional'!$H$15:$H$167)</f>
        <v>0</v>
      </c>
      <c r="H1010" s="236">
        <v>41670</v>
      </c>
      <c r="I1010" s="171"/>
      <c r="J1010" s="166" t="s">
        <v>470</v>
      </c>
      <c r="K1010" s="167">
        <f>SUMIF('Libro Diario Convencional'!$D$15:$D$167,J1004,'Libro Diario Convencional'!$G$15:$G$167)</f>
        <v>0</v>
      </c>
      <c r="L1010" s="168">
        <f>SUMIF('Libro Diario Convencional'!$D$15:$D$167,J1004,'Libro Diario Convencional'!$H$15:$H$167)</f>
        <v>0</v>
      </c>
      <c r="N1010" s="236">
        <v>41670</v>
      </c>
      <c r="O1010" s="171"/>
      <c r="P1010" s="166" t="s">
        <v>470</v>
      </c>
      <c r="Q1010" s="167">
        <f>SUMIF('Libro Diario Convencional'!$D$15:$D$167,P1004,'Libro Diario Convencional'!$G$15:$G$167)</f>
        <v>0</v>
      </c>
      <c r="R1010" s="168">
        <f>SUMIF('Libro Diario Convencional'!$D$15:$D$167,P1004,'Libro Diario Convencional'!$H$15:$H$167)</f>
        <v>0</v>
      </c>
    </row>
    <row r="1011" spans="2:60" x14ac:dyDescent="0.25">
      <c r="B1011" s="169"/>
      <c r="C1011" s="172"/>
      <c r="D1011" s="161"/>
      <c r="E1011" s="162"/>
      <c r="F1011" s="163"/>
      <c r="H1011" s="169"/>
      <c r="I1011" s="172"/>
      <c r="J1011" s="161"/>
      <c r="K1011" s="162"/>
      <c r="L1011" s="163"/>
      <c r="N1011" s="169"/>
      <c r="O1011" s="172"/>
      <c r="P1011" s="161"/>
      <c r="Q1011" s="162"/>
      <c r="R1011" s="163"/>
    </row>
    <row r="1012" spans="2:60" x14ac:dyDescent="0.25">
      <c r="B1012" s="169"/>
      <c r="C1012" s="172"/>
      <c r="D1012" s="161"/>
      <c r="E1012" s="162"/>
      <c r="F1012" s="163"/>
      <c r="H1012" s="169"/>
      <c r="I1012" s="172"/>
      <c r="J1012" s="161"/>
      <c r="K1012" s="162"/>
      <c r="L1012" s="163"/>
      <c r="N1012" s="169"/>
      <c r="O1012" s="172"/>
      <c r="P1012" s="161"/>
      <c r="Q1012" s="162"/>
      <c r="R1012" s="163"/>
    </row>
    <row r="1013" spans="2:60" ht="14.4" thickBot="1" x14ac:dyDescent="0.3">
      <c r="B1013" s="169"/>
      <c r="C1013" s="172"/>
      <c r="D1013" s="161"/>
      <c r="E1013" s="162"/>
      <c r="F1013" s="163"/>
      <c r="H1013" s="169"/>
      <c r="I1013" s="172"/>
      <c r="J1013" s="161"/>
      <c r="K1013" s="162"/>
      <c r="L1013" s="163"/>
      <c r="N1013" s="169"/>
      <c r="O1013" s="172"/>
      <c r="P1013" s="161"/>
      <c r="Q1013" s="162"/>
      <c r="R1013" s="163"/>
    </row>
    <row r="1014" spans="2:60" ht="15" thickBot="1" x14ac:dyDescent="0.3">
      <c r="B1014" s="169"/>
      <c r="C1014" s="172"/>
      <c r="D1014" s="161" t="s">
        <v>471</v>
      </c>
      <c r="E1014" s="162">
        <f>SUM(E1010:E1013)</f>
        <v>0</v>
      </c>
      <c r="F1014" s="163">
        <f>SUM(F1010:F1013)</f>
        <v>0</v>
      </c>
      <c r="H1014" s="169"/>
      <c r="I1014" s="172"/>
      <c r="J1014" s="161" t="s">
        <v>471</v>
      </c>
      <c r="K1014" s="162">
        <f>SUM(K1010:K1013)</f>
        <v>0</v>
      </c>
      <c r="L1014" s="163">
        <f>SUM(L1010:L1013)</f>
        <v>0</v>
      </c>
      <c r="N1014" s="169"/>
      <c r="O1014" s="172"/>
      <c r="P1014" s="161" t="s">
        <v>471</v>
      </c>
      <c r="Q1014" s="162">
        <f>SUM(Q1010:Q1013)</f>
        <v>0</v>
      </c>
      <c r="R1014" s="163">
        <f>SUM(R1010:R1013)</f>
        <v>0</v>
      </c>
      <c r="BG1014" s="157">
        <f>SUM(E1014,K1014,Q1014,W1014,AC1014,AI1014,AO1014,AU1014,AX1014,BD1014)</f>
        <v>0</v>
      </c>
      <c r="BH1014" s="158">
        <f>SUM(F1014,L1014,R1014,X1014,AD1014,AJ1014,AP1014,AV1014,AY1014,BE1014)</f>
        <v>0</v>
      </c>
    </row>
    <row r="1015" spans="2:60" ht="14.4" thickBot="1" x14ac:dyDescent="0.3">
      <c r="B1015" s="170"/>
      <c r="C1015" s="173"/>
      <c r="D1015" s="164" t="str">
        <f>IF(E1014=F1014,"",IF(E1014&gt;F1014,"Saldo Deudor","Saldo Acreedor"))</f>
        <v/>
      </c>
      <c r="E1015" s="165" t="str">
        <f>IF(E1014&gt;F1014,E1014-F1014,"")</f>
        <v/>
      </c>
      <c r="F1015" s="176" t="str">
        <f>IF(E1014&lt;F1014,F1014-E1014,"")</f>
        <v/>
      </c>
      <c r="H1015" s="170"/>
      <c r="I1015" s="173"/>
      <c r="J1015" s="164" t="str">
        <f>IF(K1014=L1014,"",IF(K1014&gt;L1014,"Saldo Deudor","Saldo Acreedor"))</f>
        <v/>
      </c>
      <c r="K1015" s="165" t="str">
        <f>IF(K1014&gt;L1014,K1014-L1014,"")</f>
        <v/>
      </c>
      <c r="L1015" s="176" t="str">
        <f>IF(K1014&lt;L1014,L1014-K1014,"")</f>
        <v/>
      </c>
      <c r="N1015" s="170"/>
      <c r="O1015" s="173"/>
      <c r="P1015" s="164" t="str">
        <f>IF(Q1014=R1014,"",IF(Q1014&gt;R1014,"Saldo Deudor","Saldo Acreedor"))</f>
        <v/>
      </c>
      <c r="Q1015" s="165" t="str">
        <f>IF(Q1014&gt;R1014,Q1014-R1014,"")</f>
        <v/>
      </c>
      <c r="R1015" s="176" t="str">
        <f>IF(Q1014&lt;R1014,R1014-Q1014,"")</f>
        <v/>
      </c>
    </row>
    <row r="1018" spans="2:60" ht="15.6" x14ac:dyDescent="0.25">
      <c r="B1018" s="324" t="s">
        <v>472</v>
      </c>
      <c r="C1018" s="324"/>
      <c r="D1018" s="175">
        <v>6041</v>
      </c>
      <c r="E1018" s="160"/>
      <c r="H1018" s="324" t="s">
        <v>472</v>
      </c>
      <c r="I1018" s="324"/>
      <c r="J1018" s="175">
        <v>6042</v>
      </c>
      <c r="K1018" s="160"/>
    </row>
    <row r="1019" spans="2:60" x14ac:dyDescent="0.25">
      <c r="B1019" s="160"/>
      <c r="C1019" s="160"/>
      <c r="D1019" s="160"/>
      <c r="E1019" s="160"/>
      <c r="H1019" s="160"/>
      <c r="I1019" s="160"/>
      <c r="J1019" s="160"/>
      <c r="K1019" s="160"/>
    </row>
    <row r="1020" spans="2:60" ht="15.6" x14ac:dyDescent="0.25">
      <c r="B1020" s="324" t="s">
        <v>473</v>
      </c>
      <c r="C1020" s="324"/>
      <c r="D1020" s="234" t="str">
        <f>VLOOKUP(D1018,DivisionariasContables,3,FALSE)</f>
        <v>Envases y Embalajes - Envases</v>
      </c>
      <c r="E1020" s="160"/>
      <c r="H1020" s="324" t="s">
        <v>473</v>
      </c>
      <c r="I1020" s="324"/>
      <c r="J1020" s="234" t="str">
        <f>VLOOKUP(J1018,DivisionariasContables,3,FALSE)</f>
        <v>Envases y Embalajes - Embalajes</v>
      </c>
      <c r="K1020" s="160"/>
    </row>
    <row r="1021" spans="2:60" ht="14.4" thickBot="1" x14ac:dyDescent="0.3"/>
    <row r="1022" spans="2:60" x14ac:dyDescent="0.25">
      <c r="B1022" s="325" t="s">
        <v>466</v>
      </c>
      <c r="C1022" s="327" t="s">
        <v>467</v>
      </c>
      <c r="D1022" s="327" t="s">
        <v>468</v>
      </c>
      <c r="E1022" s="329" t="s">
        <v>469</v>
      </c>
      <c r="F1022" s="330"/>
      <c r="H1022" s="325" t="s">
        <v>466</v>
      </c>
      <c r="I1022" s="327" t="s">
        <v>467</v>
      </c>
      <c r="J1022" s="327" t="s">
        <v>468</v>
      </c>
      <c r="K1022" s="329" t="s">
        <v>469</v>
      </c>
      <c r="L1022" s="330"/>
    </row>
    <row r="1023" spans="2:60" ht="14.4" thickBot="1" x14ac:dyDescent="0.3">
      <c r="B1023" s="326"/>
      <c r="C1023" s="328"/>
      <c r="D1023" s="328"/>
      <c r="E1023" s="232" t="s">
        <v>403</v>
      </c>
      <c r="F1023" s="174" t="s">
        <v>402</v>
      </c>
      <c r="H1023" s="326"/>
      <c r="I1023" s="328"/>
      <c r="J1023" s="328"/>
      <c r="K1023" s="232" t="s">
        <v>403</v>
      </c>
      <c r="L1023" s="174" t="s">
        <v>402</v>
      </c>
    </row>
    <row r="1024" spans="2:60" ht="14.4" thickTop="1" x14ac:dyDescent="0.25">
      <c r="B1024" s="236">
        <v>41670</v>
      </c>
      <c r="C1024" s="171"/>
      <c r="D1024" s="166" t="s">
        <v>470</v>
      </c>
      <c r="E1024" s="167">
        <f>SUMIF('Libro Diario Convencional'!$D$15:$D$167,D1018,'Libro Diario Convencional'!$G$15:$G$167)</f>
        <v>0</v>
      </c>
      <c r="F1024" s="168">
        <f>SUMIF('Libro Diario Convencional'!$D$15:$D$167,D1018,'Libro Diario Convencional'!$H$15:$H$167)</f>
        <v>0</v>
      </c>
      <c r="H1024" s="236">
        <v>41670</v>
      </c>
      <c r="I1024" s="171"/>
      <c r="J1024" s="166" t="s">
        <v>470</v>
      </c>
      <c r="K1024" s="167">
        <f>SUMIF('Libro Diario Convencional'!$D$15:$D$167,J1018,'Libro Diario Convencional'!$G$15:$G$167)</f>
        <v>0</v>
      </c>
      <c r="L1024" s="168">
        <f>SUMIF('Libro Diario Convencional'!$D$15:$D$167,J1018,'Libro Diario Convencional'!$H$15:$H$167)</f>
        <v>0</v>
      </c>
    </row>
    <row r="1025" spans="2:60" x14ac:dyDescent="0.25">
      <c r="B1025" s="169"/>
      <c r="C1025" s="172"/>
      <c r="D1025" s="161"/>
      <c r="E1025" s="162"/>
      <c r="F1025" s="163"/>
      <c r="H1025" s="169"/>
      <c r="I1025" s="172"/>
      <c r="J1025" s="161"/>
      <c r="K1025" s="162"/>
      <c r="L1025" s="163"/>
    </row>
    <row r="1026" spans="2:60" x14ac:dyDescent="0.25">
      <c r="B1026" s="169"/>
      <c r="C1026" s="172"/>
      <c r="D1026" s="161"/>
      <c r="E1026" s="162"/>
      <c r="F1026" s="163"/>
      <c r="H1026" s="169"/>
      <c r="I1026" s="172"/>
      <c r="J1026" s="161"/>
      <c r="K1026" s="162"/>
      <c r="L1026" s="163"/>
    </row>
    <row r="1027" spans="2:60" ht="14.4" thickBot="1" x14ac:dyDescent="0.3">
      <c r="B1027" s="169"/>
      <c r="C1027" s="172"/>
      <c r="D1027" s="161"/>
      <c r="E1027" s="162"/>
      <c r="F1027" s="163"/>
      <c r="H1027" s="169"/>
      <c r="I1027" s="172"/>
      <c r="J1027" s="161"/>
      <c r="K1027" s="162"/>
      <c r="L1027" s="163"/>
    </row>
    <row r="1028" spans="2:60" ht="15" thickBot="1" x14ac:dyDescent="0.3">
      <c r="B1028" s="169"/>
      <c r="C1028" s="172"/>
      <c r="D1028" s="161" t="s">
        <v>471</v>
      </c>
      <c r="E1028" s="162">
        <f>SUM(E1024:E1027)</f>
        <v>0</v>
      </c>
      <c r="F1028" s="163">
        <f>SUM(F1024:F1027)</f>
        <v>0</v>
      </c>
      <c r="H1028" s="169"/>
      <c r="I1028" s="172"/>
      <c r="J1028" s="161" t="s">
        <v>471</v>
      </c>
      <c r="K1028" s="162">
        <f>SUM(K1024:K1027)</f>
        <v>0</v>
      </c>
      <c r="L1028" s="163">
        <f>SUM(L1024:L1027)</f>
        <v>0</v>
      </c>
      <c r="BG1028" s="157">
        <f>SUM(E1028,K1028,Q1028,W1028,AC1028,AI1028,AO1028,AU1028,AX1028,BD1028)</f>
        <v>0</v>
      </c>
      <c r="BH1028" s="158">
        <f>SUM(F1028,L1028,R1028,X1028,AD1028,AJ1028,AP1028,AV1028,AY1028,BE1028)</f>
        <v>0</v>
      </c>
    </row>
    <row r="1029" spans="2:60" ht="14.4" thickBot="1" x14ac:dyDescent="0.3">
      <c r="B1029" s="170"/>
      <c r="C1029" s="173"/>
      <c r="D1029" s="164" t="str">
        <f>IF(E1028=F1028,"",IF(E1028&gt;F1028,"Saldo Deudor","Saldo Acreedor"))</f>
        <v/>
      </c>
      <c r="E1029" s="165" t="str">
        <f>IF(E1028&gt;F1028,E1028-F1028,"")</f>
        <v/>
      </c>
      <c r="F1029" s="176" t="str">
        <f>IF(E1028&lt;F1028,F1028-E1028,"")</f>
        <v/>
      </c>
      <c r="H1029" s="170"/>
      <c r="I1029" s="173"/>
      <c r="J1029" s="164" t="str">
        <f>IF(K1028=L1028,"",IF(K1028&gt;L1028,"Saldo Deudor","Saldo Acreedor"))</f>
        <v/>
      </c>
      <c r="K1029" s="165" t="str">
        <f>IF(K1028&gt;L1028,K1028-L1028,"")</f>
        <v/>
      </c>
      <c r="L1029" s="176" t="str">
        <f>IF(K1028&lt;L1028,L1028-K1028,"")</f>
        <v/>
      </c>
    </row>
    <row r="1032" spans="2:60" ht="15.6" x14ac:dyDescent="0.25">
      <c r="B1032" s="324" t="s">
        <v>472</v>
      </c>
      <c r="C1032" s="324"/>
      <c r="D1032" s="175">
        <v>6091</v>
      </c>
      <c r="E1032" s="160"/>
      <c r="H1032" s="324" t="s">
        <v>472</v>
      </c>
      <c r="I1032" s="324"/>
      <c r="J1032" s="175">
        <v>6092</v>
      </c>
      <c r="K1032" s="160"/>
      <c r="N1032" s="324" t="s">
        <v>472</v>
      </c>
      <c r="O1032" s="324"/>
      <c r="P1032" s="175">
        <v>6099</v>
      </c>
      <c r="Q1032" s="160"/>
    </row>
    <row r="1033" spans="2:60" x14ac:dyDescent="0.25">
      <c r="B1033" s="160"/>
      <c r="C1033" s="160"/>
      <c r="D1033" s="160"/>
      <c r="E1033" s="160"/>
      <c r="H1033" s="160"/>
      <c r="I1033" s="160"/>
      <c r="J1033" s="160"/>
      <c r="K1033" s="160"/>
      <c r="N1033" s="160"/>
      <c r="O1033" s="160"/>
      <c r="P1033" s="160"/>
      <c r="Q1033" s="160"/>
    </row>
    <row r="1034" spans="2:60" ht="15.6" x14ac:dyDescent="0.25">
      <c r="B1034" s="324" t="s">
        <v>473</v>
      </c>
      <c r="C1034" s="324"/>
      <c r="D1034" s="234" t="str">
        <f>VLOOKUP(D1032,DivisionariasContables,3,FALSE)</f>
        <v>Costos Vinculados con las Compras de Mercaderías</v>
      </c>
      <c r="E1034" s="160"/>
      <c r="H1034" s="324" t="s">
        <v>473</v>
      </c>
      <c r="I1034" s="324"/>
      <c r="J1034" s="234" t="str">
        <f>VLOOKUP(J1032,DivisionariasContables,3,FALSE)</f>
        <v>Costos Vinculados con las Compras de Materias Primas</v>
      </c>
      <c r="K1034" s="160"/>
      <c r="N1034" s="324" t="s">
        <v>473</v>
      </c>
      <c r="O1034" s="324"/>
      <c r="P1034" s="234" t="str">
        <f>VLOOKUP(P1032,DivisionariasContables,3,FALSE)</f>
        <v>Costos Vinculados con las Compras - Reclasificación de IGV al Costo</v>
      </c>
      <c r="Q1034" s="160"/>
    </row>
    <row r="1035" spans="2:60" ht="14.4" thickBot="1" x14ac:dyDescent="0.3"/>
    <row r="1036" spans="2:60" x14ac:dyDescent="0.25">
      <c r="B1036" s="325" t="s">
        <v>466</v>
      </c>
      <c r="C1036" s="327" t="s">
        <v>467</v>
      </c>
      <c r="D1036" s="327" t="s">
        <v>468</v>
      </c>
      <c r="E1036" s="329" t="s">
        <v>469</v>
      </c>
      <c r="F1036" s="330"/>
      <c r="H1036" s="325" t="s">
        <v>466</v>
      </c>
      <c r="I1036" s="327" t="s">
        <v>467</v>
      </c>
      <c r="J1036" s="327" t="s">
        <v>468</v>
      </c>
      <c r="K1036" s="329" t="s">
        <v>469</v>
      </c>
      <c r="L1036" s="330"/>
      <c r="N1036" s="325" t="s">
        <v>466</v>
      </c>
      <c r="O1036" s="327" t="s">
        <v>467</v>
      </c>
      <c r="P1036" s="327" t="s">
        <v>468</v>
      </c>
      <c r="Q1036" s="329" t="s">
        <v>469</v>
      </c>
      <c r="R1036" s="330"/>
    </row>
    <row r="1037" spans="2:60" ht="14.4" thickBot="1" x14ac:dyDescent="0.3">
      <c r="B1037" s="326"/>
      <c r="C1037" s="328"/>
      <c r="D1037" s="328"/>
      <c r="E1037" s="232" t="s">
        <v>403</v>
      </c>
      <c r="F1037" s="174" t="s">
        <v>402</v>
      </c>
      <c r="H1037" s="326"/>
      <c r="I1037" s="328"/>
      <c r="J1037" s="328"/>
      <c r="K1037" s="232" t="s">
        <v>403</v>
      </c>
      <c r="L1037" s="174" t="s">
        <v>402</v>
      </c>
      <c r="N1037" s="326"/>
      <c r="O1037" s="328"/>
      <c r="P1037" s="328"/>
      <c r="Q1037" s="232" t="s">
        <v>403</v>
      </c>
      <c r="R1037" s="174" t="s">
        <v>402</v>
      </c>
    </row>
    <row r="1038" spans="2:60" ht="14.4" thickTop="1" x14ac:dyDescent="0.25">
      <c r="B1038" s="236">
        <v>41670</v>
      </c>
      <c r="C1038" s="171"/>
      <c r="D1038" s="166" t="s">
        <v>470</v>
      </c>
      <c r="E1038" s="167">
        <f>SUMIF('Libro Diario Convencional'!$D$15:$D$167,D1032,'Libro Diario Convencional'!$G$15:$G$167)</f>
        <v>0</v>
      </c>
      <c r="F1038" s="168">
        <f>SUMIF('Libro Diario Convencional'!$D$15:$D$167,D1032,'Libro Diario Convencional'!$H$15:$H$167)</f>
        <v>0</v>
      </c>
      <c r="H1038" s="236">
        <v>41670</v>
      </c>
      <c r="I1038" s="171"/>
      <c r="J1038" s="166" t="s">
        <v>470</v>
      </c>
      <c r="K1038" s="167">
        <f>SUMIF('Libro Diario Convencional'!$D$15:$D$167,J1032,'Libro Diario Convencional'!$G$15:$G$167)</f>
        <v>0</v>
      </c>
      <c r="L1038" s="168">
        <f>SUMIF('Libro Diario Convencional'!$D$15:$D$167,J1032,'Libro Diario Convencional'!$H$15:$H$167)</f>
        <v>0</v>
      </c>
      <c r="N1038" s="236">
        <v>41670</v>
      </c>
      <c r="O1038" s="171"/>
      <c r="P1038" s="166" t="s">
        <v>470</v>
      </c>
      <c r="Q1038" s="167">
        <f>SUMIF('Libro Diario Convencional'!$D$15:$D$167,P1032,'Libro Diario Convencional'!$G$15:$G$167)</f>
        <v>0</v>
      </c>
      <c r="R1038" s="168">
        <f>SUMIF('Libro Diario Convencional'!$D$15:$D$167,P1032,'Libro Diario Convencional'!$H$15:$H$167)</f>
        <v>0</v>
      </c>
    </row>
    <row r="1039" spans="2:60" x14ac:dyDescent="0.25">
      <c r="B1039" s="169"/>
      <c r="C1039" s="172"/>
      <c r="D1039" s="161"/>
      <c r="E1039" s="162"/>
      <c r="F1039" s="163"/>
      <c r="H1039" s="169"/>
      <c r="I1039" s="172"/>
      <c r="J1039" s="161"/>
      <c r="K1039" s="162"/>
      <c r="L1039" s="163"/>
      <c r="N1039" s="169"/>
      <c r="O1039" s="172"/>
      <c r="P1039" s="161"/>
      <c r="Q1039" s="162"/>
      <c r="R1039" s="163"/>
    </row>
    <row r="1040" spans="2:60" x14ac:dyDescent="0.25">
      <c r="B1040" s="169"/>
      <c r="C1040" s="172"/>
      <c r="D1040" s="161"/>
      <c r="E1040" s="162"/>
      <c r="F1040" s="163"/>
      <c r="H1040" s="169"/>
      <c r="I1040" s="172"/>
      <c r="J1040" s="161"/>
      <c r="K1040" s="162"/>
      <c r="L1040" s="163"/>
      <c r="N1040" s="169"/>
      <c r="O1040" s="172"/>
      <c r="P1040" s="161"/>
      <c r="Q1040" s="162"/>
      <c r="R1040" s="163"/>
    </row>
    <row r="1041" spans="2:60" ht="14.4" thickBot="1" x14ac:dyDescent="0.3">
      <c r="B1041" s="169"/>
      <c r="C1041" s="172"/>
      <c r="D1041" s="161"/>
      <c r="E1041" s="162"/>
      <c r="F1041" s="163"/>
      <c r="H1041" s="169"/>
      <c r="I1041" s="172"/>
      <c r="J1041" s="161"/>
      <c r="K1041" s="162"/>
      <c r="L1041" s="163"/>
      <c r="N1041" s="169"/>
      <c r="O1041" s="172"/>
      <c r="P1041" s="161"/>
      <c r="Q1041" s="162"/>
      <c r="R1041" s="163"/>
    </row>
    <row r="1042" spans="2:60" ht="15" thickBot="1" x14ac:dyDescent="0.3">
      <c r="B1042" s="169"/>
      <c r="C1042" s="172"/>
      <c r="D1042" s="161" t="s">
        <v>471</v>
      </c>
      <c r="E1042" s="162">
        <f>SUM(E1038:E1041)</f>
        <v>0</v>
      </c>
      <c r="F1042" s="163">
        <f>SUM(F1038:F1041)</f>
        <v>0</v>
      </c>
      <c r="H1042" s="169"/>
      <c r="I1042" s="172"/>
      <c r="J1042" s="161" t="s">
        <v>471</v>
      </c>
      <c r="K1042" s="162">
        <f>SUM(K1038:K1041)</f>
        <v>0</v>
      </c>
      <c r="L1042" s="163">
        <f>SUM(L1038:L1041)</f>
        <v>0</v>
      </c>
      <c r="N1042" s="169"/>
      <c r="O1042" s="172"/>
      <c r="P1042" s="161" t="s">
        <v>471</v>
      </c>
      <c r="Q1042" s="162">
        <f>SUM(Q1038:Q1041)</f>
        <v>0</v>
      </c>
      <c r="R1042" s="163">
        <f>SUM(R1038:R1041)</f>
        <v>0</v>
      </c>
      <c r="BG1042" s="157">
        <f>SUM(E1042,K1042,Q1042,W1042,AC1042,AI1042,AO1042,AU1042,AX1042,BD1042)</f>
        <v>0</v>
      </c>
      <c r="BH1042" s="158">
        <f>SUM(F1042,L1042,R1042,X1042,AD1042,AJ1042,AP1042,AV1042,AY1042,BE1042)</f>
        <v>0</v>
      </c>
    </row>
    <row r="1043" spans="2:60" ht="14.4" thickBot="1" x14ac:dyDescent="0.3">
      <c r="B1043" s="170"/>
      <c r="C1043" s="173"/>
      <c r="D1043" s="164" t="str">
        <f>IF(E1042=F1042,"",IF(E1042&gt;F1042,"Saldo Deudor","Saldo Acreedor"))</f>
        <v/>
      </c>
      <c r="E1043" s="165" t="str">
        <f>IF(E1042&gt;F1042,E1042-F1042,"")</f>
        <v/>
      </c>
      <c r="F1043" s="176" t="str">
        <f>IF(E1042&lt;F1042,F1042-E1042,"")</f>
        <v/>
      </c>
      <c r="H1043" s="170"/>
      <c r="I1043" s="173"/>
      <c r="J1043" s="164" t="str">
        <f>IF(K1042=L1042,"",IF(K1042&gt;L1042,"Saldo Deudor","Saldo Acreedor"))</f>
        <v/>
      </c>
      <c r="K1043" s="165" t="str">
        <f>IF(K1042&gt;L1042,K1042-L1042,"")</f>
        <v/>
      </c>
      <c r="L1043" s="176" t="str">
        <f>IF(K1042&lt;L1042,L1042-K1042,"")</f>
        <v/>
      </c>
      <c r="N1043" s="170"/>
      <c r="O1043" s="173"/>
      <c r="P1043" s="164" t="str">
        <f>IF(Q1042=R1042,"",IF(Q1042&gt;R1042,"Saldo Deudor","Saldo Acreedor"))</f>
        <v/>
      </c>
      <c r="Q1043" s="165" t="str">
        <f>IF(Q1042&gt;R1042,Q1042-R1042,"")</f>
        <v/>
      </c>
      <c r="R1043" s="176" t="str">
        <f>IF(Q1042&lt;R1042,R1042-Q1042,"")</f>
        <v/>
      </c>
    </row>
    <row r="1046" spans="2:60" ht="15.6" x14ac:dyDescent="0.25">
      <c r="B1046" s="324" t="s">
        <v>472</v>
      </c>
      <c r="C1046" s="324"/>
      <c r="D1046" s="175">
        <v>6111</v>
      </c>
      <c r="E1046" s="160"/>
    </row>
    <row r="1047" spans="2:60" x14ac:dyDescent="0.25">
      <c r="B1047" s="160"/>
      <c r="C1047" s="160"/>
      <c r="D1047" s="160"/>
      <c r="E1047" s="160"/>
    </row>
    <row r="1048" spans="2:60" ht="15.6" x14ac:dyDescent="0.25">
      <c r="B1048" s="324" t="s">
        <v>473</v>
      </c>
      <c r="C1048" s="324"/>
      <c r="D1048" s="234" t="str">
        <f>VLOOKUP(D1046,DivisionariasContables,3,FALSE)</f>
        <v>Mercaderías Manufacturadas</v>
      </c>
      <c r="E1048" s="160"/>
    </row>
    <row r="1049" spans="2:60" ht="14.4" thickBot="1" x14ac:dyDescent="0.3"/>
    <row r="1050" spans="2:60" x14ac:dyDescent="0.25">
      <c r="B1050" s="325" t="s">
        <v>466</v>
      </c>
      <c r="C1050" s="327" t="s">
        <v>467</v>
      </c>
      <c r="D1050" s="327" t="s">
        <v>468</v>
      </c>
      <c r="E1050" s="329" t="s">
        <v>469</v>
      </c>
      <c r="F1050" s="330"/>
    </row>
    <row r="1051" spans="2:60" ht="14.4" thickBot="1" x14ac:dyDescent="0.3">
      <c r="B1051" s="326"/>
      <c r="C1051" s="328"/>
      <c r="D1051" s="328"/>
      <c r="E1051" s="232" t="s">
        <v>403</v>
      </c>
      <c r="F1051" s="174" t="s">
        <v>402</v>
      </c>
    </row>
    <row r="1052" spans="2:60" ht="14.4" thickTop="1" x14ac:dyDescent="0.25">
      <c r="B1052" s="236">
        <v>41670</v>
      </c>
      <c r="C1052" s="171"/>
      <c r="D1052" s="166" t="s">
        <v>470</v>
      </c>
      <c r="E1052" s="167">
        <f>SUMIF('Libro Diario Convencional'!$D$15:$D$167,D1046,'Libro Diario Convencional'!$G$15:$G$167)</f>
        <v>0</v>
      </c>
      <c r="F1052" s="168">
        <f>SUMIF('Libro Diario Convencional'!$D$15:$D$167,D1046,'Libro Diario Convencional'!$H$15:$H$167)</f>
        <v>154100</v>
      </c>
    </row>
    <row r="1053" spans="2:60" x14ac:dyDescent="0.25">
      <c r="B1053" s="169"/>
      <c r="C1053" s="172"/>
      <c r="D1053" s="161"/>
      <c r="E1053" s="162"/>
      <c r="F1053" s="163"/>
    </row>
    <row r="1054" spans="2:60" x14ac:dyDescent="0.25">
      <c r="B1054" s="169"/>
      <c r="C1054" s="172"/>
      <c r="D1054" s="161"/>
      <c r="E1054" s="162"/>
      <c r="F1054" s="163"/>
    </row>
    <row r="1055" spans="2:60" ht="14.4" thickBot="1" x14ac:dyDescent="0.3">
      <c r="B1055" s="169"/>
      <c r="C1055" s="172"/>
      <c r="D1055" s="161"/>
      <c r="E1055" s="162"/>
      <c r="F1055" s="163"/>
    </row>
    <row r="1056" spans="2:60" ht="15" thickBot="1" x14ac:dyDescent="0.3">
      <c r="B1056" s="169"/>
      <c r="C1056" s="172"/>
      <c r="D1056" s="161" t="s">
        <v>471</v>
      </c>
      <c r="E1056" s="162">
        <f>SUM(E1052:E1055)</f>
        <v>0</v>
      </c>
      <c r="F1056" s="163">
        <f>SUM(F1052:F1055)</f>
        <v>154100</v>
      </c>
      <c r="BG1056" s="157">
        <f>SUM(E1056,K1056,Q1056,W1056,AC1056,AI1056,AO1056,AU1056,AX1056,BD1056)</f>
        <v>0</v>
      </c>
      <c r="BH1056" s="158">
        <f>SUM(F1056,L1056,R1056,X1056,AD1056,AJ1056,AP1056,AV1056,AY1056,BE1056)</f>
        <v>154100</v>
      </c>
    </row>
    <row r="1057" spans="2:60" ht="14.4" thickBot="1" x14ac:dyDescent="0.3">
      <c r="B1057" s="170"/>
      <c r="C1057" s="173"/>
      <c r="D1057" s="164" t="str">
        <f>IF(E1056=F1056,"",IF(E1056&gt;F1056,"Saldo Deudor","Saldo Acreedor"))</f>
        <v>Saldo Acreedor</v>
      </c>
      <c r="E1057" s="165" t="str">
        <f>IF(E1056&gt;F1056,E1056-F1056,"")</f>
        <v/>
      </c>
      <c r="F1057" s="176">
        <f>IF(E1056&lt;F1056,F1056-E1056,"")</f>
        <v>154100</v>
      </c>
    </row>
    <row r="1060" spans="2:60" ht="15.6" x14ac:dyDescent="0.25">
      <c r="B1060" s="324" t="s">
        <v>472</v>
      </c>
      <c r="C1060" s="324"/>
      <c r="D1060" s="175">
        <v>6121</v>
      </c>
      <c r="E1060" s="160"/>
    </row>
    <row r="1061" spans="2:60" x14ac:dyDescent="0.25">
      <c r="B1061" s="160"/>
      <c r="C1061" s="160"/>
      <c r="D1061" s="160"/>
      <c r="E1061" s="160"/>
    </row>
    <row r="1062" spans="2:60" ht="15.6" x14ac:dyDescent="0.25">
      <c r="B1062" s="324" t="s">
        <v>473</v>
      </c>
      <c r="C1062" s="324"/>
      <c r="D1062" s="234" t="str">
        <f>VLOOKUP(D1060,DivisionariasContables,3,FALSE)</f>
        <v>Materias Primas para Productos Manufacturados</v>
      </c>
      <c r="E1062" s="160"/>
    </row>
    <row r="1063" spans="2:60" ht="14.4" thickBot="1" x14ac:dyDescent="0.3"/>
    <row r="1064" spans="2:60" x14ac:dyDescent="0.25">
      <c r="B1064" s="325" t="s">
        <v>466</v>
      </c>
      <c r="C1064" s="327" t="s">
        <v>467</v>
      </c>
      <c r="D1064" s="327" t="s">
        <v>468</v>
      </c>
      <c r="E1064" s="329" t="s">
        <v>469</v>
      </c>
      <c r="F1064" s="330"/>
    </row>
    <row r="1065" spans="2:60" ht="14.4" thickBot="1" x14ac:dyDescent="0.3">
      <c r="B1065" s="326"/>
      <c r="C1065" s="328"/>
      <c r="D1065" s="328"/>
      <c r="E1065" s="232" t="s">
        <v>403</v>
      </c>
      <c r="F1065" s="174" t="s">
        <v>402</v>
      </c>
    </row>
    <row r="1066" spans="2:60" ht="14.4" thickTop="1" x14ac:dyDescent="0.25">
      <c r="B1066" s="236">
        <v>41670</v>
      </c>
      <c r="C1066" s="171"/>
      <c r="D1066" s="166" t="s">
        <v>470</v>
      </c>
      <c r="E1066" s="167">
        <f>SUMIF('Libro Diario Convencional'!$D$15:$D$167,D1060,'Libro Diario Convencional'!$G$15:$G$167)</f>
        <v>0</v>
      </c>
      <c r="F1066" s="168">
        <f>SUMIF('Libro Diario Convencional'!$D$15:$D$167,D1060,'Libro Diario Convencional'!$H$15:$H$167)</f>
        <v>0</v>
      </c>
    </row>
    <row r="1067" spans="2:60" x14ac:dyDescent="0.25">
      <c r="B1067" s="169"/>
      <c r="C1067" s="172"/>
      <c r="D1067" s="161"/>
      <c r="E1067" s="162"/>
      <c r="F1067" s="163"/>
    </row>
    <row r="1068" spans="2:60" x14ac:dyDescent="0.25">
      <c r="B1068" s="169"/>
      <c r="C1068" s="172"/>
      <c r="D1068" s="161"/>
      <c r="E1068" s="162"/>
      <c r="F1068" s="163"/>
    </row>
    <row r="1069" spans="2:60" ht="14.4" thickBot="1" x14ac:dyDescent="0.3">
      <c r="B1069" s="169"/>
      <c r="C1069" s="172"/>
      <c r="D1069" s="161"/>
      <c r="E1069" s="162"/>
      <c r="F1069" s="163"/>
    </row>
    <row r="1070" spans="2:60" ht="15" thickBot="1" x14ac:dyDescent="0.3">
      <c r="B1070" s="169"/>
      <c r="C1070" s="172"/>
      <c r="D1070" s="161" t="s">
        <v>471</v>
      </c>
      <c r="E1070" s="162">
        <f>SUM(E1066:E1069)</f>
        <v>0</v>
      </c>
      <c r="F1070" s="163">
        <f>SUM(F1066:F1069)</f>
        <v>0</v>
      </c>
      <c r="BG1070" s="157">
        <f>SUM(E1070,K1070,Q1070,W1070,AC1070,AI1070,AO1070,AU1070,AX1070,BD1070)</f>
        <v>0</v>
      </c>
      <c r="BH1070" s="158">
        <f>SUM(F1070,L1070,R1070,X1070,AD1070,AJ1070,AP1070,AV1070,AY1070,BE1070)</f>
        <v>0</v>
      </c>
    </row>
    <row r="1071" spans="2:60" ht="14.4" thickBot="1" x14ac:dyDescent="0.3">
      <c r="B1071" s="170"/>
      <c r="C1071" s="173"/>
      <c r="D1071" s="164" t="str">
        <f>IF(E1070=F1070,"",IF(E1070&gt;F1070,"Saldo Deudor","Saldo Acreedor"))</f>
        <v/>
      </c>
      <c r="E1071" s="165" t="str">
        <f>IF(E1070&gt;F1070,E1070-F1070,"")</f>
        <v/>
      </c>
      <c r="F1071" s="176" t="str">
        <f>IF(E1070&lt;F1070,F1070-E1070,"")</f>
        <v/>
      </c>
    </row>
    <row r="1074" spans="2:60" ht="15.6" x14ac:dyDescent="0.25">
      <c r="B1074" s="324" t="s">
        <v>472</v>
      </c>
      <c r="C1074" s="324"/>
      <c r="D1074" s="175">
        <v>6131</v>
      </c>
      <c r="E1074" s="160"/>
      <c r="H1074" s="324" t="s">
        <v>472</v>
      </c>
      <c r="I1074" s="324"/>
      <c r="J1074" s="175">
        <v>6132</v>
      </c>
      <c r="K1074" s="160"/>
      <c r="N1074" s="324" t="s">
        <v>472</v>
      </c>
      <c r="O1074" s="324"/>
      <c r="P1074" s="175">
        <v>6133</v>
      </c>
      <c r="Q1074" s="160"/>
    </row>
    <row r="1075" spans="2:60" x14ac:dyDescent="0.25">
      <c r="B1075" s="160"/>
      <c r="C1075" s="160"/>
      <c r="D1075" s="160"/>
      <c r="E1075" s="160"/>
      <c r="H1075" s="160"/>
      <c r="I1075" s="160"/>
      <c r="J1075" s="160"/>
      <c r="K1075" s="160"/>
      <c r="N1075" s="160"/>
      <c r="O1075" s="160"/>
      <c r="P1075" s="160"/>
      <c r="Q1075" s="160"/>
    </row>
    <row r="1076" spans="2:60" ht="15.6" x14ac:dyDescent="0.25">
      <c r="B1076" s="324" t="s">
        <v>473</v>
      </c>
      <c r="C1076" s="324"/>
      <c r="D1076" s="234" t="str">
        <f>VLOOKUP(D1074,DivisionariasContables,3,FALSE)</f>
        <v>Materiales Auxiliares</v>
      </c>
      <c r="E1076" s="160"/>
      <c r="H1076" s="324" t="s">
        <v>473</v>
      </c>
      <c r="I1076" s="324"/>
      <c r="J1076" s="234" t="str">
        <f>VLOOKUP(J1074,DivisionariasContables,3,FALSE)</f>
        <v>Suministros</v>
      </c>
      <c r="K1076" s="160"/>
      <c r="N1076" s="324" t="s">
        <v>473</v>
      </c>
      <c r="O1076" s="324"/>
      <c r="P1076" s="234" t="str">
        <f>VLOOKUP(P1074,DivisionariasContables,3,FALSE)</f>
        <v>Repuestos</v>
      </c>
      <c r="Q1076" s="160"/>
    </row>
    <row r="1077" spans="2:60" ht="14.4" thickBot="1" x14ac:dyDescent="0.3"/>
    <row r="1078" spans="2:60" x14ac:dyDescent="0.25">
      <c r="B1078" s="325" t="s">
        <v>466</v>
      </c>
      <c r="C1078" s="327" t="s">
        <v>467</v>
      </c>
      <c r="D1078" s="327" t="s">
        <v>468</v>
      </c>
      <c r="E1078" s="329" t="s">
        <v>469</v>
      </c>
      <c r="F1078" s="330"/>
      <c r="H1078" s="325" t="s">
        <v>466</v>
      </c>
      <c r="I1078" s="327" t="s">
        <v>467</v>
      </c>
      <c r="J1078" s="327" t="s">
        <v>468</v>
      </c>
      <c r="K1078" s="329" t="s">
        <v>469</v>
      </c>
      <c r="L1078" s="330"/>
      <c r="N1078" s="325" t="s">
        <v>466</v>
      </c>
      <c r="O1078" s="327" t="s">
        <v>467</v>
      </c>
      <c r="P1078" s="327" t="s">
        <v>468</v>
      </c>
      <c r="Q1078" s="329" t="s">
        <v>469</v>
      </c>
      <c r="R1078" s="330"/>
    </row>
    <row r="1079" spans="2:60" ht="14.4" thickBot="1" x14ac:dyDescent="0.3">
      <c r="B1079" s="326"/>
      <c r="C1079" s="328"/>
      <c r="D1079" s="328"/>
      <c r="E1079" s="232" t="s">
        <v>403</v>
      </c>
      <c r="F1079" s="174" t="s">
        <v>402</v>
      </c>
      <c r="H1079" s="326"/>
      <c r="I1079" s="328"/>
      <c r="J1079" s="328"/>
      <c r="K1079" s="232" t="s">
        <v>403</v>
      </c>
      <c r="L1079" s="174" t="s">
        <v>402</v>
      </c>
      <c r="N1079" s="326"/>
      <c r="O1079" s="328"/>
      <c r="P1079" s="328"/>
      <c r="Q1079" s="232" t="s">
        <v>403</v>
      </c>
      <c r="R1079" s="174" t="s">
        <v>402</v>
      </c>
    </row>
    <row r="1080" spans="2:60" ht="14.4" thickTop="1" x14ac:dyDescent="0.25">
      <c r="B1080" s="236">
        <v>41670</v>
      </c>
      <c r="C1080" s="171"/>
      <c r="D1080" s="166" t="s">
        <v>470</v>
      </c>
      <c r="E1080" s="167">
        <f>SUMIF('Libro Diario Convencional'!$D$15:$D$167,D1074,'Libro Diario Convencional'!$G$15:$G$167)</f>
        <v>0</v>
      </c>
      <c r="F1080" s="168">
        <f>SUMIF('Libro Diario Convencional'!$D$15:$D$167,D1074,'Libro Diario Convencional'!$H$15:$H$167)</f>
        <v>0</v>
      </c>
      <c r="H1080" s="236">
        <v>41670</v>
      </c>
      <c r="I1080" s="171"/>
      <c r="J1080" s="166" t="s">
        <v>470</v>
      </c>
      <c r="K1080" s="167">
        <f>SUMIF('Libro Diario Convencional'!$D$15:$D$167,J1074,'Libro Diario Convencional'!$G$15:$G$167)</f>
        <v>0</v>
      </c>
      <c r="L1080" s="168">
        <f>SUMIF('Libro Diario Convencional'!$D$15:$D$167,J1074,'Libro Diario Convencional'!$H$15:$H$167)</f>
        <v>0</v>
      </c>
      <c r="N1080" s="236">
        <v>41670</v>
      </c>
      <c r="O1080" s="171"/>
      <c r="P1080" s="166" t="s">
        <v>470</v>
      </c>
      <c r="Q1080" s="167">
        <f>SUMIF('Libro Diario Convencional'!$D$15:$D$167,P1074,'Libro Diario Convencional'!$G$15:$G$167)</f>
        <v>0</v>
      </c>
      <c r="R1080" s="168">
        <f>SUMIF('Libro Diario Convencional'!$D$15:$D$167,P1074,'Libro Diario Convencional'!$H$15:$H$167)</f>
        <v>0</v>
      </c>
    </row>
    <row r="1081" spans="2:60" x14ac:dyDescent="0.25">
      <c r="B1081" s="169"/>
      <c r="C1081" s="172"/>
      <c r="D1081" s="161"/>
      <c r="E1081" s="162"/>
      <c r="F1081" s="163"/>
      <c r="H1081" s="169"/>
      <c r="I1081" s="172"/>
      <c r="J1081" s="161"/>
      <c r="K1081" s="162"/>
      <c r="L1081" s="163"/>
      <c r="N1081" s="169"/>
      <c r="O1081" s="172"/>
      <c r="P1081" s="161"/>
      <c r="Q1081" s="162"/>
      <c r="R1081" s="163"/>
    </row>
    <row r="1082" spans="2:60" x14ac:dyDescent="0.25">
      <c r="B1082" s="169"/>
      <c r="C1082" s="172"/>
      <c r="D1082" s="161"/>
      <c r="E1082" s="162"/>
      <c r="F1082" s="163"/>
      <c r="H1082" s="169"/>
      <c r="I1082" s="172"/>
      <c r="J1082" s="161"/>
      <c r="K1082" s="162"/>
      <c r="L1082" s="163"/>
      <c r="N1082" s="169"/>
      <c r="O1082" s="172"/>
      <c r="P1082" s="161"/>
      <c r="Q1082" s="162"/>
      <c r="R1082" s="163"/>
    </row>
    <row r="1083" spans="2:60" ht="14.4" thickBot="1" x14ac:dyDescent="0.3">
      <c r="B1083" s="169"/>
      <c r="C1083" s="172"/>
      <c r="D1083" s="161"/>
      <c r="E1083" s="162"/>
      <c r="F1083" s="163"/>
      <c r="H1083" s="169"/>
      <c r="I1083" s="172"/>
      <c r="J1083" s="161"/>
      <c r="K1083" s="162"/>
      <c r="L1083" s="163"/>
      <c r="N1083" s="169"/>
      <c r="O1083" s="172"/>
      <c r="P1083" s="161"/>
      <c r="Q1083" s="162"/>
      <c r="R1083" s="163"/>
    </row>
    <row r="1084" spans="2:60" ht="15" thickBot="1" x14ac:dyDescent="0.3">
      <c r="B1084" s="169"/>
      <c r="C1084" s="172"/>
      <c r="D1084" s="161" t="s">
        <v>471</v>
      </c>
      <c r="E1084" s="162">
        <f>SUM(E1080:E1083)</f>
        <v>0</v>
      </c>
      <c r="F1084" s="163">
        <f>SUM(F1080:F1083)</f>
        <v>0</v>
      </c>
      <c r="H1084" s="169"/>
      <c r="I1084" s="172"/>
      <c r="J1084" s="161" t="s">
        <v>471</v>
      </c>
      <c r="K1084" s="162">
        <f>SUM(K1080:K1083)</f>
        <v>0</v>
      </c>
      <c r="L1084" s="163">
        <f>SUM(L1080:L1083)</f>
        <v>0</v>
      </c>
      <c r="N1084" s="169"/>
      <c r="O1084" s="172"/>
      <c r="P1084" s="161" t="s">
        <v>471</v>
      </c>
      <c r="Q1084" s="162">
        <f>SUM(Q1080:Q1083)</f>
        <v>0</v>
      </c>
      <c r="R1084" s="163">
        <f>SUM(R1080:R1083)</f>
        <v>0</v>
      </c>
      <c r="BG1084" s="157">
        <f>SUM(E1084,K1084,Q1084,W1084,AC1084,AI1084,AO1084,AU1084,AX1084,BD1084)</f>
        <v>0</v>
      </c>
      <c r="BH1084" s="158">
        <f>SUM(F1084,L1084,R1084,X1084,AD1084,AJ1084,AP1084,AV1084,AY1084,BE1084)</f>
        <v>0</v>
      </c>
    </row>
    <row r="1085" spans="2:60" ht="14.4" thickBot="1" x14ac:dyDescent="0.3">
      <c r="B1085" s="170"/>
      <c r="C1085" s="173"/>
      <c r="D1085" s="164" t="str">
        <f>IF(E1084=F1084,"",IF(E1084&gt;F1084,"Saldo Deudor","Saldo Acreedor"))</f>
        <v/>
      </c>
      <c r="E1085" s="165" t="str">
        <f>IF(E1084&gt;F1084,E1084-F1084,"")</f>
        <v/>
      </c>
      <c r="F1085" s="176" t="str">
        <f>IF(E1084&lt;F1084,F1084-E1084,"")</f>
        <v/>
      </c>
      <c r="H1085" s="170"/>
      <c r="I1085" s="173"/>
      <c r="J1085" s="164" t="str">
        <f>IF(K1084=L1084,"",IF(K1084&gt;L1084,"Saldo Deudor","Saldo Acreedor"))</f>
        <v/>
      </c>
      <c r="K1085" s="165" t="str">
        <f>IF(K1084&gt;L1084,K1084-L1084,"")</f>
        <v/>
      </c>
      <c r="L1085" s="176" t="str">
        <f>IF(K1084&lt;L1084,L1084-K1084,"")</f>
        <v/>
      </c>
      <c r="N1085" s="170"/>
      <c r="O1085" s="173"/>
      <c r="P1085" s="164" t="str">
        <f>IF(Q1084=R1084,"",IF(Q1084&gt;R1084,"Saldo Deudor","Saldo Acreedor"))</f>
        <v/>
      </c>
      <c r="Q1085" s="165" t="str">
        <f>IF(Q1084&gt;R1084,Q1084-R1084,"")</f>
        <v/>
      </c>
      <c r="R1085" s="176" t="str">
        <f>IF(Q1084&lt;R1084,R1084-Q1084,"")</f>
        <v/>
      </c>
    </row>
    <row r="1088" spans="2:60" ht="15.6" x14ac:dyDescent="0.25">
      <c r="B1088" s="324" t="s">
        <v>472</v>
      </c>
      <c r="C1088" s="324"/>
      <c r="D1088" s="175">
        <v>6141</v>
      </c>
      <c r="E1088" s="160"/>
      <c r="H1088" s="324" t="s">
        <v>472</v>
      </c>
      <c r="I1088" s="324"/>
      <c r="J1088" s="175">
        <v>6142</v>
      </c>
      <c r="K1088" s="160"/>
    </row>
    <row r="1089" spans="2:60" x14ac:dyDescent="0.25">
      <c r="B1089" s="160"/>
      <c r="C1089" s="160"/>
      <c r="D1089" s="160"/>
      <c r="E1089" s="160"/>
      <c r="H1089" s="160"/>
      <c r="I1089" s="160"/>
      <c r="J1089" s="160"/>
      <c r="K1089" s="160"/>
    </row>
    <row r="1090" spans="2:60" ht="15.6" x14ac:dyDescent="0.25">
      <c r="B1090" s="324" t="s">
        <v>473</v>
      </c>
      <c r="C1090" s="324"/>
      <c r="D1090" s="234" t="str">
        <f>VLOOKUP(D1088,DivisionariasContables,3,FALSE)</f>
        <v>Envases</v>
      </c>
      <c r="E1090" s="160"/>
      <c r="H1090" s="324" t="s">
        <v>473</v>
      </c>
      <c r="I1090" s="324"/>
      <c r="J1090" s="234" t="str">
        <f>VLOOKUP(J1088,DivisionariasContables,3,FALSE)</f>
        <v>Embalajes</v>
      </c>
      <c r="K1090" s="160"/>
    </row>
    <row r="1091" spans="2:60" ht="14.4" thickBot="1" x14ac:dyDescent="0.3"/>
    <row r="1092" spans="2:60" x14ac:dyDescent="0.25">
      <c r="B1092" s="325" t="s">
        <v>466</v>
      </c>
      <c r="C1092" s="327" t="s">
        <v>467</v>
      </c>
      <c r="D1092" s="327" t="s">
        <v>468</v>
      </c>
      <c r="E1092" s="329" t="s">
        <v>469</v>
      </c>
      <c r="F1092" s="330"/>
      <c r="H1092" s="325" t="s">
        <v>466</v>
      </c>
      <c r="I1092" s="327" t="s">
        <v>467</v>
      </c>
      <c r="J1092" s="327" t="s">
        <v>468</v>
      </c>
      <c r="K1092" s="329" t="s">
        <v>469</v>
      </c>
      <c r="L1092" s="330"/>
    </row>
    <row r="1093" spans="2:60" ht="14.4" thickBot="1" x14ac:dyDescent="0.3">
      <c r="B1093" s="326"/>
      <c r="C1093" s="328"/>
      <c r="D1093" s="328"/>
      <c r="E1093" s="232" t="s">
        <v>403</v>
      </c>
      <c r="F1093" s="174" t="s">
        <v>402</v>
      </c>
      <c r="H1093" s="326"/>
      <c r="I1093" s="328"/>
      <c r="J1093" s="328"/>
      <c r="K1093" s="232" t="s">
        <v>403</v>
      </c>
      <c r="L1093" s="174" t="s">
        <v>402</v>
      </c>
    </row>
    <row r="1094" spans="2:60" ht="14.4" thickTop="1" x14ac:dyDescent="0.25">
      <c r="B1094" s="236">
        <v>41670</v>
      </c>
      <c r="C1094" s="171"/>
      <c r="D1094" s="166" t="s">
        <v>470</v>
      </c>
      <c r="E1094" s="167">
        <f>SUMIF('Libro Diario Convencional'!$D$15:$D$167,D1088,'Libro Diario Convencional'!$G$15:$G$167)</f>
        <v>0</v>
      </c>
      <c r="F1094" s="168">
        <f>SUMIF('Libro Diario Convencional'!$D$15:$D$167,D1088,'Libro Diario Convencional'!$H$15:$H$167)</f>
        <v>0</v>
      </c>
      <c r="H1094" s="236">
        <v>41670</v>
      </c>
      <c r="I1094" s="171"/>
      <c r="J1094" s="166" t="s">
        <v>470</v>
      </c>
      <c r="K1094" s="167">
        <f>SUMIF('Libro Diario Convencional'!$D$15:$D$167,J1088,'Libro Diario Convencional'!$G$15:$G$167)</f>
        <v>0</v>
      </c>
      <c r="L1094" s="168">
        <f>SUMIF('Libro Diario Convencional'!$D$15:$D$167,J1088,'Libro Diario Convencional'!$H$15:$H$167)</f>
        <v>0</v>
      </c>
    </row>
    <row r="1095" spans="2:60" x14ac:dyDescent="0.25">
      <c r="B1095" s="169"/>
      <c r="C1095" s="172"/>
      <c r="D1095" s="161"/>
      <c r="E1095" s="162"/>
      <c r="F1095" s="163"/>
      <c r="H1095" s="169"/>
      <c r="I1095" s="172"/>
      <c r="J1095" s="161"/>
      <c r="K1095" s="162"/>
      <c r="L1095" s="163"/>
    </row>
    <row r="1096" spans="2:60" x14ac:dyDescent="0.25">
      <c r="B1096" s="169"/>
      <c r="C1096" s="172"/>
      <c r="D1096" s="161"/>
      <c r="E1096" s="162"/>
      <c r="F1096" s="163"/>
      <c r="H1096" s="169"/>
      <c r="I1096" s="172"/>
      <c r="J1096" s="161"/>
      <c r="K1096" s="162"/>
      <c r="L1096" s="163"/>
    </row>
    <row r="1097" spans="2:60" ht="14.4" thickBot="1" x14ac:dyDescent="0.3">
      <c r="B1097" s="169"/>
      <c r="C1097" s="172"/>
      <c r="D1097" s="161"/>
      <c r="E1097" s="162"/>
      <c r="F1097" s="163"/>
      <c r="H1097" s="169"/>
      <c r="I1097" s="172"/>
      <c r="J1097" s="161"/>
      <c r="K1097" s="162"/>
      <c r="L1097" s="163"/>
    </row>
    <row r="1098" spans="2:60" ht="15" thickBot="1" x14ac:dyDescent="0.3">
      <c r="B1098" s="169"/>
      <c r="C1098" s="172"/>
      <c r="D1098" s="161" t="s">
        <v>471</v>
      </c>
      <c r="E1098" s="162">
        <f>SUM(E1094:E1097)</f>
        <v>0</v>
      </c>
      <c r="F1098" s="163">
        <f>SUM(F1094:F1097)</f>
        <v>0</v>
      </c>
      <c r="H1098" s="169"/>
      <c r="I1098" s="172"/>
      <c r="J1098" s="161" t="s">
        <v>471</v>
      </c>
      <c r="K1098" s="162">
        <f>SUM(K1094:K1097)</f>
        <v>0</v>
      </c>
      <c r="L1098" s="163">
        <f>SUM(L1094:L1097)</f>
        <v>0</v>
      </c>
      <c r="BG1098" s="157">
        <f>SUM(E1098,K1098,Q1098,W1098,AC1098,AI1098,AO1098,AU1098,AX1098,BD1098)</f>
        <v>0</v>
      </c>
      <c r="BH1098" s="158">
        <f>SUM(F1098,L1098,R1098,X1098,AD1098,AJ1098,AP1098,AV1098,AY1098,BE1098)</f>
        <v>0</v>
      </c>
    </row>
    <row r="1099" spans="2:60" ht="14.4" thickBot="1" x14ac:dyDescent="0.3">
      <c r="B1099" s="170"/>
      <c r="C1099" s="173"/>
      <c r="D1099" s="164" t="str">
        <f>IF(E1098=F1098,"",IF(E1098&gt;F1098,"Saldo Deudor","Saldo Acreedor"))</f>
        <v/>
      </c>
      <c r="E1099" s="165" t="str">
        <f>IF(E1098&gt;F1098,E1098-F1098,"")</f>
        <v/>
      </c>
      <c r="F1099" s="176" t="str">
        <f>IF(E1098&lt;F1098,F1098-E1098,"")</f>
        <v/>
      </c>
      <c r="H1099" s="170"/>
      <c r="I1099" s="173"/>
      <c r="J1099" s="164" t="str">
        <f>IF(K1098=L1098,"",IF(K1098&gt;L1098,"Saldo Deudor","Saldo Acreedor"))</f>
        <v/>
      </c>
      <c r="K1099" s="165" t="str">
        <f>IF(K1098&gt;L1098,K1098-L1098,"")</f>
        <v/>
      </c>
      <c r="L1099" s="176" t="str">
        <f>IF(K1098&lt;L1098,L1098-K1098,"")</f>
        <v/>
      </c>
    </row>
    <row r="1102" spans="2:60" ht="15.6" x14ac:dyDescent="0.25">
      <c r="B1102" s="324" t="s">
        <v>472</v>
      </c>
      <c r="C1102" s="324"/>
      <c r="D1102" s="175">
        <v>6211</v>
      </c>
      <c r="E1102" s="160"/>
      <c r="H1102" s="324" t="s">
        <v>472</v>
      </c>
      <c r="I1102" s="324"/>
      <c r="J1102" s="175">
        <v>6214</v>
      </c>
      <c r="K1102" s="160"/>
    </row>
    <row r="1103" spans="2:60" x14ac:dyDescent="0.25">
      <c r="B1103" s="160"/>
      <c r="C1103" s="160"/>
      <c r="D1103" s="160"/>
      <c r="E1103" s="160"/>
      <c r="H1103" s="160"/>
      <c r="I1103" s="160"/>
      <c r="J1103" s="160"/>
      <c r="K1103" s="160"/>
    </row>
    <row r="1104" spans="2:60" ht="15.6" x14ac:dyDescent="0.25">
      <c r="B1104" s="324" t="s">
        <v>473</v>
      </c>
      <c r="C1104" s="324"/>
      <c r="D1104" s="234" t="str">
        <f>VLOOKUP(D1102,DivisionariasContables,3,FALSE)</f>
        <v>Sueldos y Salarios</v>
      </c>
      <c r="E1104" s="160"/>
      <c r="H1104" s="324" t="s">
        <v>473</v>
      </c>
      <c r="I1104" s="324"/>
      <c r="J1104" s="234" t="str">
        <f>VLOOKUP(J1102,DivisionariasContables,3,FALSE)</f>
        <v>Gratificaciones</v>
      </c>
      <c r="K1104" s="160"/>
    </row>
    <row r="1105" spans="2:60" ht="14.4" thickBot="1" x14ac:dyDescent="0.3"/>
    <row r="1106" spans="2:60" x14ac:dyDescent="0.25">
      <c r="B1106" s="325" t="s">
        <v>466</v>
      </c>
      <c r="C1106" s="327" t="s">
        <v>467</v>
      </c>
      <c r="D1106" s="327" t="s">
        <v>468</v>
      </c>
      <c r="E1106" s="329" t="s">
        <v>469</v>
      </c>
      <c r="F1106" s="330"/>
      <c r="H1106" s="325" t="s">
        <v>466</v>
      </c>
      <c r="I1106" s="327" t="s">
        <v>467</v>
      </c>
      <c r="J1106" s="327" t="s">
        <v>468</v>
      </c>
      <c r="K1106" s="329" t="s">
        <v>469</v>
      </c>
      <c r="L1106" s="330"/>
    </row>
    <row r="1107" spans="2:60" ht="14.4" thickBot="1" x14ac:dyDescent="0.3">
      <c r="B1107" s="326"/>
      <c r="C1107" s="328"/>
      <c r="D1107" s="328"/>
      <c r="E1107" s="232" t="s">
        <v>403</v>
      </c>
      <c r="F1107" s="174" t="s">
        <v>402</v>
      </c>
      <c r="H1107" s="326"/>
      <c r="I1107" s="328"/>
      <c r="J1107" s="328"/>
      <c r="K1107" s="232" t="s">
        <v>403</v>
      </c>
      <c r="L1107" s="174" t="s">
        <v>402</v>
      </c>
    </row>
    <row r="1108" spans="2:60" ht="14.4" thickTop="1" x14ac:dyDescent="0.25">
      <c r="B1108" s="236">
        <v>41670</v>
      </c>
      <c r="C1108" s="171"/>
      <c r="D1108" s="166" t="s">
        <v>470</v>
      </c>
      <c r="E1108" s="167">
        <f>SUMIF('Libro Diario Convencional'!$D$15:$D$167,D1102,'Libro Diario Convencional'!$G$15:$G$167)</f>
        <v>300000</v>
      </c>
      <c r="F1108" s="168">
        <f>SUMIF('Libro Diario Convencional'!$D$15:$D$167,D1102,'Libro Diario Convencional'!$H$15:$H$167)</f>
        <v>0</v>
      </c>
      <c r="H1108" s="236">
        <v>41670</v>
      </c>
      <c r="I1108" s="171"/>
      <c r="J1108" s="166" t="s">
        <v>470</v>
      </c>
      <c r="K1108" s="167">
        <f>SUMIF('Libro Diario Convencional'!$D$15:$D$167,J1102,'Libro Diario Convencional'!$G$15:$G$167)</f>
        <v>0</v>
      </c>
      <c r="L1108" s="168">
        <f>SUMIF('Libro Diario Convencional'!$D$15:$D$167,J1102,'Libro Diario Convencional'!$H$15:$H$167)</f>
        <v>0</v>
      </c>
    </row>
    <row r="1109" spans="2:60" x14ac:dyDescent="0.25">
      <c r="B1109" s="169"/>
      <c r="C1109" s="172"/>
      <c r="D1109" s="161"/>
      <c r="E1109" s="162"/>
      <c r="F1109" s="163"/>
      <c r="H1109" s="169"/>
      <c r="I1109" s="172"/>
      <c r="J1109" s="161"/>
      <c r="K1109" s="162"/>
      <c r="L1109" s="163"/>
    </row>
    <row r="1110" spans="2:60" x14ac:dyDescent="0.25">
      <c r="B1110" s="169"/>
      <c r="C1110" s="172"/>
      <c r="D1110" s="161"/>
      <c r="E1110" s="162"/>
      <c r="F1110" s="163"/>
      <c r="H1110" s="169"/>
      <c r="I1110" s="172"/>
      <c r="J1110" s="161"/>
      <c r="K1110" s="162"/>
      <c r="L1110" s="163"/>
    </row>
    <row r="1111" spans="2:60" ht="14.4" thickBot="1" x14ac:dyDescent="0.3">
      <c r="B1111" s="169"/>
      <c r="C1111" s="172"/>
      <c r="D1111" s="161"/>
      <c r="E1111" s="162"/>
      <c r="F1111" s="163"/>
      <c r="H1111" s="169"/>
      <c r="I1111" s="172"/>
      <c r="J1111" s="161"/>
      <c r="K1111" s="162"/>
      <c r="L1111" s="163"/>
    </row>
    <row r="1112" spans="2:60" ht="15" thickBot="1" x14ac:dyDescent="0.3">
      <c r="B1112" s="169"/>
      <c r="C1112" s="172"/>
      <c r="D1112" s="161" t="s">
        <v>471</v>
      </c>
      <c r="E1112" s="162">
        <f>SUM(E1108:E1111)</f>
        <v>300000</v>
      </c>
      <c r="F1112" s="163">
        <f>SUM(F1108:F1111)</f>
        <v>0</v>
      </c>
      <c r="H1112" s="169"/>
      <c r="I1112" s="172"/>
      <c r="J1112" s="161" t="s">
        <v>471</v>
      </c>
      <c r="K1112" s="162">
        <f>SUM(K1108:K1111)</f>
        <v>0</v>
      </c>
      <c r="L1112" s="163">
        <f>SUM(L1108:L1111)</f>
        <v>0</v>
      </c>
      <c r="BG1112" s="157">
        <f>SUM(E1112,K1112,Q1112,W1112,AC1112,AI1112,AO1112,AU1112,AX1112,BD1112)</f>
        <v>300000</v>
      </c>
      <c r="BH1112" s="158">
        <f>SUM(F1112,L1112,R1112,X1112,AD1112,AJ1112,AP1112,AV1112,AY1112,BE1112)</f>
        <v>0</v>
      </c>
    </row>
    <row r="1113" spans="2:60" ht="14.4" thickBot="1" x14ac:dyDescent="0.3">
      <c r="B1113" s="170"/>
      <c r="C1113" s="173"/>
      <c r="D1113" s="164" t="str">
        <f>IF(E1112=F1112,"",IF(E1112&gt;F1112,"Saldo Deudor","Saldo Acreedor"))</f>
        <v>Saldo Deudor</v>
      </c>
      <c r="E1113" s="165">
        <f>IF(E1112&gt;F1112,E1112-F1112,"")</f>
        <v>300000</v>
      </c>
      <c r="F1113" s="176" t="str">
        <f>IF(E1112&lt;F1112,F1112-E1112,"")</f>
        <v/>
      </c>
      <c r="H1113" s="170"/>
      <c r="I1113" s="173"/>
      <c r="J1113" s="164" t="str">
        <f>IF(K1112=L1112,"",IF(K1112&gt;L1112,"Saldo Deudor","Saldo Acreedor"))</f>
        <v/>
      </c>
      <c r="K1113" s="165" t="str">
        <f>IF(K1112&gt;L1112,K1112-L1112,"")</f>
        <v/>
      </c>
      <c r="L1113" s="176" t="str">
        <f>IF(K1112&lt;L1112,L1112-K1112,"")</f>
        <v/>
      </c>
    </row>
    <row r="1116" spans="2:60" ht="15.6" x14ac:dyDescent="0.25">
      <c r="B1116" s="324" t="s">
        <v>472</v>
      </c>
      <c r="C1116" s="324"/>
      <c r="D1116" s="175">
        <v>6221</v>
      </c>
      <c r="E1116" s="160"/>
    </row>
    <row r="1117" spans="2:60" x14ac:dyDescent="0.25">
      <c r="B1117" s="160"/>
      <c r="C1117" s="160"/>
      <c r="D1117" s="160"/>
      <c r="E1117" s="160"/>
    </row>
    <row r="1118" spans="2:60" ht="15.6" x14ac:dyDescent="0.25">
      <c r="B1118" s="324" t="s">
        <v>473</v>
      </c>
      <c r="C1118" s="324"/>
      <c r="D1118" s="234" t="str">
        <f>VLOOKUP(D1116,DivisionariasContables,3,FALSE)</f>
        <v>Otras Remuneraciones</v>
      </c>
      <c r="E1118" s="160"/>
    </row>
    <row r="1119" spans="2:60" ht="14.4" thickBot="1" x14ac:dyDescent="0.3"/>
    <row r="1120" spans="2:60" x14ac:dyDescent="0.25">
      <c r="B1120" s="325" t="s">
        <v>466</v>
      </c>
      <c r="C1120" s="327" t="s">
        <v>467</v>
      </c>
      <c r="D1120" s="327" t="s">
        <v>468</v>
      </c>
      <c r="E1120" s="329" t="s">
        <v>469</v>
      </c>
      <c r="F1120" s="330"/>
    </row>
    <row r="1121" spans="2:60" ht="14.4" thickBot="1" x14ac:dyDescent="0.3">
      <c r="B1121" s="326"/>
      <c r="C1121" s="328"/>
      <c r="D1121" s="328"/>
      <c r="E1121" s="232" t="s">
        <v>403</v>
      </c>
      <c r="F1121" s="174" t="s">
        <v>402</v>
      </c>
    </row>
    <row r="1122" spans="2:60" ht="14.4" thickTop="1" x14ac:dyDescent="0.25">
      <c r="B1122" s="236">
        <v>41670</v>
      </c>
      <c r="C1122" s="171"/>
      <c r="D1122" s="166" t="s">
        <v>470</v>
      </c>
      <c r="E1122" s="167">
        <f>SUMIF('Libro Diario Convencional'!$D$15:$D$167,D1116,'Libro Diario Convencional'!$G$15:$G$167)</f>
        <v>0</v>
      </c>
      <c r="F1122" s="168">
        <f>SUMIF('Libro Diario Convencional'!$D$15:$D$167,D1116,'Libro Diario Convencional'!$H$15:$H$167)</f>
        <v>0</v>
      </c>
    </row>
    <row r="1123" spans="2:60" x14ac:dyDescent="0.25">
      <c r="B1123" s="169"/>
      <c r="C1123" s="172"/>
      <c r="D1123" s="161"/>
      <c r="E1123" s="162"/>
      <c r="F1123" s="163"/>
    </row>
    <row r="1124" spans="2:60" x14ac:dyDescent="0.25">
      <c r="B1124" s="169"/>
      <c r="C1124" s="172"/>
      <c r="D1124" s="161"/>
      <c r="E1124" s="162"/>
      <c r="F1124" s="163"/>
    </row>
    <row r="1125" spans="2:60" ht="14.4" thickBot="1" x14ac:dyDescent="0.3">
      <c r="B1125" s="169"/>
      <c r="C1125" s="172"/>
      <c r="D1125" s="161"/>
      <c r="E1125" s="162"/>
      <c r="F1125" s="163"/>
    </row>
    <row r="1126" spans="2:60" ht="15" thickBot="1" x14ac:dyDescent="0.3">
      <c r="B1126" s="169"/>
      <c r="C1126" s="172"/>
      <c r="D1126" s="161" t="s">
        <v>471</v>
      </c>
      <c r="E1126" s="162">
        <f>SUM(E1122:E1125)</f>
        <v>0</v>
      </c>
      <c r="F1126" s="163">
        <f>SUM(F1122:F1125)</f>
        <v>0</v>
      </c>
      <c r="BG1126" s="157">
        <f>SUM(E1126,K1126,Q1126,W1126,AC1126,AI1126,AO1126,AU1126,AX1126,BD1126)</f>
        <v>0</v>
      </c>
      <c r="BH1126" s="158">
        <f>SUM(F1126,L1126,R1126,X1126,AD1126,AJ1126,AP1126,AV1126,AY1126,BE1126)</f>
        <v>0</v>
      </c>
    </row>
    <row r="1127" spans="2:60" ht="14.4" thickBot="1" x14ac:dyDescent="0.3">
      <c r="B1127" s="170"/>
      <c r="C1127" s="173"/>
      <c r="D1127" s="164" t="str">
        <f>IF(E1126=F1126,"",IF(E1126&gt;F1126,"Saldo Deudor","Saldo Acreedor"))</f>
        <v/>
      </c>
      <c r="E1127" s="165" t="str">
        <f>IF(E1126&gt;F1126,E1126-F1126,"")</f>
        <v/>
      </c>
      <c r="F1127" s="176" t="str">
        <f>IF(E1126&lt;F1126,F1126-E1126,"")</f>
        <v/>
      </c>
    </row>
    <row r="1130" spans="2:60" ht="15.6" x14ac:dyDescent="0.25">
      <c r="B1130" s="324" t="s">
        <v>472</v>
      </c>
      <c r="C1130" s="324"/>
      <c r="D1130" s="175">
        <v>6271</v>
      </c>
      <c r="E1130" s="160"/>
      <c r="H1130" s="324" t="s">
        <v>472</v>
      </c>
      <c r="I1130" s="324"/>
      <c r="J1130" s="175">
        <v>6274</v>
      </c>
      <c r="K1130" s="160"/>
    </row>
    <row r="1131" spans="2:60" x14ac:dyDescent="0.25">
      <c r="B1131" s="160"/>
      <c r="C1131" s="160"/>
      <c r="D1131" s="160"/>
      <c r="E1131" s="160"/>
      <c r="H1131" s="160"/>
      <c r="I1131" s="160"/>
      <c r="J1131" s="160"/>
      <c r="K1131" s="160"/>
    </row>
    <row r="1132" spans="2:60" ht="15.6" x14ac:dyDescent="0.25">
      <c r="B1132" s="324" t="s">
        <v>473</v>
      </c>
      <c r="C1132" s="324"/>
      <c r="D1132" s="234" t="str">
        <f>VLOOKUP(D1130,DivisionariasContables,3,FALSE)</f>
        <v>Régimen de Prestaciones de Salud</v>
      </c>
      <c r="E1132" s="160"/>
      <c r="H1132" s="324" t="s">
        <v>473</v>
      </c>
      <c r="I1132" s="324"/>
      <c r="J1132" s="234" t="str">
        <f>VLOOKUP(J1130,DivisionariasContables,3,FALSE)</f>
        <v>Seguro de Vida</v>
      </c>
      <c r="K1132" s="160"/>
    </row>
    <row r="1133" spans="2:60" ht="14.4" thickBot="1" x14ac:dyDescent="0.3"/>
    <row r="1134" spans="2:60" x14ac:dyDescent="0.25">
      <c r="B1134" s="325" t="s">
        <v>466</v>
      </c>
      <c r="C1134" s="327" t="s">
        <v>467</v>
      </c>
      <c r="D1134" s="327" t="s">
        <v>468</v>
      </c>
      <c r="E1134" s="329" t="s">
        <v>469</v>
      </c>
      <c r="F1134" s="330"/>
      <c r="H1134" s="325" t="s">
        <v>466</v>
      </c>
      <c r="I1134" s="327" t="s">
        <v>467</v>
      </c>
      <c r="J1134" s="327" t="s">
        <v>468</v>
      </c>
      <c r="K1134" s="329" t="s">
        <v>469</v>
      </c>
      <c r="L1134" s="330"/>
    </row>
    <row r="1135" spans="2:60" ht="14.4" thickBot="1" x14ac:dyDescent="0.3">
      <c r="B1135" s="326"/>
      <c r="C1135" s="328"/>
      <c r="D1135" s="328"/>
      <c r="E1135" s="232" t="s">
        <v>403</v>
      </c>
      <c r="F1135" s="174" t="s">
        <v>402</v>
      </c>
      <c r="H1135" s="326"/>
      <c r="I1135" s="328"/>
      <c r="J1135" s="328"/>
      <c r="K1135" s="232" t="s">
        <v>403</v>
      </c>
      <c r="L1135" s="174" t="s">
        <v>402</v>
      </c>
    </row>
    <row r="1136" spans="2:60" ht="14.4" thickTop="1" x14ac:dyDescent="0.25">
      <c r="B1136" s="236">
        <v>41670</v>
      </c>
      <c r="C1136" s="171"/>
      <c r="D1136" s="166" t="s">
        <v>470</v>
      </c>
      <c r="E1136" s="167">
        <f>SUMIF('Libro Diario Convencional'!$D$15:$D$167,D1130,'Libro Diario Convencional'!$G$15:$G$167)</f>
        <v>27000</v>
      </c>
      <c r="F1136" s="168">
        <f>SUMIF('Libro Diario Convencional'!$D$15:$D$167,D1130,'Libro Diario Convencional'!$H$15:$H$167)</f>
        <v>0</v>
      </c>
      <c r="H1136" s="236">
        <v>41670</v>
      </c>
      <c r="I1136" s="171"/>
      <c r="J1136" s="166" t="s">
        <v>470</v>
      </c>
      <c r="K1136" s="167">
        <f>SUMIF('Libro Diario Convencional'!$D$15:$D$167,J1130,'Libro Diario Convencional'!$G$15:$G$167)</f>
        <v>0</v>
      </c>
      <c r="L1136" s="168">
        <f>SUMIF('Libro Diario Convencional'!$D$15:$D$167,J1130,'Libro Diario Convencional'!$H$15:$H$167)</f>
        <v>0</v>
      </c>
    </row>
    <row r="1137" spans="2:60" x14ac:dyDescent="0.25">
      <c r="B1137" s="169"/>
      <c r="C1137" s="172"/>
      <c r="D1137" s="161"/>
      <c r="E1137" s="162"/>
      <c r="F1137" s="163"/>
      <c r="H1137" s="169"/>
      <c r="I1137" s="172"/>
      <c r="J1137" s="161"/>
      <c r="K1137" s="162"/>
      <c r="L1137" s="163"/>
    </row>
    <row r="1138" spans="2:60" x14ac:dyDescent="0.25">
      <c r="B1138" s="169"/>
      <c r="C1138" s="172"/>
      <c r="D1138" s="161"/>
      <c r="E1138" s="162"/>
      <c r="F1138" s="163"/>
      <c r="H1138" s="169"/>
      <c r="I1138" s="172"/>
      <c r="J1138" s="161"/>
      <c r="K1138" s="162"/>
      <c r="L1138" s="163"/>
    </row>
    <row r="1139" spans="2:60" ht="14.4" thickBot="1" x14ac:dyDescent="0.3">
      <c r="B1139" s="169"/>
      <c r="C1139" s="172"/>
      <c r="D1139" s="161"/>
      <c r="E1139" s="162"/>
      <c r="F1139" s="163"/>
      <c r="H1139" s="169"/>
      <c r="I1139" s="172"/>
      <c r="J1139" s="161"/>
      <c r="K1139" s="162"/>
      <c r="L1139" s="163"/>
    </row>
    <row r="1140" spans="2:60" ht="15" thickBot="1" x14ac:dyDescent="0.3">
      <c r="B1140" s="169"/>
      <c r="C1140" s="172"/>
      <c r="D1140" s="161" t="s">
        <v>471</v>
      </c>
      <c r="E1140" s="162">
        <f>SUM(E1136:E1139)</f>
        <v>27000</v>
      </c>
      <c r="F1140" s="163">
        <f>SUM(F1136:F1139)</f>
        <v>0</v>
      </c>
      <c r="H1140" s="169"/>
      <c r="I1140" s="172"/>
      <c r="J1140" s="161" t="s">
        <v>471</v>
      </c>
      <c r="K1140" s="162">
        <f>SUM(K1136:K1139)</f>
        <v>0</v>
      </c>
      <c r="L1140" s="163">
        <f>SUM(L1136:L1139)</f>
        <v>0</v>
      </c>
      <c r="BG1140" s="157">
        <f>SUM(E1140,K1140,Q1140,W1140,AC1140,AI1140,AO1140,AU1140,AX1140,BD1140)</f>
        <v>27000</v>
      </c>
      <c r="BH1140" s="158">
        <f>SUM(F1140,L1140,R1140,X1140,AD1140,AJ1140,AP1140,AV1140,AY1140,BE1140)</f>
        <v>0</v>
      </c>
    </row>
    <row r="1141" spans="2:60" ht="14.4" thickBot="1" x14ac:dyDescent="0.3">
      <c r="B1141" s="170"/>
      <c r="C1141" s="173"/>
      <c r="D1141" s="164" t="str">
        <f>IF(E1140=F1140,"",IF(E1140&gt;F1140,"Saldo Deudor","Saldo Acreedor"))</f>
        <v>Saldo Deudor</v>
      </c>
      <c r="E1141" s="165">
        <f>IF(E1140&gt;F1140,E1140-F1140,"")</f>
        <v>27000</v>
      </c>
      <c r="F1141" s="176" t="str">
        <f>IF(E1140&lt;F1140,F1140-E1140,"")</f>
        <v/>
      </c>
      <c r="H1141" s="170"/>
      <c r="I1141" s="173"/>
      <c r="J1141" s="164" t="str">
        <f>IF(K1140=L1140,"",IF(K1140&gt;L1140,"Saldo Deudor","Saldo Acreedor"))</f>
        <v/>
      </c>
      <c r="K1141" s="165" t="str">
        <f>IF(K1140&gt;L1140,K1140-L1140,"")</f>
        <v/>
      </c>
      <c r="L1141" s="176" t="str">
        <f>IF(K1140&lt;L1140,L1140-K1140,"")</f>
        <v/>
      </c>
    </row>
    <row r="1144" spans="2:60" ht="15.6" x14ac:dyDescent="0.25">
      <c r="B1144" s="324" t="s">
        <v>472</v>
      </c>
      <c r="C1144" s="324"/>
      <c r="D1144" s="175">
        <v>6291</v>
      </c>
      <c r="E1144" s="160"/>
    </row>
    <row r="1145" spans="2:60" x14ac:dyDescent="0.25">
      <c r="B1145" s="160"/>
      <c r="C1145" s="160"/>
      <c r="D1145" s="160"/>
      <c r="E1145" s="160"/>
    </row>
    <row r="1146" spans="2:60" ht="15.6" x14ac:dyDescent="0.25">
      <c r="B1146" s="324" t="s">
        <v>473</v>
      </c>
      <c r="C1146" s="324"/>
      <c r="D1146" s="234" t="str">
        <f>VLOOKUP(D1144,DivisionariasContables,3,FALSE)</f>
        <v>Compensación por Tiempo de Servicio</v>
      </c>
      <c r="E1146" s="160"/>
    </row>
    <row r="1147" spans="2:60" ht="14.4" thickBot="1" x14ac:dyDescent="0.3"/>
    <row r="1148" spans="2:60" x14ac:dyDescent="0.25">
      <c r="B1148" s="325" t="s">
        <v>466</v>
      </c>
      <c r="C1148" s="327" t="s">
        <v>467</v>
      </c>
      <c r="D1148" s="327" t="s">
        <v>468</v>
      </c>
      <c r="E1148" s="329" t="s">
        <v>469</v>
      </c>
      <c r="F1148" s="330"/>
    </row>
    <row r="1149" spans="2:60" ht="14.4" thickBot="1" x14ac:dyDescent="0.3">
      <c r="B1149" s="326"/>
      <c r="C1149" s="328"/>
      <c r="D1149" s="328"/>
      <c r="E1149" s="232" t="s">
        <v>403</v>
      </c>
      <c r="F1149" s="174" t="s">
        <v>402</v>
      </c>
    </row>
    <row r="1150" spans="2:60" ht="14.4" thickTop="1" x14ac:dyDescent="0.25">
      <c r="B1150" s="236">
        <v>41670</v>
      </c>
      <c r="C1150" s="171"/>
      <c r="D1150" s="166" t="s">
        <v>470</v>
      </c>
      <c r="E1150" s="167">
        <f>SUMIF('Libro Diario Convencional'!$D$15:$D$167,D1144,'Libro Diario Convencional'!$G$15:$G$167)</f>
        <v>0</v>
      </c>
      <c r="F1150" s="168">
        <f>SUMIF('Libro Diario Convencional'!$D$15:$D$167,D1144,'Libro Diario Convencional'!$H$15:$H$167)</f>
        <v>0</v>
      </c>
    </row>
    <row r="1151" spans="2:60" x14ac:dyDescent="0.25">
      <c r="B1151" s="169"/>
      <c r="C1151" s="172"/>
      <c r="D1151" s="161"/>
      <c r="E1151" s="162"/>
      <c r="F1151" s="163"/>
    </row>
    <row r="1152" spans="2:60" x14ac:dyDescent="0.25">
      <c r="B1152" s="169"/>
      <c r="C1152" s="172"/>
      <c r="D1152" s="161"/>
      <c r="E1152" s="162"/>
      <c r="F1152" s="163"/>
    </row>
    <row r="1153" spans="2:60" ht="14.4" thickBot="1" x14ac:dyDescent="0.3">
      <c r="B1153" s="169"/>
      <c r="C1153" s="172"/>
      <c r="D1153" s="161"/>
      <c r="E1153" s="162"/>
      <c r="F1153" s="163"/>
    </row>
    <row r="1154" spans="2:60" ht="15" thickBot="1" x14ac:dyDescent="0.3">
      <c r="B1154" s="169"/>
      <c r="C1154" s="172"/>
      <c r="D1154" s="161" t="s">
        <v>471</v>
      </c>
      <c r="E1154" s="162">
        <f>SUM(E1150:E1153)</f>
        <v>0</v>
      </c>
      <c r="F1154" s="163">
        <f>SUM(F1150:F1153)</f>
        <v>0</v>
      </c>
      <c r="BG1154" s="157">
        <f>SUM(E1154,K1154,Q1154,W1154,AC1154,AI1154,AO1154,AU1154,AX1154,BD1154)</f>
        <v>0</v>
      </c>
      <c r="BH1154" s="158">
        <f>SUM(F1154,L1154,R1154,X1154,AD1154,AJ1154,AP1154,AV1154,AY1154,BE1154)</f>
        <v>0</v>
      </c>
    </row>
    <row r="1155" spans="2:60" ht="14.4" thickBot="1" x14ac:dyDescent="0.3">
      <c r="B1155" s="170"/>
      <c r="C1155" s="173"/>
      <c r="D1155" s="164" t="str">
        <f>IF(E1154=F1154,"",IF(E1154&gt;F1154,"Saldo Deudor","Saldo Acreedor"))</f>
        <v/>
      </c>
      <c r="E1155" s="165" t="str">
        <f>IF(E1154&gt;F1154,E1154-F1154,"")</f>
        <v/>
      </c>
      <c r="F1155" s="176" t="str">
        <f>IF(E1154&lt;F1154,F1154-E1154,"")</f>
        <v/>
      </c>
    </row>
    <row r="1158" spans="2:60" ht="15.6" x14ac:dyDescent="0.25">
      <c r="B1158" s="324" t="s">
        <v>472</v>
      </c>
      <c r="C1158" s="324"/>
      <c r="D1158" s="175">
        <v>6311</v>
      </c>
      <c r="E1158" s="160"/>
      <c r="H1158" s="324" t="s">
        <v>472</v>
      </c>
      <c r="I1158" s="324"/>
      <c r="J1158" s="175">
        <v>6312</v>
      </c>
      <c r="K1158" s="160"/>
      <c r="N1158" s="324" t="s">
        <v>472</v>
      </c>
      <c r="O1158" s="324"/>
      <c r="P1158" s="175">
        <v>6313</v>
      </c>
      <c r="Q1158" s="160"/>
      <c r="T1158" s="324" t="s">
        <v>472</v>
      </c>
      <c r="U1158" s="324"/>
      <c r="V1158" s="175">
        <v>6314</v>
      </c>
      <c r="W1158" s="160"/>
    </row>
    <row r="1159" spans="2:60" x14ac:dyDescent="0.25">
      <c r="B1159" s="160"/>
      <c r="C1159" s="160"/>
      <c r="D1159" s="160"/>
      <c r="E1159" s="160"/>
      <c r="H1159" s="160"/>
      <c r="I1159" s="160"/>
      <c r="J1159" s="160"/>
      <c r="K1159" s="160"/>
      <c r="N1159" s="160"/>
      <c r="O1159" s="160"/>
      <c r="P1159" s="160"/>
      <c r="Q1159" s="160"/>
      <c r="T1159" s="160"/>
      <c r="U1159" s="160"/>
      <c r="V1159" s="160"/>
      <c r="W1159" s="160"/>
    </row>
    <row r="1160" spans="2:60" ht="15.6" x14ac:dyDescent="0.25">
      <c r="B1160" s="324" t="s">
        <v>473</v>
      </c>
      <c r="C1160" s="324"/>
      <c r="D1160" s="234" t="str">
        <f>VLOOKUP(D1158,DivisionariasContables,3,FALSE)</f>
        <v>Transporte, Correos y Gastos de Viaje - Transporte</v>
      </c>
      <c r="E1160" s="160"/>
      <c r="H1160" s="324" t="s">
        <v>473</v>
      </c>
      <c r="I1160" s="324"/>
      <c r="J1160" s="234" t="str">
        <f>VLOOKUP(J1158,DivisionariasContables,3,FALSE)</f>
        <v>Transporte, Correos y Gastos de Viaje - Correos</v>
      </c>
      <c r="K1160" s="160"/>
      <c r="N1160" s="324" t="s">
        <v>473</v>
      </c>
      <c r="O1160" s="324"/>
      <c r="P1160" s="234" t="str">
        <f>VLOOKUP(P1158,DivisionariasContables,3,FALSE)</f>
        <v>Transporte, Correos y Gastos de Viaje - Alojamiento</v>
      </c>
      <c r="Q1160" s="160"/>
      <c r="T1160" s="324" t="s">
        <v>473</v>
      </c>
      <c r="U1160" s="324"/>
      <c r="V1160" s="234" t="str">
        <f>VLOOKUP(V1158,DivisionariasContables,3,FALSE)</f>
        <v>Transporte, Correos y Gastos de Viaje - Alimentación</v>
      </c>
      <c r="W1160" s="160"/>
    </row>
    <row r="1161" spans="2:60" ht="14.4" thickBot="1" x14ac:dyDescent="0.3"/>
    <row r="1162" spans="2:60" x14ac:dyDescent="0.25">
      <c r="B1162" s="325" t="s">
        <v>466</v>
      </c>
      <c r="C1162" s="327" t="s">
        <v>467</v>
      </c>
      <c r="D1162" s="327" t="s">
        <v>468</v>
      </c>
      <c r="E1162" s="329" t="s">
        <v>469</v>
      </c>
      <c r="F1162" s="330"/>
      <c r="H1162" s="325" t="s">
        <v>466</v>
      </c>
      <c r="I1162" s="327" t="s">
        <v>467</v>
      </c>
      <c r="J1162" s="327" t="s">
        <v>468</v>
      </c>
      <c r="K1162" s="329" t="s">
        <v>469</v>
      </c>
      <c r="L1162" s="330"/>
      <c r="N1162" s="325" t="s">
        <v>466</v>
      </c>
      <c r="O1162" s="327" t="s">
        <v>467</v>
      </c>
      <c r="P1162" s="327" t="s">
        <v>468</v>
      </c>
      <c r="Q1162" s="329" t="s">
        <v>469</v>
      </c>
      <c r="R1162" s="330"/>
      <c r="T1162" s="325" t="s">
        <v>466</v>
      </c>
      <c r="U1162" s="327" t="s">
        <v>467</v>
      </c>
      <c r="V1162" s="327" t="s">
        <v>468</v>
      </c>
      <c r="W1162" s="329" t="s">
        <v>469</v>
      </c>
      <c r="X1162" s="330"/>
    </row>
    <row r="1163" spans="2:60" ht="14.4" thickBot="1" x14ac:dyDescent="0.3">
      <c r="B1163" s="326"/>
      <c r="C1163" s="328"/>
      <c r="D1163" s="328"/>
      <c r="E1163" s="232" t="s">
        <v>403</v>
      </c>
      <c r="F1163" s="174" t="s">
        <v>402</v>
      </c>
      <c r="H1163" s="326"/>
      <c r="I1163" s="328"/>
      <c r="J1163" s="328"/>
      <c r="K1163" s="232" t="s">
        <v>403</v>
      </c>
      <c r="L1163" s="174" t="s">
        <v>402</v>
      </c>
      <c r="N1163" s="326"/>
      <c r="O1163" s="328"/>
      <c r="P1163" s="328"/>
      <c r="Q1163" s="232" t="s">
        <v>403</v>
      </c>
      <c r="R1163" s="174" t="s">
        <v>402</v>
      </c>
      <c r="T1163" s="326"/>
      <c r="U1163" s="328"/>
      <c r="V1163" s="328"/>
      <c r="W1163" s="232" t="s">
        <v>403</v>
      </c>
      <c r="X1163" s="174" t="s">
        <v>402</v>
      </c>
    </row>
    <row r="1164" spans="2:60" ht="14.4" thickTop="1" x14ac:dyDescent="0.25">
      <c r="B1164" s="236">
        <v>41670</v>
      </c>
      <c r="C1164" s="171"/>
      <c r="D1164" s="166" t="s">
        <v>470</v>
      </c>
      <c r="E1164" s="167">
        <f>SUMIF('Libro Diario Convencional'!$D$15:$D$167,D1158,'Libro Diario Convencional'!$G$15:$G$167)</f>
        <v>0</v>
      </c>
      <c r="F1164" s="168">
        <f>SUMIF('Libro Diario Convencional'!$D$15:$D$167,D1158,'Libro Diario Convencional'!$H$15:$H$167)</f>
        <v>0</v>
      </c>
      <c r="H1164" s="236">
        <v>41670</v>
      </c>
      <c r="I1164" s="171"/>
      <c r="J1164" s="166" t="s">
        <v>470</v>
      </c>
      <c r="K1164" s="167">
        <f>SUMIF('Libro Diario Convencional'!$D$15:$D$167,J1158,'Libro Diario Convencional'!$G$15:$G$167)</f>
        <v>0</v>
      </c>
      <c r="L1164" s="168">
        <f>SUMIF('Libro Diario Convencional'!$D$15:$D$167,J1158,'Libro Diario Convencional'!$H$15:$H$167)</f>
        <v>0</v>
      </c>
      <c r="N1164" s="236">
        <v>41670</v>
      </c>
      <c r="O1164" s="171"/>
      <c r="P1164" s="166" t="s">
        <v>470</v>
      </c>
      <c r="Q1164" s="167">
        <f>SUMIF('Libro Diario Convencional'!$D$15:$D$167,P1158,'Libro Diario Convencional'!$G$15:$G$167)</f>
        <v>0</v>
      </c>
      <c r="R1164" s="168">
        <f>SUMIF('Libro Diario Convencional'!$D$15:$D$167,P1158,'Libro Diario Convencional'!$H$15:$H$167)</f>
        <v>0</v>
      </c>
      <c r="T1164" s="236">
        <v>41670</v>
      </c>
      <c r="U1164" s="171"/>
      <c r="V1164" s="166" t="s">
        <v>470</v>
      </c>
      <c r="W1164" s="167">
        <f>SUMIF('Libro Diario Convencional'!$D$15:$D$167,V1158,'Libro Diario Convencional'!$G$15:$G$167)</f>
        <v>0</v>
      </c>
      <c r="X1164" s="168">
        <f>SUMIF('Libro Diario Convencional'!$D$15:$D$167,V1158,'Libro Diario Convencional'!$H$15:$H$167)</f>
        <v>0</v>
      </c>
    </row>
    <row r="1165" spans="2:60" x14ac:dyDescent="0.25">
      <c r="B1165" s="169"/>
      <c r="C1165" s="172"/>
      <c r="D1165" s="161"/>
      <c r="E1165" s="162"/>
      <c r="F1165" s="163"/>
      <c r="H1165" s="169"/>
      <c r="I1165" s="172"/>
      <c r="J1165" s="161"/>
      <c r="K1165" s="162"/>
      <c r="L1165" s="163"/>
      <c r="N1165" s="169"/>
      <c r="O1165" s="172"/>
      <c r="P1165" s="161"/>
      <c r="Q1165" s="162"/>
      <c r="R1165" s="163"/>
      <c r="T1165" s="169"/>
      <c r="U1165" s="172"/>
      <c r="V1165" s="161"/>
      <c r="W1165" s="162"/>
      <c r="X1165" s="163"/>
    </row>
    <row r="1166" spans="2:60" x14ac:dyDescent="0.25">
      <c r="B1166" s="169"/>
      <c r="C1166" s="172"/>
      <c r="D1166" s="161"/>
      <c r="E1166" s="162"/>
      <c r="F1166" s="163"/>
      <c r="H1166" s="169"/>
      <c r="I1166" s="172"/>
      <c r="J1166" s="161"/>
      <c r="K1166" s="162"/>
      <c r="L1166" s="163"/>
      <c r="N1166" s="169"/>
      <c r="O1166" s="172"/>
      <c r="P1166" s="161"/>
      <c r="Q1166" s="162"/>
      <c r="R1166" s="163"/>
      <c r="T1166" s="169"/>
      <c r="U1166" s="172"/>
      <c r="V1166" s="161"/>
      <c r="W1166" s="162"/>
      <c r="X1166" s="163"/>
    </row>
    <row r="1167" spans="2:60" ht="14.4" thickBot="1" x14ac:dyDescent="0.3">
      <c r="B1167" s="169"/>
      <c r="C1167" s="172"/>
      <c r="D1167" s="161"/>
      <c r="E1167" s="162"/>
      <c r="F1167" s="163"/>
      <c r="H1167" s="169"/>
      <c r="I1167" s="172"/>
      <c r="J1167" s="161"/>
      <c r="K1167" s="162"/>
      <c r="L1167" s="163"/>
      <c r="N1167" s="169"/>
      <c r="O1167" s="172"/>
      <c r="P1167" s="161"/>
      <c r="Q1167" s="162"/>
      <c r="R1167" s="163"/>
      <c r="T1167" s="169"/>
      <c r="U1167" s="172"/>
      <c r="V1167" s="161"/>
      <c r="W1167" s="162"/>
      <c r="X1167" s="163"/>
    </row>
    <row r="1168" spans="2:60" ht="15" thickBot="1" x14ac:dyDescent="0.3">
      <c r="B1168" s="169"/>
      <c r="C1168" s="172"/>
      <c r="D1168" s="161" t="s">
        <v>471</v>
      </c>
      <c r="E1168" s="162">
        <f>SUM(E1164:E1167)</f>
        <v>0</v>
      </c>
      <c r="F1168" s="163">
        <f>SUM(F1164:F1167)</f>
        <v>0</v>
      </c>
      <c r="H1168" s="169"/>
      <c r="I1168" s="172"/>
      <c r="J1168" s="161" t="s">
        <v>471</v>
      </c>
      <c r="K1168" s="162">
        <f>SUM(K1164:K1167)</f>
        <v>0</v>
      </c>
      <c r="L1168" s="163">
        <f>SUM(L1164:L1167)</f>
        <v>0</v>
      </c>
      <c r="N1168" s="169"/>
      <c r="O1168" s="172"/>
      <c r="P1168" s="161" t="s">
        <v>471</v>
      </c>
      <c r="Q1168" s="162">
        <f>SUM(Q1164:Q1167)</f>
        <v>0</v>
      </c>
      <c r="R1168" s="163">
        <f>SUM(R1164:R1167)</f>
        <v>0</v>
      </c>
      <c r="T1168" s="169"/>
      <c r="U1168" s="172"/>
      <c r="V1168" s="161" t="s">
        <v>471</v>
      </c>
      <c r="W1168" s="162">
        <f>SUM(W1164:W1167)</f>
        <v>0</v>
      </c>
      <c r="X1168" s="163">
        <f>SUM(X1164:X1167)</f>
        <v>0</v>
      </c>
      <c r="BG1168" s="157">
        <f>SUM(E1168,K1168,Q1168,W1168,AC1168,AI1168,AO1168,AU1168,AX1168,BD1168)</f>
        <v>0</v>
      </c>
      <c r="BH1168" s="158">
        <f>SUM(F1168,L1168,R1168,X1168,AD1168,AJ1168,AP1168,AV1168,AY1168,BE1168)</f>
        <v>0</v>
      </c>
    </row>
    <row r="1169" spans="2:60" ht="14.4" thickBot="1" x14ac:dyDescent="0.3">
      <c r="B1169" s="170"/>
      <c r="C1169" s="173"/>
      <c r="D1169" s="164" t="str">
        <f>IF(E1168=F1168,"",IF(E1168&gt;F1168,"Saldo Deudor","Saldo Acreedor"))</f>
        <v/>
      </c>
      <c r="E1169" s="165" t="str">
        <f>IF(E1168&gt;F1168,E1168-F1168,"")</f>
        <v/>
      </c>
      <c r="F1169" s="176" t="str">
        <f>IF(E1168&lt;F1168,F1168-E1168,"")</f>
        <v/>
      </c>
      <c r="H1169" s="170"/>
      <c r="I1169" s="173"/>
      <c r="J1169" s="164" t="str">
        <f>IF(K1168=L1168,"",IF(K1168&gt;L1168,"Saldo Deudor","Saldo Acreedor"))</f>
        <v/>
      </c>
      <c r="K1169" s="165" t="str">
        <f>IF(K1168&gt;L1168,K1168-L1168,"")</f>
        <v/>
      </c>
      <c r="L1169" s="176" t="str">
        <f>IF(K1168&lt;L1168,L1168-K1168,"")</f>
        <v/>
      </c>
      <c r="N1169" s="170"/>
      <c r="O1169" s="173"/>
      <c r="P1169" s="164" t="str">
        <f>IF(Q1168=R1168,"",IF(Q1168&gt;R1168,"Saldo Deudor","Saldo Acreedor"))</f>
        <v/>
      </c>
      <c r="Q1169" s="165" t="str">
        <f>IF(Q1168&gt;R1168,Q1168-R1168,"")</f>
        <v/>
      </c>
      <c r="R1169" s="176" t="str">
        <f>IF(Q1168&lt;R1168,R1168-Q1168,"")</f>
        <v/>
      </c>
      <c r="T1169" s="170"/>
      <c r="U1169" s="173"/>
      <c r="V1169" s="164" t="str">
        <f>IF(W1168=X1168,"",IF(W1168&gt;X1168,"Saldo Deudor","Saldo Acreedor"))</f>
        <v/>
      </c>
      <c r="W1169" s="165" t="str">
        <f>IF(W1168&gt;X1168,W1168-X1168,"")</f>
        <v/>
      </c>
      <c r="X1169" s="176" t="str">
        <f>IF(W1168&lt;X1168,X1168-W1168,"")</f>
        <v/>
      </c>
    </row>
    <row r="1172" spans="2:60" ht="15.6" x14ac:dyDescent="0.25">
      <c r="B1172" s="324" t="s">
        <v>472</v>
      </c>
      <c r="C1172" s="324"/>
      <c r="D1172" s="175">
        <v>6321</v>
      </c>
      <c r="E1172" s="160"/>
      <c r="H1172" s="324" t="s">
        <v>472</v>
      </c>
      <c r="I1172" s="324"/>
      <c r="J1172" s="175">
        <v>6322</v>
      </c>
      <c r="K1172" s="160"/>
      <c r="N1172" s="324" t="s">
        <v>472</v>
      </c>
      <c r="O1172" s="324"/>
      <c r="P1172" s="175">
        <v>6323</v>
      </c>
      <c r="Q1172" s="160"/>
    </row>
    <row r="1173" spans="2:60" x14ac:dyDescent="0.25">
      <c r="B1173" s="160"/>
      <c r="C1173" s="160"/>
      <c r="D1173" s="160"/>
      <c r="E1173" s="160"/>
      <c r="H1173" s="160"/>
      <c r="I1173" s="160"/>
      <c r="J1173" s="160"/>
      <c r="K1173" s="160"/>
      <c r="N1173" s="160"/>
      <c r="O1173" s="160"/>
      <c r="P1173" s="160"/>
      <c r="Q1173" s="160"/>
    </row>
    <row r="1174" spans="2:60" ht="15.6" x14ac:dyDescent="0.25">
      <c r="B1174" s="324" t="s">
        <v>473</v>
      </c>
      <c r="C1174" s="324"/>
      <c r="D1174" s="234" t="str">
        <f>VLOOKUP(D1172,DivisionariasContables,3,FALSE)</f>
        <v>Asesoría y Consultoría - Administrativa</v>
      </c>
      <c r="E1174" s="160"/>
      <c r="H1174" s="324" t="s">
        <v>473</v>
      </c>
      <c r="I1174" s="324"/>
      <c r="J1174" s="234" t="str">
        <f>VLOOKUP(J1172,DivisionariasContables,3,FALSE)</f>
        <v>Asesoría y Consultoría - Legal y Tributario</v>
      </c>
      <c r="K1174" s="160"/>
      <c r="N1174" s="324" t="s">
        <v>473</v>
      </c>
      <c r="O1174" s="324"/>
      <c r="P1174" s="234" t="str">
        <f>VLOOKUP(P1172,DivisionariasContables,3,FALSE)</f>
        <v>Asesoría y Consultoría - Auditoría y Contable</v>
      </c>
      <c r="Q1174" s="160"/>
    </row>
    <row r="1175" spans="2:60" ht="14.4" thickBot="1" x14ac:dyDescent="0.3"/>
    <row r="1176" spans="2:60" x14ac:dyDescent="0.25">
      <c r="B1176" s="325" t="s">
        <v>466</v>
      </c>
      <c r="C1176" s="327" t="s">
        <v>467</v>
      </c>
      <c r="D1176" s="327" t="s">
        <v>468</v>
      </c>
      <c r="E1176" s="329" t="s">
        <v>469</v>
      </c>
      <c r="F1176" s="330"/>
      <c r="H1176" s="325" t="s">
        <v>466</v>
      </c>
      <c r="I1176" s="327" t="s">
        <v>467</v>
      </c>
      <c r="J1176" s="327" t="s">
        <v>468</v>
      </c>
      <c r="K1176" s="329" t="s">
        <v>469</v>
      </c>
      <c r="L1176" s="330"/>
      <c r="N1176" s="325" t="s">
        <v>466</v>
      </c>
      <c r="O1176" s="327" t="s">
        <v>467</v>
      </c>
      <c r="P1176" s="327" t="s">
        <v>468</v>
      </c>
      <c r="Q1176" s="329" t="s">
        <v>469</v>
      </c>
      <c r="R1176" s="330"/>
    </row>
    <row r="1177" spans="2:60" ht="14.4" thickBot="1" x14ac:dyDescent="0.3">
      <c r="B1177" s="326"/>
      <c r="C1177" s="328"/>
      <c r="D1177" s="328"/>
      <c r="E1177" s="232" t="s">
        <v>403</v>
      </c>
      <c r="F1177" s="174" t="s">
        <v>402</v>
      </c>
      <c r="H1177" s="326"/>
      <c r="I1177" s="328"/>
      <c r="J1177" s="328"/>
      <c r="K1177" s="232" t="s">
        <v>403</v>
      </c>
      <c r="L1177" s="174" t="s">
        <v>402</v>
      </c>
      <c r="N1177" s="326"/>
      <c r="O1177" s="328"/>
      <c r="P1177" s="328"/>
      <c r="Q1177" s="232" t="s">
        <v>403</v>
      </c>
      <c r="R1177" s="174" t="s">
        <v>402</v>
      </c>
    </row>
    <row r="1178" spans="2:60" ht="14.4" thickTop="1" x14ac:dyDescent="0.25">
      <c r="B1178" s="236">
        <v>41670</v>
      </c>
      <c r="C1178" s="171"/>
      <c r="D1178" s="166" t="s">
        <v>470</v>
      </c>
      <c r="E1178" s="167">
        <f>SUMIF('Libro Diario Convencional'!$D$15:$D$167,D1172,'Libro Diario Convencional'!$G$15:$G$167)</f>
        <v>0</v>
      </c>
      <c r="F1178" s="168">
        <f>SUMIF('Libro Diario Convencional'!$D$15:$D$167,D1172,'Libro Diario Convencional'!$H$15:$H$167)</f>
        <v>0</v>
      </c>
      <c r="H1178" s="236">
        <v>41670</v>
      </c>
      <c r="I1178" s="171"/>
      <c r="J1178" s="166" t="s">
        <v>470</v>
      </c>
      <c r="K1178" s="167">
        <f>SUMIF('Libro Diario Convencional'!$D$15:$D$167,J1172,'Libro Diario Convencional'!$G$15:$G$167)</f>
        <v>0</v>
      </c>
      <c r="L1178" s="168">
        <f>SUMIF('Libro Diario Convencional'!$D$15:$D$167,J1172,'Libro Diario Convencional'!$H$15:$H$167)</f>
        <v>0</v>
      </c>
      <c r="N1178" s="236">
        <v>41670</v>
      </c>
      <c r="O1178" s="171"/>
      <c r="P1178" s="166" t="s">
        <v>470</v>
      </c>
      <c r="Q1178" s="167">
        <f>SUMIF('Libro Diario Convencional'!$D$15:$D$167,P1172,'Libro Diario Convencional'!$G$15:$G$167)</f>
        <v>12000</v>
      </c>
      <c r="R1178" s="168">
        <f>SUMIF('Libro Diario Convencional'!$D$15:$D$167,P1172,'Libro Diario Convencional'!$H$15:$H$167)</f>
        <v>0</v>
      </c>
    </row>
    <row r="1179" spans="2:60" x14ac:dyDescent="0.25">
      <c r="B1179" s="169"/>
      <c r="C1179" s="172"/>
      <c r="D1179" s="161"/>
      <c r="E1179" s="162"/>
      <c r="F1179" s="163"/>
      <c r="H1179" s="169"/>
      <c r="I1179" s="172"/>
      <c r="J1179" s="161"/>
      <c r="K1179" s="162"/>
      <c r="L1179" s="163"/>
      <c r="N1179" s="169"/>
      <c r="O1179" s="172"/>
      <c r="P1179" s="161"/>
      <c r="Q1179" s="162"/>
      <c r="R1179" s="163"/>
    </row>
    <row r="1180" spans="2:60" x14ac:dyDescent="0.25">
      <c r="B1180" s="169"/>
      <c r="C1180" s="172"/>
      <c r="D1180" s="161"/>
      <c r="E1180" s="162"/>
      <c r="F1180" s="163"/>
      <c r="H1180" s="169"/>
      <c r="I1180" s="172"/>
      <c r="J1180" s="161"/>
      <c r="K1180" s="162"/>
      <c r="L1180" s="163"/>
      <c r="N1180" s="169"/>
      <c r="O1180" s="172"/>
      <c r="P1180" s="161"/>
      <c r="Q1180" s="162"/>
      <c r="R1180" s="163"/>
    </row>
    <row r="1181" spans="2:60" ht="14.4" thickBot="1" x14ac:dyDescent="0.3">
      <c r="B1181" s="169"/>
      <c r="C1181" s="172"/>
      <c r="D1181" s="161"/>
      <c r="E1181" s="162"/>
      <c r="F1181" s="163"/>
      <c r="H1181" s="169"/>
      <c r="I1181" s="172"/>
      <c r="J1181" s="161"/>
      <c r="K1181" s="162"/>
      <c r="L1181" s="163"/>
      <c r="N1181" s="169"/>
      <c r="O1181" s="172"/>
      <c r="P1181" s="161"/>
      <c r="Q1181" s="162"/>
      <c r="R1181" s="163"/>
    </row>
    <row r="1182" spans="2:60" ht="15" thickBot="1" x14ac:dyDescent="0.3">
      <c r="B1182" s="169"/>
      <c r="C1182" s="172"/>
      <c r="D1182" s="161" t="s">
        <v>471</v>
      </c>
      <c r="E1182" s="162">
        <f>SUM(E1178:E1181)</f>
        <v>0</v>
      </c>
      <c r="F1182" s="163">
        <f>SUM(F1178:F1181)</f>
        <v>0</v>
      </c>
      <c r="H1182" s="169"/>
      <c r="I1182" s="172"/>
      <c r="J1182" s="161" t="s">
        <v>471</v>
      </c>
      <c r="K1182" s="162">
        <f>SUM(K1178:K1181)</f>
        <v>0</v>
      </c>
      <c r="L1182" s="163">
        <f>SUM(L1178:L1181)</f>
        <v>0</v>
      </c>
      <c r="N1182" s="169"/>
      <c r="O1182" s="172"/>
      <c r="P1182" s="161" t="s">
        <v>471</v>
      </c>
      <c r="Q1182" s="162">
        <f>SUM(Q1178:Q1181)</f>
        <v>12000</v>
      </c>
      <c r="R1182" s="163">
        <f>SUM(R1178:R1181)</f>
        <v>0</v>
      </c>
      <c r="BG1182" s="157">
        <f>SUM(E1182,K1182,Q1182,W1182,AC1182,AI1182,AO1182,AU1182,AX1182,BD1182)</f>
        <v>12000</v>
      </c>
      <c r="BH1182" s="158">
        <f>SUM(F1182,L1182,R1182,X1182,AD1182,AJ1182,AP1182,AV1182,AY1182,BE1182)</f>
        <v>0</v>
      </c>
    </row>
    <row r="1183" spans="2:60" ht="14.4" thickBot="1" x14ac:dyDescent="0.3">
      <c r="B1183" s="170"/>
      <c r="C1183" s="173"/>
      <c r="D1183" s="164" t="str">
        <f>IF(E1182=F1182,"",IF(E1182&gt;F1182,"Saldo Deudor","Saldo Acreedor"))</f>
        <v/>
      </c>
      <c r="E1183" s="165" t="str">
        <f>IF(E1182&gt;F1182,E1182-F1182,"")</f>
        <v/>
      </c>
      <c r="F1183" s="176" t="str">
        <f>IF(E1182&lt;F1182,F1182-E1182,"")</f>
        <v/>
      </c>
      <c r="H1183" s="170"/>
      <c r="I1183" s="173"/>
      <c r="J1183" s="164" t="str">
        <f>IF(K1182=L1182,"",IF(K1182&gt;L1182,"Saldo Deudor","Saldo Acreedor"))</f>
        <v/>
      </c>
      <c r="K1183" s="165" t="str">
        <f>IF(K1182&gt;L1182,K1182-L1182,"")</f>
        <v/>
      </c>
      <c r="L1183" s="176" t="str">
        <f>IF(K1182&lt;L1182,L1182-K1182,"")</f>
        <v/>
      </c>
      <c r="N1183" s="170"/>
      <c r="O1183" s="173"/>
      <c r="P1183" s="164" t="str">
        <f>IF(Q1182=R1182,"",IF(Q1182&gt;R1182,"Saldo Deudor","Saldo Acreedor"))</f>
        <v>Saldo Deudor</v>
      </c>
      <c r="Q1183" s="165">
        <f>IF(Q1182&gt;R1182,Q1182-R1182,"")</f>
        <v>12000</v>
      </c>
      <c r="R1183" s="176" t="str">
        <f>IF(Q1182&lt;R1182,R1182-Q1182,"")</f>
        <v/>
      </c>
    </row>
    <row r="1186" spans="2:60" ht="15.6" x14ac:dyDescent="0.25">
      <c r="B1186" s="324" t="s">
        <v>472</v>
      </c>
      <c r="C1186" s="324"/>
      <c r="D1186" s="175">
        <v>6331</v>
      </c>
      <c r="E1186" s="160"/>
    </row>
    <row r="1187" spans="2:60" x14ac:dyDescent="0.25">
      <c r="B1187" s="160"/>
      <c r="C1187" s="160"/>
      <c r="D1187" s="160"/>
      <c r="E1187" s="160"/>
    </row>
    <row r="1188" spans="2:60" ht="15.6" x14ac:dyDescent="0.25">
      <c r="B1188" s="324" t="s">
        <v>473</v>
      </c>
      <c r="C1188" s="324"/>
      <c r="D1188" s="234" t="str">
        <f>VLOOKUP(D1186,DivisionariasContables,3,FALSE)</f>
        <v>Producción Encargada a Terceros</v>
      </c>
      <c r="E1188" s="160"/>
    </row>
    <row r="1189" spans="2:60" ht="14.4" thickBot="1" x14ac:dyDescent="0.3"/>
    <row r="1190" spans="2:60" x14ac:dyDescent="0.25">
      <c r="B1190" s="325" t="s">
        <v>466</v>
      </c>
      <c r="C1190" s="327" t="s">
        <v>467</v>
      </c>
      <c r="D1190" s="327" t="s">
        <v>468</v>
      </c>
      <c r="E1190" s="329" t="s">
        <v>469</v>
      </c>
      <c r="F1190" s="330"/>
    </row>
    <row r="1191" spans="2:60" ht="14.4" thickBot="1" x14ac:dyDescent="0.3">
      <c r="B1191" s="326"/>
      <c r="C1191" s="328"/>
      <c r="D1191" s="328"/>
      <c r="E1191" s="232" t="s">
        <v>403</v>
      </c>
      <c r="F1191" s="174" t="s">
        <v>402</v>
      </c>
    </row>
    <row r="1192" spans="2:60" ht="14.4" thickTop="1" x14ac:dyDescent="0.25">
      <c r="B1192" s="236">
        <v>41670</v>
      </c>
      <c r="C1192" s="171"/>
      <c r="D1192" s="166" t="s">
        <v>470</v>
      </c>
      <c r="E1192" s="167">
        <f>SUMIF('Libro Diario Convencional'!$D$15:$D$167,D1186,'Libro Diario Convencional'!$G$15:$G$167)</f>
        <v>0</v>
      </c>
      <c r="F1192" s="168">
        <f>SUMIF('Libro Diario Convencional'!$D$15:$D$167,D1186,'Libro Diario Convencional'!$H$15:$H$167)</f>
        <v>0</v>
      </c>
    </row>
    <row r="1193" spans="2:60" x14ac:dyDescent="0.25">
      <c r="B1193" s="169"/>
      <c r="C1193" s="172"/>
      <c r="D1193" s="161"/>
      <c r="E1193" s="162"/>
      <c r="F1193" s="163"/>
    </row>
    <row r="1194" spans="2:60" x14ac:dyDescent="0.25">
      <c r="B1194" s="169"/>
      <c r="C1194" s="172"/>
      <c r="D1194" s="161"/>
      <c r="E1194" s="162"/>
      <c r="F1194" s="163"/>
    </row>
    <row r="1195" spans="2:60" ht="14.4" thickBot="1" x14ac:dyDescent="0.3">
      <c r="B1195" s="169"/>
      <c r="C1195" s="172"/>
      <c r="D1195" s="161"/>
      <c r="E1195" s="162"/>
      <c r="F1195" s="163"/>
    </row>
    <row r="1196" spans="2:60" ht="15" thickBot="1" x14ac:dyDescent="0.3">
      <c r="B1196" s="169"/>
      <c r="C1196" s="172"/>
      <c r="D1196" s="161" t="s">
        <v>471</v>
      </c>
      <c r="E1196" s="162">
        <f>SUM(E1192:E1195)</f>
        <v>0</v>
      </c>
      <c r="F1196" s="163">
        <f>SUM(F1192:F1195)</f>
        <v>0</v>
      </c>
      <c r="BG1196" s="157">
        <f>SUM(E1196,K1196,Q1196,W1196,AC1196,AI1196,AO1196,AU1196,AX1196,BD1196)</f>
        <v>0</v>
      </c>
      <c r="BH1196" s="158">
        <f>SUM(F1196,L1196,R1196,X1196,AD1196,AJ1196,AP1196,AV1196,AY1196,BE1196)</f>
        <v>0</v>
      </c>
    </row>
    <row r="1197" spans="2:60" ht="14.4" thickBot="1" x14ac:dyDescent="0.3">
      <c r="B1197" s="170"/>
      <c r="C1197" s="173"/>
      <c r="D1197" s="164" t="str">
        <f>IF(E1196=F1196,"",IF(E1196&gt;F1196,"Saldo Deudor","Saldo Acreedor"))</f>
        <v/>
      </c>
      <c r="E1197" s="165" t="str">
        <f>IF(E1196&gt;F1196,E1196-F1196,"")</f>
        <v/>
      </c>
      <c r="F1197" s="176" t="str">
        <f>IF(E1196&lt;F1196,F1196-E1196,"")</f>
        <v/>
      </c>
    </row>
    <row r="1200" spans="2:60" ht="15.6" x14ac:dyDescent="0.25">
      <c r="B1200" s="324" t="s">
        <v>472</v>
      </c>
      <c r="C1200" s="324"/>
      <c r="D1200" s="175">
        <v>6341</v>
      </c>
      <c r="E1200" s="160"/>
      <c r="H1200" s="324" t="s">
        <v>472</v>
      </c>
      <c r="I1200" s="324"/>
      <c r="J1200" s="175">
        <v>6342</v>
      </c>
      <c r="K1200" s="160"/>
    </row>
    <row r="1201" spans="2:60" x14ac:dyDescent="0.25">
      <c r="B1201" s="160"/>
      <c r="C1201" s="160"/>
      <c r="D1201" s="160"/>
      <c r="E1201" s="160"/>
      <c r="H1201" s="160"/>
      <c r="I1201" s="160"/>
      <c r="J1201" s="160"/>
      <c r="K1201" s="160"/>
    </row>
    <row r="1202" spans="2:60" ht="15.6" x14ac:dyDescent="0.25">
      <c r="B1202" s="324" t="s">
        <v>473</v>
      </c>
      <c r="C1202" s="324"/>
      <c r="D1202" s="234" t="str">
        <f>VLOOKUP(D1200,DivisionariasContables,3,FALSE)</f>
        <v>Mantenimiento y Reparación - Inversión Inmobiliaria</v>
      </c>
      <c r="E1202" s="160"/>
      <c r="H1202" s="324" t="s">
        <v>473</v>
      </c>
      <c r="I1202" s="324"/>
      <c r="J1202" s="234" t="str">
        <f>VLOOKUP(J1200,DivisionariasContables,3,FALSE)</f>
        <v>Mantenimiento y Reparación - Activos Adquiridos en Arrendamiento Financiero</v>
      </c>
      <c r="K1202" s="160"/>
    </row>
    <row r="1203" spans="2:60" ht="14.4" thickBot="1" x14ac:dyDescent="0.3"/>
    <row r="1204" spans="2:60" x14ac:dyDescent="0.25">
      <c r="B1204" s="325" t="s">
        <v>466</v>
      </c>
      <c r="C1204" s="327" t="s">
        <v>467</v>
      </c>
      <c r="D1204" s="327" t="s">
        <v>468</v>
      </c>
      <c r="E1204" s="329" t="s">
        <v>469</v>
      </c>
      <c r="F1204" s="330"/>
      <c r="H1204" s="325" t="s">
        <v>466</v>
      </c>
      <c r="I1204" s="327" t="s">
        <v>467</v>
      </c>
      <c r="J1204" s="327" t="s">
        <v>468</v>
      </c>
      <c r="K1204" s="329" t="s">
        <v>469</v>
      </c>
      <c r="L1204" s="330"/>
    </row>
    <row r="1205" spans="2:60" ht="14.4" thickBot="1" x14ac:dyDescent="0.3">
      <c r="B1205" s="326"/>
      <c r="C1205" s="328"/>
      <c r="D1205" s="328"/>
      <c r="E1205" s="232" t="s">
        <v>403</v>
      </c>
      <c r="F1205" s="174" t="s">
        <v>402</v>
      </c>
      <c r="H1205" s="326"/>
      <c r="I1205" s="328"/>
      <c r="J1205" s="328"/>
      <c r="K1205" s="232" t="s">
        <v>403</v>
      </c>
      <c r="L1205" s="174" t="s">
        <v>402</v>
      </c>
    </row>
    <row r="1206" spans="2:60" ht="14.4" thickTop="1" x14ac:dyDescent="0.25">
      <c r="B1206" s="236">
        <v>41670</v>
      </c>
      <c r="C1206" s="171"/>
      <c r="D1206" s="166" t="s">
        <v>470</v>
      </c>
      <c r="E1206" s="167">
        <f>SUMIF('Libro Diario Convencional'!$D$15:$D$167,D1200,'Libro Diario Convencional'!$G$15:$G$167)</f>
        <v>0</v>
      </c>
      <c r="F1206" s="168">
        <f>SUMIF('Libro Diario Convencional'!$D$15:$D$167,D1200,'Libro Diario Convencional'!$H$15:$H$167)</f>
        <v>0</v>
      </c>
      <c r="H1206" s="236">
        <v>41670</v>
      </c>
      <c r="I1206" s="171"/>
      <c r="J1206" s="166" t="s">
        <v>470</v>
      </c>
      <c r="K1206" s="167">
        <f>SUMIF('Libro Diario Convencional'!$D$15:$D$167,J1200,'Libro Diario Convencional'!$G$15:$G$167)</f>
        <v>0</v>
      </c>
      <c r="L1206" s="168">
        <f>SUMIF('Libro Diario Convencional'!$D$15:$D$167,J1200,'Libro Diario Convencional'!$H$15:$H$167)</f>
        <v>0</v>
      </c>
    </row>
    <row r="1207" spans="2:60" x14ac:dyDescent="0.25">
      <c r="B1207" s="169"/>
      <c r="C1207" s="172"/>
      <c r="D1207" s="161"/>
      <c r="E1207" s="162"/>
      <c r="F1207" s="163"/>
      <c r="H1207" s="169"/>
      <c r="I1207" s="172"/>
      <c r="J1207" s="161"/>
      <c r="K1207" s="162"/>
      <c r="L1207" s="163"/>
    </row>
    <row r="1208" spans="2:60" x14ac:dyDescent="0.25">
      <c r="B1208" s="169"/>
      <c r="C1208" s="172"/>
      <c r="D1208" s="161"/>
      <c r="E1208" s="162"/>
      <c r="F1208" s="163"/>
      <c r="H1208" s="169"/>
      <c r="I1208" s="172"/>
      <c r="J1208" s="161"/>
      <c r="K1208" s="162"/>
      <c r="L1208" s="163"/>
    </row>
    <row r="1209" spans="2:60" ht="14.4" thickBot="1" x14ac:dyDescent="0.3">
      <c r="B1209" s="169"/>
      <c r="C1209" s="172"/>
      <c r="D1209" s="161"/>
      <c r="E1209" s="162"/>
      <c r="F1209" s="163"/>
      <c r="H1209" s="169"/>
      <c r="I1209" s="172"/>
      <c r="J1209" s="161"/>
      <c r="K1209" s="162"/>
      <c r="L1209" s="163"/>
    </row>
    <row r="1210" spans="2:60" ht="15" thickBot="1" x14ac:dyDescent="0.3">
      <c r="B1210" s="169"/>
      <c r="C1210" s="172"/>
      <c r="D1210" s="161" t="s">
        <v>471</v>
      </c>
      <c r="E1210" s="162">
        <f>SUM(E1206:E1209)</f>
        <v>0</v>
      </c>
      <c r="F1210" s="163">
        <f>SUM(F1206:F1209)</f>
        <v>0</v>
      </c>
      <c r="H1210" s="169"/>
      <c r="I1210" s="172"/>
      <c r="J1210" s="161" t="s">
        <v>471</v>
      </c>
      <c r="K1210" s="162">
        <f>SUM(K1206:K1209)</f>
        <v>0</v>
      </c>
      <c r="L1210" s="163">
        <f>SUM(L1206:L1209)</f>
        <v>0</v>
      </c>
      <c r="BG1210" s="157">
        <f>SUM(E1210,K1210,Q1210,W1210,AC1210,AI1210,AO1210,AU1210,AX1210,BD1210)</f>
        <v>0</v>
      </c>
      <c r="BH1210" s="158">
        <f>SUM(F1210,L1210,R1210,X1210,AD1210,AJ1210,AP1210,AV1210,AY1210,BE1210)</f>
        <v>0</v>
      </c>
    </row>
    <row r="1211" spans="2:60" ht="14.4" thickBot="1" x14ac:dyDescent="0.3">
      <c r="B1211" s="170"/>
      <c r="C1211" s="173"/>
      <c r="D1211" s="164" t="str">
        <f>IF(E1210=F1210,"",IF(E1210&gt;F1210,"Saldo Deudor","Saldo Acreedor"))</f>
        <v/>
      </c>
      <c r="E1211" s="165" t="str">
        <f>IF(E1210&gt;F1210,E1210-F1210,"")</f>
        <v/>
      </c>
      <c r="F1211" s="176" t="str">
        <f>IF(E1210&lt;F1210,F1210-E1210,"")</f>
        <v/>
      </c>
      <c r="H1211" s="170"/>
      <c r="I1211" s="173"/>
      <c r="J1211" s="164" t="str">
        <f>IF(K1210=L1210,"",IF(K1210&gt;L1210,"Saldo Deudor","Saldo Acreedor"))</f>
        <v/>
      </c>
      <c r="K1211" s="165" t="str">
        <f>IF(K1210&gt;L1210,K1210-L1210,"")</f>
        <v/>
      </c>
      <c r="L1211" s="176" t="str">
        <f>IF(K1210&lt;L1210,L1210-K1210,"")</f>
        <v/>
      </c>
    </row>
    <row r="1214" spans="2:60" ht="15.6" x14ac:dyDescent="0.25">
      <c r="B1214" s="324" t="s">
        <v>472</v>
      </c>
      <c r="C1214" s="324"/>
      <c r="D1214" s="175">
        <v>6351</v>
      </c>
      <c r="E1214" s="160"/>
      <c r="H1214" s="324" t="s">
        <v>472</v>
      </c>
      <c r="I1214" s="324"/>
      <c r="J1214" s="175">
        <v>6352</v>
      </c>
      <c r="K1214" s="160"/>
      <c r="N1214" s="324" t="s">
        <v>472</v>
      </c>
      <c r="O1214" s="324"/>
      <c r="P1214" s="175">
        <v>6353</v>
      </c>
      <c r="Q1214" s="160"/>
      <c r="T1214" s="324" t="s">
        <v>472</v>
      </c>
      <c r="U1214" s="324"/>
      <c r="V1214" s="175">
        <v>6354</v>
      </c>
      <c r="W1214" s="160"/>
      <c r="Z1214" s="324" t="s">
        <v>472</v>
      </c>
      <c r="AA1214" s="324"/>
      <c r="AB1214" s="175">
        <v>6356</v>
      </c>
      <c r="AC1214" s="160"/>
    </row>
    <row r="1215" spans="2:60" x14ac:dyDescent="0.25">
      <c r="B1215" s="160"/>
      <c r="C1215" s="160"/>
      <c r="D1215" s="160"/>
      <c r="E1215" s="160"/>
      <c r="H1215" s="160"/>
      <c r="I1215" s="160"/>
      <c r="J1215" s="160"/>
      <c r="K1215" s="160"/>
      <c r="N1215" s="160"/>
      <c r="O1215" s="160"/>
      <c r="P1215" s="160"/>
      <c r="Q1215" s="160"/>
      <c r="T1215" s="160"/>
      <c r="U1215" s="160"/>
      <c r="V1215" s="160"/>
      <c r="W1215" s="160"/>
      <c r="Z1215" s="160"/>
      <c r="AA1215" s="160"/>
      <c r="AB1215" s="160"/>
      <c r="AC1215" s="160"/>
    </row>
    <row r="1216" spans="2:60" ht="15.6" x14ac:dyDescent="0.25">
      <c r="B1216" s="324" t="s">
        <v>473</v>
      </c>
      <c r="C1216" s="324"/>
      <c r="D1216" s="234" t="str">
        <f>VLOOKUP(D1214,DivisionariasContables,3,FALSE)</f>
        <v>Alquileres - Terrenos</v>
      </c>
      <c r="E1216" s="160"/>
      <c r="H1216" s="324" t="s">
        <v>473</v>
      </c>
      <c r="I1216" s="324"/>
      <c r="J1216" s="234" t="str">
        <f>VLOOKUP(J1214,DivisionariasContables,3,FALSE)</f>
        <v>Alquileres - Edificaciones</v>
      </c>
      <c r="K1216" s="160"/>
      <c r="N1216" s="324" t="s">
        <v>473</v>
      </c>
      <c r="O1216" s="324"/>
      <c r="P1216" s="234" t="str">
        <f>VLOOKUP(P1214,DivisionariasContables,3,FALSE)</f>
        <v>Alquileres - Maquinarias y Equipos de Explotación</v>
      </c>
      <c r="Q1216" s="160"/>
      <c r="T1216" s="324" t="s">
        <v>473</v>
      </c>
      <c r="U1216" s="324"/>
      <c r="V1216" s="234" t="str">
        <f>VLOOKUP(V1214,DivisionariasContables,3,FALSE)</f>
        <v>Alquileres - Equipos de Transporte</v>
      </c>
      <c r="W1216" s="160"/>
      <c r="Z1216" s="324" t="s">
        <v>473</v>
      </c>
      <c r="AA1216" s="324"/>
      <c r="AB1216" s="234" t="str">
        <f>VLOOKUP(AB1214,DivisionariasContables,3,FALSE)</f>
        <v>Alquileres - Equipos Diversos</v>
      </c>
      <c r="AC1216" s="160"/>
    </row>
    <row r="1217" spans="2:60" ht="14.4" thickBot="1" x14ac:dyDescent="0.3"/>
    <row r="1218" spans="2:60" x14ac:dyDescent="0.25">
      <c r="B1218" s="325" t="s">
        <v>466</v>
      </c>
      <c r="C1218" s="327" t="s">
        <v>467</v>
      </c>
      <c r="D1218" s="327" t="s">
        <v>468</v>
      </c>
      <c r="E1218" s="329" t="s">
        <v>469</v>
      </c>
      <c r="F1218" s="330"/>
      <c r="H1218" s="325" t="s">
        <v>466</v>
      </c>
      <c r="I1218" s="327" t="s">
        <v>467</v>
      </c>
      <c r="J1218" s="327" t="s">
        <v>468</v>
      </c>
      <c r="K1218" s="329" t="s">
        <v>469</v>
      </c>
      <c r="L1218" s="330"/>
      <c r="N1218" s="325" t="s">
        <v>466</v>
      </c>
      <c r="O1218" s="327" t="s">
        <v>467</v>
      </c>
      <c r="P1218" s="327" t="s">
        <v>468</v>
      </c>
      <c r="Q1218" s="329" t="s">
        <v>469</v>
      </c>
      <c r="R1218" s="330"/>
      <c r="T1218" s="325" t="s">
        <v>466</v>
      </c>
      <c r="U1218" s="327" t="s">
        <v>467</v>
      </c>
      <c r="V1218" s="327" t="s">
        <v>468</v>
      </c>
      <c r="W1218" s="329" t="s">
        <v>469</v>
      </c>
      <c r="X1218" s="330"/>
      <c r="Z1218" s="325" t="s">
        <v>466</v>
      </c>
      <c r="AA1218" s="327" t="s">
        <v>467</v>
      </c>
      <c r="AB1218" s="327" t="s">
        <v>468</v>
      </c>
      <c r="AC1218" s="329" t="s">
        <v>469</v>
      </c>
      <c r="AD1218" s="330"/>
    </row>
    <row r="1219" spans="2:60" ht="14.4" thickBot="1" x14ac:dyDescent="0.3">
      <c r="B1219" s="326"/>
      <c r="C1219" s="328"/>
      <c r="D1219" s="328"/>
      <c r="E1219" s="232" t="s">
        <v>403</v>
      </c>
      <c r="F1219" s="174" t="s">
        <v>402</v>
      </c>
      <c r="H1219" s="326"/>
      <c r="I1219" s="328"/>
      <c r="J1219" s="328"/>
      <c r="K1219" s="232" t="s">
        <v>403</v>
      </c>
      <c r="L1219" s="174" t="s">
        <v>402</v>
      </c>
      <c r="N1219" s="326"/>
      <c r="O1219" s="328"/>
      <c r="P1219" s="328"/>
      <c r="Q1219" s="232" t="s">
        <v>403</v>
      </c>
      <c r="R1219" s="174" t="s">
        <v>402</v>
      </c>
      <c r="T1219" s="326"/>
      <c r="U1219" s="328"/>
      <c r="V1219" s="328"/>
      <c r="W1219" s="232" t="s">
        <v>403</v>
      </c>
      <c r="X1219" s="174" t="s">
        <v>402</v>
      </c>
      <c r="Z1219" s="326"/>
      <c r="AA1219" s="328"/>
      <c r="AB1219" s="328"/>
      <c r="AC1219" s="232" t="s">
        <v>403</v>
      </c>
      <c r="AD1219" s="174" t="s">
        <v>402</v>
      </c>
    </row>
    <row r="1220" spans="2:60" ht="14.4" thickTop="1" x14ac:dyDescent="0.25">
      <c r="B1220" s="236">
        <v>41670</v>
      </c>
      <c r="C1220" s="171"/>
      <c r="D1220" s="166" t="s">
        <v>470</v>
      </c>
      <c r="E1220" s="167">
        <f>SUMIF('Libro Diario Convencional'!$D$15:$D$167,D1214,'Libro Diario Convencional'!$G$15:$G$167)</f>
        <v>0</v>
      </c>
      <c r="F1220" s="168">
        <f>SUMIF('Libro Diario Convencional'!$D$15:$D$167,D1214,'Libro Diario Convencional'!$H$15:$H$167)</f>
        <v>0</v>
      </c>
      <c r="H1220" s="236">
        <v>41670</v>
      </c>
      <c r="I1220" s="171"/>
      <c r="J1220" s="166" t="s">
        <v>470</v>
      </c>
      <c r="K1220" s="167">
        <f>SUMIF('Libro Diario Convencional'!$D$15:$D$167,J1214,'Libro Diario Convencional'!$G$15:$G$167)</f>
        <v>0</v>
      </c>
      <c r="L1220" s="168">
        <f>SUMIF('Libro Diario Convencional'!$D$15:$D$167,J1214,'Libro Diario Convencional'!$H$15:$H$167)</f>
        <v>0</v>
      </c>
      <c r="N1220" s="236">
        <v>41670</v>
      </c>
      <c r="O1220" s="171"/>
      <c r="P1220" s="166" t="s">
        <v>470</v>
      </c>
      <c r="Q1220" s="167">
        <f>SUMIF('Libro Diario Convencional'!$D$15:$D$167,P1214,'Libro Diario Convencional'!$G$15:$G$167)</f>
        <v>0</v>
      </c>
      <c r="R1220" s="168">
        <f>SUMIF('Libro Diario Convencional'!$D$15:$D$167,P1214,'Libro Diario Convencional'!$H$15:$H$167)</f>
        <v>0</v>
      </c>
      <c r="T1220" s="236">
        <v>41670</v>
      </c>
      <c r="U1220" s="171"/>
      <c r="V1220" s="166" t="s">
        <v>470</v>
      </c>
      <c r="W1220" s="167">
        <f>SUMIF('Libro Diario Convencional'!$D$15:$D$167,V1214,'Libro Diario Convencional'!$G$15:$G$167)</f>
        <v>0</v>
      </c>
      <c r="X1220" s="168">
        <f>SUMIF('Libro Diario Convencional'!$D$15:$D$167,V1214,'Libro Diario Convencional'!$H$15:$H$167)</f>
        <v>0</v>
      </c>
      <c r="Z1220" s="236">
        <v>41670</v>
      </c>
      <c r="AA1220" s="171"/>
      <c r="AB1220" s="166" t="s">
        <v>470</v>
      </c>
      <c r="AC1220" s="167">
        <f>SUMIF('Libro Diario Convencional'!$D$15:$D$167,AB1214,'Libro Diario Convencional'!$G$15:$G$167)</f>
        <v>0</v>
      </c>
      <c r="AD1220" s="168">
        <f>SUMIF('Libro Diario Convencional'!$D$15:$D$167,AB1214,'Libro Diario Convencional'!$H$15:$H$167)</f>
        <v>0</v>
      </c>
    </row>
    <row r="1221" spans="2:60" x14ac:dyDescent="0.25">
      <c r="B1221" s="169"/>
      <c r="C1221" s="172"/>
      <c r="D1221" s="161"/>
      <c r="E1221" s="162"/>
      <c r="F1221" s="163"/>
      <c r="H1221" s="169"/>
      <c r="I1221" s="172"/>
      <c r="J1221" s="161"/>
      <c r="K1221" s="162"/>
      <c r="L1221" s="163"/>
      <c r="N1221" s="169"/>
      <c r="O1221" s="172"/>
      <c r="P1221" s="161"/>
      <c r="Q1221" s="162"/>
      <c r="R1221" s="163"/>
      <c r="T1221" s="169"/>
      <c r="U1221" s="172"/>
      <c r="V1221" s="161"/>
      <c r="W1221" s="162"/>
      <c r="X1221" s="163"/>
      <c r="Z1221" s="169"/>
      <c r="AA1221" s="172"/>
      <c r="AB1221" s="161"/>
      <c r="AC1221" s="162"/>
      <c r="AD1221" s="163"/>
    </row>
    <row r="1222" spans="2:60" x14ac:dyDescent="0.25">
      <c r="B1222" s="169"/>
      <c r="C1222" s="172"/>
      <c r="D1222" s="161"/>
      <c r="E1222" s="162"/>
      <c r="F1222" s="163"/>
      <c r="H1222" s="169"/>
      <c r="I1222" s="172"/>
      <c r="J1222" s="161"/>
      <c r="K1222" s="162"/>
      <c r="L1222" s="163"/>
      <c r="N1222" s="169"/>
      <c r="O1222" s="172"/>
      <c r="P1222" s="161"/>
      <c r="Q1222" s="162"/>
      <c r="R1222" s="163"/>
      <c r="T1222" s="169"/>
      <c r="U1222" s="172"/>
      <c r="V1222" s="161"/>
      <c r="W1222" s="162"/>
      <c r="X1222" s="163"/>
      <c r="Z1222" s="169"/>
      <c r="AA1222" s="172"/>
      <c r="AB1222" s="161"/>
      <c r="AC1222" s="162"/>
      <c r="AD1222" s="163"/>
    </row>
    <row r="1223" spans="2:60" ht="14.4" thickBot="1" x14ac:dyDescent="0.3">
      <c r="B1223" s="169"/>
      <c r="C1223" s="172"/>
      <c r="D1223" s="161"/>
      <c r="E1223" s="162"/>
      <c r="F1223" s="163"/>
      <c r="H1223" s="169"/>
      <c r="I1223" s="172"/>
      <c r="J1223" s="161"/>
      <c r="K1223" s="162"/>
      <c r="L1223" s="163"/>
      <c r="N1223" s="169"/>
      <c r="O1223" s="172"/>
      <c r="P1223" s="161"/>
      <c r="Q1223" s="162"/>
      <c r="R1223" s="163"/>
      <c r="T1223" s="169"/>
      <c r="U1223" s="172"/>
      <c r="V1223" s="161"/>
      <c r="W1223" s="162"/>
      <c r="X1223" s="163"/>
      <c r="Z1223" s="169"/>
      <c r="AA1223" s="172"/>
      <c r="AB1223" s="161"/>
      <c r="AC1223" s="162"/>
      <c r="AD1223" s="163"/>
    </row>
    <row r="1224" spans="2:60" ht="15" thickBot="1" x14ac:dyDescent="0.3">
      <c r="B1224" s="169"/>
      <c r="C1224" s="172"/>
      <c r="D1224" s="161" t="s">
        <v>471</v>
      </c>
      <c r="E1224" s="162">
        <f>SUM(E1220:E1223)</f>
        <v>0</v>
      </c>
      <c r="F1224" s="163">
        <f>SUM(F1220:F1223)</f>
        <v>0</v>
      </c>
      <c r="H1224" s="169"/>
      <c r="I1224" s="172"/>
      <c r="J1224" s="161" t="s">
        <v>471</v>
      </c>
      <c r="K1224" s="162">
        <f>SUM(K1220:K1223)</f>
        <v>0</v>
      </c>
      <c r="L1224" s="163">
        <f>SUM(L1220:L1223)</f>
        <v>0</v>
      </c>
      <c r="N1224" s="169"/>
      <c r="O1224" s="172"/>
      <c r="P1224" s="161" t="s">
        <v>471</v>
      </c>
      <c r="Q1224" s="162">
        <f>SUM(Q1220:Q1223)</f>
        <v>0</v>
      </c>
      <c r="R1224" s="163">
        <f>SUM(R1220:R1223)</f>
        <v>0</v>
      </c>
      <c r="T1224" s="169"/>
      <c r="U1224" s="172"/>
      <c r="V1224" s="161" t="s">
        <v>471</v>
      </c>
      <c r="W1224" s="162">
        <f>SUM(W1220:W1223)</f>
        <v>0</v>
      </c>
      <c r="X1224" s="163">
        <f>SUM(X1220:X1223)</f>
        <v>0</v>
      </c>
      <c r="Z1224" s="169"/>
      <c r="AA1224" s="172"/>
      <c r="AB1224" s="161" t="s">
        <v>471</v>
      </c>
      <c r="AC1224" s="162">
        <f>SUM(AC1220:AC1223)</f>
        <v>0</v>
      </c>
      <c r="AD1224" s="163">
        <f>SUM(AD1220:AD1223)</f>
        <v>0</v>
      </c>
      <c r="BG1224" s="157">
        <f>SUM(E1224,K1224,Q1224,W1224,AC1224,AI1224,AO1224,AU1224,AX1224,BD1224)</f>
        <v>0</v>
      </c>
      <c r="BH1224" s="158">
        <f>SUM(F1224,L1224,R1224,X1224,AD1224,AJ1224,AP1224,AV1224,AY1224,BE1224)</f>
        <v>0</v>
      </c>
    </row>
    <row r="1225" spans="2:60" ht="14.4" thickBot="1" x14ac:dyDescent="0.3">
      <c r="B1225" s="170"/>
      <c r="C1225" s="173"/>
      <c r="D1225" s="164" t="str">
        <f>IF(E1224=F1224,"",IF(E1224&gt;F1224,"Saldo Deudor","Saldo Acreedor"))</f>
        <v/>
      </c>
      <c r="E1225" s="165" t="str">
        <f>IF(E1224&gt;F1224,E1224-F1224,"")</f>
        <v/>
      </c>
      <c r="F1225" s="176" t="str">
        <f>IF(E1224&lt;F1224,F1224-E1224,"")</f>
        <v/>
      </c>
      <c r="H1225" s="170"/>
      <c r="I1225" s="173"/>
      <c r="J1225" s="164" t="str">
        <f>IF(K1224=L1224,"",IF(K1224&gt;L1224,"Saldo Deudor","Saldo Acreedor"))</f>
        <v/>
      </c>
      <c r="K1225" s="165" t="str">
        <f>IF(K1224&gt;L1224,K1224-L1224,"")</f>
        <v/>
      </c>
      <c r="L1225" s="176" t="str">
        <f>IF(K1224&lt;L1224,L1224-K1224,"")</f>
        <v/>
      </c>
      <c r="N1225" s="170"/>
      <c r="O1225" s="173"/>
      <c r="P1225" s="164" t="str">
        <f>IF(Q1224=R1224,"",IF(Q1224&gt;R1224,"Saldo Deudor","Saldo Acreedor"))</f>
        <v/>
      </c>
      <c r="Q1225" s="165" t="str">
        <f>IF(Q1224&gt;R1224,Q1224-R1224,"")</f>
        <v/>
      </c>
      <c r="R1225" s="176" t="str">
        <f>IF(Q1224&lt;R1224,R1224-Q1224,"")</f>
        <v/>
      </c>
      <c r="T1225" s="170"/>
      <c r="U1225" s="173"/>
      <c r="V1225" s="164" t="str">
        <f>IF(W1224=X1224,"",IF(W1224&gt;X1224,"Saldo Deudor","Saldo Acreedor"))</f>
        <v/>
      </c>
      <c r="W1225" s="165" t="str">
        <f>IF(W1224&gt;X1224,W1224-X1224,"")</f>
        <v/>
      </c>
      <c r="X1225" s="176" t="str">
        <f>IF(W1224&lt;X1224,X1224-W1224,"")</f>
        <v/>
      </c>
      <c r="Z1225" s="170"/>
      <c r="AA1225" s="173"/>
      <c r="AB1225" s="164" t="str">
        <f>IF(AC1224=AD1224,"",IF(AC1224&gt;AD1224,"Saldo Deudor","Saldo Acreedor"))</f>
        <v/>
      </c>
      <c r="AC1225" s="165" t="str">
        <f>IF(AC1224&gt;AD1224,AC1224-AD1224,"")</f>
        <v/>
      </c>
      <c r="AD1225" s="176" t="str">
        <f>IF(AC1224&lt;AD1224,AD1224-AC1224,"")</f>
        <v/>
      </c>
    </row>
    <row r="1228" spans="2:60" ht="15.6" x14ac:dyDescent="0.25">
      <c r="B1228" s="324" t="s">
        <v>472</v>
      </c>
      <c r="C1228" s="324"/>
      <c r="D1228" s="175">
        <v>6361</v>
      </c>
      <c r="E1228" s="160"/>
      <c r="H1228" s="324" t="s">
        <v>472</v>
      </c>
      <c r="I1228" s="324"/>
      <c r="J1228" s="175">
        <v>6362</v>
      </c>
      <c r="K1228" s="160"/>
      <c r="N1228" s="324" t="s">
        <v>472</v>
      </c>
      <c r="O1228" s="324"/>
      <c r="P1228" s="175">
        <v>6363</v>
      </c>
      <c r="Q1228" s="160"/>
      <c r="T1228" s="324" t="s">
        <v>472</v>
      </c>
      <c r="U1228" s="324"/>
      <c r="V1228" s="175">
        <v>6364</v>
      </c>
      <c r="W1228" s="160"/>
      <c r="Z1228" s="324" t="s">
        <v>472</v>
      </c>
      <c r="AA1228" s="324"/>
      <c r="AB1228" s="175">
        <v>6365</v>
      </c>
      <c r="AC1228" s="160"/>
      <c r="AF1228" s="324" t="s">
        <v>472</v>
      </c>
      <c r="AG1228" s="324"/>
      <c r="AH1228" s="175">
        <v>6366</v>
      </c>
      <c r="AI1228" s="160"/>
      <c r="AL1228" s="324" t="s">
        <v>472</v>
      </c>
      <c r="AM1228" s="324"/>
      <c r="AN1228" s="175">
        <v>6367</v>
      </c>
      <c r="AO1228" s="160"/>
    </row>
    <row r="1229" spans="2:60" x14ac:dyDescent="0.25">
      <c r="B1229" s="160"/>
      <c r="C1229" s="160"/>
      <c r="D1229" s="160"/>
      <c r="E1229" s="160"/>
      <c r="H1229" s="160"/>
      <c r="I1229" s="160"/>
      <c r="J1229" s="160"/>
      <c r="K1229" s="160"/>
      <c r="N1229" s="160"/>
      <c r="O1229" s="160"/>
      <c r="P1229" s="160"/>
      <c r="Q1229" s="160"/>
      <c r="T1229" s="160"/>
      <c r="U1229" s="160"/>
      <c r="V1229" s="160"/>
      <c r="W1229" s="160"/>
      <c r="Z1229" s="160"/>
      <c r="AA1229" s="160"/>
      <c r="AB1229" s="160"/>
      <c r="AC1229" s="160"/>
      <c r="AF1229" s="160"/>
      <c r="AG1229" s="160"/>
      <c r="AH1229" s="160"/>
      <c r="AI1229" s="160"/>
      <c r="AL1229" s="160"/>
      <c r="AM1229" s="160"/>
      <c r="AN1229" s="160"/>
      <c r="AO1229" s="160"/>
    </row>
    <row r="1230" spans="2:60" ht="15.6" x14ac:dyDescent="0.25">
      <c r="B1230" s="324" t="s">
        <v>473</v>
      </c>
      <c r="C1230" s="324"/>
      <c r="D1230" s="234" t="str">
        <f>VLOOKUP(D1228,DivisionariasContables,3,FALSE)</f>
        <v>Servicios Básicos - Energía Eléctrica</v>
      </c>
      <c r="E1230" s="160"/>
      <c r="H1230" s="324" t="s">
        <v>473</v>
      </c>
      <c r="I1230" s="324"/>
      <c r="J1230" s="234" t="str">
        <f>VLOOKUP(J1228,DivisionariasContables,3,FALSE)</f>
        <v>Servicios Básicos - Gas</v>
      </c>
      <c r="K1230" s="160"/>
      <c r="N1230" s="324" t="s">
        <v>473</v>
      </c>
      <c r="O1230" s="324"/>
      <c r="P1230" s="234" t="str">
        <f>VLOOKUP(P1228,DivisionariasContables,3,FALSE)</f>
        <v>Servicios Básicos - Agua</v>
      </c>
      <c r="Q1230" s="160"/>
      <c r="T1230" s="324" t="s">
        <v>473</v>
      </c>
      <c r="U1230" s="324"/>
      <c r="V1230" s="234" t="str">
        <f>VLOOKUP(V1228,DivisionariasContables,3,FALSE)</f>
        <v>Servicios Básicos - Teléfono</v>
      </c>
      <c r="W1230" s="160"/>
      <c r="Z1230" s="324" t="s">
        <v>473</v>
      </c>
      <c r="AA1230" s="324"/>
      <c r="AB1230" s="234" t="str">
        <f>VLOOKUP(AB1228,DivisionariasContables,3,FALSE)</f>
        <v>Servicios Básicos - Internet</v>
      </c>
      <c r="AC1230" s="160"/>
      <c r="AF1230" s="324" t="s">
        <v>473</v>
      </c>
      <c r="AG1230" s="324"/>
      <c r="AH1230" s="234" t="str">
        <f>VLOOKUP(AH1228,DivisionariasContables,3,FALSE)</f>
        <v>Servicios Básicos - Radio</v>
      </c>
      <c r="AI1230" s="160"/>
      <c r="AL1230" s="324" t="s">
        <v>473</v>
      </c>
      <c r="AM1230" s="324"/>
      <c r="AN1230" s="234" t="str">
        <f>VLOOKUP(AN1228,DivisionariasContables,3,FALSE)</f>
        <v>Servicios Básicos - Cable</v>
      </c>
      <c r="AO1230" s="160"/>
    </row>
    <row r="1231" spans="2:60" ht="14.4" thickBot="1" x14ac:dyDescent="0.3"/>
    <row r="1232" spans="2:60" x14ac:dyDescent="0.25">
      <c r="B1232" s="325" t="s">
        <v>466</v>
      </c>
      <c r="C1232" s="327" t="s">
        <v>467</v>
      </c>
      <c r="D1232" s="327" t="s">
        <v>468</v>
      </c>
      <c r="E1232" s="329" t="s">
        <v>469</v>
      </c>
      <c r="F1232" s="330"/>
      <c r="H1232" s="325" t="s">
        <v>466</v>
      </c>
      <c r="I1232" s="327" t="s">
        <v>467</v>
      </c>
      <c r="J1232" s="327" t="s">
        <v>468</v>
      </c>
      <c r="K1232" s="329" t="s">
        <v>469</v>
      </c>
      <c r="L1232" s="330"/>
      <c r="N1232" s="325" t="s">
        <v>466</v>
      </c>
      <c r="O1232" s="327" t="s">
        <v>467</v>
      </c>
      <c r="P1232" s="327" t="s">
        <v>468</v>
      </c>
      <c r="Q1232" s="329" t="s">
        <v>469</v>
      </c>
      <c r="R1232" s="330"/>
      <c r="T1232" s="325" t="s">
        <v>466</v>
      </c>
      <c r="U1232" s="327" t="s">
        <v>467</v>
      </c>
      <c r="V1232" s="327" t="s">
        <v>468</v>
      </c>
      <c r="W1232" s="329" t="s">
        <v>469</v>
      </c>
      <c r="X1232" s="330"/>
      <c r="Z1232" s="325" t="s">
        <v>466</v>
      </c>
      <c r="AA1232" s="327" t="s">
        <v>467</v>
      </c>
      <c r="AB1232" s="327" t="s">
        <v>468</v>
      </c>
      <c r="AC1232" s="329" t="s">
        <v>469</v>
      </c>
      <c r="AD1232" s="330"/>
      <c r="AF1232" s="325" t="s">
        <v>466</v>
      </c>
      <c r="AG1232" s="327" t="s">
        <v>467</v>
      </c>
      <c r="AH1232" s="327" t="s">
        <v>468</v>
      </c>
      <c r="AI1232" s="329" t="s">
        <v>469</v>
      </c>
      <c r="AJ1232" s="330"/>
      <c r="AL1232" s="325" t="s">
        <v>466</v>
      </c>
      <c r="AM1232" s="327" t="s">
        <v>467</v>
      </c>
      <c r="AN1232" s="327" t="s">
        <v>468</v>
      </c>
      <c r="AO1232" s="329" t="s">
        <v>469</v>
      </c>
      <c r="AP1232" s="330"/>
    </row>
    <row r="1233" spans="2:60" ht="14.4" thickBot="1" x14ac:dyDescent="0.3">
      <c r="B1233" s="326"/>
      <c r="C1233" s="328"/>
      <c r="D1233" s="328"/>
      <c r="E1233" s="232" t="s">
        <v>403</v>
      </c>
      <c r="F1233" s="174" t="s">
        <v>402</v>
      </c>
      <c r="H1233" s="326"/>
      <c r="I1233" s="328"/>
      <c r="J1233" s="328"/>
      <c r="K1233" s="232" t="s">
        <v>403</v>
      </c>
      <c r="L1233" s="174" t="s">
        <v>402</v>
      </c>
      <c r="N1233" s="326"/>
      <c r="O1233" s="328"/>
      <c r="P1233" s="328"/>
      <c r="Q1233" s="232" t="s">
        <v>403</v>
      </c>
      <c r="R1233" s="174" t="s">
        <v>402</v>
      </c>
      <c r="T1233" s="326"/>
      <c r="U1233" s="328"/>
      <c r="V1233" s="328"/>
      <c r="W1233" s="232" t="s">
        <v>403</v>
      </c>
      <c r="X1233" s="174" t="s">
        <v>402</v>
      </c>
      <c r="Z1233" s="326"/>
      <c r="AA1233" s="328"/>
      <c r="AB1233" s="328"/>
      <c r="AC1233" s="232" t="s">
        <v>403</v>
      </c>
      <c r="AD1233" s="174" t="s">
        <v>402</v>
      </c>
      <c r="AF1233" s="326"/>
      <c r="AG1233" s="328"/>
      <c r="AH1233" s="328"/>
      <c r="AI1233" s="232" t="s">
        <v>403</v>
      </c>
      <c r="AJ1233" s="174" t="s">
        <v>402</v>
      </c>
      <c r="AL1233" s="326"/>
      <c r="AM1233" s="328"/>
      <c r="AN1233" s="328"/>
      <c r="AO1233" s="232" t="s">
        <v>403</v>
      </c>
      <c r="AP1233" s="174" t="s">
        <v>402</v>
      </c>
    </row>
    <row r="1234" spans="2:60" ht="14.4" thickTop="1" x14ac:dyDescent="0.25">
      <c r="B1234" s="236">
        <v>41670</v>
      </c>
      <c r="C1234" s="171"/>
      <c r="D1234" s="166" t="s">
        <v>470</v>
      </c>
      <c r="E1234" s="167">
        <f>SUMIF('Libro Diario Convencional'!$D$15:$D$167,D1228,'Libro Diario Convencional'!$G$15:$G$167)</f>
        <v>8542.3728813559319</v>
      </c>
      <c r="F1234" s="168">
        <f>SUMIF('Libro Diario Convencional'!$D$15:$D$167,D1228,'Libro Diario Convencional'!$H$15:$H$167)</f>
        <v>0</v>
      </c>
      <c r="H1234" s="236">
        <v>41670</v>
      </c>
      <c r="I1234" s="171"/>
      <c r="J1234" s="166" t="s">
        <v>470</v>
      </c>
      <c r="K1234" s="167">
        <f>SUMIF('Libro Diario Convencional'!$D$15:$D$167,J1228,'Libro Diario Convencional'!$G$15:$G$167)</f>
        <v>0</v>
      </c>
      <c r="L1234" s="168">
        <f>SUMIF('Libro Diario Convencional'!$D$15:$D$167,J1228,'Libro Diario Convencional'!$H$15:$H$167)</f>
        <v>0</v>
      </c>
      <c r="N1234" s="236">
        <v>41670</v>
      </c>
      <c r="O1234" s="171"/>
      <c r="P1234" s="166" t="s">
        <v>470</v>
      </c>
      <c r="Q1234" s="167">
        <f>SUMIF('Libro Diario Convencional'!$D$15:$D$167,P1228,'Libro Diario Convencional'!$G$15:$G$167)</f>
        <v>0</v>
      </c>
      <c r="R1234" s="168">
        <f>SUMIF('Libro Diario Convencional'!$D$15:$D$167,P1228,'Libro Diario Convencional'!$H$15:$H$167)</f>
        <v>0</v>
      </c>
      <c r="T1234" s="236">
        <v>41670</v>
      </c>
      <c r="U1234" s="171"/>
      <c r="V1234" s="166" t="s">
        <v>470</v>
      </c>
      <c r="W1234" s="167">
        <f>SUMIF('Libro Diario Convencional'!$D$15:$D$167,V1228,'Libro Diario Convencional'!$G$15:$G$167)</f>
        <v>0</v>
      </c>
      <c r="X1234" s="168">
        <f>SUMIF('Libro Diario Convencional'!$D$15:$D$167,V1228,'Libro Diario Convencional'!$H$15:$H$167)</f>
        <v>0</v>
      </c>
      <c r="Z1234" s="236">
        <v>41670</v>
      </c>
      <c r="AA1234" s="171"/>
      <c r="AB1234" s="166" t="s">
        <v>470</v>
      </c>
      <c r="AC1234" s="167">
        <f>SUMIF('Libro Diario Convencional'!$D$15:$D$167,AB1228,'Libro Diario Convencional'!$G$15:$G$167)</f>
        <v>0</v>
      </c>
      <c r="AD1234" s="168">
        <f>SUMIF('Libro Diario Convencional'!$D$15:$D$167,AB1228,'Libro Diario Convencional'!$H$15:$H$167)</f>
        <v>0</v>
      </c>
      <c r="AF1234" s="236">
        <v>41670</v>
      </c>
      <c r="AG1234" s="171"/>
      <c r="AH1234" s="166" t="s">
        <v>470</v>
      </c>
      <c r="AI1234" s="167">
        <f>SUMIF('Libro Diario Convencional'!$D$15:$D$167,AH1228,'Libro Diario Convencional'!$G$15:$G$167)</f>
        <v>0</v>
      </c>
      <c r="AJ1234" s="168">
        <f>SUMIF('Libro Diario Convencional'!$D$15:$D$167,AH1228,'Libro Diario Convencional'!$H$15:$H$167)</f>
        <v>0</v>
      </c>
      <c r="AL1234" s="236">
        <v>41670</v>
      </c>
      <c r="AM1234" s="171"/>
      <c r="AN1234" s="166" t="s">
        <v>470</v>
      </c>
      <c r="AO1234" s="167">
        <f>SUMIF('Libro Diario Convencional'!$D$15:$D$167,AN1228,'Libro Diario Convencional'!$G$15:$G$167)</f>
        <v>0</v>
      </c>
      <c r="AP1234" s="168">
        <f>SUMIF('Libro Diario Convencional'!$D$15:$D$167,AN1228,'Libro Diario Convencional'!$H$15:$H$167)</f>
        <v>0</v>
      </c>
    </row>
    <row r="1235" spans="2:60" x14ac:dyDescent="0.25">
      <c r="B1235" s="169"/>
      <c r="C1235" s="172"/>
      <c r="D1235" s="161"/>
      <c r="E1235" s="162"/>
      <c r="F1235" s="163"/>
      <c r="H1235" s="169"/>
      <c r="I1235" s="172"/>
      <c r="J1235" s="161"/>
      <c r="K1235" s="162"/>
      <c r="L1235" s="163"/>
      <c r="N1235" s="169"/>
      <c r="O1235" s="172"/>
      <c r="P1235" s="161"/>
      <c r="Q1235" s="162"/>
      <c r="R1235" s="163"/>
      <c r="T1235" s="169"/>
      <c r="U1235" s="172"/>
      <c r="V1235" s="161"/>
      <c r="W1235" s="162"/>
      <c r="X1235" s="163"/>
      <c r="Z1235" s="169"/>
      <c r="AA1235" s="172"/>
      <c r="AB1235" s="161"/>
      <c r="AC1235" s="162"/>
      <c r="AD1235" s="163"/>
      <c r="AF1235" s="169"/>
      <c r="AG1235" s="172"/>
      <c r="AH1235" s="161"/>
      <c r="AI1235" s="162"/>
      <c r="AJ1235" s="163"/>
      <c r="AL1235" s="169"/>
      <c r="AM1235" s="172"/>
      <c r="AN1235" s="161"/>
      <c r="AO1235" s="162"/>
      <c r="AP1235" s="163"/>
    </row>
    <row r="1236" spans="2:60" x14ac:dyDescent="0.25">
      <c r="B1236" s="169"/>
      <c r="C1236" s="172"/>
      <c r="D1236" s="161"/>
      <c r="E1236" s="162"/>
      <c r="F1236" s="163"/>
      <c r="H1236" s="169"/>
      <c r="I1236" s="172"/>
      <c r="J1236" s="161"/>
      <c r="K1236" s="162"/>
      <c r="L1236" s="163"/>
      <c r="N1236" s="169"/>
      <c r="O1236" s="172"/>
      <c r="P1236" s="161"/>
      <c r="Q1236" s="162"/>
      <c r="R1236" s="163"/>
      <c r="T1236" s="169"/>
      <c r="U1236" s="172"/>
      <c r="V1236" s="161"/>
      <c r="W1236" s="162"/>
      <c r="X1236" s="163"/>
      <c r="Z1236" s="169"/>
      <c r="AA1236" s="172"/>
      <c r="AB1236" s="161"/>
      <c r="AC1236" s="162"/>
      <c r="AD1236" s="163"/>
      <c r="AF1236" s="169"/>
      <c r="AG1236" s="172"/>
      <c r="AH1236" s="161"/>
      <c r="AI1236" s="162"/>
      <c r="AJ1236" s="163"/>
      <c r="AL1236" s="169"/>
      <c r="AM1236" s="172"/>
      <c r="AN1236" s="161"/>
      <c r="AO1236" s="162"/>
      <c r="AP1236" s="163"/>
    </row>
    <row r="1237" spans="2:60" ht="14.4" thickBot="1" x14ac:dyDescent="0.3">
      <c r="B1237" s="169"/>
      <c r="C1237" s="172"/>
      <c r="D1237" s="161"/>
      <c r="E1237" s="162"/>
      <c r="F1237" s="163"/>
      <c r="H1237" s="169"/>
      <c r="I1237" s="172"/>
      <c r="J1237" s="161"/>
      <c r="K1237" s="162"/>
      <c r="L1237" s="163"/>
      <c r="N1237" s="169"/>
      <c r="O1237" s="172"/>
      <c r="P1237" s="161"/>
      <c r="Q1237" s="162"/>
      <c r="R1237" s="163"/>
      <c r="T1237" s="169"/>
      <c r="U1237" s="172"/>
      <c r="V1237" s="161"/>
      <c r="W1237" s="162"/>
      <c r="X1237" s="163"/>
      <c r="Z1237" s="169"/>
      <c r="AA1237" s="172"/>
      <c r="AB1237" s="161"/>
      <c r="AC1237" s="162"/>
      <c r="AD1237" s="163"/>
      <c r="AF1237" s="169"/>
      <c r="AG1237" s="172"/>
      <c r="AH1237" s="161"/>
      <c r="AI1237" s="162"/>
      <c r="AJ1237" s="163"/>
      <c r="AL1237" s="169"/>
      <c r="AM1237" s="172"/>
      <c r="AN1237" s="161"/>
      <c r="AO1237" s="162"/>
      <c r="AP1237" s="163"/>
    </row>
    <row r="1238" spans="2:60" ht="15" thickBot="1" x14ac:dyDescent="0.3">
      <c r="B1238" s="169"/>
      <c r="C1238" s="172"/>
      <c r="D1238" s="161" t="s">
        <v>471</v>
      </c>
      <c r="E1238" s="162">
        <f>SUM(E1234:E1237)</f>
        <v>8542.3728813559319</v>
      </c>
      <c r="F1238" s="163">
        <f>SUM(F1234:F1237)</f>
        <v>0</v>
      </c>
      <c r="H1238" s="169"/>
      <c r="I1238" s="172"/>
      <c r="J1238" s="161" t="s">
        <v>471</v>
      </c>
      <c r="K1238" s="162">
        <f>SUM(K1234:K1237)</f>
        <v>0</v>
      </c>
      <c r="L1238" s="163">
        <f>SUM(L1234:L1237)</f>
        <v>0</v>
      </c>
      <c r="N1238" s="169"/>
      <c r="O1238" s="172"/>
      <c r="P1238" s="161" t="s">
        <v>471</v>
      </c>
      <c r="Q1238" s="162">
        <f>SUM(Q1234:Q1237)</f>
        <v>0</v>
      </c>
      <c r="R1238" s="163">
        <f>SUM(R1234:R1237)</f>
        <v>0</v>
      </c>
      <c r="T1238" s="169"/>
      <c r="U1238" s="172"/>
      <c r="V1238" s="161" t="s">
        <v>471</v>
      </c>
      <c r="W1238" s="162">
        <f>SUM(W1234:W1237)</f>
        <v>0</v>
      </c>
      <c r="X1238" s="163">
        <f>SUM(X1234:X1237)</f>
        <v>0</v>
      </c>
      <c r="Z1238" s="169"/>
      <c r="AA1238" s="172"/>
      <c r="AB1238" s="161" t="s">
        <v>471</v>
      </c>
      <c r="AC1238" s="162">
        <f>SUM(AC1234:AC1237)</f>
        <v>0</v>
      </c>
      <c r="AD1238" s="163">
        <f>SUM(AD1234:AD1237)</f>
        <v>0</v>
      </c>
      <c r="AF1238" s="169"/>
      <c r="AG1238" s="172"/>
      <c r="AH1238" s="161" t="s">
        <v>471</v>
      </c>
      <c r="AI1238" s="162">
        <f>SUM(AI1234:AI1237)</f>
        <v>0</v>
      </c>
      <c r="AJ1238" s="163">
        <f>SUM(AJ1234:AJ1237)</f>
        <v>0</v>
      </c>
      <c r="AL1238" s="169"/>
      <c r="AM1238" s="172"/>
      <c r="AN1238" s="161" t="s">
        <v>471</v>
      </c>
      <c r="AO1238" s="162">
        <f>SUM(AO1234:AO1237)</f>
        <v>0</v>
      </c>
      <c r="AP1238" s="163">
        <f>SUM(AP1234:AP1237)</f>
        <v>0</v>
      </c>
      <c r="BG1238" s="157">
        <f>SUM(E1238,K1238,Q1238,W1238,AC1238,AI1238,AO1238,AU1238,AX1238,BD1238)</f>
        <v>8542.3728813559319</v>
      </c>
      <c r="BH1238" s="158">
        <f>SUM(F1238,L1238,R1238,X1238,AD1238,AJ1238,AP1238,AV1238,AY1238,BE1238)</f>
        <v>0</v>
      </c>
    </row>
    <row r="1239" spans="2:60" ht="14.4" thickBot="1" x14ac:dyDescent="0.3">
      <c r="B1239" s="170"/>
      <c r="C1239" s="173"/>
      <c r="D1239" s="164" t="str">
        <f>IF(E1238=F1238,"",IF(E1238&gt;F1238,"Saldo Deudor","Saldo Acreedor"))</f>
        <v>Saldo Deudor</v>
      </c>
      <c r="E1239" s="165">
        <f>IF(E1238&gt;F1238,E1238-F1238,"")</f>
        <v>8542.3728813559319</v>
      </c>
      <c r="F1239" s="176" t="str">
        <f>IF(E1238&lt;F1238,F1238-E1238,"")</f>
        <v/>
      </c>
      <c r="H1239" s="170"/>
      <c r="I1239" s="173"/>
      <c r="J1239" s="164" t="str">
        <f>IF(K1238=L1238,"",IF(K1238&gt;L1238,"Saldo Deudor","Saldo Acreedor"))</f>
        <v/>
      </c>
      <c r="K1239" s="165" t="str">
        <f>IF(K1238&gt;L1238,K1238-L1238,"")</f>
        <v/>
      </c>
      <c r="L1239" s="176" t="str">
        <f>IF(K1238&lt;L1238,L1238-K1238,"")</f>
        <v/>
      </c>
      <c r="N1239" s="170"/>
      <c r="O1239" s="173"/>
      <c r="P1239" s="164" t="str">
        <f>IF(Q1238=R1238,"",IF(Q1238&gt;R1238,"Saldo Deudor","Saldo Acreedor"))</f>
        <v/>
      </c>
      <c r="Q1239" s="165" t="str">
        <f>IF(Q1238&gt;R1238,Q1238-R1238,"")</f>
        <v/>
      </c>
      <c r="R1239" s="176" t="str">
        <f>IF(Q1238&lt;R1238,R1238-Q1238,"")</f>
        <v/>
      </c>
      <c r="T1239" s="170"/>
      <c r="U1239" s="173"/>
      <c r="V1239" s="164" t="str">
        <f>IF(W1238=X1238,"",IF(W1238&gt;X1238,"Saldo Deudor","Saldo Acreedor"))</f>
        <v/>
      </c>
      <c r="W1239" s="165" t="str">
        <f>IF(W1238&gt;X1238,W1238-X1238,"")</f>
        <v/>
      </c>
      <c r="X1239" s="176" t="str">
        <f>IF(W1238&lt;X1238,X1238-W1238,"")</f>
        <v/>
      </c>
      <c r="Z1239" s="170"/>
      <c r="AA1239" s="173"/>
      <c r="AB1239" s="164" t="str">
        <f>IF(AC1238=AD1238,"",IF(AC1238&gt;AD1238,"Saldo Deudor","Saldo Acreedor"))</f>
        <v/>
      </c>
      <c r="AC1239" s="165" t="str">
        <f>IF(AC1238&gt;AD1238,AC1238-AD1238,"")</f>
        <v/>
      </c>
      <c r="AD1239" s="176" t="str">
        <f>IF(AC1238&lt;AD1238,AD1238-AC1238,"")</f>
        <v/>
      </c>
      <c r="AF1239" s="170"/>
      <c r="AG1239" s="173"/>
      <c r="AH1239" s="164" t="str">
        <f>IF(AI1238=AJ1238,"",IF(AI1238&gt;AJ1238,"Saldo Deudor","Saldo Acreedor"))</f>
        <v/>
      </c>
      <c r="AI1239" s="165" t="str">
        <f>IF(AI1238&gt;AJ1238,AI1238-AJ1238,"")</f>
        <v/>
      </c>
      <c r="AJ1239" s="176" t="str">
        <f>IF(AI1238&lt;AJ1238,AJ1238-AI1238,"")</f>
        <v/>
      </c>
      <c r="AL1239" s="170"/>
      <c r="AM1239" s="173"/>
      <c r="AN1239" s="164" t="str">
        <f>IF(AO1238=AP1238,"",IF(AO1238&gt;AP1238,"Saldo Deudor","Saldo Acreedor"))</f>
        <v/>
      </c>
      <c r="AO1239" s="165" t="str">
        <f>IF(AO1238&gt;AP1238,AO1238-AP1238,"")</f>
        <v/>
      </c>
      <c r="AP1239" s="176" t="str">
        <f>IF(AO1238&lt;AP1238,AP1238-AO1238,"")</f>
        <v/>
      </c>
    </row>
    <row r="1242" spans="2:60" ht="15.6" x14ac:dyDescent="0.25">
      <c r="B1242" s="324" t="s">
        <v>472</v>
      </c>
      <c r="C1242" s="324"/>
      <c r="D1242" s="175">
        <v>6371</v>
      </c>
      <c r="E1242" s="160"/>
      <c r="H1242" s="324" t="s">
        <v>472</v>
      </c>
      <c r="I1242" s="324"/>
      <c r="J1242" s="175">
        <v>6372</v>
      </c>
      <c r="K1242" s="160"/>
      <c r="N1242" s="324" t="s">
        <v>472</v>
      </c>
      <c r="O1242" s="324"/>
      <c r="P1242" s="175">
        <v>6373</v>
      </c>
      <c r="Q1242" s="160"/>
    </row>
    <row r="1243" spans="2:60" x14ac:dyDescent="0.25">
      <c r="B1243" s="160"/>
      <c r="C1243" s="160"/>
      <c r="D1243" s="160"/>
      <c r="E1243" s="160"/>
      <c r="H1243" s="160"/>
      <c r="I1243" s="160"/>
      <c r="J1243" s="160"/>
      <c r="K1243" s="160"/>
      <c r="N1243" s="160"/>
      <c r="O1243" s="160"/>
      <c r="P1243" s="160"/>
      <c r="Q1243" s="160"/>
    </row>
    <row r="1244" spans="2:60" ht="15.6" x14ac:dyDescent="0.25">
      <c r="B1244" s="324" t="s">
        <v>473</v>
      </c>
      <c r="C1244" s="324"/>
      <c r="D1244" s="234" t="str">
        <f>VLOOKUP(D1242,DivisionariasContables,3,FALSE)</f>
        <v>Publicidad</v>
      </c>
      <c r="E1244" s="160"/>
      <c r="H1244" s="324" t="s">
        <v>473</v>
      </c>
      <c r="I1244" s="324"/>
      <c r="J1244" s="234" t="str">
        <f>VLOOKUP(J1242,DivisionariasContables,3,FALSE)</f>
        <v>Publicaciones</v>
      </c>
      <c r="K1244" s="160"/>
      <c r="N1244" s="324" t="s">
        <v>473</v>
      </c>
      <c r="O1244" s="324"/>
      <c r="P1244" s="234" t="str">
        <f>VLOOKUP(P1242,DivisionariasContables,3,FALSE)</f>
        <v>Relaciones Públicas</v>
      </c>
      <c r="Q1244" s="160"/>
    </row>
    <row r="1245" spans="2:60" ht="14.4" thickBot="1" x14ac:dyDescent="0.3"/>
    <row r="1246" spans="2:60" x14ac:dyDescent="0.25">
      <c r="B1246" s="325" t="s">
        <v>466</v>
      </c>
      <c r="C1246" s="327" t="s">
        <v>467</v>
      </c>
      <c r="D1246" s="327" t="s">
        <v>468</v>
      </c>
      <c r="E1246" s="329" t="s">
        <v>469</v>
      </c>
      <c r="F1246" s="330"/>
      <c r="H1246" s="325" t="s">
        <v>466</v>
      </c>
      <c r="I1246" s="327" t="s">
        <v>467</v>
      </c>
      <c r="J1246" s="327" t="s">
        <v>468</v>
      </c>
      <c r="K1246" s="329" t="s">
        <v>469</v>
      </c>
      <c r="L1246" s="330"/>
      <c r="N1246" s="325" t="s">
        <v>466</v>
      </c>
      <c r="O1246" s="327" t="s">
        <v>467</v>
      </c>
      <c r="P1246" s="327" t="s">
        <v>468</v>
      </c>
      <c r="Q1246" s="329" t="s">
        <v>469</v>
      </c>
      <c r="R1246" s="330"/>
    </row>
    <row r="1247" spans="2:60" ht="14.4" thickBot="1" x14ac:dyDescent="0.3">
      <c r="B1247" s="326"/>
      <c r="C1247" s="328"/>
      <c r="D1247" s="328"/>
      <c r="E1247" s="232" t="s">
        <v>403</v>
      </c>
      <c r="F1247" s="174" t="s">
        <v>402</v>
      </c>
      <c r="H1247" s="326"/>
      <c r="I1247" s="328"/>
      <c r="J1247" s="328"/>
      <c r="K1247" s="232" t="s">
        <v>403</v>
      </c>
      <c r="L1247" s="174" t="s">
        <v>402</v>
      </c>
      <c r="N1247" s="326"/>
      <c r="O1247" s="328"/>
      <c r="P1247" s="328"/>
      <c r="Q1247" s="232" t="s">
        <v>403</v>
      </c>
      <c r="R1247" s="174" t="s">
        <v>402</v>
      </c>
    </row>
    <row r="1248" spans="2:60" ht="14.4" thickTop="1" x14ac:dyDescent="0.25">
      <c r="B1248" s="236">
        <v>41670</v>
      </c>
      <c r="C1248" s="171"/>
      <c r="D1248" s="166" t="s">
        <v>470</v>
      </c>
      <c r="E1248" s="167">
        <f>SUMIF('Libro Diario Convencional'!$D$15:$D$167,D1242,'Libro Diario Convencional'!$G$15:$G$167)</f>
        <v>0</v>
      </c>
      <c r="F1248" s="168">
        <f>SUMIF('Libro Diario Convencional'!$D$15:$D$167,D1242,'Libro Diario Convencional'!$H$15:$H$167)</f>
        <v>0</v>
      </c>
      <c r="H1248" s="236">
        <v>41670</v>
      </c>
      <c r="I1248" s="171"/>
      <c r="J1248" s="166" t="s">
        <v>470</v>
      </c>
      <c r="K1248" s="167">
        <f>SUMIF('Libro Diario Convencional'!$D$15:$D$167,J1242,'Libro Diario Convencional'!$G$15:$G$167)</f>
        <v>0</v>
      </c>
      <c r="L1248" s="168">
        <f>SUMIF('Libro Diario Convencional'!$D$15:$D$167,J1242,'Libro Diario Convencional'!$H$15:$H$167)</f>
        <v>0</v>
      </c>
      <c r="N1248" s="236">
        <v>41670</v>
      </c>
      <c r="O1248" s="171"/>
      <c r="P1248" s="166" t="s">
        <v>470</v>
      </c>
      <c r="Q1248" s="167">
        <f>SUMIF('Libro Diario Convencional'!$D$15:$D$167,P1242,'Libro Diario Convencional'!$G$15:$G$167)</f>
        <v>0</v>
      </c>
      <c r="R1248" s="168">
        <f>SUMIF('Libro Diario Convencional'!$D$15:$D$167,P1242,'Libro Diario Convencional'!$H$15:$H$167)</f>
        <v>0</v>
      </c>
    </row>
    <row r="1249" spans="2:60" x14ac:dyDescent="0.25">
      <c r="B1249" s="169"/>
      <c r="C1249" s="172"/>
      <c r="D1249" s="161"/>
      <c r="E1249" s="162"/>
      <c r="F1249" s="163"/>
      <c r="H1249" s="169"/>
      <c r="I1249" s="172"/>
      <c r="J1249" s="161"/>
      <c r="K1249" s="162"/>
      <c r="L1249" s="163"/>
      <c r="N1249" s="169"/>
      <c r="O1249" s="172"/>
      <c r="P1249" s="161"/>
      <c r="Q1249" s="162"/>
      <c r="R1249" s="163"/>
    </row>
    <row r="1250" spans="2:60" x14ac:dyDescent="0.25">
      <c r="B1250" s="169"/>
      <c r="C1250" s="172"/>
      <c r="D1250" s="161"/>
      <c r="E1250" s="162"/>
      <c r="F1250" s="163"/>
      <c r="H1250" s="169"/>
      <c r="I1250" s="172"/>
      <c r="J1250" s="161"/>
      <c r="K1250" s="162"/>
      <c r="L1250" s="163"/>
      <c r="N1250" s="169"/>
      <c r="O1250" s="172"/>
      <c r="P1250" s="161"/>
      <c r="Q1250" s="162"/>
      <c r="R1250" s="163"/>
    </row>
    <row r="1251" spans="2:60" ht="14.4" thickBot="1" x14ac:dyDescent="0.3">
      <c r="B1251" s="169"/>
      <c r="C1251" s="172"/>
      <c r="D1251" s="161"/>
      <c r="E1251" s="162"/>
      <c r="F1251" s="163"/>
      <c r="H1251" s="169"/>
      <c r="I1251" s="172"/>
      <c r="J1251" s="161"/>
      <c r="K1251" s="162"/>
      <c r="L1251" s="163"/>
      <c r="N1251" s="169"/>
      <c r="O1251" s="172"/>
      <c r="P1251" s="161"/>
      <c r="Q1251" s="162"/>
      <c r="R1251" s="163"/>
    </row>
    <row r="1252" spans="2:60" ht="15" thickBot="1" x14ac:dyDescent="0.3">
      <c r="B1252" s="169"/>
      <c r="C1252" s="172"/>
      <c r="D1252" s="161" t="s">
        <v>471</v>
      </c>
      <c r="E1252" s="162">
        <f>SUM(E1248:E1251)</f>
        <v>0</v>
      </c>
      <c r="F1252" s="163">
        <f>SUM(F1248:F1251)</f>
        <v>0</v>
      </c>
      <c r="H1252" s="169"/>
      <c r="I1252" s="172"/>
      <c r="J1252" s="161" t="s">
        <v>471</v>
      </c>
      <c r="K1252" s="162">
        <f>SUM(K1248:K1251)</f>
        <v>0</v>
      </c>
      <c r="L1252" s="163">
        <f>SUM(L1248:L1251)</f>
        <v>0</v>
      </c>
      <c r="N1252" s="169"/>
      <c r="O1252" s="172"/>
      <c r="P1252" s="161" t="s">
        <v>471</v>
      </c>
      <c r="Q1252" s="162">
        <f>SUM(Q1248:Q1251)</f>
        <v>0</v>
      </c>
      <c r="R1252" s="163">
        <f>SUM(R1248:R1251)</f>
        <v>0</v>
      </c>
      <c r="BG1252" s="157">
        <f>SUM(E1252,K1252,Q1252,W1252,AC1252,AI1252,AO1252,AU1252,AX1252,BD1252)</f>
        <v>0</v>
      </c>
      <c r="BH1252" s="158">
        <f>SUM(F1252,L1252,R1252,X1252,AD1252,AJ1252,AP1252,AV1252,AY1252,BE1252)</f>
        <v>0</v>
      </c>
    </row>
    <row r="1253" spans="2:60" ht="14.4" thickBot="1" x14ac:dyDescent="0.3">
      <c r="B1253" s="170"/>
      <c r="C1253" s="173"/>
      <c r="D1253" s="164" t="str">
        <f>IF(E1252=F1252,"",IF(E1252&gt;F1252,"Saldo Deudor","Saldo Acreedor"))</f>
        <v/>
      </c>
      <c r="E1253" s="165" t="str">
        <f>IF(E1252&gt;F1252,E1252-F1252,"")</f>
        <v/>
      </c>
      <c r="F1253" s="176" t="str">
        <f>IF(E1252&lt;F1252,F1252-E1252,"")</f>
        <v/>
      </c>
      <c r="H1253" s="170"/>
      <c r="I1253" s="173"/>
      <c r="J1253" s="164" t="str">
        <f>IF(K1252=L1252,"",IF(K1252&gt;L1252,"Saldo Deudor","Saldo Acreedor"))</f>
        <v/>
      </c>
      <c r="K1253" s="165" t="str">
        <f>IF(K1252&gt;L1252,K1252-L1252,"")</f>
        <v/>
      </c>
      <c r="L1253" s="176" t="str">
        <f>IF(K1252&lt;L1252,L1252-K1252,"")</f>
        <v/>
      </c>
      <c r="N1253" s="170"/>
      <c r="O1253" s="173"/>
      <c r="P1253" s="164" t="str">
        <f>IF(Q1252=R1252,"",IF(Q1252&gt;R1252,"Saldo Deudor","Saldo Acreedor"))</f>
        <v/>
      </c>
      <c r="Q1253" s="165" t="str">
        <f>IF(Q1252&gt;R1252,Q1252-R1252,"")</f>
        <v/>
      </c>
      <c r="R1253" s="176" t="str">
        <f>IF(Q1252&lt;R1252,R1252-Q1252,"")</f>
        <v/>
      </c>
    </row>
    <row r="1256" spans="2:60" ht="15.6" x14ac:dyDescent="0.25">
      <c r="B1256" s="324" t="s">
        <v>472</v>
      </c>
      <c r="C1256" s="324"/>
      <c r="D1256" s="175">
        <v>6391</v>
      </c>
      <c r="E1256" s="160"/>
      <c r="H1256" s="324" t="s">
        <v>472</v>
      </c>
      <c r="I1256" s="324"/>
      <c r="J1256" s="175">
        <v>6392</v>
      </c>
      <c r="K1256" s="160"/>
      <c r="N1256" s="324" t="s">
        <v>472</v>
      </c>
      <c r="O1256" s="324"/>
      <c r="P1256" s="175">
        <v>6398</v>
      </c>
      <c r="Q1256" s="160"/>
      <c r="T1256" s="324" t="s">
        <v>472</v>
      </c>
      <c r="U1256" s="324"/>
      <c r="V1256" s="175">
        <v>6399</v>
      </c>
      <c r="W1256" s="160"/>
    </row>
    <row r="1257" spans="2:60" x14ac:dyDescent="0.25">
      <c r="B1257" s="160"/>
      <c r="C1257" s="160"/>
      <c r="D1257" s="160"/>
      <c r="E1257" s="160"/>
      <c r="H1257" s="160"/>
      <c r="I1257" s="160"/>
      <c r="J1257" s="160"/>
      <c r="K1257" s="160"/>
      <c r="N1257" s="160"/>
      <c r="O1257" s="160"/>
      <c r="P1257" s="160"/>
      <c r="Q1257" s="160"/>
      <c r="T1257" s="160"/>
      <c r="U1257" s="160"/>
      <c r="V1257" s="160"/>
      <c r="W1257" s="160"/>
    </row>
    <row r="1258" spans="2:60" ht="15.6" x14ac:dyDescent="0.25">
      <c r="B1258" s="324" t="s">
        <v>473</v>
      </c>
      <c r="C1258" s="324"/>
      <c r="D1258" s="234" t="str">
        <f>VLOOKUP(D1256,DivisionariasContables,3,FALSE)</f>
        <v>Gastos Bancarios</v>
      </c>
      <c r="E1258" s="160"/>
      <c r="H1258" s="324" t="s">
        <v>473</v>
      </c>
      <c r="I1258" s="324"/>
      <c r="J1258" s="234" t="str">
        <f>VLOOKUP(J1256,DivisionariasContables,3,FALSE)</f>
        <v>Gastos de Laboratorio</v>
      </c>
      <c r="K1258" s="160"/>
      <c r="N1258" s="324" t="s">
        <v>473</v>
      </c>
      <c r="O1258" s="324"/>
      <c r="P1258" s="234" t="str">
        <f>VLOOKUP(P1256,DivisionariasContables,3,FALSE)</f>
        <v>Reclasificación de IGV al Gasto</v>
      </c>
      <c r="Q1258" s="160"/>
      <c r="T1258" s="324" t="s">
        <v>473</v>
      </c>
      <c r="U1258" s="324"/>
      <c r="V1258" s="234" t="str">
        <f>VLOOKUP(V1256,DivisionariasContables,3,FALSE)</f>
        <v>Otros Gastos por Servicios Prestados por Terceros</v>
      </c>
      <c r="W1258" s="160"/>
    </row>
    <row r="1259" spans="2:60" ht="14.4" thickBot="1" x14ac:dyDescent="0.3"/>
    <row r="1260" spans="2:60" x14ac:dyDescent="0.25">
      <c r="B1260" s="325" t="s">
        <v>466</v>
      </c>
      <c r="C1260" s="327" t="s">
        <v>467</v>
      </c>
      <c r="D1260" s="327" t="s">
        <v>468</v>
      </c>
      <c r="E1260" s="329" t="s">
        <v>469</v>
      </c>
      <c r="F1260" s="330"/>
      <c r="H1260" s="325" t="s">
        <v>466</v>
      </c>
      <c r="I1260" s="327" t="s">
        <v>467</v>
      </c>
      <c r="J1260" s="327" t="s">
        <v>468</v>
      </c>
      <c r="K1260" s="329" t="s">
        <v>469</v>
      </c>
      <c r="L1260" s="330"/>
      <c r="N1260" s="325" t="s">
        <v>466</v>
      </c>
      <c r="O1260" s="327" t="s">
        <v>467</v>
      </c>
      <c r="P1260" s="327" t="s">
        <v>468</v>
      </c>
      <c r="Q1260" s="329" t="s">
        <v>469</v>
      </c>
      <c r="R1260" s="330"/>
      <c r="T1260" s="325" t="s">
        <v>466</v>
      </c>
      <c r="U1260" s="327" t="s">
        <v>467</v>
      </c>
      <c r="V1260" s="327" t="s">
        <v>468</v>
      </c>
      <c r="W1260" s="329" t="s">
        <v>469</v>
      </c>
      <c r="X1260" s="330"/>
    </row>
    <row r="1261" spans="2:60" ht="14.4" thickBot="1" x14ac:dyDescent="0.3">
      <c r="B1261" s="326"/>
      <c r="C1261" s="328"/>
      <c r="D1261" s="328"/>
      <c r="E1261" s="232" t="s">
        <v>403</v>
      </c>
      <c r="F1261" s="174" t="s">
        <v>402</v>
      </c>
      <c r="H1261" s="326"/>
      <c r="I1261" s="328"/>
      <c r="J1261" s="328"/>
      <c r="K1261" s="232" t="s">
        <v>403</v>
      </c>
      <c r="L1261" s="174" t="s">
        <v>402</v>
      </c>
      <c r="N1261" s="326"/>
      <c r="O1261" s="328"/>
      <c r="P1261" s="328"/>
      <c r="Q1261" s="232" t="s">
        <v>403</v>
      </c>
      <c r="R1261" s="174" t="s">
        <v>402</v>
      </c>
      <c r="T1261" s="326"/>
      <c r="U1261" s="328"/>
      <c r="V1261" s="328"/>
      <c r="W1261" s="232" t="s">
        <v>403</v>
      </c>
      <c r="X1261" s="174" t="s">
        <v>402</v>
      </c>
    </row>
    <row r="1262" spans="2:60" ht="14.4" thickTop="1" x14ac:dyDescent="0.25">
      <c r="B1262" s="236">
        <v>41670</v>
      </c>
      <c r="C1262" s="171"/>
      <c r="D1262" s="166" t="s">
        <v>470</v>
      </c>
      <c r="E1262" s="167">
        <f>SUMIF('Libro Diario Convencional'!$D$15:$D$167,D1256,'Libro Diario Convencional'!$G$15:$G$167)</f>
        <v>0</v>
      </c>
      <c r="F1262" s="168">
        <f>SUMIF('Libro Diario Convencional'!$D$15:$D$167,D1256,'Libro Diario Convencional'!$H$15:$H$167)</f>
        <v>0</v>
      </c>
      <c r="H1262" s="236">
        <v>41670</v>
      </c>
      <c r="I1262" s="171"/>
      <c r="J1262" s="166" t="s">
        <v>470</v>
      </c>
      <c r="K1262" s="167">
        <f>SUMIF('Libro Diario Convencional'!$D$15:$D$167,J1256,'Libro Diario Convencional'!$G$15:$G$167)</f>
        <v>0</v>
      </c>
      <c r="L1262" s="168">
        <f>SUMIF('Libro Diario Convencional'!$D$15:$D$167,J1256,'Libro Diario Convencional'!$H$15:$H$167)</f>
        <v>0</v>
      </c>
      <c r="N1262" s="236">
        <v>41670</v>
      </c>
      <c r="O1262" s="171"/>
      <c r="P1262" s="166" t="s">
        <v>470</v>
      </c>
      <c r="Q1262" s="167">
        <f>SUMIF('Libro Diario Convencional'!$D$15:$D$167,P1256,'Libro Diario Convencional'!$G$15:$G$167)</f>
        <v>0</v>
      </c>
      <c r="R1262" s="168">
        <f>SUMIF('Libro Diario Convencional'!$D$15:$D$167,P1256,'Libro Diario Convencional'!$H$15:$H$167)</f>
        <v>0</v>
      </c>
      <c r="T1262" s="236">
        <v>41670</v>
      </c>
      <c r="U1262" s="171"/>
      <c r="V1262" s="166" t="s">
        <v>470</v>
      </c>
      <c r="W1262" s="167">
        <f>SUMIF('Libro Diario Convencional'!$D$15:$D$167,V1256,'Libro Diario Convencional'!$G$15:$G$167)</f>
        <v>0</v>
      </c>
      <c r="X1262" s="168">
        <f>SUMIF('Libro Diario Convencional'!$D$15:$D$167,V1256,'Libro Diario Convencional'!$H$15:$H$167)</f>
        <v>0</v>
      </c>
    </row>
    <row r="1263" spans="2:60" x14ac:dyDescent="0.25">
      <c r="B1263" s="169"/>
      <c r="C1263" s="172"/>
      <c r="D1263" s="161"/>
      <c r="E1263" s="162"/>
      <c r="F1263" s="163"/>
      <c r="H1263" s="169"/>
      <c r="I1263" s="172"/>
      <c r="J1263" s="161"/>
      <c r="K1263" s="162"/>
      <c r="L1263" s="163"/>
      <c r="N1263" s="169"/>
      <c r="O1263" s="172"/>
      <c r="P1263" s="161"/>
      <c r="Q1263" s="162"/>
      <c r="R1263" s="163"/>
      <c r="T1263" s="169"/>
      <c r="U1263" s="172"/>
      <c r="V1263" s="161"/>
      <c r="W1263" s="162"/>
      <c r="X1263" s="163"/>
    </row>
    <row r="1264" spans="2:60" x14ac:dyDescent="0.25">
      <c r="B1264" s="169"/>
      <c r="C1264" s="172"/>
      <c r="D1264" s="161"/>
      <c r="E1264" s="162"/>
      <c r="F1264" s="163"/>
      <c r="H1264" s="169"/>
      <c r="I1264" s="172"/>
      <c r="J1264" s="161"/>
      <c r="K1264" s="162"/>
      <c r="L1264" s="163"/>
      <c r="N1264" s="169"/>
      <c r="O1264" s="172"/>
      <c r="P1264" s="161"/>
      <c r="Q1264" s="162"/>
      <c r="R1264" s="163"/>
      <c r="T1264" s="169"/>
      <c r="U1264" s="172"/>
      <c r="V1264" s="161"/>
      <c r="W1264" s="162"/>
      <c r="X1264" s="163"/>
    </row>
    <row r="1265" spans="2:60" ht="14.4" thickBot="1" x14ac:dyDescent="0.3">
      <c r="B1265" s="169"/>
      <c r="C1265" s="172"/>
      <c r="D1265" s="161"/>
      <c r="E1265" s="162"/>
      <c r="F1265" s="163"/>
      <c r="H1265" s="169"/>
      <c r="I1265" s="172"/>
      <c r="J1265" s="161"/>
      <c r="K1265" s="162"/>
      <c r="L1265" s="163"/>
      <c r="N1265" s="169"/>
      <c r="O1265" s="172"/>
      <c r="P1265" s="161"/>
      <c r="Q1265" s="162"/>
      <c r="R1265" s="163"/>
      <c r="T1265" s="169"/>
      <c r="U1265" s="172"/>
      <c r="V1265" s="161"/>
      <c r="W1265" s="162"/>
      <c r="X1265" s="163"/>
    </row>
    <row r="1266" spans="2:60" ht="15" thickBot="1" x14ac:dyDescent="0.3">
      <c r="B1266" s="169"/>
      <c r="C1266" s="172"/>
      <c r="D1266" s="161" t="s">
        <v>471</v>
      </c>
      <c r="E1266" s="162">
        <f>SUM(E1262:E1265)</f>
        <v>0</v>
      </c>
      <c r="F1266" s="163">
        <f>SUM(F1262:F1265)</f>
        <v>0</v>
      </c>
      <c r="H1266" s="169"/>
      <c r="I1266" s="172"/>
      <c r="J1266" s="161" t="s">
        <v>471</v>
      </c>
      <c r="K1266" s="162">
        <f>SUM(K1262:K1265)</f>
        <v>0</v>
      </c>
      <c r="L1266" s="163">
        <f>SUM(L1262:L1265)</f>
        <v>0</v>
      </c>
      <c r="N1266" s="169"/>
      <c r="O1266" s="172"/>
      <c r="P1266" s="161" t="s">
        <v>471</v>
      </c>
      <c r="Q1266" s="162">
        <f>SUM(Q1262:Q1265)</f>
        <v>0</v>
      </c>
      <c r="R1266" s="163">
        <f>SUM(R1262:R1265)</f>
        <v>0</v>
      </c>
      <c r="T1266" s="169"/>
      <c r="U1266" s="172"/>
      <c r="V1266" s="161" t="s">
        <v>471</v>
      </c>
      <c r="W1266" s="162">
        <f>SUM(W1262:W1265)</f>
        <v>0</v>
      </c>
      <c r="X1266" s="163">
        <f>SUM(X1262:X1265)</f>
        <v>0</v>
      </c>
      <c r="BG1266" s="157">
        <f>SUM(E1266,K1266,Q1266,W1266,AC1266,AI1266,AO1266,AU1266,AX1266,BD1266)</f>
        <v>0</v>
      </c>
      <c r="BH1266" s="158">
        <f>SUM(F1266,L1266,R1266,X1266,AD1266,AJ1266,AP1266,AV1266,AY1266,BE1266)</f>
        <v>0</v>
      </c>
    </row>
    <row r="1267" spans="2:60" ht="14.4" thickBot="1" x14ac:dyDescent="0.3">
      <c r="B1267" s="170"/>
      <c r="C1267" s="173"/>
      <c r="D1267" s="164" t="str">
        <f>IF(E1266=F1266,"",IF(E1266&gt;F1266,"Saldo Deudor","Saldo Acreedor"))</f>
        <v/>
      </c>
      <c r="E1267" s="165" t="str">
        <f>IF(E1266&gt;F1266,E1266-F1266,"")</f>
        <v/>
      </c>
      <c r="F1267" s="176" t="str">
        <f>IF(E1266&lt;F1266,F1266-E1266,"")</f>
        <v/>
      </c>
      <c r="H1267" s="170"/>
      <c r="I1267" s="173"/>
      <c r="J1267" s="164" t="str">
        <f>IF(K1266=L1266,"",IF(K1266&gt;L1266,"Saldo Deudor","Saldo Acreedor"))</f>
        <v/>
      </c>
      <c r="K1267" s="165" t="str">
        <f>IF(K1266&gt;L1266,K1266-L1266,"")</f>
        <v/>
      </c>
      <c r="L1267" s="176" t="str">
        <f>IF(K1266&lt;L1266,L1266-K1266,"")</f>
        <v/>
      </c>
      <c r="N1267" s="170"/>
      <c r="O1267" s="173"/>
      <c r="P1267" s="164" t="str">
        <f>IF(Q1266=R1266,"",IF(Q1266&gt;R1266,"Saldo Deudor","Saldo Acreedor"))</f>
        <v/>
      </c>
      <c r="Q1267" s="165" t="str">
        <f>IF(Q1266&gt;R1266,Q1266-R1266,"")</f>
        <v/>
      </c>
      <c r="R1267" s="176" t="str">
        <f>IF(Q1266&lt;R1266,R1266-Q1266,"")</f>
        <v/>
      </c>
      <c r="T1267" s="170"/>
      <c r="U1267" s="173"/>
      <c r="V1267" s="164" t="str">
        <f>IF(W1266=X1266,"",IF(W1266&gt;X1266,"Saldo Deudor","Saldo Acreedor"))</f>
        <v/>
      </c>
      <c r="W1267" s="165" t="str">
        <f>IF(W1266&gt;X1266,W1266-X1266,"")</f>
        <v/>
      </c>
      <c r="X1267" s="176" t="str">
        <f>IF(W1266&lt;X1266,X1266-W1266,"")</f>
        <v/>
      </c>
    </row>
    <row r="1270" spans="2:60" ht="15.6" x14ac:dyDescent="0.25">
      <c r="B1270" s="324" t="s">
        <v>472</v>
      </c>
      <c r="C1270" s="324"/>
      <c r="D1270" s="175">
        <v>6412</v>
      </c>
      <c r="E1270" s="160"/>
    </row>
    <row r="1271" spans="2:60" x14ac:dyDescent="0.25">
      <c r="B1271" s="160"/>
      <c r="C1271" s="160"/>
      <c r="D1271" s="160"/>
      <c r="E1271" s="160"/>
    </row>
    <row r="1272" spans="2:60" ht="15.6" x14ac:dyDescent="0.25">
      <c r="B1272" s="324" t="s">
        <v>473</v>
      </c>
      <c r="C1272" s="324"/>
      <c r="D1272" s="234" t="str">
        <f>VLOOKUP(D1270,DivisionariasContables,3,FALSE)</f>
        <v>Impuesto a las Transacciones Financieras</v>
      </c>
      <c r="E1272" s="160"/>
    </row>
    <row r="1273" spans="2:60" ht="14.4" thickBot="1" x14ac:dyDescent="0.3"/>
    <row r="1274" spans="2:60" x14ac:dyDescent="0.25">
      <c r="B1274" s="325" t="s">
        <v>466</v>
      </c>
      <c r="C1274" s="327" t="s">
        <v>467</v>
      </c>
      <c r="D1274" s="327" t="s">
        <v>468</v>
      </c>
      <c r="E1274" s="329" t="s">
        <v>469</v>
      </c>
      <c r="F1274" s="330"/>
    </row>
    <row r="1275" spans="2:60" ht="14.4" thickBot="1" x14ac:dyDescent="0.3">
      <c r="B1275" s="326"/>
      <c r="C1275" s="328"/>
      <c r="D1275" s="328"/>
      <c r="E1275" s="232" t="s">
        <v>403</v>
      </c>
      <c r="F1275" s="174" t="s">
        <v>402</v>
      </c>
    </row>
    <row r="1276" spans="2:60" ht="14.4" thickTop="1" x14ac:dyDescent="0.25">
      <c r="B1276" s="236">
        <v>41670</v>
      </c>
      <c r="C1276" s="171"/>
      <c r="D1276" s="166" t="s">
        <v>470</v>
      </c>
      <c r="E1276" s="167">
        <f>SUMIF('Libro Diario Convencional'!$D$15:$D$167,D1270,'Libro Diario Convencional'!$G$15:$G$167)</f>
        <v>0</v>
      </c>
      <c r="F1276" s="168">
        <f>SUMIF('Libro Diario Convencional'!$D$15:$D$167,D1270,'Libro Diario Convencional'!$H$15:$H$167)</f>
        <v>0</v>
      </c>
    </row>
    <row r="1277" spans="2:60" x14ac:dyDescent="0.25">
      <c r="B1277" s="169"/>
      <c r="C1277" s="172"/>
      <c r="D1277" s="161"/>
      <c r="E1277" s="162"/>
      <c r="F1277" s="163"/>
    </row>
    <row r="1278" spans="2:60" x14ac:dyDescent="0.25">
      <c r="B1278" s="169"/>
      <c r="C1278" s="172"/>
      <c r="D1278" s="161"/>
      <c r="E1278" s="162"/>
      <c r="F1278" s="163"/>
    </row>
    <row r="1279" spans="2:60" ht="14.4" thickBot="1" x14ac:dyDescent="0.3">
      <c r="B1279" s="169"/>
      <c r="C1279" s="172"/>
      <c r="D1279" s="161"/>
      <c r="E1279" s="162"/>
      <c r="F1279" s="163"/>
    </row>
    <row r="1280" spans="2:60" ht="15" thickBot="1" x14ac:dyDescent="0.3">
      <c r="B1280" s="169"/>
      <c r="C1280" s="172"/>
      <c r="D1280" s="161" t="s">
        <v>471</v>
      </c>
      <c r="E1280" s="162">
        <f>SUM(E1276:E1279)</f>
        <v>0</v>
      </c>
      <c r="F1280" s="163">
        <f>SUM(F1276:F1279)</f>
        <v>0</v>
      </c>
      <c r="BG1280" s="157">
        <f>SUM(E1280,K1280,Q1280,W1280,AC1280,AI1280,AO1280,AU1280,AX1280,BD1280)</f>
        <v>0</v>
      </c>
      <c r="BH1280" s="158">
        <f>SUM(F1280,L1280,R1280,X1280,AD1280,AJ1280,AP1280,AV1280,AY1280,BE1280)</f>
        <v>0</v>
      </c>
    </row>
    <row r="1281" spans="2:60" ht="14.4" thickBot="1" x14ac:dyDescent="0.3">
      <c r="B1281" s="170"/>
      <c r="C1281" s="173"/>
      <c r="D1281" s="164" t="str">
        <f>IF(E1280=F1280,"",IF(E1280&gt;F1280,"Saldo Deudor","Saldo Acreedor"))</f>
        <v/>
      </c>
      <c r="E1281" s="165" t="str">
        <f>IF(E1280&gt;F1280,E1280-F1280,"")</f>
        <v/>
      </c>
      <c r="F1281" s="176" t="str">
        <f>IF(E1280&lt;F1280,F1280-E1280,"")</f>
        <v/>
      </c>
    </row>
    <row r="1284" spans="2:60" ht="15.6" x14ac:dyDescent="0.25">
      <c r="B1284" s="324" t="s">
        <v>472</v>
      </c>
      <c r="C1284" s="324"/>
      <c r="D1284" s="175">
        <v>6511</v>
      </c>
      <c r="E1284" s="160"/>
    </row>
    <row r="1285" spans="2:60" x14ac:dyDescent="0.25">
      <c r="B1285" s="160"/>
      <c r="C1285" s="160"/>
      <c r="D1285" s="160"/>
      <c r="E1285" s="160"/>
    </row>
    <row r="1286" spans="2:60" ht="15.6" x14ac:dyDescent="0.25">
      <c r="B1286" s="324" t="s">
        <v>473</v>
      </c>
      <c r="C1286" s="324"/>
      <c r="D1286" s="234" t="str">
        <f>VLOOKUP(D1284,DivisionariasContables,3,FALSE)</f>
        <v>Seguros</v>
      </c>
      <c r="E1286" s="160"/>
    </row>
    <row r="1287" spans="2:60" ht="14.4" thickBot="1" x14ac:dyDescent="0.3"/>
    <row r="1288" spans="2:60" x14ac:dyDescent="0.25">
      <c r="B1288" s="325" t="s">
        <v>466</v>
      </c>
      <c r="C1288" s="327" t="s">
        <v>467</v>
      </c>
      <c r="D1288" s="327" t="s">
        <v>468</v>
      </c>
      <c r="E1288" s="329" t="s">
        <v>469</v>
      </c>
      <c r="F1288" s="330"/>
    </row>
    <row r="1289" spans="2:60" ht="14.4" thickBot="1" x14ac:dyDescent="0.3">
      <c r="B1289" s="326"/>
      <c r="C1289" s="328"/>
      <c r="D1289" s="328"/>
      <c r="E1289" s="232" t="s">
        <v>403</v>
      </c>
      <c r="F1289" s="174" t="s">
        <v>402</v>
      </c>
    </row>
    <row r="1290" spans="2:60" ht="14.4" thickTop="1" x14ac:dyDescent="0.25">
      <c r="B1290" s="236">
        <v>41670</v>
      </c>
      <c r="C1290" s="171"/>
      <c r="D1290" s="166" t="s">
        <v>470</v>
      </c>
      <c r="E1290" s="167">
        <f>SUMIF('Libro Diario Convencional'!$D$15:$D$167,D1284,'Libro Diario Convencional'!$G$15:$G$167)</f>
        <v>0</v>
      </c>
      <c r="F1290" s="168">
        <f>SUMIF('Libro Diario Convencional'!$D$15:$D$167,D1284,'Libro Diario Convencional'!$H$15:$H$167)</f>
        <v>0</v>
      </c>
    </row>
    <row r="1291" spans="2:60" x14ac:dyDescent="0.25">
      <c r="B1291" s="169"/>
      <c r="C1291" s="172"/>
      <c r="D1291" s="161"/>
      <c r="E1291" s="162"/>
      <c r="F1291" s="163"/>
    </row>
    <row r="1292" spans="2:60" x14ac:dyDescent="0.25">
      <c r="B1292" s="169"/>
      <c r="C1292" s="172"/>
      <c r="D1292" s="161"/>
      <c r="E1292" s="162"/>
      <c r="F1292" s="163"/>
    </row>
    <row r="1293" spans="2:60" ht="14.4" thickBot="1" x14ac:dyDescent="0.3">
      <c r="B1293" s="169"/>
      <c r="C1293" s="172"/>
      <c r="D1293" s="161"/>
      <c r="E1293" s="162"/>
      <c r="F1293" s="163"/>
    </row>
    <row r="1294" spans="2:60" ht="15" thickBot="1" x14ac:dyDescent="0.3">
      <c r="B1294" s="169"/>
      <c r="C1294" s="172"/>
      <c r="D1294" s="161" t="s">
        <v>471</v>
      </c>
      <c r="E1294" s="162">
        <f>SUM(E1290:E1293)</f>
        <v>0</v>
      </c>
      <c r="F1294" s="163">
        <f>SUM(F1290:F1293)</f>
        <v>0</v>
      </c>
      <c r="BG1294" s="157">
        <f>SUM(E1294,K1294,Q1294,W1294,AC1294,AI1294,AO1294,AU1294,AX1294,BD1294)</f>
        <v>0</v>
      </c>
      <c r="BH1294" s="158">
        <f>SUM(F1294,L1294,R1294,X1294,AD1294,AJ1294,AP1294,AV1294,AY1294,BE1294)</f>
        <v>0</v>
      </c>
    </row>
    <row r="1295" spans="2:60" ht="14.4" thickBot="1" x14ac:dyDescent="0.3">
      <c r="B1295" s="170"/>
      <c r="C1295" s="173"/>
      <c r="D1295" s="164" t="str">
        <f>IF(E1294=F1294,"",IF(E1294&gt;F1294,"Saldo Deudor","Saldo Acreedor"))</f>
        <v/>
      </c>
      <c r="E1295" s="165" t="str">
        <f>IF(E1294&gt;F1294,E1294-F1294,"")</f>
        <v/>
      </c>
      <c r="F1295" s="176" t="str">
        <f>IF(E1294&lt;F1294,F1294-E1294,"")</f>
        <v/>
      </c>
    </row>
    <row r="1298" spans="2:60" ht="15.6" x14ac:dyDescent="0.25">
      <c r="B1298" s="324" t="s">
        <v>472</v>
      </c>
      <c r="C1298" s="324"/>
      <c r="D1298" s="175">
        <v>6521</v>
      </c>
      <c r="E1298" s="160"/>
    </row>
    <row r="1299" spans="2:60" x14ac:dyDescent="0.25">
      <c r="B1299" s="160"/>
      <c r="C1299" s="160"/>
      <c r="D1299" s="160"/>
      <c r="E1299" s="160"/>
    </row>
    <row r="1300" spans="2:60" ht="15.6" x14ac:dyDescent="0.25">
      <c r="B1300" s="324" t="s">
        <v>473</v>
      </c>
      <c r="C1300" s="324"/>
      <c r="D1300" s="234" t="str">
        <f>VLOOKUP(D1298,DivisionariasContables,3,FALSE)</f>
        <v>Regalías</v>
      </c>
      <c r="E1300" s="160"/>
    </row>
    <row r="1301" spans="2:60" ht="14.4" thickBot="1" x14ac:dyDescent="0.3"/>
    <row r="1302" spans="2:60" x14ac:dyDescent="0.25">
      <c r="B1302" s="325" t="s">
        <v>466</v>
      </c>
      <c r="C1302" s="327" t="s">
        <v>467</v>
      </c>
      <c r="D1302" s="327" t="s">
        <v>468</v>
      </c>
      <c r="E1302" s="329" t="s">
        <v>469</v>
      </c>
      <c r="F1302" s="330"/>
    </row>
    <row r="1303" spans="2:60" ht="14.4" thickBot="1" x14ac:dyDescent="0.3">
      <c r="B1303" s="326"/>
      <c r="C1303" s="328"/>
      <c r="D1303" s="328"/>
      <c r="E1303" s="232" t="s">
        <v>403</v>
      </c>
      <c r="F1303" s="174" t="s">
        <v>402</v>
      </c>
    </row>
    <row r="1304" spans="2:60" ht="14.4" thickTop="1" x14ac:dyDescent="0.25">
      <c r="B1304" s="236">
        <v>41670</v>
      </c>
      <c r="C1304" s="171"/>
      <c r="D1304" s="166" t="s">
        <v>470</v>
      </c>
      <c r="E1304" s="167">
        <f>SUMIF('Libro Diario Convencional'!$D$15:$D$167,D1298,'Libro Diario Convencional'!$G$15:$G$167)</f>
        <v>0</v>
      </c>
      <c r="F1304" s="168">
        <f>SUMIF('Libro Diario Convencional'!$D$15:$D$167,D1298,'Libro Diario Convencional'!$H$15:$H$167)</f>
        <v>0</v>
      </c>
    </row>
    <row r="1305" spans="2:60" x14ac:dyDescent="0.25">
      <c r="B1305" s="169"/>
      <c r="C1305" s="172"/>
      <c r="D1305" s="161"/>
      <c r="E1305" s="162"/>
      <c r="F1305" s="163"/>
    </row>
    <row r="1306" spans="2:60" x14ac:dyDescent="0.25">
      <c r="B1306" s="169"/>
      <c r="C1306" s="172"/>
      <c r="D1306" s="161"/>
      <c r="E1306" s="162"/>
      <c r="F1306" s="163"/>
    </row>
    <row r="1307" spans="2:60" ht="14.4" thickBot="1" x14ac:dyDescent="0.3">
      <c r="B1307" s="169"/>
      <c r="C1307" s="172"/>
      <c r="D1307" s="161"/>
      <c r="E1307" s="162"/>
      <c r="F1307" s="163"/>
    </row>
    <row r="1308" spans="2:60" ht="15" thickBot="1" x14ac:dyDescent="0.3">
      <c r="B1308" s="169"/>
      <c r="C1308" s="172"/>
      <c r="D1308" s="161" t="s">
        <v>471</v>
      </c>
      <c r="E1308" s="162">
        <f>SUM(E1304:E1307)</f>
        <v>0</v>
      </c>
      <c r="F1308" s="163">
        <f>SUM(F1304:F1307)</f>
        <v>0</v>
      </c>
      <c r="BG1308" s="157">
        <f>SUM(E1308,K1308,Q1308,W1308,AC1308,AI1308,AO1308,AU1308,AX1308,BD1308)</f>
        <v>0</v>
      </c>
      <c r="BH1308" s="158">
        <f>SUM(F1308,L1308,R1308,X1308,AD1308,AJ1308,AP1308,AV1308,AY1308,BE1308)</f>
        <v>0</v>
      </c>
    </row>
    <row r="1309" spans="2:60" ht="14.4" thickBot="1" x14ac:dyDescent="0.3">
      <c r="B1309" s="170"/>
      <c r="C1309" s="173"/>
      <c r="D1309" s="164" t="str">
        <f>IF(E1308=F1308,"",IF(E1308&gt;F1308,"Saldo Deudor","Saldo Acreedor"))</f>
        <v/>
      </c>
      <c r="E1309" s="165" t="str">
        <f>IF(E1308&gt;F1308,E1308-F1308,"")</f>
        <v/>
      </c>
      <c r="F1309" s="176" t="str">
        <f>IF(E1308&lt;F1308,F1308-E1308,"")</f>
        <v/>
      </c>
    </row>
    <row r="1312" spans="2:60" ht="15.6" x14ac:dyDescent="0.25">
      <c r="B1312" s="324" t="s">
        <v>472</v>
      </c>
      <c r="C1312" s="324"/>
      <c r="D1312" s="175">
        <v>6531</v>
      </c>
      <c r="E1312" s="160"/>
    </row>
    <row r="1313" spans="2:60" x14ac:dyDescent="0.25">
      <c r="B1313" s="160"/>
      <c r="C1313" s="160"/>
      <c r="D1313" s="160"/>
      <c r="E1313" s="160"/>
    </row>
    <row r="1314" spans="2:60" ht="15.6" x14ac:dyDescent="0.25">
      <c r="B1314" s="324" t="s">
        <v>473</v>
      </c>
      <c r="C1314" s="324"/>
      <c r="D1314" s="234" t="str">
        <f>VLOOKUP(D1312,DivisionariasContables,3,FALSE)</f>
        <v>Suscripciones</v>
      </c>
      <c r="E1314" s="160"/>
    </row>
    <row r="1315" spans="2:60" ht="14.4" thickBot="1" x14ac:dyDescent="0.3"/>
    <row r="1316" spans="2:60" x14ac:dyDescent="0.25">
      <c r="B1316" s="325" t="s">
        <v>466</v>
      </c>
      <c r="C1316" s="327" t="s">
        <v>467</v>
      </c>
      <c r="D1316" s="327" t="s">
        <v>468</v>
      </c>
      <c r="E1316" s="329" t="s">
        <v>469</v>
      </c>
      <c r="F1316" s="330"/>
    </row>
    <row r="1317" spans="2:60" ht="14.4" thickBot="1" x14ac:dyDescent="0.3">
      <c r="B1317" s="326"/>
      <c r="C1317" s="328"/>
      <c r="D1317" s="328"/>
      <c r="E1317" s="232" t="s">
        <v>403</v>
      </c>
      <c r="F1317" s="174" t="s">
        <v>402</v>
      </c>
    </row>
    <row r="1318" spans="2:60" ht="14.4" thickTop="1" x14ac:dyDescent="0.25">
      <c r="B1318" s="236">
        <v>41670</v>
      </c>
      <c r="C1318" s="171"/>
      <c r="D1318" s="166" t="s">
        <v>470</v>
      </c>
      <c r="E1318" s="167">
        <f>SUMIF('Libro Diario Convencional'!$D$15:$D$167,D1312,'Libro Diario Convencional'!$G$15:$G$167)</f>
        <v>0</v>
      </c>
      <c r="F1318" s="168">
        <f>SUMIF('Libro Diario Convencional'!$D$15:$D$167,D1312,'Libro Diario Convencional'!$H$15:$H$167)</f>
        <v>0</v>
      </c>
    </row>
    <row r="1319" spans="2:60" x14ac:dyDescent="0.25">
      <c r="B1319" s="169"/>
      <c r="C1319" s="172"/>
      <c r="D1319" s="161"/>
      <c r="E1319" s="162"/>
      <c r="F1319" s="163"/>
    </row>
    <row r="1320" spans="2:60" x14ac:dyDescent="0.25">
      <c r="B1320" s="169"/>
      <c r="C1320" s="172"/>
      <c r="D1320" s="161"/>
      <c r="E1320" s="162"/>
      <c r="F1320" s="163"/>
    </row>
    <row r="1321" spans="2:60" ht="14.4" thickBot="1" x14ac:dyDescent="0.3">
      <c r="B1321" s="169"/>
      <c r="C1321" s="172"/>
      <c r="D1321" s="161"/>
      <c r="E1321" s="162"/>
      <c r="F1321" s="163"/>
    </row>
    <row r="1322" spans="2:60" ht="15" thickBot="1" x14ac:dyDescent="0.3">
      <c r="B1322" s="169"/>
      <c r="C1322" s="172"/>
      <c r="D1322" s="161" t="s">
        <v>471</v>
      </c>
      <c r="E1322" s="162">
        <f>SUM(E1318:E1321)</f>
        <v>0</v>
      </c>
      <c r="F1322" s="163">
        <f>SUM(F1318:F1321)</f>
        <v>0</v>
      </c>
      <c r="BG1322" s="157">
        <f>SUM(E1322,K1322,Q1322,W1322,AC1322,AI1322,AO1322,AU1322,AX1322,BD1322)</f>
        <v>0</v>
      </c>
      <c r="BH1322" s="158">
        <f>SUM(F1322,L1322,R1322,X1322,AD1322,AJ1322,AP1322,AV1322,AY1322,BE1322)</f>
        <v>0</v>
      </c>
    </row>
    <row r="1323" spans="2:60" ht="14.4" thickBot="1" x14ac:dyDescent="0.3">
      <c r="B1323" s="170"/>
      <c r="C1323" s="173"/>
      <c r="D1323" s="164" t="str">
        <f>IF(E1322=F1322,"",IF(E1322&gt;F1322,"Saldo Deudor","Saldo Acreedor"))</f>
        <v/>
      </c>
      <c r="E1323" s="165" t="str">
        <f>IF(E1322&gt;F1322,E1322-F1322,"")</f>
        <v/>
      </c>
      <c r="F1323" s="176" t="str">
        <f>IF(E1322&lt;F1322,F1322-E1322,"")</f>
        <v/>
      </c>
    </row>
    <row r="1326" spans="2:60" ht="15.6" x14ac:dyDescent="0.25">
      <c r="B1326" s="324" t="s">
        <v>472</v>
      </c>
      <c r="C1326" s="324"/>
      <c r="D1326" s="175">
        <v>6541</v>
      </c>
      <c r="E1326" s="160"/>
      <c r="H1326" s="324" t="s">
        <v>472</v>
      </c>
      <c r="I1326" s="324"/>
      <c r="J1326" s="175">
        <v>6542</v>
      </c>
      <c r="K1326" s="160"/>
    </row>
    <row r="1327" spans="2:60" x14ac:dyDescent="0.25">
      <c r="B1327" s="160"/>
      <c r="C1327" s="160"/>
      <c r="D1327" s="160"/>
      <c r="E1327" s="160"/>
      <c r="H1327" s="160"/>
      <c r="I1327" s="160"/>
      <c r="J1327" s="160"/>
      <c r="K1327" s="160"/>
    </row>
    <row r="1328" spans="2:60" ht="15.6" x14ac:dyDescent="0.25">
      <c r="B1328" s="324" t="s">
        <v>473</v>
      </c>
      <c r="C1328" s="324"/>
      <c r="D1328" s="234" t="str">
        <f>VLOOKUP(D1326,DivisionariasContables,3,FALSE)</f>
        <v>Licencias</v>
      </c>
      <c r="E1328" s="160"/>
      <c r="H1328" s="324" t="s">
        <v>473</v>
      </c>
      <c r="I1328" s="324"/>
      <c r="J1328" s="234" t="str">
        <f>VLOOKUP(J1326,DivisionariasContables,3,FALSE)</f>
        <v>Derechos de Vigencia</v>
      </c>
      <c r="K1328" s="160"/>
    </row>
    <row r="1329" spans="2:60" ht="14.4" thickBot="1" x14ac:dyDescent="0.3"/>
    <row r="1330" spans="2:60" x14ac:dyDescent="0.25">
      <c r="B1330" s="325" t="s">
        <v>466</v>
      </c>
      <c r="C1330" s="327" t="s">
        <v>467</v>
      </c>
      <c r="D1330" s="327" t="s">
        <v>468</v>
      </c>
      <c r="E1330" s="329" t="s">
        <v>469</v>
      </c>
      <c r="F1330" s="330"/>
      <c r="H1330" s="325" t="s">
        <v>466</v>
      </c>
      <c r="I1330" s="327" t="s">
        <v>467</v>
      </c>
      <c r="J1330" s="327" t="s">
        <v>468</v>
      </c>
      <c r="K1330" s="329" t="s">
        <v>469</v>
      </c>
      <c r="L1330" s="330"/>
    </row>
    <row r="1331" spans="2:60" ht="14.4" thickBot="1" x14ac:dyDescent="0.3">
      <c r="B1331" s="326"/>
      <c r="C1331" s="328"/>
      <c r="D1331" s="328"/>
      <c r="E1331" s="232" t="s">
        <v>403</v>
      </c>
      <c r="F1331" s="174" t="s">
        <v>402</v>
      </c>
      <c r="H1331" s="326"/>
      <c r="I1331" s="328"/>
      <c r="J1331" s="328"/>
      <c r="K1331" s="232" t="s">
        <v>403</v>
      </c>
      <c r="L1331" s="174" t="s">
        <v>402</v>
      </c>
    </row>
    <row r="1332" spans="2:60" ht="14.4" thickTop="1" x14ac:dyDescent="0.25">
      <c r="B1332" s="236">
        <v>41670</v>
      </c>
      <c r="C1332" s="171"/>
      <c r="D1332" s="166" t="s">
        <v>470</v>
      </c>
      <c r="E1332" s="167">
        <f>SUMIF('Libro Diario Convencional'!$D$15:$D$167,D1326,'Libro Diario Convencional'!$G$15:$G$167)</f>
        <v>0</v>
      </c>
      <c r="F1332" s="168">
        <f>SUMIF('Libro Diario Convencional'!$D$15:$D$167,D1326,'Libro Diario Convencional'!$H$15:$H$167)</f>
        <v>0</v>
      </c>
      <c r="H1332" s="236">
        <v>41670</v>
      </c>
      <c r="I1332" s="171"/>
      <c r="J1332" s="166" t="s">
        <v>470</v>
      </c>
      <c r="K1332" s="167">
        <f>SUMIF('Libro Diario Convencional'!$D$15:$D$167,J1326,'Libro Diario Convencional'!$G$15:$G$167)</f>
        <v>0</v>
      </c>
      <c r="L1332" s="168">
        <f>SUMIF('Libro Diario Convencional'!$D$15:$D$167,J1326,'Libro Diario Convencional'!$H$15:$H$167)</f>
        <v>0</v>
      </c>
    </row>
    <row r="1333" spans="2:60" x14ac:dyDescent="0.25">
      <c r="B1333" s="169"/>
      <c r="C1333" s="172"/>
      <c r="D1333" s="161"/>
      <c r="E1333" s="162"/>
      <c r="F1333" s="163"/>
      <c r="H1333" s="169"/>
      <c r="I1333" s="172"/>
      <c r="J1333" s="161"/>
      <c r="K1333" s="162"/>
      <c r="L1333" s="163"/>
    </row>
    <row r="1334" spans="2:60" x14ac:dyDescent="0.25">
      <c r="B1334" s="169"/>
      <c r="C1334" s="172"/>
      <c r="D1334" s="161"/>
      <c r="E1334" s="162"/>
      <c r="F1334" s="163"/>
      <c r="H1334" s="169"/>
      <c r="I1334" s="172"/>
      <c r="J1334" s="161"/>
      <c r="K1334" s="162"/>
      <c r="L1334" s="163"/>
    </row>
    <row r="1335" spans="2:60" ht="14.4" thickBot="1" x14ac:dyDescent="0.3">
      <c r="B1335" s="169"/>
      <c r="C1335" s="172"/>
      <c r="D1335" s="161"/>
      <c r="E1335" s="162"/>
      <c r="F1335" s="163"/>
      <c r="H1335" s="169"/>
      <c r="I1335" s="172"/>
      <c r="J1335" s="161"/>
      <c r="K1335" s="162"/>
      <c r="L1335" s="163"/>
    </row>
    <row r="1336" spans="2:60" ht="15" thickBot="1" x14ac:dyDescent="0.3">
      <c r="B1336" s="169"/>
      <c r="C1336" s="172"/>
      <c r="D1336" s="161" t="s">
        <v>471</v>
      </c>
      <c r="E1336" s="162">
        <f>SUM(E1332:E1335)</f>
        <v>0</v>
      </c>
      <c r="F1336" s="163">
        <f>SUM(F1332:F1335)</f>
        <v>0</v>
      </c>
      <c r="H1336" s="169"/>
      <c r="I1336" s="172"/>
      <c r="J1336" s="161" t="s">
        <v>471</v>
      </c>
      <c r="K1336" s="162">
        <f>SUM(K1332:K1335)</f>
        <v>0</v>
      </c>
      <c r="L1336" s="163">
        <f>SUM(L1332:L1335)</f>
        <v>0</v>
      </c>
      <c r="BG1336" s="157">
        <f>SUM(E1336,K1336,Q1336,W1336,AC1336,AI1336,AO1336,AU1336,AX1336,BD1336)</f>
        <v>0</v>
      </c>
      <c r="BH1336" s="158">
        <f>SUM(F1336,L1336,R1336,X1336,AD1336,AJ1336,AP1336,AV1336,AY1336,BE1336)</f>
        <v>0</v>
      </c>
    </row>
    <row r="1337" spans="2:60" ht="14.4" thickBot="1" x14ac:dyDescent="0.3">
      <c r="B1337" s="170"/>
      <c r="C1337" s="173"/>
      <c r="D1337" s="164" t="str">
        <f>IF(E1336=F1336,"",IF(E1336&gt;F1336,"Saldo Deudor","Saldo Acreedor"))</f>
        <v/>
      </c>
      <c r="E1337" s="165" t="str">
        <f>IF(E1336&gt;F1336,E1336-F1336,"")</f>
        <v/>
      </c>
      <c r="F1337" s="176" t="str">
        <f>IF(E1336&lt;F1336,F1336-E1336,"")</f>
        <v/>
      </c>
      <c r="H1337" s="170"/>
      <c r="I1337" s="173"/>
      <c r="J1337" s="164" t="str">
        <f>IF(K1336=L1336,"",IF(K1336&gt;L1336,"Saldo Deudor","Saldo Acreedor"))</f>
        <v/>
      </c>
      <c r="K1337" s="165" t="str">
        <f>IF(K1336&gt;L1336,K1336-L1336,"")</f>
        <v/>
      </c>
      <c r="L1337" s="176" t="str">
        <f>IF(K1336&lt;L1336,L1336-K1336,"")</f>
        <v/>
      </c>
    </row>
    <row r="1340" spans="2:60" ht="15.6" x14ac:dyDescent="0.25">
      <c r="B1340" s="324" t="s">
        <v>472</v>
      </c>
      <c r="C1340" s="324"/>
      <c r="D1340" s="175">
        <v>6551</v>
      </c>
      <c r="E1340" s="160"/>
      <c r="H1340" s="324" t="s">
        <v>472</v>
      </c>
      <c r="I1340" s="324"/>
      <c r="J1340" s="175">
        <v>6552</v>
      </c>
      <c r="K1340" s="160"/>
    </row>
    <row r="1341" spans="2:60" x14ac:dyDescent="0.25">
      <c r="B1341" s="160"/>
      <c r="C1341" s="160"/>
      <c r="D1341" s="160"/>
      <c r="E1341" s="160"/>
      <c r="H1341" s="160"/>
      <c r="I1341" s="160"/>
      <c r="J1341" s="160"/>
      <c r="K1341" s="160"/>
    </row>
    <row r="1342" spans="2:60" ht="15.6" x14ac:dyDescent="0.25">
      <c r="B1342" s="324" t="s">
        <v>473</v>
      </c>
      <c r="C1342" s="324"/>
      <c r="D1342" s="234" t="str">
        <f>VLOOKUP(D1340,DivisionariasContables,3,FALSE)</f>
        <v>Costo Neto de Enajenación de Activos Inmovilizados</v>
      </c>
      <c r="E1342" s="160"/>
      <c r="H1342" s="324" t="s">
        <v>473</v>
      </c>
      <c r="I1342" s="324"/>
      <c r="J1342" s="234" t="str">
        <f>VLOOKUP(J1340,DivisionariasContables,3,FALSE)</f>
        <v>Operaciones Discontinuadas – Abandono de Activos</v>
      </c>
      <c r="K1342" s="160"/>
    </row>
    <row r="1343" spans="2:60" ht="14.4" thickBot="1" x14ac:dyDescent="0.3"/>
    <row r="1344" spans="2:60" x14ac:dyDescent="0.25">
      <c r="B1344" s="325" t="s">
        <v>466</v>
      </c>
      <c r="C1344" s="327" t="s">
        <v>467</v>
      </c>
      <c r="D1344" s="327" t="s">
        <v>468</v>
      </c>
      <c r="E1344" s="329" t="s">
        <v>469</v>
      </c>
      <c r="F1344" s="330"/>
      <c r="H1344" s="325" t="s">
        <v>466</v>
      </c>
      <c r="I1344" s="327" t="s">
        <v>467</v>
      </c>
      <c r="J1344" s="327" t="s">
        <v>468</v>
      </c>
      <c r="K1344" s="329" t="s">
        <v>469</v>
      </c>
      <c r="L1344" s="330"/>
    </row>
    <row r="1345" spans="2:60" ht="14.4" thickBot="1" x14ac:dyDescent="0.3">
      <c r="B1345" s="326"/>
      <c r="C1345" s="328"/>
      <c r="D1345" s="328"/>
      <c r="E1345" s="232" t="s">
        <v>403</v>
      </c>
      <c r="F1345" s="174" t="s">
        <v>402</v>
      </c>
      <c r="H1345" s="326"/>
      <c r="I1345" s="328"/>
      <c r="J1345" s="328"/>
      <c r="K1345" s="232" t="s">
        <v>403</v>
      </c>
      <c r="L1345" s="174" t="s">
        <v>402</v>
      </c>
    </row>
    <row r="1346" spans="2:60" ht="14.4" thickTop="1" x14ac:dyDescent="0.25">
      <c r="B1346" s="236">
        <v>41670</v>
      </c>
      <c r="C1346" s="171"/>
      <c r="D1346" s="166" t="s">
        <v>470</v>
      </c>
      <c r="E1346" s="167">
        <f>SUMIF('Libro Diario Convencional'!$D$15:$D$167,D1340,'Libro Diario Convencional'!$G$15:$G$167)</f>
        <v>0</v>
      </c>
      <c r="F1346" s="168">
        <f>SUMIF('Libro Diario Convencional'!$D$15:$D$167,D1340,'Libro Diario Convencional'!$H$15:$H$167)</f>
        <v>0</v>
      </c>
      <c r="H1346" s="236">
        <v>41670</v>
      </c>
      <c r="I1346" s="171"/>
      <c r="J1346" s="166" t="s">
        <v>470</v>
      </c>
      <c r="K1346" s="167">
        <f>SUMIF('Libro Diario Convencional'!$D$15:$D$167,J1340,'Libro Diario Convencional'!$G$15:$G$167)</f>
        <v>0</v>
      </c>
      <c r="L1346" s="168">
        <f>SUMIF('Libro Diario Convencional'!$D$15:$D$167,J1340,'Libro Diario Convencional'!$H$15:$H$167)</f>
        <v>0</v>
      </c>
    </row>
    <row r="1347" spans="2:60" x14ac:dyDescent="0.25">
      <c r="B1347" s="169"/>
      <c r="C1347" s="172"/>
      <c r="D1347" s="161"/>
      <c r="E1347" s="162"/>
      <c r="F1347" s="163"/>
      <c r="H1347" s="169"/>
      <c r="I1347" s="172"/>
      <c r="J1347" s="161"/>
      <c r="K1347" s="162"/>
      <c r="L1347" s="163"/>
    </row>
    <row r="1348" spans="2:60" x14ac:dyDescent="0.25">
      <c r="B1348" s="169"/>
      <c r="C1348" s="172"/>
      <c r="D1348" s="161"/>
      <c r="E1348" s="162"/>
      <c r="F1348" s="163"/>
      <c r="H1348" s="169"/>
      <c r="I1348" s="172"/>
      <c r="J1348" s="161"/>
      <c r="K1348" s="162"/>
      <c r="L1348" s="163"/>
    </row>
    <row r="1349" spans="2:60" ht="14.4" thickBot="1" x14ac:dyDescent="0.3">
      <c r="B1349" s="169"/>
      <c r="C1349" s="172"/>
      <c r="D1349" s="161"/>
      <c r="E1349" s="162"/>
      <c r="F1349" s="163"/>
      <c r="H1349" s="169"/>
      <c r="I1349" s="172"/>
      <c r="J1349" s="161"/>
      <c r="K1349" s="162"/>
      <c r="L1349" s="163"/>
    </row>
    <row r="1350" spans="2:60" ht="15" thickBot="1" x14ac:dyDescent="0.3">
      <c r="B1350" s="169"/>
      <c r="C1350" s="172"/>
      <c r="D1350" s="161" t="s">
        <v>471</v>
      </c>
      <c r="E1350" s="162">
        <f>SUM(E1346:E1349)</f>
        <v>0</v>
      </c>
      <c r="F1350" s="163">
        <f>SUM(F1346:F1349)</f>
        <v>0</v>
      </c>
      <c r="H1350" s="169"/>
      <c r="I1350" s="172"/>
      <c r="J1350" s="161" t="s">
        <v>471</v>
      </c>
      <c r="K1350" s="162">
        <f>SUM(K1346:K1349)</f>
        <v>0</v>
      </c>
      <c r="L1350" s="163">
        <f>SUM(L1346:L1349)</f>
        <v>0</v>
      </c>
      <c r="BG1350" s="157">
        <f>SUM(E1350,K1350,Q1350,W1350,AC1350,AI1350,AO1350,AU1350,AX1350,BD1350)</f>
        <v>0</v>
      </c>
      <c r="BH1350" s="158">
        <f>SUM(F1350,L1350,R1350,X1350,AD1350,AJ1350,AP1350,AV1350,AY1350,BE1350)</f>
        <v>0</v>
      </c>
    </row>
    <row r="1351" spans="2:60" ht="14.4" thickBot="1" x14ac:dyDescent="0.3">
      <c r="B1351" s="170"/>
      <c r="C1351" s="173"/>
      <c r="D1351" s="164" t="str">
        <f>IF(E1350=F1350,"",IF(E1350&gt;F1350,"Saldo Deudor","Saldo Acreedor"))</f>
        <v/>
      </c>
      <c r="E1351" s="165" t="str">
        <f>IF(E1350&gt;F1350,E1350-F1350,"")</f>
        <v/>
      </c>
      <c r="F1351" s="176" t="str">
        <f>IF(E1350&lt;F1350,F1350-E1350,"")</f>
        <v/>
      </c>
      <c r="H1351" s="170"/>
      <c r="I1351" s="173"/>
      <c r="J1351" s="164" t="str">
        <f>IF(K1350=L1350,"",IF(K1350&gt;L1350,"Saldo Deudor","Saldo Acreedor"))</f>
        <v/>
      </c>
      <c r="K1351" s="165" t="str">
        <f>IF(K1350&gt;L1350,K1350-L1350,"")</f>
        <v/>
      </c>
      <c r="L1351" s="176" t="str">
        <f>IF(K1350&lt;L1350,L1350-K1350,"")</f>
        <v/>
      </c>
    </row>
    <row r="1354" spans="2:60" ht="15.6" x14ac:dyDescent="0.25">
      <c r="B1354" s="324" t="s">
        <v>472</v>
      </c>
      <c r="C1354" s="324"/>
      <c r="D1354" s="175">
        <v>6561</v>
      </c>
      <c r="E1354" s="160"/>
    </row>
    <row r="1355" spans="2:60" x14ac:dyDescent="0.25">
      <c r="B1355" s="160"/>
      <c r="C1355" s="160"/>
      <c r="D1355" s="160"/>
      <c r="E1355" s="160"/>
    </row>
    <row r="1356" spans="2:60" ht="15.6" x14ac:dyDescent="0.25">
      <c r="B1356" s="324" t="s">
        <v>473</v>
      </c>
      <c r="C1356" s="324"/>
      <c r="D1356" s="234" t="str">
        <f>VLOOKUP(D1354,DivisionariasContables,3,FALSE)</f>
        <v>Suministros</v>
      </c>
      <c r="E1356" s="160"/>
    </row>
    <row r="1357" spans="2:60" ht="14.4" thickBot="1" x14ac:dyDescent="0.3"/>
    <row r="1358" spans="2:60" x14ac:dyDescent="0.25">
      <c r="B1358" s="325" t="s">
        <v>466</v>
      </c>
      <c r="C1358" s="327" t="s">
        <v>467</v>
      </c>
      <c r="D1358" s="327" t="s">
        <v>468</v>
      </c>
      <c r="E1358" s="329" t="s">
        <v>469</v>
      </c>
      <c r="F1358" s="330"/>
    </row>
    <row r="1359" spans="2:60" ht="14.4" thickBot="1" x14ac:dyDescent="0.3">
      <c r="B1359" s="326"/>
      <c r="C1359" s="328"/>
      <c r="D1359" s="328"/>
      <c r="E1359" s="232" t="s">
        <v>403</v>
      </c>
      <c r="F1359" s="174" t="s">
        <v>402</v>
      </c>
    </row>
    <row r="1360" spans="2:60" ht="14.4" thickTop="1" x14ac:dyDescent="0.25">
      <c r="B1360" s="236">
        <v>41670</v>
      </c>
      <c r="C1360" s="171"/>
      <c r="D1360" s="166" t="s">
        <v>470</v>
      </c>
      <c r="E1360" s="167">
        <f>SUMIF('Libro Diario Convencional'!$D$15:$D$167,D1354,'Libro Diario Convencional'!$G$15:$G$167)</f>
        <v>0</v>
      </c>
      <c r="F1360" s="168">
        <f>SUMIF('Libro Diario Convencional'!$D$15:$D$167,D1354,'Libro Diario Convencional'!$H$15:$H$167)</f>
        <v>0</v>
      </c>
    </row>
    <row r="1361" spans="2:60" x14ac:dyDescent="0.25">
      <c r="B1361" s="169"/>
      <c r="C1361" s="172"/>
      <c r="D1361" s="161"/>
      <c r="E1361" s="162"/>
      <c r="F1361" s="163"/>
    </row>
    <row r="1362" spans="2:60" x14ac:dyDescent="0.25">
      <c r="B1362" s="169"/>
      <c r="C1362" s="172"/>
      <c r="D1362" s="161"/>
      <c r="E1362" s="162"/>
      <c r="F1362" s="163"/>
    </row>
    <row r="1363" spans="2:60" ht="14.4" thickBot="1" x14ac:dyDescent="0.3">
      <c r="B1363" s="169"/>
      <c r="C1363" s="172"/>
      <c r="D1363" s="161"/>
      <c r="E1363" s="162"/>
      <c r="F1363" s="163"/>
    </row>
    <row r="1364" spans="2:60" ht="15" thickBot="1" x14ac:dyDescent="0.3">
      <c r="B1364" s="169"/>
      <c r="C1364" s="172"/>
      <c r="D1364" s="161" t="s">
        <v>471</v>
      </c>
      <c r="E1364" s="162">
        <f>SUM(E1360:E1363)</f>
        <v>0</v>
      </c>
      <c r="F1364" s="163">
        <f>SUM(F1360:F1363)</f>
        <v>0</v>
      </c>
      <c r="BG1364" s="157">
        <f>SUM(E1364,K1364,Q1364,W1364,AC1364,AI1364,AO1364,AU1364,AX1364,BD1364)</f>
        <v>0</v>
      </c>
      <c r="BH1364" s="158">
        <f>SUM(F1364,L1364,R1364,X1364,AD1364,AJ1364,AP1364,AV1364,AY1364,BE1364)</f>
        <v>0</v>
      </c>
    </row>
    <row r="1365" spans="2:60" ht="14.4" thickBot="1" x14ac:dyDescent="0.3">
      <c r="B1365" s="170"/>
      <c r="C1365" s="173"/>
      <c r="D1365" s="164" t="str">
        <f>IF(E1364=F1364,"",IF(E1364&gt;F1364,"Saldo Deudor","Saldo Acreedor"))</f>
        <v/>
      </c>
      <c r="E1365" s="165" t="str">
        <f>IF(E1364&gt;F1364,E1364-F1364,"")</f>
        <v/>
      </c>
      <c r="F1365" s="176" t="str">
        <f>IF(E1364&lt;F1364,F1364-E1364,"")</f>
        <v/>
      </c>
    </row>
    <row r="1368" spans="2:60" ht="15.6" x14ac:dyDescent="0.25">
      <c r="B1368" s="324" t="s">
        <v>472</v>
      </c>
      <c r="C1368" s="324"/>
      <c r="D1368" s="175">
        <v>6581</v>
      </c>
      <c r="E1368" s="160"/>
    </row>
    <row r="1369" spans="2:60" x14ac:dyDescent="0.25">
      <c r="B1369" s="160"/>
      <c r="C1369" s="160"/>
      <c r="D1369" s="160"/>
      <c r="E1369" s="160"/>
    </row>
    <row r="1370" spans="2:60" ht="15.6" x14ac:dyDescent="0.25">
      <c r="B1370" s="324" t="s">
        <v>473</v>
      </c>
      <c r="C1370" s="324"/>
      <c r="D1370" s="234" t="str">
        <f>VLOOKUP(D1368,DivisionariasContables,3,FALSE)</f>
        <v>Gestión Medioambiental</v>
      </c>
      <c r="E1370" s="160"/>
    </row>
    <row r="1371" spans="2:60" ht="14.4" thickBot="1" x14ac:dyDescent="0.3"/>
    <row r="1372" spans="2:60" x14ac:dyDescent="0.25">
      <c r="B1372" s="325" t="s">
        <v>466</v>
      </c>
      <c r="C1372" s="327" t="s">
        <v>467</v>
      </c>
      <c r="D1372" s="327" t="s">
        <v>468</v>
      </c>
      <c r="E1372" s="329" t="s">
        <v>469</v>
      </c>
      <c r="F1372" s="330"/>
    </row>
    <row r="1373" spans="2:60" ht="14.4" thickBot="1" x14ac:dyDescent="0.3">
      <c r="B1373" s="326"/>
      <c r="C1373" s="328"/>
      <c r="D1373" s="328"/>
      <c r="E1373" s="232" t="s">
        <v>403</v>
      </c>
      <c r="F1373" s="174" t="s">
        <v>402</v>
      </c>
    </row>
    <row r="1374" spans="2:60" ht="14.4" thickTop="1" x14ac:dyDescent="0.25">
      <c r="B1374" s="236">
        <v>41670</v>
      </c>
      <c r="C1374" s="171"/>
      <c r="D1374" s="166" t="s">
        <v>470</v>
      </c>
      <c r="E1374" s="167">
        <f>SUMIF('Libro Diario Convencional'!$D$15:$D$167,D1368,'Libro Diario Convencional'!$G$15:$G$167)</f>
        <v>0</v>
      </c>
      <c r="F1374" s="168">
        <f>SUMIF('Libro Diario Convencional'!$D$15:$D$167,D1368,'Libro Diario Convencional'!$H$15:$H$167)</f>
        <v>0</v>
      </c>
    </row>
    <row r="1375" spans="2:60" x14ac:dyDescent="0.25">
      <c r="B1375" s="169"/>
      <c r="C1375" s="172"/>
      <c r="D1375" s="161"/>
      <c r="E1375" s="162"/>
      <c r="F1375" s="163"/>
    </row>
    <row r="1376" spans="2:60" x14ac:dyDescent="0.25">
      <c r="B1376" s="169"/>
      <c r="C1376" s="172"/>
      <c r="D1376" s="161"/>
      <c r="E1376" s="162"/>
      <c r="F1376" s="163"/>
    </row>
    <row r="1377" spans="2:60" ht="14.4" thickBot="1" x14ac:dyDescent="0.3">
      <c r="B1377" s="169"/>
      <c r="C1377" s="172"/>
      <c r="D1377" s="161"/>
      <c r="E1377" s="162"/>
      <c r="F1377" s="163"/>
    </row>
    <row r="1378" spans="2:60" ht="15" thickBot="1" x14ac:dyDescent="0.3">
      <c r="B1378" s="169"/>
      <c r="C1378" s="172"/>
      <c r="D1378" s="161" t="s">
        <v>471</v>
      </c>
      <c r="E1378" s="162">
        <f>SUM(E1374:E1377)</f>
        <v>0</v>
      </c>
      <c r="F1378" s="163">
        <f>SUM(F1374:F1377)</f>
        <v>0</v>
      </c>
      <c r="BG1378" s="157">
        <f>SUM(E1378,K1378,Q1378,W1378,AC1378,AI1378,AO1378,AU1378,AX1378,BD1378)</f>
        <v>0</v>
      </c>
      <c r="BH1378" s="158">
        <f>SUM(F1378,L1378,R1378,X1378,AD1378,AJ1378,AP1378,AV1378,AY1378,BE1378)</f>
        <v>0</v>
      </c>
    </row>
    <row r="1379" spans="2:60" ht="14.4" thickBot="1" x14ac:dyDescent="0.3">
      <c r="B1379" s="170"/>
      <c r="C1379" s="173"/>
      <c r="D1379" s="164" t="str">
        <f>IF(E1378=F1378,"",IF(E1378&gt;F1378,"Saldo Deudor","Saldo Acreedor"))</f>
        <v/>
      </c>
      <c r="E1379" s="165" t="str">
        <f>IF(E1378&gt;F1378,E1378-F1378,"")</f>
        <v/>
      </c>
      <c r="F1379" s="176" t="str">
        <f>IF(E1378&lt;F1378,F1378-E1378,"")</f>
        <v/>
      </c>
    </row>
    <row r="1382" spans="2:60" ht="15.6" x14ac:dyDescent="0.25">
      <c r="B1382" s="324" t="s">
        <v>472</v>
      </c>
      <c r="C1382" s="324"/>
      <c r="D1382" s="175">
        <v>6591</v>
      </c>
      <c r="E1382" s="160"/>
      <c r="H1382" s="324" t="s">
        <v>472</v>
      </c>
      <c r="I1382" s="324"/>
      <c r="J1382" s="175">
        <v>6592</v>
      </c>
      <c r="K1382" s="160"/>
      <c r="N1382" s="324" t="s">
        <v>472</v>
      </c>
      <c r="O1382" s="324"/>
      <c r="P1382" s="175">
        <v>6598</v>
      </c>
      <c r="Q1382" s="160"/>
      <c r="T1382" s="324" t="s">
        <v>472</v>
      </c>
      <c r="U1382" s="324"/>
      <c r="V1382" s="175">
        <v>6599</v>
      </c>
      <c r="W1382" s="160"/>
    </row>
    <row r="1383" spans="2:60" x14ac:dyDescent="0.25">
      <c r="B1383" s="160"/>
      <c r="C1383" s="160"/>
      <c r="D1383" s="160"/>
      <c r="E1383" s="160"/>
      <c r="H1383" s="160"/>
      <c r="I1383" s="160"/>
      <c r="J1383" s="160"/>
      <c r="K1383" s="160"/>
      <c r="N1383" s="160"/>
      <c r="O1383" s="160"/>
      <c r="P1383" s="160"/>
      <c r="Q1383" s="160"/>
      <c r="T1383" s="160"/>
      <c r="U1383" s="160"/>
      <c r="V1383" s="160"/>
      <c r="W1383" s="160"/>
    </row>
    <row r="1384" spans="2:60" ht="15.6" x14ac:dyDescent="0.25">
      <c r="B1384" s="324" t="s">
        <v>473</v>
      </c>
      <c r="C1384" s="324"/>
      <c r="D1384" s="234" t="str">
        <f>VLOOKUP(D1382,DivisionariasContables,3,FALSE)</f>
        <v>Donaciones</v>
      </c>
      <c r="E1384" s="160"/>
      <c r="H1384" s="324" t="s">
        <v>473</v>
      </c>
      <c r="I1384" s="324"/>
      <c r="J1384" s="234" t="str">
        <f>VLOOKUP(J1382,DivisionariasContables,3,FALSE)</f>
        <v>Sanciones Administrativas</v>
      </c>
      <c r="K1384" s="160"/>
      <c r="N1384" s="324" t="s">
        <v>473</v>
      </c>
      <c r="O1384" s="324"/>
      <c r="P1384" s="234" t="str">
        <f>VLOOKUP(P1382,DivisionariasContables,3,FALSE)</f>
        <v>Reclasificación de IGV al Gasto</v>
      </c>
      <c r="Q1384" s="160"/>
      <c r="T1384" s="324" t="s">
        <v>473</v>
      </c>
      <c r="U1384" s="324"/>
      <c r="V1384" s="234" t="str">
        <f>VLOOKUP(V1382,DivisionariasContables,3,FALSE)</f>
        <v>Varios Gastos de Gestión</v>
      </c>
      <c r="W1384" s="160"/>
    </row>
    <row r="1385" spans="2:60" ht="14.4" thickBot="1" x14ac:dyDescent="0.3"/>
    <row r="1386" spans="2:60" x14ac:dyDescent="0.25">
      <c r="B1386" s="325" t="s">
        <v>466</v>
      </c>
      <c r="C1386" s="327" t="s">
        <v>467</v>
      </c>
      <c r="D1386" s="327" t="s">
        <v>468</v>
      </c>
      <c r="E1386" s="329" t="s">
        <v>469</v>
      </c>
      <c r="F1386" s="330"/>
      <c r="H1386" s="325" t="s">
        <v>466</v>
      </c>
      <c r="I1386" s="327" t="s">
        <v>467</v>
      </c>
      <c r="J1386" s="327" t="s">
        <v>468</v>
      </c>
      <c r="K1386" s="329" t="s">
        <v>469</v>
      </c>
      <c r="L1386" s="330"/>
      <c r="N1386" s="325" t="s">
        <v>466</v>
      </c>
      <c r="O1386" s="327" t="s">
        <v>467</v>
      </c>
      <c r="P1386" s="327" t="s">
        <v>468</v>
      </c>
      <c r="Q1386" s="329" t="s">
        <v>469</v>
      </c>
      <c r="R1386" s="330"/>
      <c r="T1386" s="325" t="s">
        <v>466</v>
      </c>
      <c r="U1386" s="327" t="s">
        <v>467</v>
      </c>
      <c r="V1386" s="327" t="s">
        <v>468</v>
      </c>
      <c r="W1386" s="329" t="s">
        <v>469</v>
      </c>
      <c r="X1386" s="330"/>
    </row>
    <row r="1387" spans="2:60" ht="14.4" thickBot="1" x14ac:dyDescent="0.3">
      <c r="B1387" s="326"/>
      <c r="C1387" s="328"/>
      <c r="D1387" s="328"/>
      <c r="E1387" s="232" t="s">
        <v>403</v>
      </c>
      <c r="F1387" s="174" t="s">
        <v>402</v>
      </c>
      <c r="H1387" s="326"/>
      <c r="I1387" s="328"/>
      <c r="J1387" s="328"/>
      <c r="K1387" s="232" t="s">
        <v>403</v>
      </c>
      <c r="L1387" s="174" t="s">
        <v>402</v>
      </c>
      <c r="N1387" s="326"/>
      <c r="O1387" s="328"/>
      <c r="P1387" s="328"/>
      <c r="Q1387" s="232" t="s">
        <v>403</v>
      </c>
      <c r="R1387" s="174" t="s">
        <v>402</v>
      </c>
      <c r="T1387" s="326"/>
      <c r="U1387" s="328"/>
      <c r="V1387" s="328"/>
      <c r="W1387" s="232" t="s">
        <v>403</v>
      </c>
      <c r="X1387" s="174" t="s">
        <v>402</v>
      </c>
    </row>
    <row r="1388" spans="2:60" ht="14.4" thickTop="1" x14ac:dyDescent="0.25">
      <c r="B1388" s="236">
        <v>41670</v>
      </c>
      <c r="C1388" s="171"/>
      <c r="D1388" s="166" t="s">
        <v>470</v>
      </c>
      <c r="E1388" s="167">
        <f>SUMIF('Libro Diario Convencional'!$D$15:$D$167,D1382,'Libro Diario Convencional'!$G$15:$G$167)</f>
        <v>0</v>
      </c>
      <c r="F1388" s="168">
        <f>SUMIF('Libro Diario Convencional'!$D$15:$D$167,D1382,'Libro Diario Convencional'!$H$15:$H$167)</f>
        <v>0</v>
      </c>
      <c r="H1388" s="236">
        <v>41670</v>
      </c>
      <c r="I1388" s="171"/>
      <c r="J1388" s="166" t="s">
        <v>470</v>
      </c>
      <c r="K1388" s="167">
        <f>SUMIF('Libro Diario Convencional'!$D$15:$D$167,J1382,'Libro Diario Convencional'!$G$15:$G$167)</f>
        <v>0</v>
      </c>
      <c r="L1388" s="168">
        <f>SUMIF('Libro Diario Convencional'!$D$15:$D$167,J1382,'Libro Diario Convencional'!$H$15:$H$167)</f>
        <v>0</v>
      </c>
      <c r="N1388" s="236">
        <v>41670</v>
      </c>
      <c r="O1388" s="171"/>
      <c r="P1388" s="166" t="s">
        <v>470</v>
      </c>
      <c r="Q1388" s="167">
        <f>SUMIF('Libro Diario Convencional'!$D$15:$D$167,P1382,'Libro Diario Convencional'!$G$15:$G$167)</f>
        <v>0</v>
      </c>
      <c r="R1388" s="168">
        <f>SUMIF('Libro Diario Convencional'!$D$15:$D$167,P1382,'Libro Diario Convencional'!$H$15:$H$167)</f>
        <v>0</v>
      </c>
      <c r="T1388" s="236">
        <v>41670</v>
      </c>
      <c r="U1388" s="171"/>
      <c r="V1388" s="166" t="s">
        <v>470</v>
      </c>
      <c r="W1388" s="167">
        <f>SUMIF('Libro Diario Convencional'!$D$15:$D$167,V1382,'Libro Diario Convencional'!$G$15:$G$167)</f>
        <v>8450</v>
      </c>
      <c r="X1388" s="168">
        <f>SUMIF('Libro Diario Convencional'!$D$15:$D$167,V1382,'Libro Diario Convencional'!$H$15:$H$167)</f>
        <v>0</v>
      </c>
    </row>
    <row r="1389" spans="2:60" x14ac:dyDescent="0.25">
      <c r="B1389" s="169"/>
      <c r="C1389" s="172"/>
      <c r="D1389" s="161"/>
      <c r="E1389" s="162"/>
      <c r="F1389" s="163"/>
      <c r="H1389" s="169"/>
      <c r="I1389" s="172"/>
      <c r="J1389" s="161"/>
      <c r="K1389" s="162"/>
      <c r="L1389" s="163"/>
      <c r="N1389" s="169"/>
      <c r="O1389" s="172"/>
      <c r="P1389" s="161"/>
      <c r="Q1389" s="162"/>
      <c r="R1389" s="163"/>
      <c r="T1389" s="169"/>
      <c r="U1389" s="172"/>
      <c r="V1389" s="161"/>
      <c r="W1389" s="162"/>
      <c r="X1389" s="163"/>
    </row>
    <row r="1390" spans="2:60" x14ac:dyDescent="0.25">
      <c r="B1390" s="169"/>
      <c r="C1390" s="172"/>
      <c r="D1390" s="161"/>
      <c r="E1390" s="162"/>
      <c r="F1390" s="163"/>
      <c r="H1390" s="169"/>
      <c r="I1390" s="172"/>
      <c r="J1390" s="161"/>
      <c r="K1390" s="162"/>
      <c r="L1390" s="163"/>
      <c r="N1390" s="169"/>
      <c r="O1390" s="172"/>
      <c r="P1390" s="161"/>
      <c r="Q1390" s="162"/>
      <c r="R1390" s="163"/>
      <c r="T1390" s="169"/>
      <c r="U1390" s="172"/>
      <c r="V1390" s="161"/>
      <c r="W1390" s="162"/>
      <c r="X1390" s="163"/>
    </row>
    <row r="1391" spans="2:60" ht="14.4" thickBot="1" x14ac:dyDescent="0.3">
      <c r="B1391" s="169"/>
      <c r="C1391" s="172"/>
      <c r="D1391" s="161"/>
      <c r="E1391" s="162"/>
      <c r="F1391" s="163"/>
      <c r="H1391" s="169"/>
      <c r="I1391" s="172"/>
      <c r="J1391" s="161"/>
      <c r="K1391" s="162"/>
      <c r="L1391" s="163"/>
      <c r="N1391" s="169"/>
      <c r="O1391" s="172"/>
      <c r="P1391" s="161"/>
      <c r="Q1391" s="162"/>
      <c r="R1391" s="163"/>
      <c r="T1391" s="169"/>
      <c r="U1391" s="172"/>
      <c r="V1391" s="161"/>
      <c r="W1391" s="162"/>
      <c r="X1391" s="163"/>
    </row>
    <row r="1392" spans="2:60" ht="15" thickBot="1" x14ac:dyDescent="0.3">
      <c r="B1392" s="169"/>
      <c r="C1392" s="172"/>
      <c r="D1392" s="161" t="s">
        <v>471</v>
      </c>
      <c r="E1392" s="162">
        <f>SUM(E1388:E1391)</f>
        <v>0</v>
      </c>
      <c r="F1392" s="163">
        <f>SUM(F1388:F1391)</f>
        <v>0</v>
      </c>
      <c r="H1392" s="169"/>
      <c r="I1392" s="172"/>
      <c r="J1392" s="161" t="s">
        <v>471</v>
      </c>
      <c r="K1392" s="162">
        <f>SUM(K1388:K1391)</f>
        <v>0</v>
      </c>
      <c r="L1392" s="163">
        <f>SUM(L1388:L1391)</f>
        <v>0</v>
      </c>
      <c r="N1392" s="169"/>
      <c r="O1392" s="172"/>
      <c r="P1392" s="161" t="s">
        <v>471</v>
      </c>
      <c r="Q1392" s="162">
        <f>SUM(Q1388:Q1391)</f>
        <v>0</v>
      </c>
      <c r="R1392" s="163">
        <f>SUM(R1388:R1391)</f>
        <v>0</v>
      </c>
      <c r="T1392" s="169"/>
      <c r="U1392" s="172"/>
      <c r="V1392" s="161" t="s">
        <v>471</v>
      </c>
      <c r="W1392" s="162">
        <f>SUM(W1388:W1391)</f>
        <v>8450</v>
      </c>
      <c r="X1392" s="163">
        <f>SUM(X1388:X1391)</f>
        <v>0</v>
      </c>
      <c r="BG1392" s="157">
        <f>SUM(E1392,K1392,Q1392,W1392,AC1392,AI1392,AO1392,AU1392,AX1392,BD1392)</f>
        <v>8450</v>
      </c>
      <c r="BH1392" s="158">
        <f>SUM(F1392,L1392,R1392,X1392,AD1392,AJ1392,AP1392,AV1392,AY1392,BE1392)</f>
        <v>0</v>
      </c>
    </row>
    <row r="1393" spans="2:60" ht="14.4" thickBot="1" x14ac:dyDescent="0.3">
      <c r="B1393" s="170"/>
      <c r="C1393" s="173"/>
      <c r="D1393" s="164" t="str">
        <f>IF(E1392=F1392,"",IF(E1392&gt;F1392,"Saldo Deudor","Saldo Acreedor"))</f>
        <v/>
      </c>
      <c r="E1393" s="165" t="str">
        <f>IF(E1392&gt;F1392,E1392-F1392,"")</f>
        <v/>
      </c>
      <c r="F1393" s="176" t="str">
        <f>IF(E1392&lt;F1392,F1392-E1392,"")</f>
        <v/>
      </c>
      <c r="H1393" s="170"/>
      <c r="I1393" s="173"/>
      <c r="J1393" s="164" t="str">
        <f>IF(K1392=L1392,"",IF(K1392&gt;L1392,"Saldo Deudor","Saldo Acreedor"))</f>
        <v/>
      </c>
      <c r="K1393" s="165" t="str">
        <f>IF(K1392&gt;L1392,K1392-L1392,"")</f>
        <v/>
      </c>
      <c r="L1393" s="176" t="str">
        <f>IF(K1392&lt;L1392,L1392-K1392,"")</f>
        <v/>
      </c>
      <c r="N1393" s="170"/>
      <c r="O1393" s="173"/>
      <c r="P1393" s="164" t="str">
        <f>IF(Q1392=R1392,"",IF(Q1392&gt;R1392,"Saldo Deudor","Saldo Acreedor"))</f>
        <v/>
      </c>
      <c r="Q1393" s="165" t="str">
        <f>IF(Q1392&gt;R1392,Q1392-R1392,"")</f>
        <v/>
      </c>
      <c r="R1393" s="176" t="str">
        <f>IF(Q1392&lt;R1392,R1392-Q1392,"")</f>
        <v/>
      </c>
      <c r="T1393" s="170"/>
      <c r="U1393" s="173"/>
      <c r="V1393" s="164" t="str">
        <f>IF(W1392=X1392,"",IF(W1392&gt;X1392,"Saldo Deudor","Saldo Acreedor"))</f>
        <v>Saldo Deudor</v>
      </c>
      <c r="W1393" s="165">
        <f>IF(W1392&gt;X1392,W1392-X1392,"")</f>
        <v>8450</v>
      </c>
      <c r="X1393" s="176" t="str">
        <f>IF(W1392&lt;X1392,X1392-W1392,"")</f>
        <v/>
      </c>
    </row>
    <row r="1396" spans="2:60" ht="15.6" x14ac:dyDescent="0.25">
      <c r="B1396" s="324" t="s">
        <v>472</v>
      </c>
      <c r="C1396" s="324"/>
      <c r="D1396" s="175">
        <v>6711</v>
      </c>
      <c r="E1396" s="160"/>
      <c r="H1396" s="324" t="s">
        <v>472</v>
      </c>
      <c r="I1396" s="324"/>
      <c r="J1396" s="175">
        <v>6712</v>
      </c>
      <c r="K1396" s="160"/>
      <c r="N1396" s="324" t="s">
        <v>472</v>
      </c>
      <c r="O1396" s="324"/>
      <c r="P1396" s="175">
        <v>6713</v>
      </c>
      <c r="Q1396" s="160"/>
      <c r="T1396" s="324" t="s">
        <v>472</v>
      </c>
      <c r="U1396" s="324"/>
      <c r="V1396" s="175">
        <v>6714</v>
      </c>
      <c r="W1396" s="160"/>
    </row>
    <row r="1397" spans="2:60" x14ac:dyDescent="0.25">
      <c r="B1397" s="160"/>
      <c r="C1397" s="160"/>
      <c r="D1397" s="160"/>
      <c r="E1397" s="160"/>
      <c r="H1397" s="160"/>
      <c r="I1397" s="160"/>
      <c r="J1397" s="160"/>
      <c r="K1397" s="160"/>
      <c r="N1397" s="160"/>
      <c r="O1397" s="160"/>
      <c r="P1397" s="160"/>
      <c r="Q1397" s="160"/>
      <c r="T1397" s="160"/>
      <c r="U1397" s="160"/>
      <c r="V1397" s="160"/>
      <c r="W1397" s="160"/>
    </row>
    <row r="1398" spans="2:60" ht="15.6" x14ac:dyDescent="0.25">
      <c r="B1398" s="324" t="s">
        <v>473</v>
      </c>
      <c r="C1398" s="324"/>
      <c r="D1398" s="234" t="str">
        <f>VLOOKUP(D1396,DivisionariasContables,3,FALSE)</f>
        <v>Préstamos de Instituciones Financieras y Otras Entidades</v>
      </c>
      <c r="E1398" s="160"/>
      <c r="H1398" s="324" t="s">
        <v>473</v>
      </c>
      <c r="I1398" s="324"/>
      <c r="J1398" s="234" t="str">
        <f>VLOOKUP(J1396,DivisionariasContables,3,FALSE)</f>
        <v>Contratos de Arrendamiento Financiero</v>
      </c>
      <c r="K1398" s="160"/>
      <c r="N1398" s="324" t="s">
        <v>473</v>
      </c>
      <c r="O1398" s="324"/>
      <c r="P1398" s="234" t="str">
        <f>VLOOKUP(P1396,DivisionariasContables,3,FALSE)</f>
        <v>Emisión y Colocación de Instrumentos Representativos de Deuda y Patrimonio</v>
      </c>
      <c r="Q1398" s="160"/>
      <c r="T1398" s="324" t="s">
        <v>473</v>
      </c>
      <c r="U1398" s="324"/>
      <c r="V1398" s="234" t="str">
        <f>VLOOKUP(V1396,DivisionariasContables,3,FALSE)</f>
        <v>Documentos Vendidos o Descontados</v>
      </c>
      <c r="W1398" s="160"/>
    </row>
    <row r="1399" spans="2:60" ht="14.4" thickBot="1" x14ac:dyDescent="0.3"/>
    <row r="1400" spans="2:60" x14ac:dyDescent="0.25">
      <c r="B1400" s="325" t="s">
        <v>466</v>
      </c>
      <c r="C1400" s="327" t="s">
        <v>467</v>
      </c>
      <c r="D1400" s="327" t="s">
        <v>468</v>
      </c>
      <c r="E1400" s="329" t="s">
        <v>469</v>
      </c>
      <c r="F1400" s="330"/>
      <c r="H1400" s="325" t="s">
        <v>466</v>
      </c>
      <c r="I1400" s="327" t="s">
        <v>467</v>
      </c>
      <c r="J1400" s="327" t="s">
        <v>468</v>
      </c>
      <c r="K1400" s="329" t="s">
        <v>469</v>
      </c>
      <c r="L1400" s="330"/>
      <c r="N1400" s="325" t="s">
        <v>466</v>
      </c>
      <c r="O1400" s="327" t="s">
        <v>467</v>
      </c>
      <c r="P1400" s="327" t="s">
        <v>468</v>
      </c>
      <c r="Q1400" s="329" t="s">
        <v>469</v>
      </c>
      <c r="R1400" s="330"/>
      <c r="T1400" s="325" t="s">
        <v>466</v>
      </c>
      <c r="U1400" s="327" t="s">
        <v>467</v>
      </c>
      <c r="V1400" s="327" t="s">
        <v>468</v>
      </c>
      <c r="W1400" s="329" t="s">
        <v>469</v>
      </c>
      <c r="X1400" s="330"/>
    </row>
    <row r="1401" spans="2:60" ht="14.4" thickBot="1" x14ac:dyDescent="0.3">
      <c r="B1401" s="326"/>
      <c r="C1401" s="328"/>
      <c r="D1401" s="328"/>
      <c r="E1401" s="232" t="s">
        <v>403</v>
      </c>
      <c r="F1401" s="174" t="s">
        <v>402</v>
      </c>
      <c r="H1401" s="326"/>
      <c r="I1401" s="328"/>
      <c r="J1401" s="328"/>
      <c r="K1401" s="232" t="s">
        <v>403</v>
      </c>
      <c r="L1401" s="174" t="s">
        <v>402</v>
      </c>
      <c r="N1401" s="326"/>
      <c r="O1401" s="328"/>
      <c r="P1401" s="328"/>
      <c r="Q1401" s="232" t="s">
        <v>403</v>
      </c>
      <c r="R1401" s="174" t="s">
        <v>402</v>
      </c>
      <c r="T1401" s="326"/>
      <c r="U1401" s="328"/>
      <c r="V1401" s="328"/>
      <c r="W1401" s="232" t="s">
        <v>403</v>
      </c>
      <c r="X1401" s="174" t="s">
        <v>402</v>
      </c>
    </row>
    <row r="1402" spans="2:60" ht="14.4" thickTop="1" x14ac:dyDescent="0.25">
      <c r="B1402" s="236">
        <v>41670</v>
      </c>
      <c r="C1402" s="171"/>
      <c r="D1402" s="166" t="s">
        <v>470</v>
      </c>
      <c r="E1402" s="167">
        <f>SUMIF('Libro Diario Convencional'!$D$15:$D$167,D1396,'Libro Diario Convencional'!$G$15:$G$167)</f>
        <v>0</v>
      </c>
      <c r="F1402" s="168">
        <f>SUMIF('Libro Diario Convencional'!$D$15:$D$167,D1396,'Libro Diario Convencional'!$H$15:$H$167)</f>
        <v>0</v>
      </c>
      <c r="H1402" s="236">
        <v>41670</v>
      </c>
      <c r="I1402" s="171"/>
      <c r="J1402" s="166" t="s">
        <v>470</v>
      </c>
      <c r="K1402" s="167">
        <f>SUMIF('Libro Diario Convencional'!$D$15:$D$167,J1396,'Libro Diario Convencional'!$G$15:$G$167)</f>
        <v>0</v>
      </c>
      <c r="L1402" s="168">
        <f>SUMIF('Libro Diario Convencional'!$D$15:$D$167,J1396,'Libro Diario Convencional'!$H$15:$H$167)</f>
        <v>0</v>
      </c>
      <c r="N1402" s="236">
        <v>41670</v>
      </c>
      <c r="O1402" s="171"/>
      <c r="P1402" s="166" t="s">
        <v>470</v>
      </c>
      <c r="Q1402" s="167">
        <f>SUMIF('Libro Diario Convencional'!$D$15:$D$167,P1396,'Libro Diario Convencional'!$G$15:$G$167)</f>
        <v>0</v>
      </c>
      <c r="R1402" s="168">
        <f>SUMIF('Libro Diario Convencional'!$D$15:$D$167,P1396,'Libro Diario Convencional'!$H$15:$H$167)</f>
        <v>0</v>
      </c>
      <c r="T1402" s="236">
        <v>41670</v>
      </c>
      <c r="U1402" s="171"/>
      <c r="V1402" s="166" t="s">
        <v>470</v>
      </c>
      <c r="W1402" s="167">
        <f>SUMIF('Libro Diario Convencional'!$D$15:$D$167,V1396,'Libro Diario Convencional'!$G$15:$G$167)</f>
        <v>0</v>
      </c>
      <c r="X1402" s="168">
        <f>SUMIF('Libro Diario Convencional'!$D$15:$D$167,V1396,'Libro Diario Convencional'!$H$15:$H$167)</f>
        <v>0</v>
      </c>
    </row>
    <row r="1403" spans="2:60" x14ac:dyDescent="0.25">
      <c r="B1403" s="169"/>
      <c r="C1403" s="172"/>
      <c r="D1403" s="161"/>
      <c r="E1403" s="162"/>
      <c r="F1403" s="163"/>
      <c r="H1403" s="169"/>
      <c r="I1403" s="172"/>
      <c r="J1403" s="161"/>
      <c r="K1403" s="162"/>
      <c r="L1403" s="163"/>
      <c r="N1403" s="169"/>
      <c r="O1403" s="172"/>
      <c r="P1403" s="161"/>
      <c r="Q1403" s="162"/>
      <c r="R1403" s="163"/>
      <c r="T1403" s="169"/>
      <c r="U1403" s="172"/>
      <c r="V1403" s="161"/>
      <c r="W1403" s="162"/>
      <c r="X1403" s="163"/>
    </row>
    <row r="1404" spans="2:60" x14ac:dyDescent="0.25">
      <c r="B1404" s="169"/>
      <c r="C1404" s="172"/>
      <c r="D1404" s="161"/>
      <c r="E1404" s="162"/>
      <c r="F1404" s="163"/>
      <c r="H1404" s="169"/>
      <c r="I1404" s="172"/>
      <c r="J1404" s="161"/>
      <c r="K1404" s="162"/>
      <c r="L1404" s="163"/>
      <c r="N1404" s="169"/>
      <c r="O1404" s="172"/>
      <c r="P1404" s="161"/>
      <c r="Q1404" s="162"/>
      <c r="R1404" s="163"/>
      <c r="T1404" s="169"/>
      <c r="U1404" s="172"/>
      <c r="V1404" s="161"/>
      <c r="W1404" s="162"/>
      <c r="X1404" s="163"/>
    </row>
    <row r="1405" spans="2:60" ht="14.4" thickBot="1" x14ac:dyDescent="0.3">
      <c r="B1405" s="169"/>
      <c r="C1405" s="172"/>
      <c r="D1405" s="161"/>
      <c r="E1405" s="162"/>
      <c r="F1405" s="163"/>
      <c r="H1405" s="169"/>
      <c r="I1405" s="172"/>
      <c r="J1405" s="161"/>
      <c r="K1405" s="162"/>
      <c r="L1405" s="163"/>
      <c r="N1405" s="169"/>
      <c r="O1405" s="172"/>
      <c r="P1405" s="161"/>
      <c r="Q1405" s="162"/>
      <c r="R1405" s="163"/>
      <c r="T1405" s="169"/>
      <c r="U1405" s="172"/>
      <c r="V1405" s="161"/>
      <c r="W1405" s="162"/>
      <c r="X1405" s="163"/>
    </row>
    <row r="1406" spans="2:60" ht="15" thickBot="1" x14ac:dyDescent="0.3">
      <c r="B1406" s="169"/>
      <c r="C1406" s="172"/>
      <c r="D1406" s="161" t="s">
        <v>471</v>
      </c>
      <c r="E1406" s="162">
        <f>SUM(E1402:E1405)</f>
        <v>0</v>
      </c>
      <c r="F1406" s="163">
        <f>SUM(F1402:F1405)</f>
        <v>0</v>
      </c>
      <c r="H1406" s="169"/>
      <c r="I1406" s="172"/>
      <c r="J1406" s="161" t="s">
        <v>471</v>
      </c>
      <c r="K1406" s="162">
        <f>SUM(K1402:K1405)</f>
        <v>0</v>
      </c>
      <c r="L1406" s="163">
        <f>SUM(L1402:L1405)</f>
        <v>0</v>
      </c>
      <c r="N1406" s="169"/>
      <c r="O1406" s="172"/>
      <c r="P1406" s="161" t="s">
        <v>471</v>
      </c>
      <c r="Q1406" s="162">
        <f>SUM(Q1402:Q1405)</f>
        <v>0</v>
      </c>
      <c r="R1406" s="163">
        <f>SUM(R1402:R1405)</f>
        <v>0</v>
      </c>
      <c r="T1406" s="169"/>
      <c r="U1406" s="172"/>
      <c r="V1406" s="161" t="s">
        <v>471</v>
      </c>
      <c r="W1406" s="162">
        <f>SUM(W1402:W1405)</f>
        <v>0</v>
      </c>
      <c r="X1406" s="163">
        <f>SUM(X1402:X1405)</f>
        <v>0</v>
      </c>
      <c r="BG1406" s="157">
        <f>SUM(E1406,K1406,Q1406,W1406,AC1406,AI1406,AO1406,AU1406,AX1406,BD1406)</f>
        <v>0</v>
      </c>
      <c r="BH1406" s="158">
        <f>SUM(F1406,L1406,R1406,X1406,AD1406,AJ1406,AP1406,AV1406,AY1406,BE1406)</f>
        <v>0</v>
      </c>
    </row>
    <row r="1407" spans="2:60" ht="14.4" thickBot="1" x14ac:dyDescent="0.3">
      <c r="B1407" s="170"/>
      <c r="C1407" s="173"/>
      <c r="D1407" s="164" t="str">
        <f>IF(E1406=F1406,"",IF(E1406&gt;F1406,"Saldo Deudor","Saldo Acreedor"))</f>
        <v/>
      </c>
      <c r="E1407" s="165" t="str">
        <f>IF(E1406&gt;F1406,E1406-F1406,"")</f>
        <v/>
      </c>
      <c r="F1407" s="176" t="str">
        <f>IF(E1406&lt;F1406,F1406-E1406,"")</f>
        <v/>
      </c>
      <c r="H1407" s="170"/>
      <c r="I1407" s="173"/>
      <c r="J1407" s="164" t="str">
        <f>IF(K1406=L1406,"",IF(K1406&gt;L1406,"Saldo Deudor","Saldo Acreedor"))</f>
        <v/>
      </c>
      <c r="K1407" s="165" t="str">
        <f>IF(K1406&gt;L1406,K1406-L1406,"")</f>
        <v/>
      </c>
      <c r="L1407" s="176" t="str">
        <f>IF(K1406&lt;L1406,L1406-K1406,"")</f>
        <v/>
      </c>
      <c r="N1407" s="170"/>
      <c r="O1407" s="173"/>
      <c r="P1407" s="164" t="str">
        <f>IF(Q1406=R1406,"",IF(Q1406&gt;R1406,"Saldo Deudor","Saldo Acreedor"))</f>
        <v/>
      </c>
      <c r="Q1407" s="165" t="str">
        <f>IF(Q1406&gt;R1406,Q1406-R1406,"")</f>
        <v/>
      </c>
      <c r="R1407" s="176" t="str">
        <f>IF(Q1406&lt;R1406,R1406-Q1406,"")</f>
        <v/>
      </c>
      <c r="T1407" s="170"/>
      <c r="U1407" s="173"/>
      <c r="V1407" s="164" t="str">
        <f>IF(W1406=X1406,"",IF(W1406&gt;X1406,"Saldo Deudor","Saldo Acreedor"))</f>
        <v/>
      </c>
      <c r="W1407" s="165" t="str">
        <f>IF(W1406&gt;X1406,W1406-X1406,"")</f>
        <v/>
      </c>
      <c r="X1407" s="176" t="str">
        <f>IF(W1406&lt;X1406,X1406-W1406,"")</f>
        <v/>
      </c>
    </row>
    <row r="1410" spans="2:60" ht="15.6" x14ac:dyDescent="0.25">
      <c r="B1410" s="324" t="s">
        <v>472</v>
      </c>
      <c r="C1410" s="324"/>
      <c r="D1410" s="175">
        <v>6721</v>
      </c>
      <c r="E1410" s="160"/>
    </row>
    <row r="1411" spans="2:60" x14ac:dyDescent="0.25">
      <c r="B1411" s="160"/>
      <c r="C1411" s="160"/>
      <c r="D1411" s="160"/>
      <c r="E1411" s="160"/>
    </row>
    <row r="1412" spans="2:60" ht="15.6" x14ac:dyDescent="0.25">
      <c r="B1412" s="324" t="s">
        <v>473</v>
      </c>
      <c r="C1412" s="324"/>
      <c r="D1412" s="234" t="str">
        <f>VLOOKUP(D1410,DivisionariasContables,3,FALSE)</f>
        <v>Pérdida por Instrumentos Financieros Derivados</v>
      </c>
      <c r="E1412" s="160"/>
    </row>
    <row r="1413" spans="2:60" ht="14.4" thickBot="1" x14ac:dyDescent="0.3"/>
    <row r="1414" spans="2:60" x14ac:dyDescent="0.25">
      <c r="B1414" s="325" t="s">
        <v>466</v>
      </c>
      <c r="C1414" s="327" t="s">
        <v>467</v>
      </c>
      <c r="D1414" s="327" t="s">
        <v>468</v>
      </c>
      <c r="E1414" s="329" t="s">
        <v>469</v>
      </c>
      <c r="F1414" s="330"/>
    </row>
    <row r="1415" spans="2:60" ht="14.4" thickBot="1" x14ac:dyDescent="0.3">
      <c r="B1415" s="326"/>
      <c r="C1415" s="328"/>
      <c r="D1415" s="328"/>
      <c r="E1415" s="232" t="s">
        <v>403</v>
      </c>
      <c r="F1415" s="174" t="s">
        <v>402</v>
      </c>
    </row>
    <row r="1416" spans="2:60" ht="14.4" thickTop="1" x14ac:dyDescent="0.25">
      <c r="B1416" s="236">
        <v>41670</v>
      </c>
      <c r="C1416" s="171"/>
      <c r="D1416" s="166" t="s">
        <v>470</v>
      </c>
      <c r="E1416" s="167">
        <f>SUMIF('Libro Diario Convencional'!$D$15:$D$167,D1410,'Libro Diario Convencional'!$G$15:$G$167)</f>
        <v>0</v>
      </c>
      <c r="F1416" s="168">
        <f>SUMIF('Libro Diario Convencional'!$D$15:$D$167,D1410,'Libro Diario Convencional'!$H$15:$H$167)</f>
        <v>0</v>
      </c>
    </row>
    <row r="1417" spans="2:60" x14ac:dyDescent="0.25">
      <c r="B1417" s="169"/>
      <c r="C1417" s="172"/>
      <c r="D1417" s="161"/>
      <c r="E1417" s="162"/>
      <c r="F1417" s="163"/>
    </row>
    <row r="1418" spans="2:60" x14ac:dyDescent="0.25">
      <c r="B1418" s="169"/>
      <c r="C1418" s="172"/>
      <c r="D1418" s="161"/>
      <c r="E1418" s="162"/>
      <c r="F1418" s="163"/>
    </row>
    <row r="1419" spans="2:60" ht="14.4" thickBot="1" x14ac:dyDescent="0.3">
      <c r="B1419" s="169"/>
      <c r="C1419" s="172"/>
      <c r="D1419" s="161"/>
      <c r="E1419" s="162"/>
      <c r="F1419" s="163"/>
    </row>
    <row r="1420" spans="2:60" ht="15" thickBot="1" x14ac:dyDescent="0.3">
      <c r="B1420" s="169"/>
      <c r="C1420" s="172"/>
      <c r="D1420" s="161" t="s">
        <v>471</v>
      </c>
      <c r="E1420" s="162">
        <f>SUM(E1416:E1419)</f>
        <v>0</v>
      </c>
      <c r="F1420" s="163">
        <f>SUM(F1416:F1419)</f>
        <v>0</v>
      </c>
      <c r="BG1420" s="157">
        <f>SUM(E1420,K1420,Q1420,W1420,AC1420,AI1420,AO1420,AU1420,AX1420,BD1420)</f>
        <v>0</v>
      </c>
      <c r="BH1420" s="158">
        <f>SUM(F1420,L1420,R1420,X1420,AD1420,AJ1420,AP1420,AV1420,AY1420,BE1420)</f>
        <v>0</v>
      </c>
    </row>
    <row r="1421" spans="2:60" ht="14.4" thickBot="1" x14ac:dyDescent="0.3">
      <c r="B1421" s="170"/>
      <c r="C1421" s="173"/>
      <c r="D1421" s="164" t="str">
        <f>IF(E1420=F1420,"",IF(E1420&gt;F1420,"Saldo Deudor","Saldo Acreedor"))</f>
        <v/>
      </c>
      <c r="E1421" s="165" t="str">
        <f>IF(E1420&gt;F1420,E1420-F1420,"")</f>
        <v/>
      </c>
      <c r="F1421" s="176" t="str">
        <f>IF(E1420&lt;F1420,F1420-E1420,"")</f>
        <v/>
      </c>
    </row>
    <row r="1424" spans="2:60" ht="15.6" x14ac:dyDescent="0.25">
      <c r="B1424" s="324" t="s">
        <v>472</v>
      </c>
      <c r="C1424" s="324"/>
      <c r="D1424" s="175">
        <v>6731</v>
      </c>
      <c r="E1424" s="160"/>
      <c r="H1424" s="324" t="s">
        <v>472</v>
      </c>
      <c r="I1424" s="324"/>
      <c r="J1424" s="175">
        <v>6732</v>
      </c>
      <c r="K1424" s="160"/>
      <c r="N1424" s="324" t="s">
        <v>472</v>
      </c>
      <c r="O1424" s="324"/>
      <c r="P1424" s="175">
        <v>6733</v>
      </c>
      <c r="Q1424" s="160"/>
      <c r="T1424" s="324" t="s">
        <v>472</v>
      </c>
      <c r="U1424" s="324"/>
      <c r="V1424" s="175">
        <v>6734</v>
      </c>
      <c r="W1424" s="160"/>
      <c r="Z1424" s="324" t="s">
        <v>472</v>
      </c>
      <c r="AA1424" s="324"/>
      <c r="AB1424" s="175">
        <v>6735</v>
      </c>
      <c r="AC1424" s="160"/>
      <c r="AF1424" s="324" t="s">
        <v>472</v>
      </c>
      <c r="AG1424" s="324"/>
      <c r="AH1424" s="175">
        <v>6736</v>
      </c>
      <c r="AI1424" s="160"/>
      <c r="AL1424" s="324" t="s">
        <v>472</v>
      </c>
      <c r="AM1424" s="324"/>
      <c r="AN1424" s="175">
        <v>6737</v>
      </c>
      <c r="AO1424" s="160"/>
    </row>
    <row r="1425" spans="2:60" x14ac:dyDescent="0.25">
      <c r="B1425" s="160"/>
      <c r="C1425" s="160"/>
      <c r="D1425" s="160"/>
      <c r="E1425" s="160"/>
      <c r="H1425" s="160"/>
      <c r="I1425" s="160"/>
      <c r="J1425" s="160"/>
      <c r="K1425" s="160"/>
      <c r="N1425" s="160"/>
      <c r="O1425" s="160"/>
      <c r="P1425" s="160"/>
      <c r="Q1425" s="160"/>
      <c r="T1425" s="160"/>
      <c r="U1425" s="160"/>
      <c r="V1425" s="160"/>
      <c r="W1425" s="160"/>
      <c r="Z1425" s="160"/>
      <c r="AA1425" s="160"/>
      <c r="AB1425" s="160"/>
      <c r="AC1425" s="160"/>
      <c r="AF1425" s="160"/>
      <c r="AG1425" s="160"/>
      <c r="AH1425" s="160"/>
      <c r="AI1425" s="160"/>
      <c r="AL1425" s="160"/>
      <c r="AM1425" s="160"/>
      <c r="AN1425" s="160"/>
      <c r="AO1425" s="160"/>
    </row>
    <row r="1426" spans="2:60" ht="15.6" x14ac:dyDescent="0.25">
      <c r="B1426" s="324" t="s">
        <v>473</v>
      </c>
      <c r="C1426" s="324"/>
      <c r="D1426" s="234" t="str">
        <f>VLOOKUP(D1424,DivisionariasContables,3,FALSE)</f>
        <v>Préstamos de Instituciones Financieras y Otras Entidades</v>
      </c>
      <c r="E1426" s="160"/>
      <c r="H1426" s="324" t="s">
        <v>473</v>
      </c>
      <c r="I1426" s="324"/>
      <c r="J1426" s="234" t="str">
        <f>VLOOKUP(J1424,DivisionariasContables,3,FALSE)</f>
        <v>Contratos de Arrendamiento Financiero</v>
      </c>
      <c r="K1426" s="160"/>
      <c r="N1426" s="324" t="s">
        <v>473</v>
      </c>
      <c r="O1426" s="324"/>
      <c r="P1426" s="234" t="str">
        <f>VLOOKUP(P1424,DivisionariasContables,3,FALSE)</f>
        <v>Otros Instrumentos Financieros por Pagar</v>
      </c>
      <c r="Q1426" s="160"/>
      <c r="T1426" s="324" t="s">
        <v>473</v>
      </c>
      <c r="U1426" s="324"/>
      <c r="V1426" s="234" t="str">
        <f>VLOOKUP(V1424,DivisionariasContables,3,FALSE)</f>
        <v>Documentos Vendidos o Descontados</v>
      </c>
      <c r="W1426" s="160"/>
      <c r="Z1426" s="324" t="s">
        <v>473</v>
      </c>
      <c r="AA1426" s="324"/>
      <c r="AB1426" s="234" t="str">
        <f>VLOOKUP(AB1424,DivisionariasContables,3,FALSE)</f>
        <v>Obligaciones Emitidas</v>
      </c>
      <c r="AC1426" s="160"/>
      <c r="AF1426" s="324" t="s">
        <v>473</v>
      </c>
      <c r="AG1426" s="324"/>
      <c r="AH1426" s="234" t="str">
        <f>VLOOKUP(AH1424,DivisionariasContables,3,FALSE)</f>
        <v>Obligaciones Comerciales</v>
      </c>
      <c r="AI1426" s="160"/>
      <c r="AL1426" s="324" t="s">
        <v>473</v>
      </c>
      <c r="AM1426" s="324"/>
      <c r="AN1426" s="234" t="str">
        <f>VLOOKUP(AN1424,DivisionariasContables,3,FALSE)</f>
        <v>Obligaciones Tributarias</v>
      </c>
      <c r="AO1426" s="160"/>
    </row>
    <row r="1427" spans="2:60" ht="14.4" thickBot="1" x14ac:dyDescent="0.3"/>
    <row r="1428" spans="2:60" x14ac:dyDescent="0.25">
      <c r="B1428" s="325" t="s">
        <v>466</v>
      </c>
      <c r="C1428" s="327" t="s">
        <v>467</v>
      </c>
      <c r="D1428" s="327" t="s">
        <v>468</v>
      </c>
      <c r="E1428" s="329" t="s">
        <v>469</v>
      </c>
      <c r="F1428" s="330"/>
      <c r="H1428" s="325" t="s">
        <v>466</v>
      </c>
      <c r="I1428" s="327" t="s">
        <v>467</v>
      </c>
      <c r="J1428" s="327" t="s">
        <v>468</v>
      </c>
      <c r="K1428" s="329" t="s">
        <v>469</v>
      </c>
      <c r="L1428" s="330"/>
      <c r="N1428" s="325" t="s">
        <v>466</v>
      </c>
      <c r="O1428" s="327" t="s">
        <v>467</v>
      </c>
      <c r="P1428" s="327" t="s">
        <v>468</v>
      </c>
      <c r="Q1428" s="329" t="s">
        <v>469</v>
      </c>
      <c r="R1428" s="330"/>
      <c r="T1428" s="325" t="s">
        <v>466</v>
      </c>
      <c r="U1428" s="327" t="s">
        <v>467</v>
      </c>
      <c r="V1428" s="327" t="s">
        <v>468</v>
      </c>
      <c r="W1428" s="329" t="s">
        <v>469</v>
      </c>
      <c r="X1428" s="330"/>
      <c r="Z1428" s="325" t="s">
        <v>466</v>
      </c>
      <c r="AA1428" s="327" t="s">
        <v>467</v>
      </c>
      <c r="AB1428" s="327" t="s">
        <v>468</v>
      </c>
      <c r="AC1428" s="329" t="s">
        <v>469</v>
      </c>
      <c r="AD1428" s="330"/>
      <c r="AF1428" s="325" t="s">
        <v>466</v>
      </c>
      <c r="AG1428" s="327" t="s">
        <v>467</v>
      </c>
      <c r="AH1428" s="327" t="s">
        <v>468</v>
      </c>
      <c r="AI1428" s="329" t="s">
        <v>469</v>
      </c>
      <c r="AJ1428" s="330"/>
      <c r="AL1428" s="325" t="s">
        <v>466</v>
      </c>
      <c r="AM1428" s="327" t="s">
        <v>467</v>
      </c>
      <c r="AN1428" s="327" t="s">
        <v>468</v>
      </c>
      <c r="AO1428" s="329" t="s">
        <v>469</v>
      </c>
      <c r="AP1428" s="330"/>
    </row>
    <row r="1429" spans="2:60" ht="14.4" thickBot="1" x14ac:dyDescent="0.3">
      <c r="B1429" s="326"/>
      <c r="C1429" s="328"/>
      <c r="D1429" s="328"/>
      <c r="E1429" s="232" t="s">
        <v>403</v>
      </c>
      <c r="F1429" s="174" t="s">
        <v>402</v>
      </c>
      <c r="H1429" s="326"/>
      <c r="I1429" s="328"/>
      <c r="J1429" s="328"/>
      <c r="K1429" s="232" t="s">
        <v>403</v>
      </c>
      <c r="L1429" s="174" t="s">
        <v>402</v>
      </c>
      <c r="N1429" s="326"/>
      <c r="O1429" s="328"/>
      <c r="P1429" s="328"/>
      <c r="Q1429" s="232" t="s">
        <v>403</v>
      </c>
      <c r="R1429" s="174" t="s">
        <v>402</v>
      </c>
      <c r="T1429" s="326"/>
      <c r="U1429" s="328"/>
      <c r="V1429" s="328"/>
      <c r="W1429" s="232" t="s">
        <v>403</v>
      </c>
      <c r="X1429" s="174" t="s">
        <v>402</v>
      </c>
      <c r="Z1429" s="326"/>
      <c r="AA1429" s="328"/>
      <c r="AB1429" s="328"/>
      <c r="AC1429" s="232" t="s">
        <v>403</v>
      </c>
      <c r="AD1429" s="174" t="s">
        <v>402</v>
      </c>
      <c r="AF1429" s="326"/>
      <c r="AG1429" s="328"/>
      <c r="AH1429" s="328"/>
      <c r="AI1429" s="232" t="s">
        <v>403</v>
      </c>
      <c r="AJ1429" s="174" t="s">
        <v>402</v>
      </c>
      <c r="AL1429" s="326"/>
      <c r="AM1429" s="328"/>
      <c r="AN1429" s="328"/>
      <c r="AO1429" s="232" t="s">
        <v>403</v>
      </c>
      <c r="AP1429" s="174" t="s">
        <v>402</v>
      </c>
    </row>
    <row r="1430" spans="2:60" ht="14.4" thickTop="1" x14ac:dyDescent="0.25">
      <c r="B1430" s="236">
        <v>41670</v>
      </c>
      <c r="C1430" s="171"/>
      <c r="D1430" s="166" t="s">
        <v>470</v>
      </c>
      <c r="E1430" s="167">
        <f>SUMIF('Libro Diario Convencional'!$D$15:$D$167,D1424,'Libro Diario Convencional'!$G$15:$G$167)</f>
        <v>0</v>
      </c>
      <c r="F1430" s="168">
        <f>SUMIF('Libro Diario Convencional'!$D$15:$D$167,D1424,'Libro Diario Convencional'!$H$15:$H$167)</f>
        <v>0</v>
      </c>
      <c r="H1430" s="236">
        <v>41670</v>
      </c>
      <c r="I1430" s="171"/>
      <c r="J1430" s="166" t="s">
        <v>470</v>
      </c>
      <c r="K1430" s="167">
        <f>SUMIF('Libro Diario Convencional'!$D$15:$D$167,J1424,'Libro Diario Convencional'!$G$15:$G$167)</f>
        <v>0</v>
      </c>
      <c r="L1430" s="168">
        <f>SUMIF('Libro Diario Convencional'!$D$15:$D$167,J1424,'Libro Diario Convencional'!$H$15:$H$167)</f>
        <v>0</v>
      </c>
      <c r="N1430" s="236">
        <v>41670</v>
      </c>
      <c r="O1430" s="171"/>
      <c r="P1430" s="166" t="s">
        <v>470</v>
      </c>
      <c r="Q1430" s="167">
        <f>SUMIF('Libro Diario Convencional'!$D$15:$D$167,P1424,'Libro Diario Convencional'!$G$15:$G$167)</f>
        <v>0</v>
      </c>
      <c r="R1430" s="168">
        <f>SUMIF('Libro Diario Convencional'!$D$15:$D$167,P1424,'Libro Diario Convencional'!$H$15:$H$167)</f>
        <v>0</v>
      </c>
      <c r="T1430" s="236">
        <v>41670</v>
      </c>
      <c r="U1430" s="171"/>
      <c r="V1430" s="166" t="s">
        <v>470</v>
      </c>
      <c r="W1430" s="167">
        <f>SUMIF('Libro Diario Convencional'!$D$15:$D$167,V1424,'Libro Diario Convencional'!$G$15:$G$167)</f>
        <v>0</v>
      </c>
      <c r="X1430" s="168">
        <f>SUMIF('Libro Diario Convencional'!$D$15:$D$167,V1424,'Libro Diario Convencional'!$H$15:$H$167)</f>
        <v>0</v>
      </c>
      <c r="Z1430" s="236">
        <v>41670</v>
      </c>
      <c r="AA1430" s="171"/>
      <c r="AB1430" s="166" t="s">
        <v>470</v>
      </c>
      <c r="AC1430" s="167">
        <f>SUMIF('Libro Diario Convencional'!$D$15:$D$167,AB1424,'Libro Diario Convencional'!$G$15:$G$167)</f>
        <v>0</v>
      </c>
      <c r="AD1430" s="168">
        <f>SUMIF('Libro Diario Convencional'!$D$15:$D$167,AB1424,'Libro Diario Convencional'!$H$15:$H$167)</f>
        <v>0</v>
      </c>
      <c r="AF1430" s="236">
        <v>41670</v>
      </c>
      <c r="AG1430" s="171"/>
      <c r="AH1430" s="166" t="s">
        <v>470</v>
      </c>
      <c r="AI1430" s="167">
        <f>SUMIF('Libro Diario Convencional'!$D$15:$D$167,AH1424,'Libro Diario Convencional'!$G$15:$G$167)</f>
        <v>0</v>
      </c>
      <c r="AJ1430" s="168">
        <f>SUMIF('Libro Diario Convencional'!$D$15:$D$167,AH1424,'Libro Diario Convencional'!$H$15:$H$167)</f>
        <v>0</v>
      </c>
      <c r="AL1430" s="236">
        <v>41670</v>
      </c>
      <c r="AM1430" s="171"/>
      <c r="AN1430" s="166" t="s">
        <v>470</v>
      </c>
      <c r="AO1430" s="167">
        <f>SUMIF('Libro Diario Convencional'!$D$15:$D$167,AN1424,'Libro Diario Convencional'!$G$15:$G$167)</f>
        <v>0</v>
      </c>
      <c r="AP1430" s="168">
        <f>SUMIF('Libro Diario Convencional'!$D$15:$D$167,AN1424,'Libro Diario Convencional'!$H$15:$H$167)</f>
        <v>0</v>
      </c>
    </row>
    <row r="1431" spans="2:60" x14ac:dyDescent="0.25">
      <c r="B1431" s="169"/>
      <c r="C1431" s="172"/>
      <c r="D1431" s="161"/>
      <c r="E1431" s="162"/>
      <c r="F1431" s="163"/>
      <c r="H1431" s="169"/>
      <c r="I1431" s="172"/>
      <c r="J1431" s="161"/>
      <c r="K1431" s="162"/>
      <c r="L1431" s="163"/>
      <c r="N1431" s="169"/>
      <c r="O1431" s="172"/>
      <c r="P1431" s="161"/>
      <c r="Q1431" s="162"/>
      <c r="R1431" s="163"/>
      <c r="T1431" s="169"/>
      <c r="U1431" s="172"/>
      <c r="V1431" s="161"/>
      <c r="W1431" s="162"/>
      <c r="X1431" s="163"/>
      <c r="Z1431" s="169"/>
      <c r="AA1431" s="172"/>
      <c r="AB1431" s="161"/>
      <c r="AC1431" s="162"/>
      <c r="AD1431" s="163"/>
      <c r="AF1431" s="169"/>
      <c r="AG1431" s="172"/>
      <c r="AH1431" s="161"/>
      <c r="AI1431" s="162"/>
      <c r="AJ1431" s="163"/>
      <c r="AL1431" s="169"/>
      <c r="AM1431" s="172"/>
      <c r="AN1431" s="161"/>
      <c r="AO1431" s="162"/>
      <c r="AP1431" s="163"/>
    </row>
    <row r="1432" spans="2:60" x14ac:dyDescent="0.25">
      <c r="B1432" s="169"/>
      <c r="C1432" s="172"/>
      <c r="D1432" s="161"/>
      <c r="E1432" s="162"/>
      <c r="F1432" s="163"/>
      <c r="H1432" s="169"/>
      <c r="I1432" s="172"/>
      <c r="J1432" s="161"/>
      <c r="K1432" s="162"/>
      <c r="L1432" s="163"/>
      <c r="N1432" s="169"/>
      <c r="O1432" s="172"/>
      <c r="P1432" s="161"/>
      <c r="Q1432" s="162"/>
      <c r="R1432" s="163"/>
      <c r="T1432" s="169"/>
      <c r="U1432" s="172"/>
      <c r="V1432" s="161"/>
      <c r="W1432" s="162"/>
      <c r="X1432" s="163"/>
      <c r="Z1432" s="169"/>
      <c r="AA1432" s="172"/>
      <c r="AB1432" s="161"/>
      <c r="AC1432" s="162"/>
      <c r="AD1432" s="163"/>
      <c r="AF1432" s="169"/>
      <c r="AG1432" s="172"/>
      <c r="AH1432" s="161"/>
      <c r="AI1432" s="162"/>
      <c r="AJ1432" s="163"/>
      <c r="AL1432" s="169"/>
      <c r="AM1432" s="172"/>
      <c r="AN1432" s="161"/>
      <c r="AO1432" s="162"/>
      <c r="AP1432" s="163"/>
    </row>
    <row r="1433" spans="2:60" ht="14.4" thickBot="1" x14ac:dyDescent="0.3">
      <c r="B1433" s="169"/>
      <c r="C1433" s="172"/>
      <c r="D1433" s="161"/>
      <c r="E1433" s="162"/>
      <c r="F1433" s="163"/>
      <c r="H1433" s="169"/>
      <c r="I1433" s="172"/>
      <c r="J1433" s="161"/>
      <c r="K1433" s="162"/>
      <c r="L1433" s="163"/>
      <c r="N1433" s="169"/>
      <c r="O1433" s="172"/>
      <c r="P1433" s="161"/>
      <c r="Q1433" s="162"/>
      <c r="R1433" s="163"/>
      <c r="T1433" s="169"/>
      <c r="U1433" s="172"/>
      <c r="V1433" s="161"/>
      <c r="W1433" s="162"/>
      <c r="X1433" s="163"/>
      <c r="Z1433" s="169"/>
      <c r="AA1433" s="172"/>
      <c r="AB1433" s="161"/>
      <c r="AC1433" s="162"/>
      <c r="AD1433" s="163"/>
      <c r="AF1433" s="169"/>
      <c r="AG1433" s="172"/>
      <c r="AH1433" s="161"/>
      <c r="AI1433" s="162"/>
      <c r="AJ1433" s="163"/>
      <c r="AL1433" s="169"/>
      <c r="AM1433" s="172"/>
      <c r="AN1433" s="161"/>
      <c r="AO1433" s="162"/>
      <c r="AP1433" s="163"/>
    </row>
    <row r="1434" spans="2:60" ht="15" thickBot="1" x14ac:dyDescent="0.3">
      <c r="B1434" s="169"/>
      <c r="C1434" s="172"/>
      <c r="D1434" s="161" t="s">
        <v>471</v>
      </c>
      <c r="E1434" s="162">
        <f>SUM(E1430:E1433)</f>
        <v>0</v>
      </c>
      <c r="F1434" s="163">
        <f>SUM(F1430:F1433)</f>
        <v>0</v>
      </c>
      <c r="H1434" s="169"/>
      <c r="I1434" s="172"/>
      <c r="J1434" s="161" t="s">
        <v>471</v>
      </c>
      <c r="K1434" s="162">
        <f>SUM(K1430:K1433)</f>
        <v>0</v>
      </c>
      <c r="L1434" s="163">
        <f>SUM(L1430:L1433)</f>
        <v>0</v>
      </c>
      <c r="N1434" s="169"/>
      <c r="O1434" s="172"/>
      <c r="P1434" s="161" t="s">
        <v>471</v>
      </c>
      <c r="Q1434" s="162">
        <f>SUM(Q1430:Q1433)</f>
        <v>0</v>
      </c>
      <c r="R1434" s="163">
        <f>SUM(R1430:R1433)</f>
        <v>0</v>
      </c>
      <c r="T1434" s="169"/>
      <c r="U1434" s="172"/>
      <c r="V1434" s="161" t="s">
        <v>471</v>
      </c>
      <c r="W1434" s="162">
        <f>SUM(W1430:W1433)</f>
        <v>0</v>
      </c>
      <c r="X1434" s="163">
        <f>SUM(X1430:X1433)</f>
        <v>0</v>
      </c>
      <c r="Z1434" s="169"/>
      <c r="AA1434" s="172"/>
      <c r="AB1434" s="161" t="s">
        <v>471</v>
      </c>
      <c r="AC1434" s="162">
        <f>SUM(AC1430:AC1433)</f>
        <v>0</v>
      </c>
      <c r="AD1434" s="163">
        <f>SUM(AD1430:AD1433)</f>
        <v>0</v>
      </c>
      <c r="AF1434" s="169"/>
      <c r="AG1434" s="172"/>
      <c r="AH1434" s="161" t="s">
        <v>471</v>
      </c>
      <c r="AI1434" s="162">
        <f>SUM(AI1430:AI1433)</f>
        <v>0</v>
      </c>
      <c r="AJ1434" s="163">
        <f>SUM(AJ1430:AJ1433)</f>
        <v>0</v>
      </c>
      <c r="AL1434" s="169"/>
      <c r="AM1434" s="172"/>
      <c r="AN1434" s="161" t="s">
        <v>471</v>
      </c>
      <c r="AO1434" s="162">
        <f>SUM(AO1430:AO1433)</f>
        <v>0</v>
      </c>
      <c r="AP1434" s="163">
        <f>SUM(AP1430:AP1433)</f>
        <v>0</v>
      </c>
      <c r="BG1434" s="157">
        <f>SUM(E1434,K1434,Q1434,W1434,AC1434,AI1434,AO1434,AU1434,AX1434,BD1434)</f>
        <v>0</v>
      </c>
      <c r="BH1434" s="158">
        <f>SUM(F1434,L1434,R1434,X1434,AD1434,AJ1434,AP1434,AV1434,AY1434,BE1434)</f>
        <v>0</v>
      </c>
    </row>
    <row r="1435" spans="2:60" ht="14.4" thickBot="1" x14ac:dyDescent="0.3">
      <c r="B1435" s="170"/>
      <c r="C1435" s="173"/>
      <c r="D1435" s="164" t="str">
        <f>IF(E1434=F1434,"",IF(E1434&gt;F1434,"Saldo Deudor","Saldo Acreedor"))</f>
        <v/>
      </c>
      <c r="E1435" s="165" t="str">
        <f>IF(E1434&gt;F1434,E1434-F1434,"")</f>
        <v/>
      </c>
      <c r="F1435" s="176" t="str">
        <f>IF(E1434&lt;F1434,F1434-E1434,"")</f>
        <v/>
      </c>
      <c r="H1435" s="170"/>
      <c r="I1435" s="173"/>
      <c r="J1435" s="164" t="str">
        <f>IF(K1434=L1434,"",IF(K1434&gt;L1434,"Saldo Deudor","Saldo Acreedor"))</f>
        <v/>
      </c>
      <c r="K1435" s="165" t="str">
        <f>IF(K1434&gt;L1434,K1434-L1434,"")</f>
        <v/>
      </c>
      <c r="L1435" s="176" t="str">
        <f>IF(K1434&lt;L1434,L1434-K1434,"")</f>
        <v/>
      </c>
      <c r="N1435" s="170"/>
      <c r="O1435" s="173"/>
      <c r="P1435" s="164" t="str">
        <f>IF(Q1434=R1434,"",IF(Q1434&gt;R1434,"Saldo Deudor","Saldo Acreedor"))</f>
        <v/>
      </c>
      <c r="Q1435" s="165" t="str">
        <f>IF(Q1434&gt;R1434,Q1434-R1434,"")</f>
        <v/>
      </c>
      <c r="R1435" s="176" t="str">
        <f>IF(Q1434&lt;R1434,R1434-Q1434,"")</f>
        <v/>
      </c>
      <c r="T1435" s="170"/>
      <c r="U1435" s="173"/>
      <c r="V1435" s="164" t="str">
        <f>IF(W1434=X1434,"",IF(W1434&gt;X1434,"Saldo Deudor","Saldo Acreedor"))</f>
        <v/>
      </c>
      <c r="W1435" s="165" t="str">
        <f>IF(W1434&gt;X1434,W1434-X1434,"")</f>
        <v/>
      </c>
      <c r="X1435" s="176" t="str">
        <f>IF(W1434&lt;X1434,X1434-W1434,"")</f>
        <v/>
      </c>
      <c r="Z1435" s="170"/>
      <c r="AA1435" s="173"/>
      <c r="AB1435" s="164" t="str">
        <f>IF(AC1434=AD1434,"",IF(AC1434&gt;AD1434,"Saldo Deudor","Saldo Acreedor"))</f>
        <v/>
      </c>
      <c r="AC1435" s="165" t="str">
        <f>IF(AC1434&gt;AD1434,AC1434-AD1434,"")</f>
        <v/>
      </c>
      <c r="AD1435" s="176" t="str">
        <f>IF(AC1434&lt;AD1434,AD1434-AC1434,"")</f>
        <v/>
      </c>
      <c r="AF1435" s="170"/>
      <c r="AG1435" s="173"/>
      <c r="AH1435" s="164" t="str">
        <f>IF(AI1434=AJ1434,"",IF(AI1434&gt;AJ1434,"Saldo Deudor","Saldo Acreedor"))</f>
        <v/>
      </c>
      <c r="AI1435" s="165" t="str">
        <f>IF(AI1434&gt;AJ1434,AI1434-AJ1434,"")</f>
        <v/>
      </c>
      <c r="AJ1435" s="176" t="str">
        <f>IF(AI1434&lt;AJ1434,AJ1434-AI1434,"")</f>
        <v/>
      </c>
      <c r="AL1435" s="170"/>
      <c r="AM1435" s="173"/>
      <c r="AN1435" s="164" t="str">
        <f>IF(AO1434=AP1434,"",IF(AO1434&gt;AP1434,"Saldo Deudor","Saldo Acreedor"))</f>
        <v/>
      </c>
      <c r="AO1435" s="165" t="str">
        <f>IF(AO1434&gt;AP1434,AO1434-AP1434,"")</f>
        <v/>
      </c>
      <c r="AP1435" s="176" t="str">
        <f>IF(AO1434&lt;AP1434,AP1434-AO1434,"")</f>
        <v/>
      </c>
    </row>
    <row r="1438" spans="2:60" ht="15.6" x14ac:dyDescent="0.25">
      <c r="B1438" s="324" t="s">
        <v>472</v>
      </c>
      <c r="C1438" s="324"/>
      <c r="D1438" s="175">
        <v>6741</v>
      </c>
      <c r="E1438" s="160"/>
    </row>
    <row r="1439" spans="2:60" x14ac:dyDescent="0.25">
      <c r="B1439" s="160"/>
      <c r="C1439" s="160"/>
      <c r="D1439" s="160"/>
      <c r="E1439" s="160"/>
    </row>
    <row r="1440" spans="2:60" ht="15.6" x14ac:dyDescent="0.25">
      <c r="B1440" s="324" t="s">
        <v>473</v>
      </c>
      <c r="C1440" s="324"/>
      <c r="D1440" s="234" t="str">
        <f>VLOOKUP(D1438,DivisionariasContables,3,FALSE)</f>
        <v>Gastos por Menor Valor</v>
      </c>
      <c r="E1440" s="160"/>
    </row>
    <row r="1441" spans="2:60" ht="14.4" thickBot="1" x14ac:dyDescent="0.3"/>
    <row r="1442" spans="2:60" x14ac:dyDescent="0.25">
      <c r="B1442" s="325" t="s">
        <v>466</v>
      </c>
      <c r="C1442" s="327" t="s">
        <v>467</v>
      </c>
      <c r="D1442" s="327" t="s">
        <v>468</v>
      </c>
      <c r="E1442" s="329" t="s">
        <v>469</v>
      </c>
      <c r="F1442" s="330"/>
    </row>
    <row r="1443" spans="2:60" ht="14.4" thickBot="1" x14ac:dyDescent="0.3">
      <c r="B1443" s="326"/>
      <c r="C1443" s="328"/>
      <c r="D1443" s="328"/>
      <c r="E1443" s="232" t="s">
        <v>403</v>
      </c>
      <c r="F1443" s="174" t="s">
        <v>402</v>
      </c>
    </row>
    <row r="1444" spans="2:60" ht="14.4" thickTop="1" x14ac:dyDescent="0.25">
      <c r="B1444" s="236">
        <v>41670</v>
      </c>
      <c r="C1444" s="171"/>
      <c r="D1444" s="166" t="s">
        <v>470</v>
      </c>
      <c r="E1444" s="167">
        <f>SUMIF('Libro Diario Convencional'!$D$15:$D$167,D1438,'Libro Diario Convencional'!$G$15:$G$167)</f>
        <v>0</v>
      </c>
      <c r="F1444" s="168">
        <f>SUMIF('Libro Diario Convencional'!$D$15:$D$167,D1438,'Libro Diario Convencional'!$H$15:$H$167)</f>
        <v>0</v>
      </c>
    </row>
    <row r="1445" spans="2:60" x14ac:dyDescent="0.25">
      <c r="B1445" s="169"/>
      <c r="C1445" s="172"/>
      <c r="D1445" s="161"/>
      <c r="E1445" s="162"/>
      <c r="F1445" s="163"/>
    </row>
    <row r="1446" spans="2:60" x14ac:dyDescent="0.25">
      <c r="B1446" s="169"/>
      <c r="C1446" s="172"/>
      <c r="D1446" s="161"/>
      <c r="E1446" s="162"/>
      <c r="F1446" s="163"/>
    </row>
    <row r="1447" spans="2:60" ht="14.4" thickBot="1" x14ac:dyDescent="0.3">
      <c r="B1447" s="169"/>
      <c r="C1447" s="172"/>
      <c r="D1447" s="161"/>
      <c r="E1447" s="162"/>
      <c r="F1447" s="163"/>
    </row>
    <row r="1448" spans="2:60" ht="15" thickBot="1" x14ac:dyDescent="0.3">
      <c r="B1448" s="169"/>
      <c r="C1448" s="172"/>
      <c r="D1448" s="161" t="s">
        <v>471</v>
      </c>
      <c r="E1448" s="162">
        <f>SUM(E1444:E1447)</f>
        <v>0</v>
      </c>
      <c r="F1448" s="163">
        <f>SUM(F1444:F1447)</f>
        <v>0</v>
      </c>
      <c r="BG1448" s="157">
        <f>SUM(E1448,K1448,Q1448,W1448,AC1448,AI1448,AO1448,AU1448,AX1448,BD1448)</f>
        <v>0</v>
      </c>
      <c r="BH1448" s="158">
        <f>SUM(F1448,L1448,R1448,X1448,AD1448,AJ1448,AP1448,AV1448,AY1448,BE1448)</f>
        <v>0</v>
      </c>
    </row>
    <row r="1449" spans="2:60" ht="14.4" thickBot="1" x14ac:dyDescent="0.3">
      <c r="B1449" s="170"/>
      <c r="C1449" s="173"/>
      <c r="D1449" s="164" t="str">
        <f>IF(E1448=F1448,"",IF(E1448&gt;F1448,"Saldo Deudor","Saldo Acreedor"))</f>
        <v/>
      </c>
      <c r="E1449" s="165" t="str">
        <f>IF(E1448&gt;F1448,E1448-F1448,"")</f>
        <v/>
      </c>
      <c r="F1449" s="176" t="str">
        <f>IF(E1448&lt;F1448,F1448-E1448,"")</f>
        <v/>
      </c>
    </row>
    <row r="1452" spans="2:60" ht="15.6" x14ac:dyDescent="0.25">
      <c r="B1452" s="324" t="s">
        <v>472</v>
      </c>
      <c r="C1452" s="324"/>
      <c r="D1452" s="175">
        <v>6751</v>
      </c>
      <c r="E1452" s="160"/>
    </row>
    <row r="1453" spans="2:60" x14ac:dyDescent="0.25">
      <c r="B1453" s="160"/>
      <c r="C1453" s="160"/>
      <c r="D1453" s="160"/>
      <c r="E1453" s="160"/>
    </row>
    <row r="1454" spans="2:60" ht="15.6" x14ac:dyDescent="0.25">
      <c r="B1454" s="324" t="s">
        <v>473</v>
      </c>
      <c r="C1454" s="324"/>
      <c r="D1454" s="234" t="str">
        <f>VLOOKUP(D1452,DivisionariasContables,3,FALSE)</f>
        <v>Descuentos Concedidos por Pronto Pago</v>
      </c>
      <c r="E1454" s="160"/>
    </row>
    <row r="1455" spans="2:60" ht="14.4" thickBot="1" x14ac:dyDescent="0.3"/>
    <row r="1456" spans="2:60" x14ac:dyDescent="0.25">
      <c r="B1456" s="325" t="s">
        <v>466</v>
      </c>
      <c r="C1456" s="327" t="s">
        <v>467</v>
      </c>
      <c r="D1456" s="327" t="s">
        <v>468</v>
      </c>
      <c r="E1456" s="329" t="s">
        <v>469</v>
      </c>
      <c r="F1456" s="330"/>
    </row>
    <row r="1457" spans="2:60" ht="14.4" thickBot="1" x14ac:dyDescent="0.3">
      <c r="B1457" s="326"/>
      <c r="C1457" s="328"/>
      <c r="D1457" s="328"/>
      <c r="E1457" s="232" t="s">
        <v>403</v>
      </c>
      <c r="F1457" s="174" t="s">
        <v>402</v>
      </c>
    </row>
    <row r="1458" spans="2:60" ht="14.4" thickTop="1" x14ac:dyDescent="0.25">
      <c r="B1458" s="236">
        <v>41670</v>
      </c>
      <c r="C1458" s="171"/>
      <c r="D1458" s="166" t="s">
        <v>470</v>
      </c>
      <c r="E1458" s="167">
        <f>SUMIF('Libro Diario Convencional'!$D$15:$D$167,D1452,'Libro Diario Convencional'!$G$15:$G$167)</f>
        <v>0</v>
      </c>
      <c r="F1458" s="168">
        <f>SUMIF('Libro Diario Convencional'!$D$15:$D$167,D1452,'Libro Diario Convencional'!$H$15:$H$167)</f>
        <v>0</v>
      </c>
    </row>
    <row r="1459" spans="2:60" x14ac:dyDescent="0.25">
      <c r="B1459" s="169"/>
      <c r="C1459" s="172"/>
      <c r="D1459" s="161"/>
      <c r="E1459" s="162"/>
      <c r="F1459" s="163"/>
    </row>
    <row r="1460" spans="2:60" x14ac:dyDescent="0.25">
      <c r="B1460" s="169"/>
      <c r="C1460" s="172"/>
      <c r="D1460" s="161"/>
      <c r="E1460" s="162"/>
      <c r="F1460" s="163"/>
    </row>
    <row r="1461" spans="2:60" ht="14.4" thickBot="1" x14ac:dyDescent="0.3">
      <c r="B1461" s="169"/>
      <c r="C1461" s="172"/>
      <c r="D1461" s="161"/>
      <c r="E1461" s="162"/>
      <c r="F1461" s="163"/>
    </row>
    <row r="1462" spans="2:60" ht="15" thickBot="1" x14ac:dyDescent="0.3">
      <c r="B1462" s="169"/>
      <c r="C1462" s="172"/>
      <c r="D1462" s="161" t="s">
        <v>471</v>
      </c>
      <c r="E1462" s="162">
        <f>SUM(E1458:E1461)</f>
        <v>0</v>
      </c>
      <c r="F1462" s="163">
        <f>SUM(F1458:F1461)</f>
        <v>0</v>
      </c>
      <c r="BG1462" s="157">
        <f>SUM(E1462,K1462,Q1462,W1462,AC1462,AI1462,AO1462,AU1462,AX1462,BD1462)</f>
        <v>0</v>
      </c>
      <c r="BH1462" s="158">
        <f>SUM(F1462,L1462,R1462,X1462,AD1462,AJ1462,AP1462,AV1462,AY1462,BE1462)</f>
        <v>0</v>
      </c>
    </row>
    <row r="1463" spans="2:60" ht="14.4" thickBot="1" x14ac:dyDescent="0.3">
      <c r="B1463" s="170"/>
      <c r="C1463" s="173"/>
      <c r="D1463" s="164" t="str">
        <f>IF(E1462=F1462,"",IF(E1462&gt;F1462,"Saldo Deudor","Saldo Acreedor"))</f>
        <v/>
      </c>
      <c r="E1463" s="165" t="str">
        <f>IF(E1462&gt;F1462,E1462-F1462,"")</f>
        <v/>
      </c>
      <c r="F1463" s="176" t="str">
        <f>IF(E1462&lt;F1462,F1462-E1462,"")</f>
        <v/>
      </c>
    </row>
    <row r="1466" spans="2:60" ht="15.6" x14ac:dyDescent="0.25">
      <c r="B1466" s="324" t="s">
        <v>472</v>
      </c>
      <c r="C1466" s="324"/>
      <c r="D1466" s="175">
        <v>6761</v>
      </c>
      <c r="E1466" s="160"/>
    </row>
    <row r="1467" spans="2:60" x14ac:dyDescent="0.25">
      <c r="B1467" s="160"/>
      <c r="C1467" s="160"/>
      <c r="D1467" s="160"/>
      <c r="E1467" s="160"/>
    </row>
    <row r="1468" spans="2:60" ht="15.6" x14ac:dyDescent="0.25">
      <c r="B1468" s="324" t="s">
        <v>473</v>
      </c>
      <c r="C1468" s="324"/>
      <c r="D1468" s="234" t="str">
        <f>VLOOKUP(D1466,DivisionariasContables,3,FALSE)</f>
        <v>Diferencia de Cambio</v>
      </c>
      <c r="E1468" s="160"/>
    </row>
    <row r="1469" spans="2:60" ht="14.4" thickBot="1" x14ac:dyDescent="0.3"/>
    <row r="1470" spans="2:60" x14ac:dyDescent="0.25">
      <c r="B1470" s="325" t="s">
        <v>466</v>
      </c>
      <c r="C1470" s="327" t="s">
        <v>467</v>
      </c>
      <c r="D1470" s="327" t="s">
        <v>468</v>
      </c>
      <c r="E1470" s="329" t="s">
        <v>469</v>
      </c>
      <c r="F1470" s="330"/>
    </row>
    <row r="1471" spans="2:60" ht="14.4" thickBot="1" x14ac:dyDescent="0.3">
      <c r="B1471" s="326"/>
      <c r="C1471" s="328"/>
      <c r="D1471" s="328"/>
      <c r="E1471" s="232" t="s">
        <v>403</v>
      </c>
      <c r="F1471" s="174" t="s">
        <v>402</v>
      </c>
    </row>
    <row r="1472" spans="2:60" ht="14.4" thickTop="1" x14ac:dyDescent="0.25">
      <c r="B1472" s="236">
        <v>41670</v>
      </c>
      <c r="C1472" s="171"/>
      <c r="D1472" s="166" t="s">
        <v>470</v>
      </c>
      <c r="E1472" s="167">
        <f>SUMIF('Libro Diario Convencional'!$D$15:$D$167,D1466,'Libro Diario Convencional'!$G$15:$G$167)</f>
        <v>0</v>
      </c>
      <c r="F1472" s="168">
        <f>SUMIF('Libro Diario Convencional'!$D$15:$D$167,D1466,'Libro Diario Convencional'!$H$15:$H$167)</f>
        <v>0</v>
      </c>
    </row>
    <row r="1473" spans="2:60" x14ac:dyDescent="0.25">
      <c r="B1473" s="169"/>
      <c r="C1473" s="172"/>
      <c r="D1473" s="161"/>
      <c r="E1473" s="162"/>
      <c r="F1473" s="163"/>
    </row>
    <row r="1474" spans="2:60" x14ac:dyDescent="0.25">
      <c r="B1474" s="169"/>
      <c r="C1474" s="172"/>
      <c r="D1474" s="161"/>
      <c r="E1474" s="162"/>
      <c r="F1474" s="163"/>
    </row>
    <row r="1475" spans="2:60" ht="14.4" thickBot="1" x14ac:dyDescent="0.3">
      <c r="B1475" s="169"/>
      <c r="C1475" s="172"/>
      <c r="D1475" s="161"/>
      <c r="E1475" s="162"/>
      <c r="F1475" s="163"/>
    </row>
    <row r="1476" spans="2:60" ht="15" thickBot="1" x14ac:dyDescent="0.3">
      <c r="B1476" s="169"/>
      <c r="C1476" s="172"/>
      <c r="D1476" s="161" t="s">
        <v>471</v>
      </c>
      <c r="E1476" s="162">
        <f>SUM(E1472:E1475)</f>
        <v>0</v>
      </c>
      <c r="F1476" s="163">
        <f>SUM(F1472:F1475)</f>
        <v>0</v>
      </c>
      <c r="BG1476" s="157">
        <f>SUM(E1476,K1476,Q1476,W1476,AC1476,AI1476,AO1476,AU1476,AX1476,BD1476)</f>
        <v>0</v>
      </c>
      <c r="BH1476" s="158">
        <f>SUM(F1476,L1476,R1476,X1476,AD1476,AJ1476,AP1476,AV1476,AY1476,BE1476)</f>
        <v>0</v>
      </c>
    </row>
    <row r="1477" spans="2:60" ht="14.4" thickBot="1" x14ac:dyDescent="0.3">
      <c r="B1477" s="170"/>
      <c r="C1477" s="173"/>
      <c r="D1477" s="164" t="str">
        <f>IF(E1476=F1476,"",IF(E1476&gt;F1476,"Saldo Deudor","Saldo Acreedor"))</f>
        <v/>
      </c>
      <c r="E1477" s="165" t="str">
        <f>IF(E1476&gt;F1476,E1476-F1476,"")</f>
        <v/>
      </c>
      <c r="F1477" s="176" t="str">
        <f>IF(E1476&lt;F1476,F1476-E1476,"")</f>
        <v/>
      </c>
    </row>
    <row r="1480" spans="2:60" ht="15.6" x14ac:dyDescent="0.25">
      <c r="B1480" s="324" t="s">
        <v>472</v>
      </c>
      <c r="C1480" s="324"/>
      <c r="D1480" s="175">
        <v>6771</v>
      </c>
      <c r="E1480" s="160"/>
    </row>
    <row r="1481" spans="2:60" x14ac:dyDescent="0.25">
      <c r="B1481" s="160"/>
      <c r="C1481" s="160"/>
      <c r="D1481" s="160"/>
      <c r="E1481" s="160"/>
    </row>
    <row r="1482" spans="2:60" ht="15.6" x14ac:dyDescent="0.25">
      <c r="B1482" s="324" t="s">
        <v>473</v>
      </c>
      <c r="C1482" s="324"/>
      <c r="D1482" s="234" t="str">
        <f>VLOOKUP(D1480,DivisionariasContables,3,FALSE)</f>
        <v>Inversiones para Negociación</v>
      </c>
      <c r="E1482" s="160"/>
    </row>
    <row r="1483" spans="2:60" ht="14.4" thickBot="1" x14ac:dyDescent="0.3"/>
    <row r="1484" spans="2:60" x14ac:dyDescent="0.25">
      <c r="B1484" s="325" t="s">
        <v>466</v>
      </c>
      <c r="C1484" s="327" t="s">
        <v>467</v>
      </c>
      <c r="D1484" s="327" t="s">
        <v>468</v>
      </c>
      <c r="E1484" s="329" t="s">
        <v>469</v>
      </c>
      <c r="F1484" s="330"/>
    </row>
    <row r="1485" spans="2:60" ht="14.4" thickBot="1" x14ac:dyDescent="0.3">
      <c r="B1485" s="326"/>
      <c r="C1485" s="328"/>
      <c r="D1485" s="328"/>
      <c r="E1485" s="232" t="s">
        <v>403</v>
      </c>
      <c r="F1485" s="174" t="s">
        <v>402</v>
      </c>
    </row>
    <row r="1486" spans="2:60" ht="14.4" thickTop="1" x14ac:dyDescent="0.25">
      <c r="B1486" s="236">
        <v>41670</v>
      </c>
      <c r="C1486" s="171"/>
      <c r="D1486" s="166" t="s">
        <v>470</v>
      </c>
      <c r="E1486" s="167">
        <f>SUMIF('Libro Diario Convencional'!$D$15:$D$167,D1480,'Libro Diario Convencional'!$G$15:$G$167)</f>
        <v>0</v>
      </c>
      <c r="F1486" s="168">
        <f>SUMIF('Libro Diario Convencional'!$D$15:$D$167,D1480,'Libro Diario Convencional'!$H$15:$H$167)</f>
        <v>0</v>
      </c>
    </row>
    <row r="1487" spans="2:60" x14ac:dyDescent="0.25">
      <c r="B1487" s="169"/>
      <c r="C1487" s="172"/>
      <c r="D1487" s="161"/>
      <c r="E1487" s="162"/>
      <c r="F1487" s="163"/>
    </row>
    <row r="1488" spans="2:60" x14ac:dyDescent="0.25">
      <c r="B1488" s="169"/>
      <c r="C1488" s="172"/>
      <c r="D1488" s="161"/>
      <c r="E1488" s="162"/>
      <c r="F1488" s="163"/>
    </row>
    <row r="1489" spans="2:60" ht="14.4" thickBot="1" x14ac:dyDescent="0.3">
      <c r="B1489" s="169"/>
      <c r="C1489" s="172"/>
      <c r="D1489" s="161"/>
      <c r="E1489" s="162"/>
      <c r="F1489" s="163"/>
    </row>
    <row r="1490" spans="2:60" ht="15" thickBot="1" x14ac:dyDescent="0.3">
      <c r="B1490" s="169"/>
      <c r="C1490" s="172"/>
      <c r="D1490" s="161" t="s">
        <v>471</v>
      </c>
      <c r="E1490" s="162">
        <f>SUM(E1486:E1489)</f>
        <v>0</v>
      </c>
      <c r="F1490" s="163">
        <f>SUM(F1486:F1489)</f>
        <v>0</v>
      </c>
      <c r="BG1490" s="157">
        <f>SUM(E1490,K1490,Q1490,W1490,AC1490,AI1490,AO1490,AU1490,AX1490,BD1490)</f>
        <v>0</v>
      </c>
      <c r="BH1490" s="158">
        <f>SUM(F1490,L1490,R1490,X1490,AD1490,AJ1490,AP1490,AV1490,AY1490,BE1490)</f>
        <v>0</v>
      </c>
    </row>
    <row r="1491" spans="2:60" ht="14.4" thickBot="1" x14ac:dyDescent="0.3">
      <c r="B1491" s="170"/>
      <c r="C1491" s="173"/>
      <c r="D1491" s="164" t="str">
        <f>IF(E1490=F1490,"",IF(E1490&gt;F1490,"Saldo Deudor","Saldo Acreedor"))</f>
        <v/>
      </c>
      <c r="E1491" s="165" t="str">
        <f>IF(E1490&gt;F1490,E1490-F1490,"")</f>
        <v/>
      </c>
      <c r="F1491" s="176" t="str">
        <f>IF(E1490&lt;F1490,F1490-E1490,"")</f>
        <v/>
      </c>
    </row>
    <row r="1494" spans="2:60" ht="15.6" x14ac:dyDescent="0.25">
      <c r="B1494" s="324" t="s">
        <v>472</v>
      </c>
      <c r="C1494" s="324"/>
      <c r="D1494" s="175">
        <v>6791</v>
      </c>
      <c r="E1494" s="160"/>
      <c r="H1494" s="324" t="s">
        <v>472</v>
      </c>
      <c r="I1494" s="324"/>
      <c r="J1494" s="175">
        <v>6792</v>
      </c>
      <c r="K1494" s="160"/>
      <c r="N1494" s="324" t="s">
        <v>472</v>
      </c>
      <c r="O1494" s="324"/>
      <c r="P1494" s="175">
        <v>6793</v>
      </c>
      <c r="Q1494" s="160"/>
      <c r="T1494" s="324" t="s">
        <v>472</v>
      </c>
      <c r="U1494" s="324"/>
      <c r="V1494" s="175">
        <v>6794</v>
      </c>
      <c r="W1494" s="160"/>
      <c r="Z1494" s="324" t="s">
        <v>472</v>
      </c>
      <c r="AA1494" s="324"/>
      <c r="AB1494" s="175">
        <v>6799</v>
      </c>
      <c r="AC1494" s="160"/>
    </row>
    <row r="1495" spans="2:60" x14ac:dyDescent="0.25">
      <c r="B1495" s="160"/>
      <c r="C1495" s="160"/>
      <c r="D1495" s="160"/>
      <c r="E1495" s="160"/>
      <c r="H1495" s="160"/>
      <c r="I1495" s="160"/>
      <c r="J1495" s="160"/>
      <c r="K1495" s="160"/>
      <c r="N1495" s="160"/>
      <c r="O1495" s="160"/>
      <c r="P1495" s="160"/>
      <c r="Q1495" s="160"/>
      <c r="T1495" s="160"/>
      <c r="U1495" s="160"/>
      <c r="V1495" s="160"/>
      <c r="W1495" s="160"/>
      <c r="Z1495" s="160"/>
      <c r="AA1495" s="160"/>
      <c r="AB1495" s="160"/>
      <c r="AC1495" s="160"/>
    </row>
    <row r="1496" spans="2:60" ht="15.6" x14ac:dyDescent="0.25">
      <c r="B1496" s="324" t="s">
        <v>473</v>
      </c>
      <c r="C1496" s="324"/>
      <c r="D1496" s="234" t="str">
        <f>VLOOKUP(D1494,DivisionariasContables,3,FALSE)</f>
        <v>Primas por Opciones</v>
      </c>
      <c r="E1496" s="160"/>
      <c r="H1496" s="324" t="s">
        <v>473</v>
      </c>
      <c r="I1496" s="324"/>
      <c r="J1496" s="234" t="str">
        <f>VLOOKUP(J1494,DivisionariasContables,3,FALSE)</f>
        <v>Gastos Financieros en Medición a Valor Descontado</v>
      </c>
      <c r="K1496" s="160"/>
      <c r="N1496" s="324" t="s">
        <v>473</v>
      </c>
      <c r="O1496" s="324"/>
      <c r="P1496" s="234" t="str">
        <f>VLOOKUP(P1494,DivisionariasContables,3,FALSE)</f>
        <v>Intereses por Demora con las AFP's</v>
      </c>
      <c r="Q1496" s="160"/>
      <c r="T1496" s="324" t="s">
        <v>473</v>
      </c>
      <c r="U1496" s="324"/>
      <c r="V1496" s="234" t="str">
        <f>VLOOKUP(V1494,DivisionariasContables,3,FALSE)</f>
        <v>Intereses por Demora en el Pago de Tributos</v>
      </c>
      <c r="W1496" s="160"/>
      <c r="Z1496" s="324" t="s">
        <v>473</v>
      </c>
      <c r="AA1496" s="324"/>
      <c r="AB1496" s="234" t="str">
        <f>VLOOKUP(AB1494,DivisionariasContables,3,FALSE)</f>
        <v>Reclasificación de IGV al Gasto</v>
      </c>
      <c r="AC1496" s="160"/>
    </row>
    <row r="1497" spans="2:60" ht="14.4" thickBot="1" x14ac:dyDescent="0.3"/>
    <row r="1498" spans="2:60" x14ac:dyDescent="0.25">
      <c r="B1498" s="325" t="s">
        <v>466</v>
      </c>
      <c r="C1498" s="327" t="s">
        <v>467</v>
      </c>
      <c r="D1498" s="327" t="s">
        <v>468</v>
      </c>
      <c r="E1498" s="329" t="s">
        <v>469</v>
      </c>
      <c r="F1498" s="330"/>
      <c r="H1498" s="325" t="s">
        <v>466</v>
      </c>
      <c r="I1498" s="327" t="s">
        <v>467</v>
      </c>
      <c r="J1498" s="327" t="s">
        <v>468</v>
      </c>
      <c r="K1498" s="329" t="s">
        <v>469</v>
      </c>
      <c r="L1498" s="330"/>
      <c r="N1498" s="325" t="s">
        <v>466</v>
      </c>
      <c r="O1498" s="327" t="s">
        <v>467</v>
      </c>
      <c r="P1498" s="327" t="s">
        <v>468</v>
      </c>
      <c r="Q1498" s="329" t="s">
        <v>469</v>
      </c>
      <c r="R1498" s="330"/>
      <c r="T1498" s="325" t="s">
        <v>466</v>
      </c>
      <c r="U1498" s="327" t="s">
        <v>467</v>
      </c>
      <c r="V1498" s="327" t="s">
        <v>468</v>
      </c>
      <c r="W1498" s="329" t="s">
        <v>469</v>
      </c>
      <c r="X1498" s="330"/>
      <c r="Z1498" s="325" t="s">
        <v>466</v>
      </c>
      <c r="AA1498" s="327" t="s">
        <v>467</v>
      </c>
      <c r="AB1498" s="327" t="s">
        <v>468</v>
      </c>
      <c r="AC1498" s="329" t="s">
        <v>469</v>
      </c>
      <c r="AD1498" s="330"/>
    </row>
    <row r="1499" spans="2:60" ht="14.4" thickBot="1" x14ac:dyDescent="0.3">
      <c r="B1499" s="326"/>
      <c r="C1499" s="328"/>
      <c r="D1499" s="328"/>
      <c r="E1499" s="232" t="s">
        <v>403</v>
      </c>
      <c r="F1499" s="174" t="s">
        <v>402</v>
      </c>
      <c r="H1499" s="326"/>
      <c r="I1499" s="328"/>
      <c r="J1499" s="328"/>
      <c r="K1499" s="232" t="s">
        <v>403</v>
      </c>
      <c r="L1499" s="174" t="s">
        <v>402</v>
      </c>
      <c r="N1499" s="326"/>
      <c r="O1499" s="328"/>
      <c r="P1499" s="328"/>
      <c r="Q1499" s="232" t="s">
        <v>403</v>
      </c>
      <c r="R1499" s="174" t="s">
        <v>402</v>
      </c>
      <c r="T1499" s="326"/>
      <c r="U1499" s="328"/>
      <c r="V1499" s="328"/>
      <c r="W1499" s="232" t="s">
        <v>403</v>
      </c>
      <c r="X1499" s="174" t="s">
        <v>402</v>
      </c>
      <c r="Z1499" s="326"/>
      <c r="AA1499" s="328"/>
      <c r="AB1499" s="328"/>
      <c r="AC1499" s="232" t="s">
        <v>403</v>
      </c>
      <c r="AD1499" s="174" t="s">
        <v>402</v>
      </c>
    </row>
    <row r="1500" spans="2:60" ht="14.4" thickTop="1" x14ac:dyDescent="0.25">
      <c r="B1500" s="236">
        <v>41670</v>
      </c>
      <c r="C1500" s="171"/>
      <c r="D1500" s="166" t="s">
        <v>470</v>
      </c>
      <c r="E1500" s="167">
        <f>SUMIF('Libro Diario Convencional'!$D$15:$D$167,D1494,'Libro Diario Convencional'!$G$15:$G$167)</f>
        <v>0</v>
      </c>
      <c r="F1500" s="168">
        <f>SUMIF('Libro Diario Convencional'!$D$15:$D$167,D1494,'Libro Diario Convencional'!$H$15:$H$167)</f>
        <v>0</v>
      </c>
      <c r="H1500" s="236">
        <v>41670</v>
      </c>
      <c r="I1500" s="171"/>
      <c r="J1500" s="166" t="s">
        <v>470</v>
      </c>
      <c r="K1500" s="167">
        <f>SUMIF('Libro Diario Convencional'!$D$15:$D$167,J1494,'Libro Diario Convencional'!$G$15:$G$167)</f>
        <v>0</v>
      </c>
      <c r="L1500" s="168">
        <f>SUMIF('Libro Diario Convencional'!$D$15:$D$167,J1494,'Libro Diario Convencional'!$H$15:$H$167)</f>
        <v>0</v>
      </c>
      <c r="N1500" s="236">
        <v>41670</v>
      </c>
      <c r="O1500" s="171"/>
      <c r="P1500" s="166" t="s">
        <v>470</v>
      </c>
      <c r="Q1500" s="167">
        <f>SUMIF('Libro Diario Convencional'!$D$15:$D$167,P1494,'Libro Diario Convencional'!$G$15:$G$167)</f>
        <v>0</v>
      </c>
      <c r="R1500" s="168">
        <f>SUMIF('Libro Diario Convencional'!$D$15:$D$167,P1494,'Libro Diario Convencional'!$H$15:$H$167)</f>
        <v>0</v>
      </c>
      <c r="T1500" s="236">
        <v>41670</v>
      </c>
      <c r="U1500" s="171"/>
      <c r="V1500" s="166" t="s">
        <v>470</v>
      </c>
      <c r="W1500" s="167">
        <f>SUMIF('Libro Diario Convencional'!$D$15:$D$167,V1494,'Libro Diario Convencional'!$G$15:$G$167)</f>
        <v>0</v>
      </c>
      <c r="X1500" s="168">
        <f>SUMIF('Libro Diario Convencional'!$D$15:$D$167,V1494,'Libro Diario Convencional'!$H$15:$H$167)</f>
        <v>0</v>
      </c>
      <c r="Z1500" s="236">
        <v>41670</v>
      </c>
      <c r="AA1500" s="171"/>
      <c r="AB1500" s="166" t="s">
        <v>470</v>
      </c>
      <c r="AC1500" s="167">
        <f>SUMIF('Libro Diario Convencional'!$D$15:$D$167,AB1494,'Libro Diario Convencional'!$G$15:$G$167)</f>
        <v>0</v>
      </c>
      <c r="AD1500" s="168">
        <f>SUMIF('Libro Diario Convencional'!$D$15:$D$167,AB1494,'Libro Diario Convencional'!$H$15:$H$167)</f>
        <v>0</v>
      </c>
    </row>
    <row r="1501" spans="2:60" x14ac:dyDescent="0.25">
      <c r="B1501" s="169"/>
      <c r="C1501" s="172"/>
      <c r="D1501" s="161"/>
      <c r="E1501" s="162"/>
      <c r="F1501" s="163"/>
      <c r="H1501" s="169"/>
      <c r="I1501" s="172"/>
      <c r="J1501" s="161"/>
      <c r="K1501" s="162"/>
      <c r="L1501" s="163"/>
      <c r="N1501" s="169"/>
      <c r="O1501" s="172"/>
      <c r="P1501" s="161"/>
      <c r="Q1501" s="162"/>
      <c r="R1501" s="163"/>
      <c r="T1501" s="169"/>
      <c r="U1501" s="172"/>
      <c r="V1501" s="161"/>
      <c r="W1501" s="162"/>
      <c r="X1501" s="163"/>
      <c r="Z1501" s="169"/>
      <c r="AA1501" s="172"/>
      <c r="AB1501" s="161"/>
      <c r="AC1501" s="162"/>
      <c r="AD1501" s="163"/>
    </row>
    <row r="1502" spans="2:60" x14ac:dyDescent="0.25">
      <c r="B1502" s="169"/>
      <c r="C1502" s="172"/>
      <c r="D1502" s="161"/>
      <c r="E1502" s="162"/>
      <c r="F1502" s="163"/>
      <c r="H1502" s="169"/>
      <c r="I1502" s="172"/>
      <c r="J1502" s="161"/>
      <c r="K1502" s="162"/>
      <c r="L1502" s="163"/>
      <c r="N1502" s="169"/>
      <c r="O1502" s="172"/>
      <c r="P1502" s="161"/>
      <c r="Q1502" s="162"/>
      <c r="R1502" s="163"/>
      <c r="T1502" s="169"/>
      <c r="U1502" s="172"/>
      <c r="V1502" s="161"/>
      <c r="W1502" s="162"/>
      <c r="X1502" s="163"/>
      <c r="Z1502" s="169"/>
      <c r="AA1502" s="172"/>
      <c r="AB1502" s="161"/>
      <c r="AC1502" s="162"/>
      <c r="AD1502" s="163"/>
    </row>
    <row r="1503" spans="2:60" ht="14.4" thickBot="1" x14ac:dyDescent="0.3">
      <c r="B1503" s="169"/>
      <c r="C1503" s="172"/>
      <c r="D1503" s="161"/>
      <c r="E1503" s="162"/>
      <c r="F1503" s="163"/>
      <c r="H1503" s="169"/>
      <c r="I1503" s="172"/>
      <c r="J1503" s="161"/>
      <c r="K1503" s="162"/>
      <c r="L1503" s="163"/>
      <c r="N1503" s="169"/>
      <c r="O1503" s="172"/>
      <c r="P1503" s="161"/>
      <c r="Q1503" s="162"/>
      <c r="R1503" s="163"/>
      <c r="T1503" s="169"/>
      <c r="U1503" s="172"/>
      <c r="V1503" s="161"/>
      <c r="W1503" s="162"/>
      <c r="X1503" s="163"/>
      <c r="Z1503" s="169"/>
      <c r="AA1503" s="172"/>
      <c r="AB1503" s="161"/>
      <c r="AC1503" s="162"/>
      <c r="AD1503" s="163"/>
    </row>
    <row r="1504" spans="2:60" ht="15" thickBot="1" x14ac:dyDescent="0.3">
      <c r="B1504" s="169"/>
      <c r="C1504" s="172"/>
      <c r="D1504" s="161" t="s">
        <v>471</v>
      </c>
      <c r="E1504" s="162">
        <f>SUM(E1500:E1503)</f>
        <v>0</v>
      </c>
      <c r="F1504" s="163">
        <f>SUM(F1500:F1503)</f>
        <v>0</v>
      </c>
      <c r="H1504" s="169"/>
      <c r="I1504" s="172"/>
      <c r="J1504" s="161" t="s">
        <v>471</v>
      </c>
      <c r="K1504" s="162">
        <f>SUM(K1500:K1503)</f>
        <v>0</v>
      </c>
      <c r="L1504" s="163">
        <f>SUM(L1500:L1503)</f>
        <v>0</v>
      </c>
      <c r="N1504" s="169"/>
      <c r="O1504" s="172"/>
      <c r="P1504" s="161" t="s">
        <v>471</v>
      </c>
      <c r="Q1504" s="162">
        <f>SUM(Q1500:Q1503)</f>
        <v>0</v>
      </c>
      <c r="R1504" s="163">
        <f>SUM(R1500:R1503)</f>
        <v>0</v>
      </c>
      <c r="T1504" s="169"/>
      <c r="U1504" s="172"/>
      <c r="V1504" s="161" t="s">
        <v>471</v>
      </c>
      <c r="W1504" s="162">
        <f>SUM(W1500:W1503)</f>
        <v>0</v>
      </c>
      <c r="X1504" s="163">
        <f>SUM(X1500:X1503)</f>
        <v>0</v>
      </c>
      <c r="Z1504" s="169"/>
      <c r="AA1504" s="172"/>
      <c r="AB1504" s="161" t="s">
        <v>471</v>
      </c>
      <c r="AC1504" s="162">
        <f>SUM(AC1500:AC1503)</f>
        <v>0</v>
      </c>
      <c r="AD1504" s="163">
        <f>SUM(AD1500:AD1503)</f>
        <v>0</v>
      </c>
      <c r="BG1504" s="157">
        <f>SUM(E1504,K1504,Q1504,W1504,AC1504,AI1504,AO1504,AU1504,AX1504,BD1504)</f>
        <v>0</v>
      </c>
      <c r="BH1504" s="158">
        <f>SUM(F1504,L1504,R1504,X1504,AD1504,AJ1504,AP1504,AV1504,AY1504,BE1504)</f>
        <v>0</v>
      </c>
    </row>
    <row r="1505" spans="2:60" ht="14.4" thickBot="1" x14ac:dyDescent="0.3">
      <c r="B1505" s="170"/>
      <c r="C1505" s="173"/>
      <c r="D1505" s="164" t="str">
        <f>IF(E1504=F1504,"",IF(E1504&gt;F1504,"Saldo Deudor","Saldo Acreedor"))</f>
        <v/>
      </c>
      <c r="E1505" s="165" t="str">
        <f>IF(E1504&gt;F1504,E1504-F1504,"")</f>
        <v/>
      </c>
      <c r="F1505" s="176" t="str">
        <f>IF(E1504&lt;F1504,F1504-E1504,"")</f>
        <v/>
      </c>
      <c r="H1505" s="170"/>
      <c r="I1505" s="173"/>
      <c r="J1505" s="164" t="str">
        <f>IF(K1504=L1504,"",IF(K1504&gt;L1504,"Saldo Deudor","Saldo Acreedor"))</f>
        <v/>
      </c>
      <c r="K1505" s="165" t="str">
        <f>IF(K1504&gt;L1504,K1504-L1504,"")</f>
        <v/>
      </c>
      <c r="L1505" s="176" t="str">
        <f>IF(K1504&lt;L1504,L1504-K1504,"")</f>
        <v/>
      </c>
      <c r="N1505" s="170"/>
      <c r="O1505" s="173"/>
      <c r="P1505" s="164" t="str">
        <f>IF(Q1504=R1504,"",IF(Q1504&gt;R1504,"Saldo Deudor","Saldo Acreedor"))</f>
        <v/>
      </c>
      <c r="Q1505" s="165" t="str">
        <f>IF(Q1504&gt;R1504,Q1504-R1504,"")</f>
        <v/>
      </c>
      <c r="R1505" s="176" t="str">
        <f>IF(Q1504&lt;R1504,R1504-Q1504,"")</f>
        <v/>
      </c>
      <c r="T1505" s="170"/>
      <c r="U1505" s="173"/>
      <c r="V1505" s="164" t="str">
        <f>IF(W1504=X1504,"",IF(W1504&gt;X1504,"Saldo Deudor","Saldo Acreedor"))</f>
        <v/>
      </c>
      <c r="W1505" s="165" t="str">
        <f>IF(W1504&gt;X1504,W1504-X1504,"")</f>
        <v/>
      </c>
      <c r="X1505" s="176" t="str">
        <f>IF(W1504&lt;X1504,X1504-W1504,"")</f>
        <v/>
      </c>
      <c r="Z1505" s="170"/>
      <c r="AA1505" s="173"/>
      <c r="AB1505" s="164" t="str">
        <f>IF(AC1504=AD1504,"",IF(AC1504&gt;AD1504,"Saldo Deudor","Saldo Acreedor"))</f>
        <v/>
      </c>
      <c r="AC1505" s="165" t="str">
        <f>IF(AC1504&gt;AD1504,AC1504-AD1504,"")</f>
        <v/>
      </c>
      <c r="AD1505" s="176" t="str">
        <f>IF(AC1504&lt;AD1504,AD1504-AC1504,"")</f>
        <v/>
      </c>
    </row>
    <row r="1508" spans="2:60" ht="15.6" x14ac:dyDescent="0.25">
      <c r="B1508" s="324" t="s">
        <v>472</v>
      </c>
      <c r="C1508" s="324"/>
      <c r="D1508" s="175">
        <v>6814</v>
      </c>
      <c r="E1508" s="160"/>
    </row>
    <row r="1509" spans="2:60" x14ac:dyDescent="0.25">
      <c r="B1509" s="160"/>
      <c r="C1509" s="160"/>
      <c r="D1509" s="160"/>
      <c r="E1509" s="160"/>
    </row>
    <row r="1510" spans="2:60" ht="15.6" x14ac:dyDescent="0.25">
      <c r="B1510" s="324" t="s">
        <v>473</v>
      </c>
      <c r="C1510" s="324"/>
      <c r="D1510" s="234" t="str">
        <f>VLOOKUP(D1508,DivisionariasContables,3,FALSE)</f>
        <v>Depreciación de Inmuebles, Maquinaria y Equipo - Costo</v>
      </c>
      <c r="E1510" s="160"/>
    </row>
    <row r="1511" spans="2:60" ht="14.4" thickBot="1" x14ac:dyDescent="0.3"/>
    <row r="1512" spans="2:60" x14ac:dyDescent="0.25">
      <c r="B1512" s="325" t="s">
        <v>466</v>
      </c>
      <c r="C1512" s="327" t="s">
        <v>467</v>
      </c>
      <c r="D1512" s="327" t="s">
        <v>468</v>
      </c>
      <c r="E1512" s="329" t="s">
        <v>469</v>
      </c>
      <c r="F1512" s="330"/>
    </row>
    <row r="1513" spans="2:60" ht="14.4" thickBot="1" x14ac:dyDescent="0.3">
      <c r="B1513" s="326"/>
      <c r="C1513" s="328"/>
      <c r="D1513" s="328"/>
      <c r="E1513" s="232" t="s">
        <v>403</v>
      </c>
      <c r="F1513" s="174" t="s">
        <v>402</v>
      </c>
    </row>
    <row r="1514" spans="2:60" ht="14.4" thickTop="1" x14ac:dyDescent="0.25">
      <c r="B1514" s="236">
        <v>41670</v>
      </c>
      <c r="C1514" s="171"/>
      <c r="D1514" s="166" t="s">
        <v>470</v>
      </c>
      <c r="E1514" s="167">
        <f>SUMIF('Libro Diario Convencional'!$D$15:$D$167,D1508,'Libro Diario Convencional'!$G$15:$G$167)</f>
        <v>0</v>
      </c>
      <c r="F1514" s="168">
        <f>SUMIF('Libro Diario Convencional'!$D$15:$D$167,D1508,'Libro Diario Convencional'!$H$15:$H$167)</f>
        <v>0</v>
      </c>
    </row>
    <row r="1515" spans="2:60" x14ac:dyDescent="0.25">
      <c r="B1515" s="169"/>
      <c r="C1515" s="172"/>
      <c r="D1515" s="161"/>
      <c r="E1515" s="162"/>
      <c r="F1515" s="163"/>
    </row>
    <row r="1516" spans="2:60" x14ac:dyDescent="0.25">
      <c r="B1516" s="169"/>
      <c r="C1516" s="172"/>
      <c r="D1516" s="161"/>
      <c r="E1516" s="162"/>
      <c r="F1516" s="163"/>
    </row>
    <row r="1517" spans="2:60" ht="14.4" thickBot="1" x14ac:dyDescent="0.3">
      <c r="B1517" s="169"/>
      <c r="C1517" s="172"/>
      <c r="D1517" s="161"/>
      <c r="E1517" s="162"/>
      <c r="F1517" s="163"/>
    </row>
    <row r="1518" spans="2:60" ht="15" thickBot="1" x14ac:dyDescent="0.3">
      <c r="B1518" s="169"/>
      <c r="C1518" s="172"/>
      <c r="D1518" s="161" t="s">
        <v>471</v>
      </c>
      <c r="E1518" s="162">
        <f>SUM(E1514:E1517)</f>
        <v>0</v>
      </c>
      <c r="F1518" s="163">
        <f>SUM(F1514:F1517)</f>
        <v>0</v>
      </c>
      <c r="BG1518" s="157">
        <f>SUM(E1518,K1518,Q1518,W1518,AC1518,AI1518,AO1518,AU1518,AX1518,BD1518)</f>
        <v>0</v>
      </c>
      <c r="BH1518" s="158">
        <f>SUM(F1518,L1518,R1518,X1518,AD1518,AJ1518,AP1518,AV1518,AY1518,BE1518)</f>
        <v>0</v>
      </c>
    </row>
    <row r="1519" spans="2:60" ht="14.4" thickBot="1" x14ac:dyDescent="0.3">
      <c r="B1519" s="170"/>
      <c r="C1519" s="173"/>
      <c r="D1519" s="164" t="str">
        <f>IF(E1518=F1518,"",IF(E1518&gt;F1518,"Saldo Deudor","Saldo Acreedor"))</f>
        <v/>
      </c>
      <c r="E1519" s="165" t="str">
        <f>IF(E1518&gt;F1518,E1518-F1518,"")</f>
        <v/>
      </c>
      <c r="F1519" s="176" t="str">
        <f>IF(E1518&lt;F1518,F1518-E1518,"")</f>
        <v/>
      </c>
    </row>
    <row r="1522" spans="2:60" ht="15.6" x14ac:dyDescent="0.25">
      <c r="B1522" s="324" t="s">
        <v>472</v>
      </c>
      <c r="C1522" s="324"/>
      <c r="D1522" s="175">
        <v>6911</v>
      </c>
      <c r="E1522" s="160"/>
    </row>
    <row r="1523" spans="2:60" x14ac:dyDescent="0.25">
      <c r="B1523" s="160"/>
      <c r="C1523" s="160"/>
      <c r="D1523" s="160"/>
      <c r="E1523" s="160"/>
    </row>
    <row r="1524" spans="2:60" ht="15.6" x14ac:dyDescent="0.25">
      <c r="B1524" s="324" t="s">
        <v>473</v>
      </c>
      <c r="C1524" s="324"/>
      <c r="D1524" s="234" t="str">
        <f>VLOOKUP(D1522,DivisionariasContables,3,FALSE)</f>
        <v>Mercaderías Manufacturadas</v>
      </c>
      <c r="E1524" s="160"/>
    </row>
    <row r="1525" spans="2:60" ht="14.4" thickBot="1" x14ac:dyDescent="0.3"/>
    <row r="1526" spans="2:60" x14ac:dyDescent="0.25">
      <c r="B1526" s="325" t="s">
        <v>466</v>
      </c>
      <c r="C1526" s="327" t="s">
        <v>467</v>
      </c>
      <c r="D1526" s="327" t="s">
        <v>468</v>
      </c>
      <c r="E1526" s="329" t="s">
        <v>469</v>
      </c>
      <c r="F1526" s="330"/>
    </row>
    <row r="1527" spans="2:60" ht="14.4" thickBot="1" x14ac:dyDescent="0.3">
      <c r="B1527" s="326"/>
      <c r="C1527" s="328"/>
      <c r="D1527" s="328"/>
      <c r="E1527" s="232" t="s">
        <v>403</v>
      </c>
      <c r="F1527" s="174" t="s">
        <v>402</v>
      </c>
    </row>
    <row r="1528" spans="2:60" ht="14.4" thickTop="1" x14ac:dyDescent="0.25">
      <c r="B1528" s="236">
        <v>41670</v>
      </c>
      <c r="C1528" s="171"/>
      <c r="D1528" s="166" t="s">
        <v>470</v>
      </c>
      <c r="E1528" s="167">
        <f>SUMIF('Libro Diario Convencional'!$D$15:$D$167,D1522,'Libro Diario Convencional'!$G$15:$G$167)</f>
        <v>0</v>
      </c>
      <c r="F1528" s="168">
        <f>SUMIF('Libro Diario Convencional'!$D$15:$D$167,D1522,'Libro Diario Convencional'!$H$15:$H$167)</f>
        <v>0</v>
      </c>
    </row>
    <row r="1529" spans="2:60" x14ac:dyDescent="0.25">
      <c r="B1529" s="169"/>
      <c r="C1529" s="172"/>
      <c r="D1529" s="161"/>
      <c r="E1529" s="162"/>
      <c r="F1529" s="163"/>
    </row>
    <row r="1530" spans="2:60" x14ac:dyDescent="0.25">
      <c r="B1530" s="169"/>
      <c r="C1530" s="172"/>
      <c r="D1530" s="161"/>
      <c r="E1530" s="162"/>
      <c r="F1530" s="163"/>
    </row>
    <row r="1531" spans="2:60" ht="14.4" thickBot="1" x14ac:dyDescent="0.3">
      <c r="B1531" s="169"/>
      <c r="C1531" s="172"/>
      <c r="D1531" s="161"/>
      <c r="E1531" s="162"/>
      <c r="F1531" s="163"/>
    </row>
    <row r="1532" spans="2:60" ht="15" thickBot="1" x14ac:dyDescent="0.3">
      <c r="B1532" s="169"/>
      <c r="C1532" s="172"/>
      <c r="D1532" s="161" t="s">
        <v>471</v>
      </c>
      <c r="E1532" s="162">
        <f>SUM(E1528:E1531)</f>
        <v>0</v>
      </c>
      <c r="F1532" s="163">
        <f>SUM(F1528:F1531)</f>
        <v>0</v>
      </c>
      <c r="BG1532" s="157">
        <f>SUM(E1532,K1532,Q1532,W1532,AC1532,AI1532,AO1532,AU1532,AX1532,BD1532)</f>
        <v>0</v>
      </c>
      <c r="BH1532" s="158">
        <f>SUM(F1532,L1532,R1532,X1532,AD1532,AJ1532,AP1532,AV1532,AY1532,BE1532)</f>
        <v>0</v>
      </c>
    </row>
    <row r="1533" spans="2:60" ht="14.4" thickBot="1" x14ac:dyDescent="0.3">
      <c r="B1533" s="170"/>
      <c r="C1533" s="173"/>
      <c r="D1533" s="164" t="str">
        <f>IF(E1532=F1532,"",IF(E1532&gt;F1532,"Saldo Deudor","Saldo Acreedor"))</f>
        <v/>
      </c>
      <c r="E1533" s="165" t="str">
        <f>IF(E1532&gt;F1532,E1532-F1532,"")</f>
        <v/>
      </c>
      <c r="F1533" s="176" t="str">
        <f>IF(E1532&lt;F1532,F1532-E1532,"")</f>
        <v/>
      </c>
    </row>
    <row r="1536" spans="2:60" ht="15.6" x14ac:dyDescent="0.25">
      <c r="B1536" s="324" t="s">
        <v>472</v>
      </c>
      <c r="C1536" s="324"/>
      <c r="D1536" s="175">
        <v>6921</v>
      </c>
      <c r="E1536" s="160"/>
    </row>
    <row r="1537" spans="2:60" x14ac:dyDescent="0.25">
      <c r="B1537" s="160"/>
      <c r="C1537" s="160"/>
      <c r="D1537" s="160"/>
      <c r="E1537" s="160"/>
    </row>
    <row r="1538" spans="2:60" ht="15.6" x14ac:dyDescent="0.25">
      <c r="B1538" s="324" t="s">
        <v>473</v>
      </c>
      <c r="C1538" s="324"/>
      <c r="D1538" s="234" t="str">
        <f>VLOOKUP(D1536,DivisionariasContables,3,FALSE)</f>
        <v>Productos Manufacturados</v>
      </c>
      <c r="E1538" s="160"/>
    </row>
    <row r="1539" spans="2:60" ht="14.4" thickBot="1" x14ac:dyDescent="0.3"/>
    <row r="1540" spans="2:60" x14ac:dyDescent="0.25">
      <c r="B1540" s="325" t="s">
        <v>466</v>
      </c>
      <c r="C1540" s="327" t="s">
        <v>467</v>
      </c>
      <c r="D1540" s="327" t="s">
        <v>468</v>
      </c>
      <c r="E1540" s="329" t="s">
        <v>469</v>
      </c>
      <c r="F1540" s="330"/>
    </row>
    <row r="1541" spans="2:60" ht="14.4" thickBot="1" x14ac:dyDescent="0.3">
      <c r="B1541" s="326"/>
      <c r="C1541" s="328"/>
      <c r="D1541" s="328"/>
      <c r="E1541" s="232" t="s">
        <v>403</v>
      </c>
      <c r="F1541" s="174" t="s">
        <v>402</v>
      </c>
    </row>
    <row r="1542" spans="2:60" ht="14.4" thickTop="1" x14ac:dyDescent="0.25">
      <c r="B1542" s="236">
        <v>41670</v>
      </c>
      <c r="C1542" s="171"/>
      <c r="D1542" s="166" t="s">
        <v>470</v>
      </c>
      <c r="E1542" s="167">
        <f>SUMIF('Libro Diario Convencional'!$D$15:$D$167,D1536,'Libro Diario Convencional'!$G$15:$G$167)</f>
        <v>0</v>
      </c>
      <c r="F1542" s="168">
        <f>SUMIF('Libro Diario Convencional'!$D$15:$D$167,D1536,'Libro Diario Convencional'!$H$15:$H$167)</f>
        <v>0</v>
      </c>
    </row>
    <row r="1543" spans="2:60" x14ac:dyDescent="0.25">
      <c r="B1543" s="169"/>
      <c r="C1543" s="172"/>
      <c r="D1543" s="161"/>
      <c r="E1543" s="162"/>
      <c r="F1543" s="163"/>
    </row>
    <row r="1544" spans="2:60" x14ac:dyDescent="0.25">
      <c r="B1544" s="169"/>
      <c r="C1544" s="172"/>
      <c r="D1544" s="161"/>
      <c r="E1544" s="162"/>
      <c r="F1544" s="163"/>
    </row>
    <row r="1545" spans="2:60" ht="14.4" thickBot="1" x14ac:dyDescent="0.3">
      <c r="B1545" s="169"/>
      <c r="C1545" s="172"/>
      <c r="D1545" s="161"/>
      <c r="E1545" s="162"/>
      <c r="F1545" s="163"/>
    </row>
    <row r="1546" spans="2:60" ht="15" thickBot="1" x14ac:dyDescent="0.3">
      <c r="B1546" s="169"/>
      <c r="C1546" s="172"/>
      <c r="D1546" s="161" t="s">
        <v>471</v>
      </c>
      <c r="E1546" s="162">
        <f>SUM(E1542:E1545)</f>
        <v>0</v>
      </c>
      <c r="F1546" s="163">
        <f>SUM(F1542:F1545)</f>
        <v>0</v>
      </c>
      <c r="BG1546" s="157">
        <f>SUM(E1546,K1546,Q1546,W1546,AC1546,AI1546,AO1546,AU1546,AX1546,BD1546)</f>
        <v>0</v>
      </c>
      <c r="BH1546" s="158">
        <f>SUM(F1546,L1546,R1546,X1546,AD1546,AJ1546,AP1546,AV1546,AY1546,BE1546)</f>
        <v>0</v>
      </c>
    </row>
    <row r="1547" spans="2:60" ht="14.4" thickBot="1" x14ac:dyDescent="0.3">
      <c r="B1547" s="170"/>
      <c r="C1547" s="173"/>
      <c r="D1547" s="164" t="str">
        <f>IF(E1546=F1546,"",IF(E1546&gt;F1546,"Saldo Deudor","Saldo Acreedor"))</f>
        <v/>
      </c>
      <c r="E1547" s="165" t="str">
        <f>IF(E1546&gt;F1546,E1546-F1546,"")</f>
        <v/>
      </c>
      <c r="F1547" s="176" t="str">
        <f>IF(E1546&lt;F1546,F1546-E1546,"")</f>
        <v/>
      </c>
    </row>
    <row r="1550" spans="2:60" ht="15.6" x14ac:dyDescent="0.25">
      <c r="B1550" s="324" t="s">
        <v>472</v>
      </c>
      <c r="C1550" s="324"/>
      <c r="D1550" s="175">
        <v>7011</v>
      </c>
      <c r="E1550" s="160"/>
      <c r="H1550" s="324" t="s">
        <v>472</v>
      </c>
      <c r="I1550" s="324"/>
      <c r="J1550" s="175">
        <v>7012</v>
      </c>
      <c r="K1550" s="160"/>
      <c r="N1550" s="324" t="s">
        <v>472</v>
      </c>
      <c r="O1550" s="324"/>
      <c r="P1550" s="175">
        <v>7013</v>
      </c>
      <c r="Q1550" s="160"/>
      <c r="T1550" s="324" t="s">
        <v>472</v>
      </c>
      <c r="U1550" s="324"/>
      <c r="V1550" s="175">
        <v>7014</v>
      </c>
      <c r="W1550" s="160"/>
      <c r="Z1550" s="324" t="s">
        <v>472</v>
      </c>
      <c r="AA1550" s="324"/>
      <c r="AB1550" s="175">
        <v>7015</v>
      </c>
      <c r="AC1550" s="160"/>
    </row>
    <row r="1551" spans="2:60" x14ac:dyDescent="0.25">
      <c r="B1551" s="160"/>
      <c r="C1551" s="160"/>
      <c r="D1551" s="160"/>
      <c r="E1551" s="160"/>
      <c r="H1551" s="160"/>
      <c r="I1551" s="160"/>
      <c r="J1551" s="160"/>
      <c r="K1551" s="160"/>
      <c r="N1551" s="160"/>
      <c r="O1551" s="160"/>
      <c r="P1551" s="160"/>
      <c r="Q1551" s="160"/>
      <c r="T1551" s="160"/>
      <c r="U1551" s="160"/>
      <c r="V1551" s="160"/>
      <c r="W1551" s="160"/>
      <c r="Z1551" s="160"/>
      <c r="AA1551" s="160"/>
      <c r="AB1551" s="160"/>
      <c r="AC1551" s="160"/>
    </row>
    <row r="1552" spans="2:60" ht="15.6" x14ac:dyDescent="0.25">
      <c r="B1552" s="324" t="s">
        <v>473</v>
      </c>
      <c r="C1552" s="324"/>
      <c r="D1552" s="234" t="str">
        <f>VLOOKUP(D1550,DivisionariasContables,3,FALSE)</f>
        <v>Mercaderías - Mercaderías Manufacturadas</v>
      </c>
      <c r="E1552" s="160"/>
      <c r="H1552" s="324" t="s">
        <v>473</v>
      </c>
      <c r="I1552" s="324"/>
      <c r="J1552" s="234" t="str">
        <f>VLOOKUP(J1550,DivisionariasContables,3,FALSE)</f>
        <v>Mercaderías - Mercaderías de Extracción</v>
      </c>
      <c r="K1552" s="160"/>
      <c r="N1552" s="324" t="s">
        <v>473</v>
      </c>
      <c r="O1552" s="324"/>
      <c r="P1552" s="234" t="str">
        <f>VLOOKUP(P1550,DivisionariasContables,3,FALSE)</f>
        <v>Mercaderías - Mercaderías Agropecuarias y Piscícolas</v>
      </c>
      <c r="Q1552" s="160"/>
      <c r="T1552" s="324" t="s">
        <v>473</v>
      </c>
      <c r="U1552" s="324"/>
      <c r="V1552" s="234" t="str">
        <f>VLOOKUP(V1550,DivisionariasContables,3,FALSE)</f>
        <v>Mercaderías - Mercaderías Inmuebles</v>
      </c>
      <c r="W1552" s="160"/>
      <c r="Z1552" s="324" t="s">
        <v>473</v>
      </c>
      <c r="AA1552" s="324"/>
      <c r="AB1552" s="234" t="str">
        <f>VLOOKUP(AB1550,DivisionariasContables,3,FALSE)</f>
        <v>Mercaderías - Otras</v>
      </c>
      <c r="AC1552" s="160"/>
    </row>
    <row r="1553" spans="2:60" ht="14.4" thickBot="1" x14ac:dyDescent="0.3"/>
    <row r="1554" spans="2:60" x14ac:dyDescent="0.25">
      <c r="B1554" s="325" t="s">
        <v>466</v>
      </c>
      <c r="C1554" s="327" t="s">
        <v>467</v>
      </c>
      <c r="D1554" s="327" t="s">
        <v>468</v>
      </c>
      <c r="E1554" s="329" t="s">
        <v>469</v>
      </c>
      <c r="F1554" s="330"/>
      <c r="H1554" s="325" t="s">
        <v>466</v>
      </c>
      <c r="I1554" s="327" t="s">
        <v>467</v>
      </c>
      <c r="J1554" s="327" t="s">
        <v>468</v>
      </c>
      <c r="K1554" s="329" t="s">
        <v>469</v>
      </c>
      <c r="L1554" s="330"/>
      <c r="N1554" s="325" t="s">
        <v>466</v>
      </c>
      <c r="O1554" s="327" t="s">
        <v>467</v>
      </c>
      <c r="P1554" s="327" t="s">
        <v>468</v>
      </c>
      <c r="Q1554" s="329" t="s">
        <v>469</v>
      </c>
      <c r="R1554" s="330"/>
      <c r="T1554" s="325" t="s">
        <v>466</v>
      </c>
      <c r="U1554" s="327" t="s">
        <v>467</v>
      </c>
      <c r="V1554" s="327" t="s">
        <v>468</v>
      </c>
      <c r="W1554" s="329" t="s">
        <v>469</v>
      </c>
      <c r="X1554" s="330"/>
      <c r="Z1554" s="325" t="s">
        <v>466</v>
      </c>
      <c r="AA1554" s="327" t="s">
        <v>467</v>
      </c>
      <c r="AB1554" s="327" t="s">
        <v>468</v>
      </c>
      <c r="AC1554" s="329" t="s">
        <v>469</v>
      </c>
      <c r="AD1554" s="330"/>
    </row>
    <row r="1555" spans="2:60" ht="14.4" thickBot="1" x14ac:dyDescent="0.3">
      <c r="B1555" s="326"/>
      <c r="C1555" s="328"/>
      <c r="D1555" s="328"/>
      <c r="E1555" s="232" t="s">
        <v>403</v>
      </c>
      <c r="F1555" s="174" t="s">
        <v>402</v>
      </c>
      <c r="H1555" s="326"/>
      <c r="I1555" s="328"/>
      <c r="J1555" s="328"/>
      <c r="K1555" s="232" t="s">
        <v>403</v>
      </c>
      <c r="L1555" s="174" t="s">
        <v>402</v>
      </c>
      <c r="N1555" s="326"/>
      <c r="O1555" s="328"/>
      <c r="P1555" s="328"/>
      <c r="Q1555" s="232" t="s">
        <v>403</v>
      </c>
      <c r="R1555" s="174" t="s">
        <v>402</v>
      </c>
      <c r="T1555" s="326"/>
      <c r="U1555" s="328"/>
      <c r="V1555" s="328"/>
      <c r="W1555" s="232" t="s">
        <v>403</v>
      </c>
      <c r="X1555" s="174" t="s">
        <v>402</v>
      </c>
      <c r="Z1555" s="326"/>
      <c r="AA1555" s="328"/>
      <c r="AB1555" s="328"/>
      <c r="AC1555" s="232" t="s">
        <v>403</v>
      </c>
      <c r="AD1555" s="174" t="s">
        <v>402</v>
      </c>
    </row>
    <row r="1556" spans="2:60" ht="14.4" thickTop="1" x14ac:dyDescent="0.25">
      <c r="B1556" s="236">
        <v>41670</v>
      </c>
      <c r="C1556" s="171"/>
      <c r="D1556" s="166" t="s">
        <v>470</v>
      </c>
      <c r="E1556" s="167">
        <f>SUMIF('Libro Diario Convencional'!$D$15:$D$167,D1550,'Libro Diario Convencional'!$G$15:$G$167)</f>
        <v>0</v>
      </c>
      <c r="F1556" s="168">
        <f>SUMIF('Libro Diario Convencional'!$D$15:$D$167,D1550,'Libro Diario Convencional'!$H$15:$H$167)</f>
        <v>0</v>
      </c>
      <c r="H1556" s="236">
        <v>41670</v>
      </c>
      <c r="I1556" s="171"/>
      <c r="J1556" s="166" t="s">
        <v>470</v>
      </c>
      <c r="K1556" s="167">
        <f>SUMIF('Libro Diario Convencional'!$D$15:$D$167,J1550,'Libro Diario Convencional'!$G$15:$G$167)</f>
        <v>0</v>
      </c>
      <c r="L1556" s="168">
        <f>SUMIF('Libro Diario Convencional'!$D$15:$D$167,J1550,'Libro Diario Convencional'!$H$15:$H$167)</f>
        <v>0</v>
      </c>
      <c r="N1556" s="236">
        <v>41670</v>
      </c>
      <c r="O1556" s="171"/>
      <c r="P1556" s="166" t="s">
        <v>470</v>
      </c>
      <c r="Q1556" s="167">
        <f>SUMIF('Libro Diario Convencional'!$D$15:$D$167,P1550,'Libro Diario Convencional'!$G$15:$G$167)</f>
        <v>0</v>
      </c>
      <c r="R1556" s="168">
        <f>SUMIF('Libro Diario Convencional'!$D$15:$D$167,P1550,'Libro Diario Convencional'!$H$15:$H$167)</f>
        <v>0</v>
      </c>
      <c r="T1556" s="236">
        <v>41670</v>
      </c>
      <c r="U1556" s="171"/>
      <c r="V1556" s="166" t="s">
        <v>470</v>
      </c>
      <c r="W1556" s="167">
        <f>SUMIF('Libro Diario Convencional'!$D$15:$D$167,V1550,'Libro Diario Convencional'!$G$15:$G$167)</f>
        <v>0</v>
      </c>
      <c r="X1556" s="168">
        <f>SUMIF('Libro Diario Convencional'!$D$15:$D$167,V1550,'Libro Diario Convencional'!$H$15:$H$167)</f>
        <v>0</v>
      </c>
      <c r="Z1556" s="236">
        <v>41670</v>
      </c>
      <c r="AA1556" s="171"/>
      <c r="AB1556" s="166" t="s">
        <v>470</v>
      </c>
      <c r="AC1556" s="167">
        <f>SUMIF('Libro Diario Convencional'!$D$15:$D$167,AB1550,'Libro Diario Convencional'!$G$15:$G$167)</f>
        <v>0</v>
      </c>
      <c r="AD1556" s="168">
        <f>SUMIF('Libro Diario Convencional'!$D$15:$D$167,AB1550,'Libro Diario Convencional'!$H$15:$H$167)</f>
        <v>0</v>
      </c>
    </row>
    <row r="1557" spans="2:60" x14ac:dyDescent="0.25">
      <c r="B1557" s="169"/>
      <c r="C1557" s="172"/>
      <c r="D1557" s="161"/>
      <c r="E1557" s="162"/>
      <c r="F1557" s="163"/>
      <c r="H1557" s="169"/>
      <c r="I1557" s="172"/>
      <c r="J1557" s="161"/>
      <c r="K1557" s="162"/>
      <c r="L1557" s="163"/>
      <c r="N1557" s="169"/>
      <c r="O1557" s="172"/>
      <c r="P1557" s="161"/>
      <c r="Q1557" s="162"/>
      <c r="R1557" s="163"/>
      <c r="T1557" s="169"/>
      <c r="U1557" s="172"/>
      <c r="V1557" s="161"/>
      <c r="W1557" s="162"/>
      <c r="X1557" s="163"/>
      <c r="Z1557" s="169"/>
      <c r="AA1557" s="172"/>
      <c r="AB1557" s="161"/>
      <c r="AC1557" s="162"/>
      <c r="AD1557" s="163"/>
    </row>
    <row r="1558" spans="2:60" x14ac:dyDescent="0.25">
      <c r="B1558" s="169"/>
      <c r="C1558" s="172"/>
      <c r="D1558" s="161"/>
      <c r="E1558" s="162"/>
      <c r="F1558" s="163"/>
      <c r="H1558" s="169"/>
      <c r="I1558" s="172"/>
      <c r="J1558" s="161"/>
      <c r="K1558" s="162"/>
      <c r="L1558" s="163"/>
      <c r="N1558" s="169"/>
      <c r="O1558" s="172"/>
      <c r="P1558" s="161"/>
      <c r="Q1558" s="162"/>
      <c r="R1558" s="163"/>
      <c r="T1558" s="169"/>
      <c r="U1558" s="172"/>
      <c r="V1558" s="161"/>
      <c r="W1558" s="162"/>
      <c r="X1558" s="163"/>
      <c r="Z1558" s="169"/>
      <c r="AA1558" s="172"/>
      <c r="AB1558" s="161"/>
      <c r="AC1558" s="162"/>
      <c r="AD1558" s="163"/>
    </row>
    <row r="1559" spans="2:60" ht="14.4" thickBot="1" x14ac:dyDescent="0.3">
      <c r="B1559" s="169"/>
      <c r="C1559" s="172"/>
      <c r="D1559" s="161"/>
      <c r="E1559" s="162"/>
      <c r="F1559" s="163"/>
      <c r="H1559" s="169"/>
      <c r="I1559" s="172"/>
      <c r="J1559" s="161"/>
      <c r="K1559" s="162"/>
      <c r="L1559" s="163"/>
      <c r="N1559" s="169"/>
      <c r="O1559" s="172"/>
      <c r="P1559" s="161"/>
      <c r="Q1559" s="162"/>
      <c r="R1559" s="163"/>
      <c r="T1559" s="169"/>
      <c r="U1559" s="172"/>
      <c r="V1559" s="161"/>
      <c r="W1559" s="162"/>
      <c r="X1559" s="163"/>
      <c r="Z1559" s="169"/>
      <c r="AA1559" s="172"/>
      <c r="AB1559" s="161"/>
      <c r="AC1559" s="162"/>
      <c r="AD1559" s="163"/>
    </row>
    <row r="1560" spans="2:60" ht="15" thickBot="1" x14ac:dyDescent="0.3">
      <c r="B1560" s="169"/>
      <c r="C1560" s="172"/>
      <c r="D1560" s="161" t="s">
        <v>471</v>
      </c>
      <c r="E1560" s="162">
        <f>SUM(E1556:E1559)</f>
        <v>0</v>
      </c>
      <c r="F1560" s="163">
        <f>SUM(F1556:F1559)</f>
        <v>0</v>
      </c>
      <c r="H1560" s="169"/>
      <c r="I1560" s="172"/>
      <c r="J1560" s="161" t="s">
        <v>471</v>
      </c>
      <c r="K1560" s="162">
        <f>SUM(K1556:K1559)</f>
        <v>0</v>
      </c>
      <c r="L1560" s="163">
        <f>SUM(L1556:L1559)</f>
        <v>0</v>
      </c>
      <c r="N1560" s="169"/>
      <c r="O1560" s="172"/>
      <c r="P1560" s="161" t="s">
        <v>471</v>
      </c>
      <c r="Q1560" s="162">
        <f>SUM(Q1556:Q1559)</f>
        <v>0</v>
      </c>
      <c r="R1560" s="163">
        <f>SUM(R1556:R1559)</f>
        <v>0</v>
      </c>
      <c r="T1560" s="169"/>
      <c r="U1560" s="172"/>
      <c r="V1560" s="161" t="s">
        <v>471</v>
      </c>
      <c r="W1560" s="162">
        <f>SUM(W1556:W1559)</f>
        <v>0</v>
      </c>
      <c r="X1560" s="163">
        <f>SUM(X1556:X1559)</f>
        <v>0</v>
      </c>
      <c r="Z1560" s="169"/>
      <c r="AA1560" s="172"/>
      <c r="AB1560" s="161" t="s">
        <v>471</v>
      </c>
      <c r="AC1560" s="162">
        <f>SUM(AC1556:AC1559)</f>
        <v>0</v>
      </c>
      <c r="AD1560" s="163">
        <f>SUM(AD1556:AD1559)</f>
        <v>0</v>
      </c>
      <c r="BG1560" s="157">
        <f>SUM(E1560,K1560,Q1560,W1560,AC1560,AI1560,AO1560,AU1560,AX1560,BD1560)</f>
        <v>0</v>
      </c>
      <c r="BH1560" s="158">
        <f>SUM(F1560,L1560,R1560,X1560,AD1560,AJ1560,AP1560,AV1560,AY1560,BE1560)</f>
        <v>0</v>
      </c>
    </row>
    <row r="1561" spans="2:60" ht="14.4" thickBot="1" x14ac:dyDescent="0.3">
      <c r="B1561" s="170"/>
      <c r="C1561" s="173"/>
      <c r="D1561" s="164" t="str">
        <f>IF(E1560=F1560,"",IF(E1560&gt;F1560,"Saldo Deudor","Saldo Acreedor"))</f>
        <v/>
      </c>
      <c r="E1561" s="165" t="str">
        <f>IF(E1560&gt;F1560,E1560-F1560,"")</f>
        <v/>
      </c>
      <c r="F1561" s="176" t="str">
        <f>IF(E1560&lt;F1560,F1560-E1560,"")</f>
        <v/>
      </c>
      <c r="H1561" s="170"/>
      <c r="I1561" s="173"/>
      <c r="J1561" s="164" t="str">
        <f>IF(K1560=L1560,"",IF(K1560&gt;L1560,"Saldo Deudor","Saldo Acreedor"))</f>
        <v/>
      </c>
      <c r="K1561" s="165" t="str">
        <f>IF(K1560&gt;L1560,K1560-L1560,"")</f>
        <v/>
      </c>
      <c r="L1561" s="176" t="str">
        <f>IF(K1560&lt;L1560,L1560-K1560,"")</f>
        <v/>
      </c>
      <c r="N1561" s="170"/>
      <c r="O1561" s="173"/>
      <c r="P1561" s="164" t="str">
        <f>IF(Q1560=R1560,"",IF(Q1560&gt;R1560,"Saldo Deudor","Saldo Acreedor"))</f>
        <v/>
      </c>
      <c r="Q1561" s="165" t="str">
        <f>IF(Q1560&gt;R1560,Q1560-R1560,"")</f>
        <v/>
      </c>
      <c r="R1561" s="176" t="str">
        <f>IF(Q1560&lt;R1560,R1560-Q1560,"")</f>
        <v/>
      </c>
      <c r="T1561" s="170"/>
      <c r="U1561" s="173"/>
      <c r="V1561" s="164" t="str">
        <f>IF(W1560=X1560,"",IF(W1560&gt;X1560,"Saldo Deudor","Saldo Acreedor"))</f>
        <v/>
      </c>
      <c r="W1561" s="165" t="str">
        <f>IF(W1560&gt;X1560,W1560-X1560,"")</f>
        <v/>
      </c>
      <c r="X1561" s="176" t="str">
        <f>IF(W1560&lt;X1560,X1560-W1560,"")</f>
        <v/>
      </c>
      <c r="Z1561" s="170"/>
      <c r="AA1561" s="173"/>
      <c r="AB1561" s="164" t="str">
        <f>IF(AC1560=AD1560,"",IF(AC1560&gt;AD1560,"Saldo Deudor","Saldo Acreedor"))</f>
        <v/>
      </c>
      <c r="AC1561" s="165" t="str">
        <f>IF(AC1560&gt;AD1560,AC1560-AD1560,"")</f>
        <v/>
      </c>
      <c r="AD1561" s="176" t="str">
        <f>IF(AC1560&lt;AD1560,AD1560-AC1560,"")</f>
        <v/>
      </c>
    </row>
    <row r="1564" spans="2:60" ht="15.6" x14ac:dyDescent="0.25">
      <c r="B1564" s="324" t="s">
        <v>472</v>
      </c>
      <c r="C1564" s="324"/>
      <c r="D1564" s="175">
        <v>7021</v>
      </c>
      <c r="E1564" s="160"/>
      <c r="H1564" s="324" t="s">
        <v>472</v>
      </c>
      <c r="I1564" s="324"/>
      <c r="J1564" s="175">
        <v>7022</v>
      </c>
      <c r="K1564" s="160"/>
      <c r="N1564" s="324" t="s">
        <v>472</v>
      </c>
      <c r="O1564" s="324"/>
      <c r="P1564" s="175">
        <v>7023</v>
      </c>
      <c r="Q1564" s="160"/>
      <c r="T1564" s="324" t="s">
        <v>472</v>
      </c>
      <c r="U1564" s="324"/>
      <c r="V1564" s="175">
        <v>7024</v>
      </c>
      <c r="W1564" s="160"/>
      <c r="Z1564" s="324" t="s">
        <v>472</v>
      </c>
      <c r="AA1564" s="324"/>
      <c r="AB1564" s="175">
        <v>7025</v>
      </c>
      <c r="AC1564" s="160"/>
    </row>
    <row r="1565" spans="2:60" x14ac:dyDescent="0.25">
      <c r="B1565" s="160"/>
      <c r="C1565" s="160"/>
      <c r="D1565" s="160"/>
      <c r="E1565" s="160"/>
      <c r="H1565" s="160"/>
      <c r="I1565" s="160"/>
      <c r="J1565" s="160"/>
      <c r="K1565" s="160"/>
      <c r="N1565" s="160"/>
      <c r="O1565" s="160"/>
      <c r="P1565" s="160"/>
      <c r="Q1565" s="160"/>
      <c r="T1565" s="160"/>
      <c r="U1565" s="160"/>
      <c r="V1565" s="160"/>
      <c r="W1565" s="160"/>
      <c r="Z1565" s="160"/>
      <c r="AA1565" s="160"/>
      <c r="AB1565" s="160"/>
      <c r="AC1565" s="160"/>
    </row>
    <row r="1566" spans="2:60" ht="15.6" x14ac:dyDescent="0.25">
      <c r="B1566" s="324" t="s">
        <v>473</v>
      </c>
      <c r="C1566" s="324"/>
      <c r="D1566" s="234" t="str">
        <f>VLOOKUP(D1564,DivisionariasContables,3,FALSE)</f>
        <v>Productos Terminados - Productos Manufacturados</v>
      </c>
      <c r="E1566" s="160"/>
      <c r="H1566" s="324" t="s">
        <v>473</v>
      </c>
      <c r="I1566" s="324"/>
      <c r="J1566" s="234" t="str">
        <f>VLOOKUP(J1564,DivisionariasContables,3,FALSE)</f>
        <v>Productos Terminados - Productos de Extracción Terminados</v>
      </c>
      <c r="K1566" s="160"/>
      <c r="N1566" s="324" t="s">
        <v>473</v>
      </c>
      <c r="O1566" s="324"/>
      <c r="P1566" s="234" t="str">
        <f>VLOOKUP(P1564,DivisionariasContables,3,FALSE)</f>
        <v>Productos Terminados - Productos Agropecuarios y Piscícolas Terminados</v>
      </c>
      <c r="Q1566" s="160"/>
      <c r="T1566" s="324" t="s">
        <v>473</v>
      </c>
      <c r="U1566" s="324"/>
      <c r="V1566" s="234" t="str">
        <f>VLOOKUP(V1564,DivisionariasContables,3,FALSE)</f>
        <v>Productos Terminados - Productos Inmuebles Terminados</v>
      </c>
      <c r="W1566" s="160"/>
      <c r="Z1566" s="324" t="s">
        <v>473</v>
      </c>
      <c r="AA1566" s="324"/>
      <c r="AB1566" s="234" t="str">
        <f>VLOOKUP(AB1564,DivisionariasContables,3,FALSE)</f>
        <v>Productos Terminados - Existencias de Servicios Terminados</v>
      </c>
      <c r="AC1566" s="160"/>
    </row>
    <row r="1567" spans="2:60" ht="14.4" thickBot="1" x14ac:dyDescent="0.3"/>
    <row r="1568" spans="2:60" x14ac:dyDescent="0.25">
      <c r="B1568" s="325" t="s">
        <v>466</v>
      </c>
      <c r="C1568" s="327" t="s">
        <v>467</v>
      </c>
      <c r="D1568" s="327" t="s">
        <v>468</v>
      </c>
      <c r="E1568" s="329" t="s">
        <v>469</v>
      </c>
      <c r="F1568" s="330"/>
      <c r="H1568" s="325" t="s">
        <v>466</v>
      </c>
      <c r="I1568" s="327" t="s">
        <v>467</v>
      </c>
      <c r="J1568" s="327" t="s">
        <v>468</v>
      </c>
      <c r="K1568" s="329" t="s">
        <v>469</v>
      </c>
      <c r="L1568" s="330"/>
      <c r="N1568" s="325" t="s">
        <v>466</v>
      </c>
      <c r="O1568" s="327" t="s">
        <v>467</v>
      </c>
      <c r="P1568" s="327" t="s">
        <v>468</v>
      </c>
      <c r="Q1568" s="329" t="s">
        <v>469</v>
      </c>
      <c r="R1568" s="330"/>
      <c r="T1568" s="325" t="s">
        <v>466</v>
      </c>
      <c r="U1568" s="327" t="s">
        <v>467</v>
      </c>
      <c r="V1568" s="327" t="s">
        <v>468</v>
      </c>
      <c r="W1568" s="329" t="s">
        <v>469</v>
      </c>
      <c r="X1568" s="330"/>
      <c r="Z1568" s="325" t="s">
        <v>466</v>
      </c>
      <c r="AA1568" s="327" t="s">
        <v>467</v>
      </c>
      <c r="AB1568" s="327" t="s">
        <v>468</v>
      </c>
      <c r="AC1568" s="329" t="s">
        <v>469</v>
      </c>
      <c r="AD1568" s="330"/>
    </row>
    <row r="1569" spans="2:60" ht="14.4" thickBot="1" x14ac:dyDescent="0.3">
      <c r="B1569" s="326"/>
      <c r="C1569" s="328"/>
      <c r="D1569" s="328"/>
      <c r="E1569" s="232" t="s">
        <v>403</v>
      </c>
      <c r="F1569" s="174" t="s">
        <v>402</v>
      </c>
      <c r="H1569" s="326"/>
      <c r="I1569" s="328"/>
      <c r="J1569" s="328"/>
      <c r="K1569" s="232" t="s">
        <v>403</v>
      </c>
      <c r="L1569" s="174" t="s">
        <v>402</v>
      </c>
      <c r="N1569" s="326"/>
      <c r="O1569" s="328"/>
      <c r="P1569" s="328"/>
      <c r="Q1569" s="232" t="s">
        <v>403</v>
      </c>
      <c r="R1569" s="174" t="s">
        <v>402</v>
      </c>
      <c r="T1569" s="326"/>
      <c r="U1569" s="328"/>
      <c r="V1569" s="328"/>
      <c r="W1569" s="232" t="s">
        <v>403</v>
      </c>
      <c r="X1569" s="174" t="s">
        <v>402</v>
      </c>
      <c r="Z1569" s="326"/>
      <c r="AA1569" s="328"/>
      <c r="AB1569" s="328"/>
      <c r="AC1569" s="232" t="s">
        <v>403</v>
      </c>
      <c r="AD1569" s="174" t="s">
        <v>402</v>
      </c>
    </row>
    <row r="1570" spans="2:60" ht="14.4" thickTop="1" x14ac:dyDescent="0.25">
      <c r="B1570" s="236">
        <v>41670</v>
      </c>
      <c r="C1570" s="171"/>
      <c r="D1570" s="166" t="s">
        <v>470</v>
      </c>
      <c r="E1570" s="167">
        <f>SUMIF('Libro Diario Convencional'!$D$15:$D$167,D1564,'Libro Diario Convencional'!$G$15:$G$167)</f>
        <v>0</v>
      </c>
      <c r="F1570" s="168">
        <f>SUMIF('Libro Diario Convencional'!$D$15:$D$167,D1564,'Libro Diario Convencional'!$H$15:$H$167)</f>
        <v>0</v>
      </c>
      <c r="H1570" s="236">
        <v>41670</v>
      </c>
      <c r="I1570" s="171"/>
      <c r="J1570" s="166" t="s">
        <v>470</v>
      </c>
      <c r="K1570" s="167">
        <f>SUMIF('Libro Diario Convencional'!$D$15:$D$167,J1564,'Libro Diario Convencional'!$G$15:$G$167)</f>
        <v>0</v>
      </c>
      <c r="L1570" s="168">
        <f>SUMIF('Libro Diario Convencional'!$D$15:$D$167,J1564,'Libro Diario Convencional'!$H$15:$H$167)</f>
        <v>0</v>
      </c>
      <c r="N1570" s="236">
        <v>41670</v>
      </c>
      <c r="O1570" s="171"/>
      <c r="P1570" s="166" t="s">
        <v>470</v>
      </c>
      <c r="Q1570" s="167">
        <f>SUMIF('Libro Diario Convencional'!$D$15:$D$167,P1564,'Libro Diario Convencional'!$G$15:$G$167)</f>
        <v>0</v>
      </c>
      <c r="R1570" s="168">
        <f>SUMIF('Libro Diario Convencional'!$D$15:$D$167,P1564,'Libro Diario Convencional'!$H$15:$H$167)</f>
        <v>0</v>
      </c>
      <c r="T1570" s="236">
        <v>41670</v>
      </c>
      <c r="U1570" s="171"/>
      <c r="V1570" s="166" t="s">
        <v>470</v>
      </c>
      <c r="W1570" s="167">
        <f>SUMIF('Libro Diario Convencional'!$D$15:$D$167,V1564,'Libro Diario Convencional'!$G$15:$G$167)</f>
        <v>0</v>
      </c>
      <c r="X1570" s="168">
        <f>SUMIF('Libro Diario Convencional'!$D$15:$D$167,V1564,'Libro Diario Convencional'!$H$15:$H$167)</f>
        <v>0</v>
      </c>
      <c r="Z1570" s="236">
        <v>41670</v>
      </c>
      <c r="AA1570" s="171"/>
      <c r="AB1570" s="166" t="s">
        <v>470</v>
      </c>
      <c r="AC1570" s="167">
        <f>SUMIF('Libro Diario Convencional'!$D$15:$D$167,AB1564,'Libro Diario Convencional'!$G$15:$G$167)</f>
        <v>0</v>
      </c>
      <c r="AD1570" s="168">
        <f>SUMIF('Libro Diario Convencional'!$D$15:$D$167,AB1564,'Libro Diario Convencional'!$H$15:$H$167)</f>
        <v>0</v>
      </c>
    </row>
    <row r="1571" spans="2:60" x14ac:dyDescent="0.25">
      <c r="B1571" s="169"/>
      <c r="C1571" s="172"/>
      <c r="D1571" s="161"/>
      <c r="E1571" s="162"/>
      <c r="F1571" s="163"/>
      <c r="H1571" s="169"/>
      <c r="I1571" s="172"/>
      <c r="J1571" s="161"/>
      <c r="K1571" s="162"/>
      <c r="L1571" s="163"/>
      <c r="N1571" s="169"/>
      <c r="O1571" s="172"/>
      <c r="P1571" s="161"/>
      <c r="Q1571" s="162"/>
      <c r="R1571" s="163"/>
      <c r="T1571" s="169"/>
      <c r="U1571" s="172"/>
      <c r="V1571" s="161"/>
      <c r="W1571" s="162"/>
      <c r="X1571" s="163"/>
      <c r="Z1571" s="169"/>
      <c r="AA1571" s="172"/>
      <c r="AB1571" s="161"/>
      <c r="AC1571" s="162"/>
      <c r="AD1571" s="163"/>
    </row>
    <row r="1572" spans="2:60" x14ac:dyDescent="0.25">
      <c r="B1572" s="169"/>
      <c r="C1572" s="172"/>
      <c r="D1572" s="161"/>
      <c r="E1572" s="162"/>
      <c r="F1572" s="163"/>
      <c r="H1572" s="169"/>
      <c r="I1572" s="172"/>
      <c r="J1572" s="161"/>
      <c r="K1572" s="162"/>
      <c r="L1572" s="163"/>
      <c r="N1572" s="169"/>
      <c r="O1572" s="172"/>
      <c r="P1572" s="161"/>
      <c r="Q1572" s="162"/>
      <c r="R1572" s="163"/>
      <c r="T1572" s="169"/>
      <c r="U1572" s="172"/>
      <c r="V1572" s="161"/>
      <c r="W1572" s="162"/>
      <c r="X1572" s="163"/>
      <c r="Z1572" s="169"/>
      <c r="AA1572" s="172"/>
      <c r="AB1572" s="161"/>
      <c r="AC1572" s="162"/>
      <c r="AD1572" s="163"/>
    </row>
    <row r="1573" spans="2:60" ht="14.4" thickBot="1" x14ac:dyDescent="0.3">
      <c r="B1573" s="169"/>
      <c r="C1573" s="172"/>
      <c r="D1573" s="161"/>
      <c r="E1573" s="162"/>
      <c r="F1573" s="163"/>
      <c r="H1573" s="169"/>
      <c r="I1573" s="172"/>
      <c r="J1573" s="161"/>
      <c r="K1573" s="162"/>
      <c r="L1573" s="163"/>
      <c r="N1573" s="169"/>
      <c r="O1573" s="172"/>
      <c r="P1573" s="161"/>
      <c r="Q1573" s="162"/>
      <c r="R1573" s="163"/>
      <c r="T1573" s="169"/>
      <c r="U1573" s="172"/>
      <c r="V1573" s="161"/>
      <c r="W1573" s="162"/>
      <c r="X1573" s="163"/>
      <c r="Z1573" s="169"/>
      <c r="AA1573" s="172"/>
      <c r="AB1573" s="161"/>
      <c r="AC1573" s="162"/>
      <c r="AD1573" s="163"/>
    </row>
    <row r="1574" spans="2:60" ht="15" thickBot="1" x14ac:dyDescent="0.3">
      <c r="B1574" s="169"/>
      <c r="C1574" s="172"/>
      <c r="D1574" s="161" t="s">
        <v>471</v>
      </c>
      <c r="E1574" s="162">
        <f>SUM(E1570:E1573)</f>
        <v>0</v>
      </c>
      <c r="F1574" s="163">
        <f>SUM(F1570:F1573)</f>
        <v>0</v>
      </c>
      <c r="H1574" s="169"/>
      <c r="I1574" s="172"/>
      <c r="J1574" s="161" t="s">
        <v>471</v>
      </c>
      <c r="K1574" s="162">
        <f>SUM(K1570:K1573)</f>
        <v>0</v>
      </c>
      <c r="L1574" s="163">
        <f>SUM(L1570:L1573)</f>
        <v>0</v>
      </c>
      <c r="N1574" s="169"/>
      <c r="O1574" s="172"/>
      <c r="P1574" s="161" t="s">
        <v>471</v>
      </c>
      <c r="Q1574" s="162">
        <f>SUM(Q1570:Q1573)</f>
        <v>0</v>
      </c>
      <c r="R1574" s="163">
        <f>SUM(R1570:R1573)</f>
        <v>0</v>
      </c>
      <c r="T1574" s="169"/>
      <c r="U1574" s="172"/>
      <c r="V1574" s="161" t="s">
        <v>471</v>
      </c>
      <c r="W1574" s="162">
        <f>SUM(W1570:W1573)</f>
        <v>0</v>
      </c>
      <c r="X1574" s="163">
        <f>SUM(X1570:X1573)</f>
        <v>0</v>
      </c>
      <c r="Z1574" s="169"/>
      <c r="AA1574" s="172"/>
      <c r="AB1574" s="161" t="s">
        <v>471</v>
      </c>
      <c r="AC1574" s="162">
        <f>SUM(AC1570:AC1573)</f>
        <v>0</v>
      </c>
      <c r="AD1574" s="163">
        <f>SUM(AD1570:AD1573)</f>
        <v>0</v>
      </c>
      <c r="BG1574" s="157">
        <f>SUM(E1574,K1574,Q1574,W1574,AC1574,AI1574,AO1574,AU1574,AX1574,BD1574)</f>
        <v>0</v>
      </c>
      <c r="BH1574" s="158">
        <f>SUM(F1574,L1574,R1574,X1574,AD1574,AJ1574,AP1574,AV1574,AY1574,BE1574)</f>
        <v>0</v>
      </c>
    </row>
    <row r="1575" spans="2:60" ht="14.4" thickBot="1" x14ac:dyDescent="0.3">
      <c r="B1575" s="170"/>
      <c r="C1575" s="173"/>
      <c r="D1575" s="164" t="str">
        <f>IF(E1574=F1574,"",IF(E1574&gt;F1574,"Saldo Deudor","Saldo Acreedor"))</f>
        <v/>
      </c>
      <c r="E1575" s="165" t="str">
        <f>IF(E1574&gt;F1574,E1574-F1574,"")</f>
        <v/>
      </c>
      <c r="F1575" s="176" t="str">
        <f>IF(E1574&lt;F1574,F1574-E1574,"")</f>
        <v/>
      </c>
      <c r="H1575" s="170"/>
      <c r="I1575" s="173"/>
      <c r="J1575" s="164" t="str">
        <f>IF(K1574=L1574,"",IF(K1574&gt;L1574,"Saldo Deudor","Saldo Acreedor"))</f>
        <v/>
      </c>
      <c r="K1575" s="165" t="str">
        <f>IF(K1574&gt;L1574,K1574-L1574,"")</f>
        <v/>
      </c>
      <c r="L1575" s="176" t="str">
        <f>IF(K1574&lt;L1574,L1574-K1574,"")</f>
        <v/>
      </c>
      <c r="N1575" s="170"/>
      <c r="O1575" s="173"/>
      <c r="P1575" s="164" t="str">
        <f>IF(Q1574=R1574,"",IF(Q1574&gt;R1574,"Saldo Deudor","Saldo Acreedor"))</f>
        <v/>
      </c>
      <c r="Q1575" s="165" t="str">
        <f>IF(Q1574&gt;R1574,Q1574-R1574,"")</f>
        <v/>
      </c>
      <c r="R1575" s="176" t="str">
        <f>IF(Q1574&lt;R1574,R1574-Q1574,"")</f>
        <v/>
      </c>
      <c r="T1575" s="170"/>
      <c r="U1575" s="173"/>
      <c r="V1575" s="164" t="str">
        <f>IF(W1574=X1574,"",IF(W1574&gt;X1574,"Saldo Deudor","Saldo Acreedor"))</f>
        <v/>
      </c>
      <c r="W1575" s="165" t="str">
        <f>IF(W1574&gt;X1574,W1574-X1574,"")</f>
        <v/>
      </c>
      <c r="X1575" s="176" t="str">
        <f>IF(W1574&lt;X1574,X1574-W1574,"")</f>
        <v/>
      </c>
      <c r="Z1575" s="170"/>
      <c r="AA1575" s="173"/>
      <c r="AB1575" s="164" t="str">
        <f>IF(AC1574=AD1574,"",IF(AC1574&gt;AD1574,"Saldo Deudor","Saldo Acreedor"))</f>
        <v/>
      </c>
      <c r="AC1575" s="165" t="str">
        <f>IF(AC1574&gt;AD1574,AC1574-AD1574,"")</f>
        <v/>
      </c>
      <c r="AD1575" s="176" t="str">
        <f>IF(AC1574&lt;AD1574,AD1574-AC1574,"")</f>
        <v/>
      </c>
    </row>
    <row r="1578" spans="2:60" ht="15.6" x14ac:dyDescent="0.25">
      <c r="B1578" s="324" t="s">
        <v>472</v>
      </c>
      <c r="C1578" s="324"/>
      <c r="D1578" s="175">
        <v>7031</v>
      </c>
      <c r="E1578" s="160"/>
      <c r="H1578" s="324" t="s">
        <v>472</v>
      </c>
      <c r="I1578" s="324"/>
      <c r="J1578" s="175">
        <v>7032</v>
      </c>
      <c r="K1578" s="160"/>
    </row>
    <row r="1579" spans="2:60" x14ac:dyDescent="0.25">
      <c r="B1579" s="160"/>
      <c r="C1579" s="160"/>
      <c r="D1579" s="160"/>
      <c r="E1579" s="160"/>
      <c r="H1579" s="160"/>
      <c r="I1579" s="160"/>
      <c r="J1579" s="160"/>
      <c r="K1579" s="160"/>
    </row>
    <row r="1580" spans="2:60" ht="15.6" x14ac:dyDescent="0.25">
      <c r="B1580" s="324" t="s">
        <v>473</v>
      </c>
      <c r="C1580" s="324"/>
      <c r="D1580" s="234" t="str">
        <f>VLOOKUP(D1578,DivisionariasContables,3,FALSE)</f>
        <v>Subproductos, Desechos y Desperdicios - Subproductos</v>
      </c>
      <c r="E1580" s="160"/>
      <c r="H1580" s="324" t="s">
        <v>473</v>
      </c>
      <c r="I1580" s="324"/>
      <c r="J1580" s="234" t="str">
        <f>VLOOKUP(J1578,DivisionariasContables,3,FALSE)</f>
        <v>Subproductos, Desechos y Desperdicios - Desechos y Desperdicios</v>
      </c>
      <c r="K1580" s="160"/>
    </row>
    <row r="1581" spans="2:60" ht="14.4" thickBot="1" x14ac:dyDescent="0.3"/>
    <row r="1582" spans="2:60" x14ac:dyDescent="0.25">
      <c r="B1582" s="325" t="s">
        <v>466</v>
      </c>
      <c r="C1582" s="327" t="s">
        <v>467</v>
      </c>
      <c r="D1582" s="327" t="s">
        <v>468</v>
      </c>
      <c r="E1582" s="329" t="s">
        <v>469</v>
      </c>
      <c r="F1582" s="330"/>
      <c r="H1582" s="325" t="s">
        <v>466</v>
      </c>
      <c r="I1582" s="327" t="s">
        <v>467</v>
      </c>
      <c r="J1582" s="327" t="s">
        <v>468</v>
      </c>
      <c r="K1582" s="329" t="s">
        <v>469</v>
      </c>
      <c r="L1582" s="330"/>
    </row>
    <row r="1583" spans="2:60" ht="14.4" thickBot="1" x14ac:dyDescent="0.3">
      <c r="B1583" s="326"/>
      <c r="C1583" s="328"/>
      <c r="D1583" s="328"/>
      <c r="E1583" s="232" t="s">
        <v>403</v>
      </c>
      <c r="F1583" s="174" t="s">
        <v>402</v>
      </c>
      <c r="H1583" s="326"/>
      <c r="I1583" s="328"/>
      <c r="J1583" s="328"/>
      <c r="K1583" s="232" t="s">
        <v>403</v>
      </c>
      <c r="L1583" s="174" t="s">
        <v>402</v>
      </c>
    </row>
    <row r="1584" spans="2:60" ht="14.4" thickTop="1" x14ac:dyDescent="0.25">
      <c r="B1584" s="236">
        <v>41670</v>
      </c>
      <c r="C1584" s="171"/>
      <c r="D1584" s="166" t="s">
        <v>470</v>
      </c>
      <c r="E1584" s="167">
        <f>SUMIF('Libro Diario Convencional'!$D$15:$D$167,D1578,'Libro Diario Convencional'!$G$15:$G$167)</f>
        <v>0</v>
      </c>
      <c r="F1584" s="168">
        <f>SUMIF('Libro Diario Convencional'!$D$15:$D$167,D1578,'Libro Diario Convencional'!$H$15:$H$167)</f>
        <v>0</v>
      </c>
      <c r="H1584" s="236">
        <v>41670</v>
      </c>
      <c r="I1584" s="171"/>
      <c r="J1584" s="166" t="s">
        <v>470</v>
      </c>
      <c r="K1584" s="167">
        <f>SUMIF('Libro Diario Convencional'!$D$15:$D$167,J1578,'Libro Diario Convencional'!$G$15:$G$167)</f>
        <v>0</v>
      </c>
      <c r="L1584" s="168">
        <f>SUMIF('Libro Diario Convencional'!$D$15:$D$167,J1578,'Libro Diario Convencional'!$H$15:$H$167)</f>
        <v>0</v>
      </c>
    </row>
    <row r="1585" spans="2:60" x14ac:dyDescent="0.25">
      <c r="B1585" s="169"/>
      <c r="C1585" s="172"/>
      <c r="D1585" s="161"/>
      <c r="E1585" s="162"/>
      <c r="F1585" s="163"/>
      <c r="H1585" s="169"/>
      <c r="I1585" s="172"/>
      <c r="J1585" s="161"/>
      <c r="K1585" s="162"/>
      <c r="L1585" s="163"/>
    </row>
    <row r="1586" spans="2:60" x14ac:dyDescent="0.25">
      <c r="B1586" s="169"/>
      <c r="C1586" s="172"/>
      <c r="D1586" s="161"/>
      <c r="E1586" s="162"/>
      <c r="F1586" s="163"/>
      <c r="H1586" s="169"/>
      <c r="I1586" s="172"/>
      <c r="J1586" s="161"/>
      <c r="K1586" s="162"/>
      <c r="L1586" s="163"/>
    </row>
    <row r="1587" spans="2:60" ht="14.4" thickBot="1" x14ac:dyDescent="0.3">
      <c r="B1587" s="169"/>
      <c r="C1587" s="172"/>
      <c r="D1587" s="161"/>
      <c r="E1587" s="162"/>
      <c r="F1587" s="163"/>
      <c r="H1587" s="169"/>
      <c r="I1587" s="172"/>
      <c r="J1587" s="161"/>
      <c r="K1587" s="162"/>
      <c r="L1587" s="163"/>
    </row>
    <row r="1588" spans="2:60" ht="15" thickBot="1" x14ac:dyDescent="0.3">
      <c r="B1588" s="169"/>
      <c r="C1588" s="172"/>
      <c r="D1588" s="161" t="s">
        <v>471</v>
      </c>
      <c r="E1588" s="162">
        <f>SUM(E1584:E1587)</f>
        <v>0</v>
      </c>
      <c r="F1588" s="163">
        <f>SUM(F1584:F1587)</f>
        <v>0</v>
      </c>
      <c r="H1588" s="169"/>
      <c r="I1588" s="172"/>
      <c r="J1588" s="161" t="s">
        <v>471</v>
      </c>
      <c r="K1588" s="162">
        <f>SUM(K1584:K1587)</f>
        <v>0</v>
      </c>
      <c r="L1588" s="163">
        <f>SUM(L1584:L1587)</f>
        <v>0</v>
      </c>
      <c r="BG1588" s="157">
        <f>SUM(E1588,K1588,Q1588,W1588,AC1588,AI1588,AO1588,AU1588,AX1588,BD1588)</f>
        <v>0</v>
      </c>
      <c r="BH1588" s="158">
        <f>SUM(F1588,L1588,R1588,X1588,AD1588,AJ1588,AP1588,AV1588,AY1588,BE1588)</f>
        <v>0</v>
      </c>
    </row>
    <row r="1589" spans="2:60" ht="14.4" thickBot="1" x14ac:dyDescent="0.3">
      <c r="B1589" s="170"/>
      <c r="C1589" s="173"/>
      <c r="D1589" s="164" t="str">
        <f>IF(E1588=F1588,"",IF(E1588&gt;F1588,"Saldo Deudor","Saldo Acreedor"))</f>
        <v/>
      </c>
      <c r="E1589" s="165" t="str">
        <f>IF(E1588&gt;F1588,E1588-F1588,"")</f>
        <v/>
      </c>
      <c r="F1589" s="176" t="str">
        <f>IF(E1588&lt;F1588,F1588-E1588,"")</f>
        <v/>
      </c>
      <c r="H1589" s="170"/>
      <c r="I1589" s="173"/>
      <c r="J1589" s="164" t="str">
        <f>IF(K1588=L1588,"",IF(K1588&gt;L1588,"Saldo Deudor","Saldo Acreedor"))</f>
        <v/>
      </c>
      <c r="K1589" s="165" t="str">
        <f>IF(K1588&gt;L1588,K1588-L1588,"")</f>
        <v/>
      </c>
      <c r="L1589" s="176" t="str">
        <f>IF(K1588&lt;L1588,L1588-K1588,"")</f>
        <v/>
      </c>
    </row>
    <row r="1592" spans="2:60" ht="15.6" x14ac:dyDescent="0.25">
      <c r="B1592" s="324" t="s">
        <v>472</v>
      </c>
      <c r="C1592" s="324"/>
      <c r="D1592" s="175">
        <v>7041</v>
      </c>
      <c r="E1592" s="160"/>
      <c r="H1592" s="324" t="s">
        <v>472</v>
      </c>
      <c r="I1592" s="324"/>
      <c r="J1592" s="175">
        <v>7042</v>
      </c>
      <c r="K1592" s="160"/>
    </row>
    <row r="1593" spans="2:60" x14ac:dyDescent="0.25">
      <c r="B1593" s="160"/>
      <c r="C1593" s="160"/>
      <c r="D1593" s="160"/>
      <c r="E1593" s="160"/>
      <c r="H1593" s="160"/>
      <c r="I1593" s="160"/>
      <c r="J1593" s="160"/>
      <c r="K1593" s="160"/>
    </row>
    <row r="1594" spans="2:60" ht="15.6" x14ac:dyDescent="0.25">
      <c r="B1594" s="324" t="s">
        <v>473</v>
      </c>
      <c r="C1594" s="324"/>
      <c r="D1594" s="234" t="str">
        <f>VLOOKUP(D1592,DivisionariasContables,3,FALSE)</f>
        <v>Prestación de Servicios - Terceros</v>
      </c>
      <c r="E1594" s="160"/>
      <c r="H1594" s="324" t="s">
        <v>473</v>
      </c>
      <c r="I1594" s="324"/>
      <c r="J1594" s="234" t="str">
        <f>VLOOKUP(J1592,DivisionariasContables,3,FALSE)</f>
        <v>Prestación de Servicios - Relacionadas</v>
      </c>
      <c r="K1594" s="160"/>
    </row>
    <row r="1595" spans="2:60" ht="14.4" thickBot="1" x14ac:dyDescent="0.3"/>
    <row r="1596" spans="2:60" x14ac:dyDescent="0.25">
      <c r="B1596" s="325" t="s">
        <v>466</v>
      </c>
      <c r="C1596" s="327" t="s">
        <v>467</v>
      </c>
      <c r="D1596" s="327" t="s">
        <v>468</v>
      </c>
      <c r="E1596" s="329" t="s">
        <v>469</v>
      </c>
      <c r="F1596" s="330"/>
      <c r="H1596" s="325" t="s">
        <v>466</v>
      </c>
      <c r="I1596" s="327" t="s">
        <v>467</v>
      </c>
      <c r="J1596" s="327" t="s">
        <v>468</v>
      </c>
      <c r="K1596" s="329" t="s">
        <v>469</v>
      </c>
      <c r="L1596" s="330"/>
    </row>
    <row r="1597" spans="2:60" ht="14.4" thickBot="1" x14ac:dyDescent="0.3">
      <c r="B1597" s="326"/>
      <c r="C1597" s="328"/>
      <c r="D1597" s="328"/>
      <c r="E1597" s="232" t="s">
        <v>403</v>
      </c>
      <c r="F1597" s="174" t="s">
        <v>402</v>
      </c>
      <c r="H1597" s="326"/>
      <c r="I1597" s="328"/>
      <c r="J1597" s="328"/>
      <c r="K1597" s="232" t="s">
        <v>403</v>
      </c>
      <c r="L1597" s="174" t="s">
        <v>402</v>
      </c>
    </row>
    <row r="1598" spans="2:60" ht="14.4" thickTop="1" x14ac:dyDescent="0.25">
      <c r="B1598" s="236">
        <v>41670</v>
      </c>
      <c r="C1598" s="171"/>
      <c r="D1598" s="166" t="s">
        <v>470</v>
      </c>
      <c r="E1598" s="167">
        <f>SUMIF('Libro Diario Convencional'!$D$15:$D$167,D1592,'Libro Diario Convencional'!$G$15:$G$167)</f>
        <v>0</v>
      </c>
      <c r="F1598" s="168">
        <f>SUMIF('Libro Diario Convencional'!$D$15:$D$167,D1592,'Libro Diario Convencional'!$H$15:$H$167)</f>
        <v>0</v>
      </c>
      <c r="H1598" s="236">
        <v>41670</v>
      </c>
      <c r="I1598" s="171"/>
      <c r="J1598" s="166" t="s">
        <v>470</v>
      </c>
      <c r="K1598" s="167">
        <f>SUMIF('Libro Diario Convencional'!$D$15:$D$167,J1592,'Libro Diario Convencional'!$G$15:$G$167)</f>
        <v>0</v>
      </c>
      <c r="L1598" s="168">
        <f>SUMIF('Libro Diario Convencional'!$D$15:$D$167,J1592,'Libro Diario Convencional'!$H$15:$H$167)</f>
        <v>0</v>
      </c>
    </row>
    <row r="1599" spans="2:60" x14ac:dyDescent="0.25">
      <c r="B1599" s="169"/>
      <c r="C1599" s="172"/>
      <c r="D1599" s="161"/>
      <c r="E1599" s="162"/>
      <c r="F1599" s="163"/>
      <c r="H1599" s="169"/>
      <c r="I1599" s="172"/>
      <c r="J1599" s="161"/>
      <c r="K1599" s="162"/>
      <c r="L1599" s="163"/>
    </row>
    <row r="1600" spans="2:60" x14ac:dyDescent="0.25">
      <c r="B1600" s="169"/>
      <c r="C1600" s="172"/>
      <c r="D1600" s="161"/>
      <c r="E1600" s="162"/>
      <c r="F1600" s="163"/>
      <c r="H1600" s="169"/>
      <c r="I1600" s="172"/>
      <c r="J1600" s="161"/>
      <c r="K1600" s="162"/>
      <c r="L1600" s="163"/>
    </row>
    <row r="1601" spans="2:60" ht="14.4" thickBot="1" x14ac:dyDescent="0.3">
      <c r="B1601" s="169"/>
      <c r="C1601" s="172"/>
      <c r="D1601" s="161"/>
      <c r="E1601" s="162"/>
      <c r="F1601" s="163"/>
      <c r="H1601" s="169"/>
      <c r="I1601" s="172"/>
      <c r="J1601" s="161"/>
      <c r="K1601" s="162"/>
      <c r="L1601" s="163"/>
    </row>
    <row r="1602" spans="2:60" ht="15" thickBot="1" x14ac:dyDescent="0.3">
      <c r="B1602" s="169"/>
      <c r="C1602" s="172"/>
      <c r="D1602" s="161" t="s">
        <v>471</v>
      </c>
      <c r="E1602" s="162">
        <f>SUM(E1598:E1601)</f>
        <v>0</v>
      </c>
      <c r="F1602" s="163">
        <f>SUM(F1598:F1601)</f>
        <v>0</v>
      </c>
      <c r="H1602" s="169"/>
      <c r="I1602" s="172"/>
      <c r="J1602" s="161" t="s">
        <v>471</v>
      </c>
      <c r="K1602" s="162">
        <f>SUM(K1598:K1601)</f>
        <v>0</v>
      </c>
      <c r="L1602" s="163">
        <f>SUM(L1598:L1601)</f>
        <v>0</v>
      </c>
      <c r="BG1602" s="157">
        <f>SUM(E1602,K1602,Q1602,W1602,AC1602,AI1602,AO1602,AU1602,AX1602,BD1602)</f>
        <v>0</v>
      </c>
      <c r="BH1602" s="158">
        <f>SUM(F1602,L1602,R1602,X1602,AD1602,AJ1602,AP1602,AV1602,AY1602,BE1602)</f>
        <v>0</v>
      </c>
    </row>
    <row r="1603" spans="2:60" ht="14.4" thickBot="1" x14ac:dyDescent="0.3">
      <c r="B1603" s="170"/>
      <c r="C1603" s="173"/>
      <c r="D1603" s="164" t="str">
        <f>IF(E1602=F1602,"",IF(E1602&gt;F1602,"Saldo Deudor","Saldo Acreedor"))</f>
        <v/>
      </c>
      <c r="E1603" s="165" t="str">
        <f>IF(E1602&gt;F1602,E1602-F1602,"")</f>
        <v/>
      </c>
      <c r="F1603" s="176" t="str">
        <f>IF(E1602&lt;F1602,F1602-E1602,"")</f>
        <v/>
      </c>
      <c r="H1603" s="170"/>
      <c r="I1603" s="173"/>
      <c r="J1603" s="164" t="str">
        <f>IF(K1602=L1602,"",IF(K1602&gt;L1602,"Saldo Deudor","Saldo Acreedor"))</f>
        <v/>
      </c>
      <c r="K1603" s="165" t="str">
        <f>IF(K1602&gt;L1602,K1602-L1602,"")</f>
        <v/>
      </c>
      <c r="L1603" s="176" t="str">
        <f>IF(K1602&lt;L1602,L1602-K1602,"")</f>
        <v/>
      </c>
    </row>
    <row r="1606" spans="2:60" ht="15.6" x14ac:dyDescent="0.25">
      <c r="B1606" s="324" t="s">
        <v>472</v>
      </c>
      <c r="C1606" s="324"/>
      <c r="D1606" s="175">
        <v>7091</v>
      </c>
      <c r="E1606" s="160"/>
      <c r="H1606" s="324" t="s">
        <v>472</v>
      </c>
      <c r="I1606" s="324"/>
      <c r="J1606" s="175">
        <v>7092</v>
      </c>
      <c r="K1606" s="160"/>
      <c r="N1606" s="324" t="s">
        <v>472</v>
      </c>
      <c r="O1606" s="324"/>
      <c r="P1606" s="175">
        <v>7093</v>
      </c>
      <c r="Q1606" s="160"/>
      <c r="T1606" s="324" t="s">
        <v>472</v>
      </c>
      <c r="U1606" s="324"/>
      <c r="V1606" s="175">
        <v>7094</v>
      </c>
      <c r="W1606" s="160"/>
      <c r="Z1606" s="324" t="s">
        <v>472</v>
      </c>
      <c r="AA1606" s="324"/>
      <c r="AB1606" s="175">
        <v>7095</v>
      </c>
      <c r="AC1606" s="160"/>
      <c r="AF1606" s="324" t="s">
        <v>472</v>
      </c>
      <c r="AG1606" s="324"/>
      <c r="AH1606" s="175">
        <v>7096</v>
      </c>
      <c r="AI1606" s="160"/>
    </row>
    <row r="1607" spans="2:60" x14ac:dyDescent="0.25">
      <c r="B1607" s="160"/>
      <c r="C1607" s="160"/>
      <c r="D1607" s="160"/>
      <c r="E1607" s="160"/>
      <c r="H1607" s="160"/>
      <c r="I1607" s="160"/>
      <c r="J1607" s="160"/>
      <c r="K1607" s="160"/>
      <c r="N1607" s="160"/>
      <c r="O1607" s="160"/>
      <c r="P1607" s="160"/>
      <c r="Q1607" s="160"/>
      <c r="T1607" s="160"/>
      <c r="U1607" s="160"/>
      <c r="V1607" s="160"/>
      <c r="W1607" s="160"/>
      <c r="Z1607" s="160"/>
      <c r="AA1607" s="160"/>
      <c r="AB1607" s="160"/>
      <c r="AC1607" s="160"/>
      <c r="AF1607" s="160"/>
      <c r="AG1607" s="160"/>
      <c r="AH1607" s="160"/>
      <c r="AI1607" s="160"/>
    </row>
    <row r="1608" spans="2:60" ht="15.6" x14ac:dyDescent="0.25">
      <c r="B1608" s="324" t="s">
        <v>473</v>
      </c>
      <c r="C1608" s="324"/>
      <c r="D1608" s="234" t="str">
        <f>VLOOKUP(D1606,DivisionariasContables,3,FALSE)</f>
        <v>Devoluciones sobre Ventas - Mercaderías - Terceros</v>
      </c>
      <c r="E1608" s="160"/>
      <c r="H1608" s="324" t="s">
        <v>473</v>
      </c>
      <c r="I1608" s="324"/>
      <c r="J1608" s="234" t="str">
        <f>VLOOKUP(J1606,DivisionariasContables,3,FALSE)</f>
        <v>Devoluciones sobre Ventas - Mercaderías - Relacionadas</v>
      </c>
      <c r="K1608" s="160"/>
      <c r="N1608" s="324" t="s">
        <v>473</v>
      </c>
      <c r="O1608" s="324"/>
      <c r="P1608" s="234" t="str">
        <f>VLOOKUP(P1606,DivisionariasContables,3,FALSE)</f>
        <v>Devoluciones sobre Ventas - Productos Terminados - Terceros</v>
      </c>
      <c r="Q1608" s="160"/>
      <c r="T1608" s="324" t="s">
        <v>473</v>
      </c>
      <c r="U1608" s="324"/>
      <c r="V1608" s="234" t="str">
        <f>VLOOKUP(V1606,DivisionariasContables,3,FALSE)</f>
        <v>Devoluciones sobre Ventas - Productos Terminados - Relacionadas</v>
      </c>
      <c r="W1608" s="160"/>
      <c r="Z1608" s="324" t="s">
        <v>473</v>
      </c>
      <c r="AA1608" s="324"/>
      <c r="AB1608" s="234" t="str">
        <f>VLOOKUP(AB1606,DivisionariasContables,3,FALSE)</f>
        <v>Devoluciones sobre Ventas - Subproductos, Desechos y Desperdicios - Terceros</v>
      </c>
      <c r="AC1608" s="160"/>
      <c r="AF1608" s="324" t="s">
        <v>473</v>
      </c>
      <c r="AG1608" s="324"/>
      <c r="AH1608" s="234" t="str">
        <f>VLOOKUP(AH1606,DivisionariasContables,3,FALSE)</f>
        <v>Devoluciones sobre Ventas - Subproductos, Desechos y Desperdicios - Relacionadas</v>
      </c>
      <c r="AI1608" s="160"/>
    </row>
    <row r="1609" spans="2:60" ht="14.4" thickBot="1" x14ac:dyDescent="0.3"/>
    <row r="1610" spans="2:60" x14ac:dyDescent="0.25">
      <c r="B1610" s="325" t="s">
        <v>466</v>
      </c>
      <c r="C1610" s="327" t="s">
        <v>467</v>
      </c>
      <c r="D1610" s="327" t="s">
        <v>468</v>
      </c>
      <c r="E1610" s="329" t="s">
        <v>469</v>
      </c>
      <c r="F1610" s="330"/>
      <c r="H1610" s="325" t="s">
        <v>466</v>
      </c>
      <c r="I1610" s="327" t="s">
        <v>467</v>
      </c>
      <c r="J1610" s="327" t="s">
        <v>468</v>
      </c>
      <c r="K1610" s="329" t="s">
        <v>469</v>
      </c>
      <c r="L1610" s="330"/>
      <c r="N1610" s="325" t="s">
        <v>466</v>
      </c>
      <c r="O1610" s="327" t="s">
        <v>467</v>
      </c>
      <c r="P1610" s="327" t="s">
        <v>468</v>
      </c>
      <c r="Q1610" s="329" t="s">
        <v>469</v>
      </c>
      <c r="R1610" s="330"/>
      <c r="T1610" s="325" t="s">
        <v>466</v>
      </c>
      <c r="U1610" s="327" t="s">
        <v>467</v>
      </c>
      <c r="V1610" s="327" t="s">
        <v>468</v>
      </c>
      <c r="W1610" s="329" t="s">
        <v>469</v>
      </c>
      <c r="X1610" s="330"/>
      <c r="Z1610" s="325" t="s">
        <v>466</v>
      </c>
      <c r="AA1610" s="327" t="s">
        <v>467</v>
      </c>
      <c r="AB1610" s="327" t="s">
        <v>468</v>
      </c>
      <c r="AC1610" s="329" t="s">
        <v>469</v>
      </c>
      <c r="AD1610" s="330"/>
      <c r="AF1610" s="325" t="s">
        <v>466</v>
      </c>
      <c r="AG1610" s="327" t="s">
        <v>467</v>
      </c>
      <c r="AH1610" s="327" t="s">
        <v>468</v>
      </c>
      <c r="AI1610" s="329" t="s">
        <v>469</v>
      </c>
      <c r="AJ1610" s="330"/>
    </row>
    <row r="1611" spans="2:60" ht="14.4" thickBot="1" x14ac:dyDescent="0.3">
      <c r="B1611" s="326"/>
      <c r="C1611" s="328"/>
      <c r="D1611" s="328"/>
      <c r="E1611" s="232" t="s">
        <v>403</v>
      </c>
      <c r="F1611" s="174" t="s">
        <v>402</v>
      </c>
      <c r="H1611" s="326"/>
      <c r="I1611" s="328"/>
      <c r="J1611" s="328"/>
      <c r="K1611" s="232" t="s">
        <v>403</v>
      </c>
      <c r="L1611" s="174" t="s">
        <v>402</v>
      </c>
      <c r="N1611" s="326"/>
      <c r="O1611" s="328"/>
      <c r="P1611" s="328"/>
      <c r="Q1611" s="232" t="s">
        <v>403</v>
      </c>
      <c r="R1611" s="174" t="s">
        <v>402</v>
      </c>
      <c r="T1611" s="326"/>
      <c r="U1611" s="328"/>
      <c r="V1611" s="328"/>
      <c r="W1611" s="232" t="s">
        <v>403</v>
      </c>
      <c r="X1611" s="174" t="s">
        <v>402</v>
      </c>
      <c r="Z1611" s="326"/>
      <c r="AA1611" s="328"/>
      <c r="AB1611" s="328"/>
      <c r="AC1611" s="232" t="s">
        <v>403</v>
      </c>
      <c r="AD1611" s="174" t="s">
        <v>402</v>
      </c>
      <c r="AF1611" s="326"/>
      <c r="AG1611" s="328"/>
      <c r="AH1611" s="328"/>
      <c r="AI1611" s="232" t="s">
        <v>403</v>
      </c>
      <c r="AJ1611" s="174" t="s">
        <v>402</v>
      </c>
    </row>
    <row r="1612" spans="2:60" ht="14.4" thickTop="1" x14ac:dyDescent="0.25">
      <c r="B1612" s="236">
        <v>41670</v>
      </c>
      <c r="C1612" s="171"/>
      <c r="D1612" s="166" t="s">
        <v>470</v>
      </c>
      <c r="E1612" s="167">
        <f>SUMIF('Libro Diario Convencional'!$D$15:$D$167,D1606,'Libro Diario Convencional'!$G$15:$G$167)</f>
        <v>0</v>
      </c>
      <c r="F1612" s="168">
        <f>SUMIF('Libro Diario Convencional'!$D$15:$D$167,D1606,'Libro Diario Convencional'!$H$15:$H$167)</f>
        <v>0</v>
      </c>
      <c r="H1612" s="236">
        <v>41670</v>
      </c>
      <c r="I1612" s="171"/>
      <c r="J1612" s="166" t="s">
        <v>470</v>
      </c>
      <c r="K1612" s="167">
        <f>SUMIF('Libro Diario Convencional'!$D$15:$D$167,J1606,'Libro Diario Convencional'!$G$15:$G$167)</f>
        <v>0</v>
      </c>
      <c r="L1612" s="168">
        <f>SUMIF('Libro Diario Convencional'!$D$15:$D$167,J1606,'Libro Diario Convencional'!$H$15:$H$167)</f>
        <v>0</v>
      </c>
      <c r="N1612" s="236">
        <v>41670</v>
      </c>
      <c r="O1612" s="171"/>
      <c r="P1612" s="166" t="s">
        <v>470</v>
      </c>
      <c r="Q1612" s="167">
        <f>SUMIF('Libro Diario Convencional'!$D$15:$D$167,P1606,'Libro Diario Convencional'!$G$15:$G$167)</f>
        <v>0</v>
      </c>
      <c r="R1612" s="168">
        <f>SUMIF('Libro Diario Convencional'!$D$15:$D$167,P1606,'Libro Diario Convencional'!$H$15:$H$167)</f>
        <v>0</v>
      </c>
      <c r="T1612" s="236">
        <v>41670</v>
      </c>
      <c r="U1612" s="171"/>
      <c r="V1612" s="166" t="s">
        <v>470</v>
      </c>
      <c r="W1612" s="167">
        <f>SUMIF('Libro Diario Convencional'!$D$15:$D$167,V1606,'Libro Diario Convencional'!$G$15:$G$167)</f>
        <v>0</v>
      </c>
      <c r="X1612" s="168">
        <f>SUMIF('Libro Diario Convencional'!$D$15:$D$167,V1606,'Libro Diario Convencional'!$H$15:$H$167)</f>
        <v>0</v>
      </c>
      <c r="Z1612" s="236">
        <v>41670</v>
      </c>
      <c r="AA1612" s="171"/>
      <c r="AB1612" s="166" t="s">
        <v>470</v>
      </c>
      <c r="AC1612" s="167">
        <f>SUMIF('Libro Diario Convencional'!$D$15:$D$167,AB1606,'Libro Diario Convencional'!$G$15:$G$167)</f>
        <v>0</v>
      </c>
      <c r="AD1612" s="168">
        <f>SUMIF('Libro Diario Convencional'!$D$15:$D$167,AB1606,'Libro Diario Convencional'!$H$15:$H$167)</f>
        <v>0</v>
      </c>
      <c r="AF1612" s="236">
        <v>41670</v>
      </c>
      <c r="AG1612" s="171"/>
      <c r="AH1612" s="166" t="s">
        <v>470</v>
      </c>
      <c r="AI1612" s="167">
        <f>SUMIF('Libro Diario Convencional'!$D$15:$D$167,AH1606,'Libro Diario Convencional'!$G$15:$G$167)</f>
        <v>0</v>
      </c>
      <c r="AJ1612" s="168">
        <f>SUMIF('Libro Diario Convencional'!$D$15:$D$167,AH1606,'Libro Diario Convencional'!$H$15:$H$167)</f>
        <v>0</v>
      </c>
    </row>
    <row r="1613" spans="2:60" x14ac:dyDescent="0.25">
      <c r="B1613" s="169"/>
      <c r="C1613" s="172"/>
      <c r="D1613" s="161"/>
      <c r="E1613" s="162"/>
      <c r="F1613" s="163"/>
      <c r="H1613" s="169"/>
      <c r="I1613" s="172"/>
      <c r="J1613" s="161"/>
      <c r="K1613" s="162"/>
      <c r="L1613" s="163"/>
      <c r="N1613" s="169"/>
      <c r="O1613" s="172"/>
      <c r="P1613" s="161"/>
      <c r="Q1613" s="162"/>
      <c r="R1613" s="163"/>
      <c r="T1613" s="169"/>
      <c r="U1613" s="172"/>
      <c r="V1613" s="161"/>
      <c r="W1613" s="162"/>
      <c r="X1613" s="163"/>
      <c r="Z1613" s="169"/>
      <c r="AA1613" s="172"/>
      <c r="AB1613" s="161"/>
      <c r="AC1613" s="162"/>
      <c r="AD1613" s="163"/>
      <c r="AF1613" s="169"/>
      <c r="AG1613" s="172"/>
      <c r="AH1613" s="161"/>
      <c r="AI1613" s="162"/>
      <c r="AJ1613" s="163"/>
    </row>
    <row r="1614" spans="2:60" x14ac:dyDescent="0.25">
      <c r="B1614" s="169"/>
      <c r="C1614" s="172"/>
      <c r="D1614" s="161"/>
      <c r="E1614" s="162"/>
      <c r="F1614" s="163"/>
      <c r="H1614" s="169"/>
      <c r="I1614" s="172"/>
      <c r="J1614" s="161"/>
      <c r="K1614" s="162"/>
      <c r="L1614" s="163"/>
      <c r="N1614" s="169"/>
      <c r="O1614" s="172"/>
      <c r="P1614" s="161"/>
      <c r="Q1614" s="162"/>
      <c r="R1614" s="163"/>
      <c r="T1614" s="169"/>
      <c r="U1614" s="172"/>
      <c r="V1614" s="161"/>
      <c r="W1614" s="162"/>
      <c r="X1614" s="163"/>
      <c r="Z1614" s="169"/>
      <c r="AA1614" s="172"/>
      <c r="AB1614" s="161"/>
      <c r="AC1614" s="162"/>
      <c r="AD1614" s="163"/>
      <c r="AF1614" s="169"/>
      <c r="AG1614" s="172"/>
      <c r="AH1614" s="161"/>
      <c r="AI1614" s="162"/>
      <c r="AJ1614" s="163"/>
    </row>
    <row r="1615" spans="2:60" ht="14.4" thickBot="1" x14ac:dyDescent="0.3">
      <c r="B1615" s="169"/>
      <c r="C1615" s="172"/>
      <c r="D1615" s="161"/>
      <c r="E1615" s="162"/>
      <c r="F1615" s="163"/>
      <c r="H1615" s="169"/>
      <c r="I1615" s="172"/>
      <c r="J1615" s="161"/>
      <c r="K1615" s="162"/>
      <c r="L1615" s="163"/>
      <c r="N1615" s="169"/>
      <c r="O1615" s="172"/>
      <c r="P1615" s="161"/>
      <c r="Q1615" s="162"/>
      <c r="R1615" s="163"/>
      <c r="T1615" s="169"/>
      <c r="U1615" s="172"/>
      <c r="V1615" s="161"/>
      <c r="W1615" s="162"/>
      <c r="X1615" s="163"/>
      <c r="Z1615" s="169"/>
      <c r="AA1615" s="172"/>
      <c r="AB1615" s="161"/>
      <c r="AC1615" s="162"/>
      <c r="AD1615" s="163"/>
      <c r="AF1615" s="169"/>
      <c r="AG1615" s="172"/>
      <c r="AH1615" s="161"/>
      <c r="AI1615" s="162"/>
      <c r="AJ1615" s="163"/>
    </row>
    <row r="1616" spans="2:60" ht="15" thickBot="1" x14ac:dyDescent="0.3">
      <c r="B1616" s="169"/>
      <c r="C1616" s="172"/>
      <c r="D1616" s="161" t="s">
        <v>471</v>
      </c>
      <c r="E1616" s="162">
        <f>SUM(E1612:E1615)</f>
        <v>0</v>
      </c>
      <c r="F1616" s="163">
        <f>SUM(F1612:F1615)</f>
        <v>0</v>
      </c>
      <c r="H1616" s="169"/>
      <c r="I1616" s="172"/>
      <c r="J1616" s="161" t="s">
        <v>471</v>
      </c>
      <c r="K1616" s="162">
        <f>SUM(K1612:K1615)</f>
        <v>0</v>
      </c>
      <c r="L1616" s="163">
        <f>SUM(L1612:L1615)</f>
        <v>0</v>
      </c>
      <c r="N1616" s="169"/>
      <c r="O1616" s="172"/>
      <c r="P1616" s="161" t="s">
        <v>471</v>
      </c>
      <c r="Q1616" s="162">
        <f>SUM(Q1612:Q1615)</f>
        <v>0</v>
      </c>
      <c r="R1616" s="163">
        <f>SUM(R1612:R1615)</f>
        <v>0</v>
      </c>
      <c r="T1616" s="169"/>
      <c r="U1616" s="172"/>
      <c r="V1616" s="161" t="s">
        <v>471</v>
      </c>
      <c r="W1616" s="162">
        <f>SUM(W1612:W1615)</f>
        <v>0</v>
      </c>
      <c r="X1616" s="163">
        <f>SUM(X1612:X1615)</f>
        <v>0</v>
      </c>
      <c r="Z1616" s="169"/>
      <c r="AA1616" s="172"/>
      <c r="AB1616" s="161" t="s">
        <v>471</v>
      </c>
      <c r="AC1616" s="162">
        <f>SUM(AC1612:AC1615)</f>
        <v>0</v>
      </c>
      <c r="AD1616" s="163">
        <f>SUM(AD1612:AD1615)</f>
        <v>0</v>
      </c>
      <c r="AF1616" s="169"/>
      <c r="AG1616" s="172"/>
      <c r="AH1616" s="161" t="s">
        <v>471</v>
      </c>
      <c r="AI1616" s="162">
        <f>SUM(AI1612:AI1615)</f>
        <v>0</v>
      </c>
      <c r="AJ1616" s="163">
        <f>SUM(AJ1612:AJ1615)</f>
        <v>0</v>
      </c>
      <c r="BG1616" s="157">
        <f>SUM(E1616,K1616,Q1616,W1616,AC1616,AI1616,AO1616,AU1616,AX1616,BD1616)</f>
        <v>0</v>
      </c>
      <c r="BH1616" s="158">
        <f>SUM(F1616,L1616,R1616,X1616,AD1616,AJ1616,AP1616,AV1616,AY1616,BE1616)</f>
        <v>0</v>
      </c>
    </row>
    <row r="1617" spans="2:60" ht="14.4" thickBot="1" x14ac:dyDescent="0.3">
      <c r="B1617" s="170"/>
      <c r="C1617" s="173"/>
      <c r="D1617" s="164" t="str">
        <f>IF(E1616=F1616,"",IF(E1616&gt;F1616,"Saldo Deudor","Saldo Acreedor"))</f>
        <v/>
      </c>
      <c r="E1617" s="165" t="str">
        <f>IF(E1616&gt;F1616,E1616-F1616,"")</f>
        <v/>
      </c>
      <c r="F1617" s="176" t="str">
        <f>IF(E1616&lt;F1616,F1616-E1616,"")</f>
        <v/>
      </c>
      <c r="H1617" s="170"/>
      <c r="I1617" s="173"/>
      <c r="J1617" s="164" t="str">
        <f>IF(K1616=L1616,"",IF(K1616&gt;L1616,"Saldo Deudor","Saldo Acreedor"))</f>
        <v/>
      </c>
      <c r="K1617" s="165" t="str">
        <f>IF(K1616&gt;L1616,K1616-L1616,"")</f>
        <v/>
      </c>
      <c r="L1617" s="176" t="str">
        <f>IF(K1616&lt;L1616,L1616-K1616,"")</f>
        <v/>
      </c>
      <c r="N1617" s="170"/>
      <c r="O1617" s="173"/>
      <c r="P1617" s="164" t="str">
        <f>IF(Q1616=R1616,"",IF(Q1616&gt;R1616,"Saldo Deudor","Saldo Acreedor"))</f>
        <v/>
      </c>
      <c r="Q1617" s="165" t="str">
        <f>IF(Q1616&gt;R1616,Q1616-R1616,"")</f>
        <v/>
      </c>
      <c r="R1617" s="176" t="str">
        <f>IF(Q1616&lt;R1616,R1616-Q1616,"")</f>
        <v/>
      </c>
      <c r="T1617" s="170"/>
      <c r="U1617" s="173"/>
      <c r="V1617" s="164" t="str">
        <f>IF(W1616=X1616,"",IF(W1616&gt;X1616,"Saldo Deudor","Saldo Acreedor"))</f>
        <v/>
      </c>
      <c r="W1617" s="165" t="str">
        <f>IF(W1616&gt;X1616,W1616-X1616,"")</f>
        <v/>
      </c>
      <c r="X1617" s="176" t="str">
        <f>IF(W1616&lt;X1616,X1616-W1616,"")</f>
        <v/>
      </c>
      <c r="Z1617" s="170"/>
      <c r="AA1617" s="173"/>
      <c r="AB1617" s="164" t="str">
        <f>IF(AC1616=AD1616,"",IF(AC1616&gt;AD1616,"Saldo Deudor","Saldo Acreedor"))</f>
        <v/>
      </c>
      <c r="AC1617" s="165" t="str">
        <f>IF(AC1616&gt;AD1616,AC1616-AD1616,"")</f>
        <v/>
      </c>
      <c r="AD1617" s="176" t="str">
        <f>IF(AC1616&lt;AD1616,AD1616-AC1616,"")</f>
        <v/>
      </c>
      <c r="AF1617" s="170"/>
      <c r="AG1617" s="173"/>
      <c r="AH1617" s="164" t="str">
        <f>IF(AI1616=AJ1616,"",IF(AI1616&gt;AJ1616,"Saldo Deudor","Saldo Acreedor"))</f>
        <v/>
      </c>
      <c r="AI1617" s="165" t="str">
        <f>IF(AI1616&gt;AJ1616,AI1616-AJ1616,"")</f>
        <v/>
      </c>
      <c r="AJ1617" s="176" t="str">
        <f>IF(AI1616&lt;AJ1616,AJ1616-AI1616,"")</f>
        <v/>
      </c>
    </row>
    <row r="1620" spans="2:60" ht="15.6" x14ac:dyDescent="0.25">
      <c r="B1620" s="324" t="s">
        <v>472</v>
      </c>
      <c r="C1620" s="324"/>
      <c r="D1620" s="175">
        <v>7111</v>
      </c>
      <c r="E1620" s="160"/>
    </row>
    <row r="1621" spans="2:60" x14ac:dyDescent="0.25">
      <c r="B1621" s="160"/>
      <c r="C1621" s="160"/>
      <c r="D1621" s="160"/>
      <c r="E1621" s="160"/>
    </row>
    <row r="1622" spans="2:60" ht="15.6" x14ac:dyDescent="0.25">
      <c r="B1622" s="324" t="s">
        <v>473</v>
      </c>
      <c r="C1622" s="324"/>
      <c r="D1622" s="234" t="str">
        <f>VLOOKUP(D1620,DivisionariasContables,3,FALSE)</f>
        <v>Productos Manufacturados</v>
      </c>
      <c r="E1622" s="160"/>
    </row>
    <row r="1623" spans="2:60" ht="14.4" thickBot="1" x14ac:dyDescent="0.3"/>
    <row r="1624" spans="2:60" x14ac:dyDescent="0.25">
      <c r="B1624" s="325" t="s">
        <v>466</v>
      </c>
      <c r="C1624" s="327" t="s">
        <v>467</v>
      </c>
      <c r="D1624" s="327" t="s">
        <v>468</v>
      </c>
      <c r="E1624" s="329" t="s">
        <v>469</v>
      </c>
      <c r="F1624" s="330"/>
    </row>
    <row r="1625" spans="2:60" ht="14.4" thickBot="1" x14ac:dyDescent="0.3">
      <c r="B1625" s="326"/>
      <c r="C1625" s="328"/>
      <c r="D1625" s="328"/>
      <c r="E1625" s="232" t="s">
        <v>403</v>
      </c>
      <c r="F1625" s="174" t="s">
        <v>402</v>
      </c>
    </row>
    <row r="1626" spans="2:60" ht="14.4" thickTop="1" x14ac:dyDescent="0.25">
      <c r="B1626" s="236">
        <v>41670</v>
      </c>
      <c r="C1626" s="171"/>
      <c r="D1626" s="166" t="s">
        <v>470</v>
      </c>
      <c r="E1626" s="167">
        <f>SUMIF('Libro Diario Convencional'!$D$15:$D$167,D1620,'Libro Diario Convencional'!$G$15:$G$167)</f>
        <v>0</v>
      </c>
      <c r="F1626" s="168">
        <f>SUMIF('Libro Diario Convencional'!$D$15:$D$167,D1620,'Libro Diario Convencional'!$H$15:$H$167)</f>
        <v>0</v>
      </c>
    </row>
    <row r="1627" spans="2:60" x14ac:dyDescent="0.25">
      <c r="B1627" s="169"/>
      <c r="C1627" s="172"/>
      <c r="D1627" s="161"/>
      <c r="E1627" s="162"/>
      <c r="F1627" s="163"/>
    </row>
    <row r="1628" spans="2:60" x14ac:dyDescent="0.25">
      <c r="B1628" s="169"/>
      <c r="C1628" s="172"/>
      <c r="D1628" s="161"/>
      <c r="E1628" s="162"/>
      <c r="F1628" s="163"/>
    </row>
    <row r="1629" spans="2:60" ht="14.4" thickBot="1" x14ac:dyDescent="0.3">
      <c r="B1629" s="169"/>
      <c r="C1629" s="172"/>
      <c r="D1629" s="161"/>
      <c r="E1629" s="162"/>
      <c r="F1629" s="163"/>
    </row>
    <row r="1630" spans="2:60" ht="15" thickBot="1" x14ac:dyDescent="0.3">
      <c r="B1630" s="169"/>
      <c r="C1630" s="172"/>
      <c r="D1630" s="161" t="s">
        <v>471</v>
      </c>
      <c r="E1630" s="162">
        <f>SUM(E1626:E1629)</f>
        <v>0</v>
      </c>
      <c r="F1630" s="163">
        <f>SUM(F1626:F1629)</f>
        <v>0</v>
      </c>
      <c r="BG1630" s="157">
        <f>SUM(E1630,K1630,Q1630,W1630,AC1630,AI1630,AO1630,AU1630,AX1630,BD1630)</f>
        <v>0</v>
      </c>
      <c r="BH1630" s="158">
        <f>SUM(F1630,L1630,R1630,X1630,AD1630,AJ1630,AP1630,AV1630,AY1630,BE1630)</f>
        <v>0</v>
      </c>
    </row>
    <row r="1631" spans="2:60" ht="14.4" thickBot="1" x14ac:dyDescent="0.3">
      <c r="B1631" s="170"/>
      <c r="C1631" s="173"/>
      <c r="D1631" s="164" t="str">
        <f>IF(E1630=F1630,"",IF(E1630&gt;F1630,"Saldo Deudor","Saldo Acreedor"))</f>
        <v/>
      </c>
      <c r="E1631" s="165" t="str">
        <f>IF(E1630&gt;F1630,E1630-F1630,"")</f>
        <v/>
      </c>
      <c r="F1631" s="176" t="str">
        <f>IF(E1630&lt;F1630,F1630-E1630,"")</f>
        <v/>
      </c>
    </row>
    <row r="1634" spans="2:60" ht="15.6" x14ac:dyDescent="0.25">
      <c r="B1634" s="324" t="s">
        <v>472</v>
      </c>
      <c r="C1634" s="324"/>
      <c r="D1634" s="175">
        <v>7311</v>
      </c>
      <c r="E1634" s="160"/>
    </row>
    <row r="1635" spans="2:60" x14ac:dyDescent="0.25">
      <c r="B1635" s="160"/>
      <c r="C1635" s="160"/>
      <c r="D1635" s="160"/>
      <c r="E1635" s="160"/>
    </row>
    <row r="1636" spans="2:60" ht="15.6" x14ac:dyDescent="0.25">
      <c r="B1636" s="324" t="s">
        <v>473</v>
      </c>
      <c r="C1636" s="324"/>
      <c r="D1636" s="234" t="str">
        <f>VLOOKUP(D1634,DivisionariasContables,3,FALSE)</f>
        <v>Descuentos, Rebajas y Bonificaciones Obtenidos - Terceros</v>
      </c>
      <c r="E1636" s="160"/>
    </row>
    <row r="1637" spans="2:60" ht="14.4" thickBot="1" x14ac:dyDescent="0.3"/>
    <row r="1638" spans="2:60" x14ac:dyDescent="0.25">
      <c r="B1638" s="325" t="s">
        <v>466</v>
      </c>
      <c r="C1638" s="327" t="s">
        <v>467</v>
      </c>
      <c r="D1638" s="327" t="s">
        <v>468</v>
      </c>
      <c r="E1638" s="329" t="s">
        <v>469</v>
      </c>
      <c r="F1638" s="330"/>
    </row>
    <row r="1639" spans="2:60" ht="14.4" thickBot="1" x14ac:dyDescent="0.3">
      <c r="B1639" s="326"/>
      <c r="C1639" s="328"/>
      <c r="D1639" s="328"/>
      <c r="E1639" s="232" t="s">
        <v>403</v>
      </c>
      <c r="F1639" s="174" t="s">
        <v>402</v>
      </c>
    </row>
    <row r="1640" spans="2:60" ht="14.4" thickTop="1" x14ac:dyDescent="0.25">
      <c r="B1640" s="236">
        <v>41670</v>
      </c>
      <c r="C1640" s="171"/>
      <c r="D1640" s="166" t="s">
        <v>470</v>
      </c>
      <c r="E1640" s="167">
        <f>SUMIF('Libro Diario Convencional'!$D$15:$D$167,D1634,'Libro Diario Convencional'!$G$15:$G$167)</f>
        <v>0</v>
      </c>
      <c r="F1640" s="168">
        <f>SUMIF('Libro Diario Convencional'!$D$15:$D$167,D1634,'Libro Diario Convencional'!$H$15:$H$167)</f>
        <v>0</v>
      </c>
    </row>
    <row r="1641" spans="2:60" x14ac:dyDescent="0.25">
      <c r="B1641" s="169"/>
      <c r="C1641" s="172"/>
      <c r="D1641" s="161"/>
      <c r="E1641" s="162"/>
      <c r="F1641" s="163"/>
    </row>
    <row r="1642" spans="2:60" x14ac:dyDescent="0.25">
      <c r="B1642" s="169"/>
      <c r="C1642" s="172"/>
      <c r="D1642" s="161"/>
      <c r="E1642" s="162"/>
      <c r="F1642" s="163"/>
    </row>
    <row r="1643" spans="2:60" ht="14.4" thickBot="1" x14ac:dyDescent="0.3">
      <c r="B1643" s="169"/>
      <c r="C1643" s="172"/>
      <c r="D1643" s="161"/>
      <c r="E1643" s="162"/>
      <c r="F1643" s="163"/>
    </row>
    <row r="1644" spans="2:60" ht="15" thickBot="1" x14ac:dyDescent="0.3">
      <c r="B1644" s="169"/>
      <c r="C1644" s="172"/>
      <c r="D1644" s="161" t="s">
        <v>471</v>
      </c>
      <c r="E1644" s="162">
        <f>SUM(E1640:E1643)</f>
        <v>0</v>
      </c>
      <c r="F1644" s="163">
        <f>SUM(F1640:F1643)</f>
        <v>0</v>
      </c>
      <c r="BG1644" s="157">
        <f>SUM(E1644,K1644,Q1644,W1644,AC1644,AI1644,AO1644,AU1644,AX1644,BD1644)</f>
        <v>0</v>
      </c>
      <c r="BH1644" s="158">
        <f>SUM(F1644,L1644,R1644,X1644,AD1644,AJ1644,AP1644,AV1644,AY1644,BE1644)</f>
        <v>0</v>
      </c>
    </row>
    <row r="1645" spans="2:60" ht="14.4" thickBot="1" x14ac:dyDescent="0.3">
      <c r="B1645" s="170"/>
      <c r="C1645" s="173"/>
      <c r="D1645" s="164" t="str">
        <f>IF(E1644=F1644,"",IF(E1644&gt;F1644,"Saldo Deudor","Saldo Acreedor"))</f>
        <v/>
      </c>
      <c r="E1645" s="165" t="str">
        <f>IF(E1644&gt;F1644,E1644-F1644,"")</f>
        <v/>
      </c>
      <c r="F1645" s="176" t="str">
        <f>IF(E1644&lt;F1644,F1644-E1644,"")</f>
        <v/>
      </c>
    </row>
    <row r="1648" spans="2:60" ht="15.6" x14ac:dyDescent="0.25">
      <c r="B1648" s="324" t="s">
        <v>472</v>
      </c>
      <c r="C1648" s="324"/>
      <c r="D1648" s="175">
        <v>7411</v>
      </c>
      <c r="E1648" s="160"/>
      <c r="H1648" s="324" t="s">
        <v>472</v>
      </c>
      <c r="I1648" s="324"/>
      <c r="J1648" s="175">
        <v>7412</v>
      </c>
      <c r="K1648" s="160"/>
    </row>
    <row r="1649" spans="2:60" x14ac:dyDescent="0.25">
      <c r="B1649" s="160"/>
      <c r="C1649" s="160"/>
      <c r="D1649" s="160"/>
      <c r="E1649" s="160"/>
      <c r="H1649" s="160"/>
      <c r="I1649" s="160"/>
      <c r="J1649" s="160"/>
      <c r="K1649" s="160"/>
    </row>
    <row r="1650" spans="2:60" ht="15.6" x14ac:dyDescent="0.25">
      <c r="B1650" s="324" t="s">
        <v>473</v>
      </c>
      <c r="C1650" s="324"/>
      <c r="D1650" s="234" t="str">
        <f>VLOOKUP(D1648,DivisionariasContables,3,FALSE)</f>
        <v>Descuentos, Rebajas y Bonificaciones Concedidos - Terceros</v>
      </c>
      <c r="E1650" s="160"/>
      <c r="H1650" s="324" t="s">
        <v>473</v>
      </c>
      <c r="I1650" s="324"/>
      <c r="J1650" s="234" t="str">
        <f>VLOOKUP(J1648,DivisionariasContables,3,FALSE)</f>
        <v>Descuentos, Rebajas y Bonificaciones Concedidos - Relacionadas</v>
      </c>
      <c r="K1650" s="160"/>
    </row>
    <row r="1651" spans="2:60" ht="14.4" thickBot="1" x14ac:dyDescent="0.3"/>
    <row r="1652" spans="2:60" x14ac:dyDescent="0.25">
      <c r="B1652" s="325" t="s">
        <v>466</v>
      </c>
      <c r="C1652" s="327" t="s">
        <v>467</v>
      </c>
      <c r="D1652" s="327" t="s">
        <v>468</v>
      </c>
      <c r="E1652" s="329" t="s">
        <v>469</v>
      </c>
      <c r="F1652" s="330"/>
      <c r="H1652" s="325" t="s">
        <v>466</v>
      </c>
      <c r="I1652" s="327" t="s">
        <v>467</v>
      </c>
      <c r="J1652" s="327" t="s">
        <v>468</v>
      </c>
      <c r="K1652" s="329" t="s">
        <v>469</v>
      </c>
      <c r="L1652" s="330"/>
    </row>
    <row r="1653" spans="2:60" ht="14.4" thickBot="1" x14ac:dyDescent="0.3">
      <c r="B1653" s="326"/>
      <c r="C1653" s="328"/>
      <c r="D1653" s="328"/>
      <c r="E1653" s="232" t="s">
        <v>403</v>
      </c>
      <c r="F1653" s="174" t="s">
        <v>402</v>
      </c>
      <c r="H1653" s="326"/>
      <c r="I1653" s="328"/>
      <c r="J1653" s="328"/>
      <c r="K1653" s="232" t="s">
        <v>403</v>
      </c>
      <c r="L1653" s="174" t="s">
        <v>402</v>
      </c>
    </row>
    <row r="1654" spans="2:60" ht="14.4" thickTop="1" x14ac:dyDescent="0.25">
      <c r="B1654" s="236">
        <v>41670</v>
      </c>
      <c r="C1654" s="171"/>
      <c r="D1654" s="166" t="s">
        <v>470</v>
      </c>
      <c r="E1654" s="167">
        <f>SUMIF('Libro Diario Convencional'!$D$15:$D$167,D1648,'Libro Diario Convencional'!$G$15:$G$167)</f>
        <v>0</v>
      </c>
      <c r="F1654" s="168">
        <f>SUMIF('Libro Diario Convencional'!$D$15:$D$167,D1648,'Libro Diario Convencional'!$H$15:$H$167)</f>
        <v>0</v>
      </c>
      <c r="H1654" s="236">
        <v>41670</v>
      </c>
      <c r="I1654" s="171"/>
      <c r="J1654" s="166" t="s">
        <v>470</v>
      </c>
      <c r="K1654" s="167">
        <f>SUMIF('Libro Diario Convencional'!$D$15:$D$167,J1648,'Libro Diario Convencional'!$G$15:$G$167)</f>
        <v>0</v>
      </c>
      <c r="L1654" s="168">
        <f>SUMIF('Libro Diario Convencional'!$D$15:$D$167,J1648,'Libro Diario Convencional'!$H$15:$H$167)</f>
        <v>0</v>
      </c>
    </row>
    <row r="1655" spans="2:60" x14ac:dyDescent="0.25">
      <c r="B1655" s="169"/>
      <c r="C1655" s="172"/>
      <c r="D1655" s="161"/>
      <c r="E1655" s="162"/>
      <c r="F1655" s="163"/>
      <c r="H1655" s="169"/>
      <c r="I1655" s="172"/>
      <c r="J1655" s="161"/>
      <c r="K1655" s="162"/>
      <c r="L1655" s="163"/>
    </row>
    <row r="1656" spans="2:60" x14ac:dyDescent="0.25">
      <c r="B1656" s="169"/>
      <c r="C1656" s="172"/>
      <c r="D1656" s="161"/>
      <c r="E1656" s="162"/>
      <c r="F1656" s="163"/>
      <c r="H1656" s="169"/>
      <c r="I1656" s="172"/>
      <c r="J1656" s="161"/>
      <c r="K1656" s="162"/>
      <c r="L1656" s="163"/>
    </row>
    <row r="1657" spans="2:60" ht="14.4" thickBot="1" x14ac:dyDescent="0.3">
      <c r="B1657" s="169"/>
      <c r="C1657" s="172"/>
      <c r="D1657" s="161"/>
      <c r="E1657" s="162"/>
      <c r="F1657" s="163"/>
      <c r="H1657" s="169"/>
      <c r="I1657" s="172"/>
      <c r="J1657" s="161"/>
      <c r="K1657" s="162"/>
      <c r="L1657" s="163"/>
    </row>
    <row r="1658" spans="2:60" ht="15" thickBot="1" x14ac:dyDescent="0.3">
      <c r="B1658" s="169"/>
      <c r="C1658" s="172"/>
      <c r="D1658" s="161" t="s">
        <v>471</v>
      </c>
      <c r="E1658" s="162">
        <f>SUM(E1654:E1657)</f>
        <v>0</v>
      </c>
      <c r="F1658" s="163">
        <f>SUM(F1654:F1657)</f>
        <v>0</v>
      </c>
      <c r="H1658" s="169"/>
      <c r="I1658" s="172"/>
      <c r="J1658" s="161" t="s">
        <v>471</v>
      </c>
      <c r="K1658" s="162">
        <f>SUM(K1654:K1657)</f>
        <v>0</v>
      </c>
      <c r="L1658" s="163">
        <f>SUM(L1654:L1657)</f>
        <v>0</v>
      </c>
      <c r="BG1658" s="157">
        <f>SUM(E1658,K1658,Q1658,W1658,AC1658,AI1658,AO1658,AU1658,AX1658,BD1658)</f>
        <v>0</v>
      </c>
      <c r="BH1658" s="158">
        <f>SUM(F1658,L1658,R1658,X1658,AD1658,AJ1658,AP1658,AV1658,AY1658,BE1658)</f>
        <v>0</v>
      </c>
    </row>
    <row r="1659" spans="2:60" ht="14.4" thickBot="1" x14ac:dyDescent="0.3">
      <c r="B1659" s="170"/>
      <c r="C1659" s="173"/>
      <c r="D1659" s="164" t="str">
        <f>IF(E1658=F1658,"",IF(E1658&gt;F1658,"Saldo Deudor","Saldo Acreedor"))</f>
        <v/>
      </c>
      <c r="E1659" s="165" t="str">
        <f>IF(E1658&gt;F1658,E1658-F1658,"")</f>
        <v/>
      </c>
      <c r="F1659" s="176" t="str">
        <f>IF(E1658&lt;F1658,F1658-E1658,"")</f>
        <v/>
      </c>
      <c r="H1659" s="170"/>
      <c r="I1659" s="173"/>
      <c r="J1659" s="164" t="str">
        <f>IF(K1658=L1658,"",IF(K1658&gt;L1658,"Saldo Deudor","Saldo Acreedor"))</f>
        <v/>
      </c>
      <c r="K1659" s="165" t="str">
        <f>IF(K1658&gt;L1658,K1658-L1658,"")</f>
        <v/>
      </c>
      <c r="L1659" s="176" t="str">
        <f>IF(K1658&lt;L1658,L1658-K1658,"")</f>
        <v/>
      </c>
    </row>
    <row r="1662" spans="2:60" ht="15.6" x14ac:dyDescent="0.25">
      <c r="B1662" s="324" t="s">
        <v>472</v>
      </c>
      <c r="C1662" s="324"/>
      <c r="D1662" s="175">
        <v>7511</v>
      </c>
      <c r="E1662" s="160"/>
    </row>
    <row r="1663" spans="2:60" x14ac:dyDescent="0.25">
      <c r="B1663" s="160"/>
      <c r="C1663" s="160"/>
      <c r="D1663" s="160"/>
      <c r="E1663" s="160"/>
    </row>
    <row r="1664" spans="2:60" ht="15.6" x14ac:dyDescent="0.25">
      <c r="B1664" s="324" t="s">
        <v>473</v>
      </c>
      <c r="C1664" s="324"/>
      <c r="D1664" s="234" t="str">
        <f>VLOOKUP(D1662,DivisionariasContables,3,FALSE)</f>
        <v>Servicios en Beneficio del Personal</v>
      </c>
      <c r="E1664" s="160"/>
    </row>
    <row r="1665" spans="2:60" ht="14.4" thickBot="1" x14ac:dyDescent="0.3"/>
    <row r="1666" spans="2:60" x14ac:dyDescent="0.25">
      <c r="B1666" s="325" t="s">
        <v>466</v>
      </c>
      <c r="C1666" s="327" t="s">
        <v>467</v>
      </c>
      <c r="D1666" s="327" t="s">
        <v>468</v>
      </c>
      <c r="E1666" s="329" t="s">
        <v>469</v>
      </c>
      <c r="F1666" s="330"/>
    </row>
    <row r="1667" spans="2:60" ht="14.4" thickBot="1" x14ac:dyDescent="0.3">
      <c r="B1667" s="326"/>
      <c r="C1667" s="328"/>
      <c r="D1667" s="328"/>
      <c r="E1667" s="232" t="s">
        <v>403</v>
      </c>
      <c r="F1667" s="174" t="s">
        <v>402</v>
      </c>
    </row>
    <row r="1668" spans="2:60" ht="14.4" thickTop="1" x14ac:dyDescent="0.25">
      <c r="B1668" s="236">
        <v>41670</v>
      </c>
      <c r="C1668" s="171"/>
      <c r="D1668" s="166" t="s">
        <v>470</v>
      </c>
      <c r="E1668" s="167">
        <f>SUMIF('Libro Diario Convencional'!$D$15:$D$167,D1662,'Libro Diario Convencional'!$G$15:$G$167)</f>
        <v>0</v>
      </c>
      <c r="F1668" s="168">
        <f>SUMIF('Libro Diario Convencional'!$D$15:$D$167,D1662,'Libro Diario Convencional'!$H$15:$H$167)</f>
        <v>0</v>
      </c>
    </row>
    <row r="1669" spans="2:60" x14ac:dyDescent="0.25">
      <c r="B1669" s="169"/>
      <c r="C1669" s="172"/>
      <c r="D1669" s="161"/>
      <c r="E1669" s="162"/>
      <c r="F1669" s="163"/>
    </row>
    <row r="1670" spans="2:60" x14ac:dyDescent="0.25">
      <c r="B1670" s="169"/>
      <c r="C1670" s="172"/>
      <c r="D1670" s="161"/>
      <c r="E1670" s="162"/>
      <c r="F1670" s="163"/>
    </row>
    <row r="1671" spans="2:60" ht="14.4" thickBot="1" x14ac:dyDescent="0.3">
      <c r="B1671" s="169"/>
      <c r="C1671" s="172"/>
      <c r="D1671" s="161"/>
      <c r="E1671" s="162"/>
      <c r="F1671" s="163"/>
    </row>
    <row r="1672" spans="2:60" ht="15" thickBot="1" x14ac:dyDescent="0.3">
      <c r="B1672" s="169"/>
      <c r="C1672" s="172"/>
      <c r="D1672" s="161" t="s">
        <v>471</v>
      </c>
      <c r="E1672" s="162">
        <f>SUM(E1668:E1671)</f>
        <v>0</v>
      </c>
      <c r="F1672" s="163">
        <f>SUM(F1668:F1671)</f>
        <v>0</v>
      </c>
      <c r="BG1672" s="157">
        <f>SUM(E1672,K1672,Q1672,W1672,AC1672,AI1672,AO1672,AU1672,AX1672,BD1672)</f>
        <v>0</v>
      </c>
      <c r="BH1672" s="158">
        <f>SUM(F1672,L1672,R1672,X1672,AD1672,AJ1672,AP1672,AV1672,AY1672,BE1672)</f>
        <v>0</v>
      </c>
    </row>
    <row r="1673" spans="2:60" ht="14.4" thickBot="1" x14ac:dyDescent="0.3">
      <c r="B1673" s="170"/>
      <c r="C1673" s="173"/>
      <c r="D1673" s="164" t="str">
        <f>IF(E1672=F1672,"",IF(E1672&gt;F1672,"Saldo Deudor","Saldo Acreedor"))</f>
        <v/>
      </c>
      <c r="E1673" s="165" t="str">
        <f>IF(E1672&gt;F1672,E1672-F1672,"")</f>
        <v/>
      </c>
      <c r="F1673" s="176" t="str">
        <f>IF(E1672&lt;F1672,F1672-E1672,"")</f>
        <v/>
      </c>
    </row>
    <row r="1676" spans="2:60" ht="15.6" x14ac:dyDescent="0.25">
      <c r="B1676" s="324" t="s">
        <v>472</v>
      </c>
      <c r="C1676" s="324"/>
      <c r="D1676" s="175">
        <v>7521</v>
      </c>
      <c r="E1676" s="160"/>
      <c r="H1676" s="324" t="s">
        <v>472</v>
      </c>
      <c r="I1676" s="324"/>
      <c r="J1676" s="175">
        <v>7522</v>
      </c>
      <c r="K1676" s="160"/>
    </row>
    <row r="1677" spans="2:60" x14ac:dyDescent="0.25">
      <c r="B1677" s="160"/>
      <c r="C1677" s="160"/>
      <c r="D1677" s="160"/>
      <c r="E1677" s="160"/>
      <c r="H1677" s="160"/>
      <c r="I1677" s="160"/>
      <c r="J1677" s="160"/>
      <c r="K1677" s="160"/>
    </row>
    <row r="1678" spans="2:60" ht="15.6" x14ac:dyDescent="0.25">
      <c r="B1678" s="324" t="s">
        <v>473</v>
      </c>
      <c r="C1678" s="324"/>
      <c r="D1678" s="234" t="str">
        <f>VLOOKUP(D1676,DivisionariasContables,3,FALSE)</f>
        <v>Comisiones</v>
      </c>
      <c r="E1678" s="160"/>
      <c r="H1678" s="324" t="s">
        <v>473</v>
      </c>
      <c r="I1678" s="324"/>
      <c r="J1678" s="234" t="str">
        <f>VLOOKUP(J1676,DivisionariasContables,3,FALSE)</f>
        <v>Corretajes</v>
      </c>
      <c r="K1678" s="160"/>
    </row>
    <row r="1679" spans="2:60" ht="14.4" thickBot="1" x14ac:dyDescent="0.3"/>
    <row r="1680" spans="2:60" x14ac:dyDescent="0.25">
      <c r="B1680" s="325" t="s">
        <v>466</v>
      </c>
      <c r="C1680" s="327" t="s">
        <v>467</v>
      </c>
      <c r="D1680" s="327" t="s">
        <v>468</v>
      </c>
      <c r="E1680" s="329" t="s">
        <v>469</v>
      </c>
      <c r="F1680" s="330"/>
      <c r="H1680" s="325" t="s">
        <v>466</v>
      </c>
      <c r="I1680" s="327" t="s">
        <v>467</v>
      </c>
      <c r="J1680" s="327" t="s">
        <v>468</v>
      </c>
      <c r="K1680" s="329" t="s">
        <v>469</v>
      </c>
      <c r="L1680" s="330"/>
    </row>
    <row r="1681" spans="2:60" ht="14.4" thickBot="1" x14ac:dyDescent="0.3">
      <c r="B1681" s="326"/>
      <c r="C1681" s="328"/>
      <c r="D1681" s="328"/>
      <c r="E1681" s="232" t="s">
        <v>403</v>
      </c>
      <c r="F1681" s="174" t="s">
        <v>402</v>
      </c>
      <c r="H1681" s="326"/>
      <c r="I1681" s="328"/>
      <c r="J1681" s="328"/>
      <c r="K1681" s="232" t="s">
        <v>403</v>
      </c>
      <c r="L1681" s="174" t="s">
        <v>402</v>
      </c>
    </row>
    <row r="1682" spans="2:60" ht="14.4" thickTop="1" x14ac:dyDescent="0.25">
      <c r="B1682" s="236">
        <v>41670</v>
      </c>
      <c r="C1682" s="171"/>
      <c r="D1682" s="166" t="s">
        <v>470</v>
      </c>
      <c r="E1682" s="167">
        <f>SUMIF('Libro Diario Convencional'!$D$15:$D$167,D1676,'Libro Diario Convencional'!$G$15:$G$167)</f>
        <v>0</v>
      </c>
      <c r="F1682" s="168">
        <f>SUMIF('Libro Diario Convencional'!$D$15:$D$167,D1676,'Libro Diario Convencional'!$H$15:$H$167)</f>
        <v>0</v>
      </c>
      <c r="H1682" s="236">
        <v>41670</v>
      </c>
      <c r="I1682" s="171"/>
      <c r="J1682" s="166" t="s">
        <v>470</v>
      </c>
      <c r="K1682" s="167">
        <f>SUMIF('Libro Diario Convencional'!$D$15:$D$167,J1676,'Libro Diario Convencional'!$G$15:$G$167)</f>
        <v>0</v>
      </c>
      <c r="L1682" s="168">
        <f>SUMIF('Libro Diario Convencional'!$D$15:$D$167,J1676,'Libro Diario Convencional'!$H$15:$H$167)</f>
        <v>0</v>
      </c>
    </row>
    <row r="1683" spans="2:60" x14ac:dyDescent="0.25">
      <c r="B1683" s="169"/>
      <c r="C1683" s="172"/>
      <c r="D1683" s="161"/>
      <c r="E1683" s="162"/>
      <c r="F1683" s="163"/>
      <c r="H1683" s="169"/>
      <c r="I1683" s="172"/>
      <c r="J1683" s="161"/>
      <c r="K1683" s="162"/>
      <c r="L1683" s="163"/>
    </row>
    <row r="1684" spans="2:60" x14ac:dyDescent="0.25">
      <c r="B1684" s="169"/>
      <c r="C1684" s="172"/>
      <c r="D1684" s="161"/>
      <c r="E1684" s="162"/>
      <c r="F1684" s="163"/>
      <c r="H1684" s="169"/>
      <c r="I1684" s="172"/>
      <c r="J1684" s="161"/>
      <c r="K1684" s="162"/>
      <c r="L1684" s="163"/>
    </row>
    <row r="1685" spans="2:60" ht="14.4" thickBot="1" x14ac:dyDescent="0.3">
      <c r="B1685" s="169"/>
      <c r="C1685" s="172"/>
      <c r="D1685" s="161"/>
      <c r="E1685" s="162"/>
      <c r="F1685" s="163"/>
      <c r="H1685" s="169"/>
      <c r="I1685" s="172"/>
      <c r="J1685" s="161"/>
      <c r="K1685" s="162"/>
      <c r="L1685" s="163"/>
    </row>
    <row r="1686" spans="2:60" ht="15" thickBot="1" x14ac:dyDescent="0.3">
      <c r="B1686" s="169"/>
      <c r="C1686" s="172"/>
      <c r="D1686" s="161" t="s">
        <v>471</v>
      </c>
      <c r="E1686" s="162">
        <f>SUM(E1682:E1685)</f>
        <v>0</v>
      </c>
      <c r="F1686" s="163">
        <f>SUM(F1682:F1685)</f>
        <v>0</v>
      </c>
      <c r="H1686" s="169"/>
      <c r="I1686" s="172"/>
      <c r="J1686" s="161" t="s">
        <v>471</v>
      </c>
      <c r="K1686" s="162">
        <f>SUM(K1682:K1685)</f>
        <v>0</v>
      </c>
      <c r="L1686" s="163">
        <f>SUM(L1682:L1685)</f>
        <v>0</v>
      </c>
      <c r="BG1686" s="157">
        <f>SUM(E1686,K1686,Q1686,W1686,AC1686,AI1686,AO1686,AU1686,AX1686,BD1686)</f>
        <v>0</v>
      </c>
      <c r="BH1686" s="158">
        <f>SUM(F1686,L1686,R1686,X1686,AD1686,AJ1686,AP1686,AV1686,AY1686,BE1686)</f>
        <v>0</v>
      </c>
    </row>
    <row r="1687" spans="2:60" ht="14.4" thickBot="1" x14ac:dyDescent="0.3">
      <c r="B1687" s="170"/>
      <c r="C1687" s="173"/>
      <c r="D1687" s="164" t="str">
        <f>IF(E1686=F1686,"",IF(E1686&gt;F1686,"Saldo Deudor","Saldo Acreedor"))</f>
        <v/>
      </c>
      <c r="E1687" s="165" t="str">
        <f>IF(E1686&gt;F1686,E1686-F1686,"")</f>
        <v/>
      </c>
      <c r="F1687" s="176" t="str">
        <f>IF(E1686&lt;F1686,F1686-E1686,"")</f>
        <v/>
      </c>
      <c r="H1687" s="170"/>
      <c r="I1687" s="173"/>
      <c r="J1687" s="164" t="str">
        <f>IF(K1686=L1686,"",IF(K1686&gt;L1686,"Saldo Deudor","Saldo Acreedor"))</f>
        <v/>
      </c>
      <c r="K1687" s="165" t="str">
        <f>IF(K1686&gt;L1686,K1686-L1686,"")</f>
        <v/>
      </c>
      <c r="L1687" s="176" t="str">
        <f>IF(K1686&lt;L1686,L1686-K1686,"")</f>
        <v/>
      </c>
    </row>
    <row r="1690" spans="2:60" ht="15.6" x14ac:dyDescent="0.25">
      <c r="B1690" s="324" t="s">
        <v>472</v>
      </c>
      <c r="C1690" s="324"/>
      <c r="D1690" s="175">
        <v>7531</v>
      </c>
      <c r="E1690" s="160"/>
    </row>
    <row r="1691" spans="2:60" x14ac:dyDescent="0.25">
      <c r="B1691" s="160"/>
      <c r="C1691" s="160"/>
      <c r="D1691" s="160"/>
      <c r="E1691" s="160"/>
    </row>
    <row r="1692" spans="2:60" ht="15.6" x14ac:dyDescent="0.25">
      <c r="B1692" s="324" t="s">
        <v>473</v>
      </c>
      <c r="C1692" s="324"/>
      <c r="D1692" s="234" t="str">
        <f>VLOOKUP(D1690,DivisionariasContables,3,FALSE)</f>
        <v>Regalías</v>
      </c>
      <c r="E1692" s="160"/>
    </row>
    <row r="1693" spans="2:60" ht="14.4" thickBot="1" x14ac:dyDescent="0.3"/>
    <row r="1694" spans="2:60" x14ac:dyDescent="0.25">
      <c r="B1694" s="325" t="s">
        <v>466</v>
      </c>
      <c r="C1694" s="327" t="s">
        <v>467</v>
      </c>
      <c r="D1694" s="327" t="s">
        <v>468</v>
      </c>
      <c r="E1694" s="329" t="s">
        <v>469</v>
      </c>
      <c r="F1694" s="330"/>
    </row>
    <row r="1695" spans="2:60" ht="14.4" thickBot="1" x14ac:dyDescent="0.3">
      <c r="B1695" s="326"/>
      <c r="C1695" s="328"/>
      <c r="D1695" s="328"/>
      <c r="E1695" s="232" t="s">
        <v>403</v>
      </c>
      <c r="F1695" s="174" t="s">
        <v>402</v>
      </c>
    </row>
    <row r="1696" spans="2:60" ht="14.4" thickTop="1" x14ac:dyDescent="0.25">
      <c r="B1696" s="236">
        <v>41670</v>
      </c>
      <c r="C1696" s="171"/>
      <c r="D1696" s="166" t="s">
        <v>470</v>
      </c>
      <c r="E1696" s="167">
        <f>SUMIF('Libro Diario Convencional'!$D$15:$D$167,D1690,'Libro Diario Convencional'!$G$15:$G$167)</f>
        <v>0</v>
      </c>
      <c r="F1696" s="168">
        <f>SUMIF('Libro Diario Convencional'!$D$15:$D$167,D1690,'Libro Diario Convencional'!$H$15:$H$167)</f>
        <v>0</v>
      </c>
    </row>
    <row r="1697" spans="2:60" x14ac:dyDescent="0.25">
      <c r="B1697" s="169"/>
      <c r="C1697" s="172"/>
      <c r="D1697" s="161"/>
      <c r="E1697" s="162"/>
      <c r="F1697" s="163"/>
    </row>
    <row r="1698" spans="2:60" x14ac:dyDescent="0.25">
      <c r="B1698" s="169"/>
      <c r="C1698" s="172"/>
      <c r="D1698" s="161"/>
      <c r="E1698" s="162"/>
      <c r="F1698" s="163"/>
    </row>
    <row r="1699" spans="2:60" ht="14.4" thickBot="1" x14ac:dyDescent="0.3">
      <c r="B1699" s="169"/>
      <c r="C1699" s="172"/>
      <c r="D1699" s="161"/>
      <c r="E1699" s="162"/>
      <c r="F1699" s="163"/>
    </row>
    <row r="1700" spans="2:60" ht="15" thickBot="1" x14ac:dyDescent="0.3">
      <c r="B1700" s="169"/>
      <c r="C1700" s="172"/>
      <c r="D1700" s="161" t="s">
        <v>471</v>
      </c>
      <c r="E1700" s="162">
        <f>SUM(E1696:E1699)</f>
        <v>0</v>
      </c>
      <c r="F1700" s="163">
        <f>SUM(F1696:F1699)</f>
        <v>0</v>
      </c>
      <c r="BG1700" s="157">
        <f>SUM(E1700,K1700,Q1700,W1700,AC1700,AI1700,AO1700,AU1700,AX1700,BD1700)</f>
        <v>0</v>
      </c>
      <c r="BH1700" s="158">
        <f>SUM(F1700,L1700,R1700,X1700,AD1700,AJ1700,AP1700,AV1700,AY1700,BE1700)</f>
        <v>0</v>
      </c>
    </row>
    <row r="1701" spans="2:60" ht="14.4" thickBot="1" x14ac:dyDescent="0.3">
      <c r="B1701" s="170"/>
      <c r="C1701" s="173"/>
      <c r="D1701" s="164" t="str">
        <f>IF(E1700=F1700,"",IF(E1700&gt;F1700,"Saldo Deudor","Saldo Acreedor"))</f>
        <v/>
      </c>
      <c r="E1701" s="165" t="str">
        <f>IF(E1700&gt;F1700,E1700-F1700,"")</f>
        <v/>
      </c>
      <c r="F1701" s="176" t="str">
        <f>IF(E1700&lt;F1700,F1700-E1700,"")</f>
        <v/>
      </c>
    </row>
    <row r="1704" spans="2:60" ht="15.6" x14ac:dyDescent="0.25">
      <c r="B1704" s="324" t="s">
        <v>472</v>
      </c>
      <c r="C1704" s="324"/>
      <c r="D1704" s="175">
        <v>7541</v>
      </c>
      <c r="E1704" s="160"/>
      <c r="H1704" s="324" t="s">
        <v>472</v>
      </c>
      <c r="I1704" s="324"/>
      <c r="J1704" s="175">
        <v>7542</v>
      </c>
      <c r="K1704" s="160"/>
      <c r="N1704" s="324" t="s">
        <v>472</v>
      </c>
      <c r="O1704" s="324"/>
      <c r="P1704" s="175">
        <v>7543</v>
      </c>
      <c r="Q1704" s="160"/>
      <c r="T1704" s="324" t="s">
        <v>472</v>
      </c>
      <c r="U1704" s="324"/>
      <c r="V1704" s="175">
        <v>7544</v>
      </c>
      <c r="W1704" s="160"/>
      <c r="Z1704" s="324" t="s">
        <v>472</v>
      </c>
      <c r="AA1704" s="324"/>
      <c r="AB1704" s="175">
        <v>7545</v>
      </c>
      <c r="AC1704" s="160"/>
    </row>
    <row r="1705" spans="2:60" x14ac:dyDescent="0.25">
      <c r="B1705" s="160"/>
      <c r="C1705" s="160"/>
      <c r="D1705" s="160"/>
      <c r="E1705" s="160"/>
      <c r="H1705" s="160"/>
      <c r="I1705" s="160"/>
      <c r="J1705" s="160"/>
      <c r="K1705" s="160"/>
      <c r="N1705" s="160"/>
      <c r="O1705" s="160"/>
      <c r="P1705" s="160"/>
      <c r="Q1705" s="160"/>
      <c r="T1705" s="160"/>
      <c r="U1705" s="160"/>
      <c r="V1705" s="160"/>
      <c r="W1705" s="160"/>
      <c r="Z1705" s="160"/>
      <c r="AA1705" s="160"/>
      <c r="AB1705" s="160"/>
      <c r="AC1705" s="160"/>
    </row>
    <row r="1706" spans="2:60" ht="15.6" x14ac:dyDescent="0.25">
      <c r="B1706" s="324" t="s">
        <v>473</v>
      </c>
      <c r="C1706" s="324"/>
      <c r="D1706" s="234" t="str">
        <f>VLOOKUP(D1704,DivisionariasContables,3,FALSE)</f>
        <v>Terrenos</v>
      </c>
      <c r="E1706" s="160"/>
      <c r="H1706" s="324" t="s">
        <v>473</v>
      </c>
      <c r="I1706" s="324"/>
      <c r="J1706" s="234" t="str">
        <f>VLOOKUP(J1704,DivisionariasContables,3,FALSE)</f>
        <v>Edificaciones</v>
      </c>
      <c r="K1706" s="160"/>
      <c r="N1706" s="324" t="s">
        <v>473</v>
      </c>
      <c r="O1706" s="324"/>
      <c r="P1706" s="234" t="str">
        <f>VLOOKUP(P1704,DivisionariasContables,3,FALSE)</f>
        <v>Maquinarias y Equipos de Explotación</v>
      </c>
      <c r="Q1706" s="160"/>
      <c r="T1706" s="324" t="s">
        <v>473</v>
      </c>
      <c r="U1706" s="324"/>
      <c r="V1706" s="234" t="str">
        <f>VLOOKUP(V1704,DivisionariasContables,3,FALSE)</f>
        <v>Equipos de Transporte</v>
      </c>
      <c r="W1706" s="160"/>
      <c r="Z1706" s="324" t="s">
        <v>473</v>
      </c>
      <c r="AA1706" s="324"/>
      <c r="AB1706" s="234" t="str">
        <f>VLOOKUP(AB1704,DivisionariasContables,3,FALSE)</f>
        <v>Equipos Diversos</v>
      </c>
      <c r="AC1706" s="160"/>
    </row>
    <row r="1707" spans="2:60" ht="14.4" thickBot="1" x14ac:dyDescent="0.3"/>
    <row r="1708" spans="2:60" x14ac:dyDescent="0.25">
      <c r="B1708" s="325" t="s">
        <v>466</v>
      </c>
      <c r="C1708" s="327" t="s">
        <v>467</v>
      </c>
      <c r="D1708" s="327" t="s">
        <v>468</v>
      </c>
      <c r="E1708" s="329" t="s">
        <v>469</v>
      </c>
      <c r="F1708" s="330"/>
      <c r="H1708" s="325" t="s">
        <v>466</v>
      </c>
      <c r="I1708" s="327" t="s">
        <v>467</v>
      </c>
      <c r="J1708" s="327" t="s">
        <v>468</v>
      </c>
      <c r="K1708" s="329" t="s">
        <v>469</v>
      </c>
      <c r="L1708" s="330"/>
      <c r="N1708" s="325" t="s">
        <v>466</v>
      </c>
      <c r="O1708" s="327" t="s">
        <v>467</v>
      </c>
      <c r="P1708" s="327" t="s">
        <v>468</v>
      </c>
      <c r="Q1708" s="329" t="s">
        <v>469</v>
      </c>
      <c r="R1708" s="330"/>
      <c r="T1708" s="325" t="s">
        <v>466</v>
      </c>
      <c r="U1708" s="327" t="s">
        <v>467</v>
      </c>
      <c r="V1708" s="327" t="s">
        <v>468</v>
      </c>
      <c r="W1708" s="329" t="s">
        <v>469</v>
      </c>
      <c r="X1708" s="330"/>
      <c r="Z1708" s="325" t="s">
        <v>466</v>
      </c>
      <c r="AA1708" s="327" t="s">
        <v>467</v>
      </c>
      <c r="AB1708" s="327" t="s">
        <v>468</v>
      </c>
      <c r="AC1708" s="329" t="s">
        <v>469</v>
      </c>
      <c r="AD1708" s="330"/>
    </row>
    <row r="1709" spans="2:60" ht="14.4" thickBot="1" x14ac:dyDescent="0.3">
      <c r="B1709" s="326"/>
      <c r="C1709" s="328"/>
      <c r="D1709" s="328"/>
      <c r="E1709" s="232" t="s">
        <v>403</v>
      </c>
      <c r="F1709" s="174" t="s">
        <v>402</v>
      </c>
      <c r="H1709" s="326"/>
      <c r="I1709" s="328"/>
      <c r="J1709" s="328"/>
      <c r="K1709" s="232" t="s">
        <v>403</v>
      </c>
      <c r="L1709" s="174" t="s">
        <v>402</v>
      </c>
      <c r="N1709" s="326"/>
      <c r="O1709" s="328"/>
      <c r="P1709" s="328"/>
      <c r="Q1709" s="232" t="s">
        <v>403</v>
      </c>
      <c r="R1709" s="174" t="s">
        <v>402</v>
      </c>
      <c r="T1709" s="326"/>
      <c r="U1709" s="328"/>
      <c r="V1709" s="328"/>
      <c r="W1709" s="232" t="s">
        <v>403</v>
      </c>
      <c r="X1709" s="174" t="s">
        <v>402</v>
      </c>
      <c r="Z1709" s="326"/>
      <c r="AA1709" s="328"/>
      <c r="AB1709" s="328"/>
      <c r="AC1709" s="232" t="s">
        <v>403</v>
      </c>
      <c r="AD1709" s="174" t="s">
        <v>402</v>
      </c>
    </row>
    <row r="1710" spans="2:60" ht="14.4" thickTop="1" x14ac:dyDescent="0.25">
      <c r="B1710" s="236">
        <v>41670</v>
      </c>
      <c r="C1710" s="171"/>
      <c r="D1710" s="166" t="s">
        <v>470</v>
      </c>
      <c r="E1710" s="167">
        <f>SUMIF('Libro Diario Convencional'!$D$15:$D$167,D1704,'Libro Diario Convencional'!$G$15:$G$167)</f>
        <v>0</v>
      </c>
      <c r="F1710" s="168">
        <f>SUMIF('Libro Diario Convencional'!$D$15:$D$167,D1704,'Libro Diario Convencional'!$H$15:$H$167)</f>
        <v>0</v>
      </c>
      <c r="H1710" s="236">
        <v>41670</v>
      </c>
      <c r="I1710" s="171"/>
      <c r="J1710" s="166" t="s">
        <v>470</v>
      </c>
      <c r="K1710" s="167">
        <f>SUMIF('Libro Diario Convencional'!$D$15:$D$167,J1704,'Libro Diario Convencional'!$G$15:$G$167)</f>
        <v>0</v>
      </c>
      <c r="L1710" s="168">
        <f>SUMIF('Libro Diario Convencional'!$D$15:$D$167,J1704,'Libro Diario Convencional'!$H$15:$H$167)</f>
        <v>0</v>
      </c>
      <c r="N1710" s="236">
        <v>41670</v>
      </c>
      <c r="O1710" s="171"/>
      <c r="P1710" s="166" t="s">
        <v>470</v>
      </c>
      <c r="Q1710" s="167">
        <f>SUMIF('Libro Diario Convencional'!$D$15:$D$167,P1704,'Libro Diario Convencional'!$G$15:$G$167)</f>
        <v>0</v>
      </c>
      <c r="R1710" s="168">
        <f>SUMIF('Libro Diario Convencional'!$D$15:$D$167,P1704,'Libro Diario Convencional'!$H$15:$H$167)</f>
        <v>0</v>
      </c>
      <c r="T1710" s="236">
        <v>41670</v>
      </c>
      <c r="U1710" s="171"/>
      <c r="V1710" s="166" t="s">
        <v>470</v>
      </c>
      <c r="W1710" s="167">
        <f>SUMIF('Libro Diario Convencional'!$D$15:$D$167,V1704,'Libro Diario Convencional'!$G$15:$G$167)</f>
        <v>0</v>
      </c>
      <c r="X1710" s="168">
        <f>SUMIF('Libro Diario Convencional'!$D$15:$D$167,V1704,'Libro Diario Convencional'!$H$15:$H$167)</f>
        <v>0</v>
      </c>
      <c r="Z1710" s="236">
        <v>41670</v>
      </c>
      <c r="AA1710" s="171"/>
      <c r="AB1710" s="166" t="s">
        <v>470</v>
      </c>
      <c r="AC1710" s="167">
        <f>SUMIF('Libro Diario Convencional'!$D$15:$D$167,AB1704,'Libro Diario Convencional'!$G$15:$G$167)</f>
        <v>0</v>
      </c>
      <c r="AD1710" s="168">
        <f>SUMIF('Libro Diario Convencional'!$D$15:$D$167,AB1704,'Libro Diario Convencional'!$H$15:$H$167)</f>
        <v>0</v>
      </c>
    </row>
    <row r="1711" spans="2:60" x14ac:dyDescent="0.25">
      <c r="B1711" s="169"/>
      <c r="C1711" s="172"/>
      <c r="D1711" s="161"/>
      <c r="E1711" s="162"/>
      <c r="F1711" s="163"/>
      <c r="H1711" s="169"/>
      <c r="I1711" s="172"/>
      <c r="J1711" s="161"/>
      <c r="K1711" s="162"/>
      <c r="L1711" s="163"/>
      <c r="N1711" s="169"/>
      <c r="O1711" s="172"/>
      <c r="P1711" s="161"/>
      <c r="Q1711" s="162"/>
      <c r="R1711" s="163"/>
      <c r="T1711" s="169"/>
      <c r="U1711" s="172"/>
      <c r="V1711" s="161"/>
      <c r="W1711" s="162"/>
      <c r="X1711" s="163"/>
      <c r="Z1711" s="169"/>
      <c r="AA1711" s="172"/>
      <c r="AB1711" s="161"/>
      <c r="AC1711" s="162"/>
      <c r="AD1711" s="163"/>
    </row>
    <row r="1712" spans="2:60" x14ac:dyDescent="0.25">
      <c r="B1712" s="169"/>
      <c r="C1712" s="172"/>
      <c r="D1712" s="161"/>
      <c r="E1712" s="162"/>
      <c r="F1712" s="163"/>
      <c r="H1712" s="169"/>
      <c r="I1712" s="172"/>
      <c r="J1712" s="161"/>
      <c r="K1712" s="162"/>
      <c r="L1712" s="163"/>
      <c r="N1712" s="169"/>
      <c r="O1712" s="172"/>
      <c r="P1712" s="161"/>
      <c r="Q1712" s="162"/>
      <c r="R1712" s="163"/>
      <c r="T1712" s="169"/>
      <c r="U1712" s="172"/>
      <c r="V1712" s="161"/>
      <c r="W1712" s="162"/>
      <c r="X1712" s="163"/>
      <c r="Z1712" s="169"/>
      <c r="AA1712" s="172"/>
      <c r="AB1712" s="161"/>
      <c r="AC1712" s="162"/>
      <c r="AD1712" s="163"/>
    </row>
    <row r="1713" spans="2:60" ht="14.4" thickBot="1" x14ac:dyDescent="0.3">
      <c r="B1713" s="169"/>
      <c r="C1713" s="172"/>
      <c r="D1713" s="161"/>
      <c r="E1713" s="162"/>
      <c r="F1713" s="163"/>
      <c r="H1713" s="169"/>
      <c r="I1713" s="172"/>
      <c r="J1713" s="161"/>
      <c r="K1713" s="162"/>
      <c r="L1713" s="163"/>
      <c r="N1713" s="169"/>
      <c r="O1713" s="172"/>
      <c r="P1713" s="161"/>
      <c r="Q1713" s="162"/>
      <c r="R1713" s="163"/>
      <c r="T1713" s="169"/>
      <c r="U1713" s="172"/>
      <c r="V1713" s="161"/>
      <c r="W1713" s="162"/>
      <c r="X1713" s="163"/>
      <c r="Z1713" s="169"/>
      <c r="AA1713" s="172"/>
      <c r="AB1713" s="161"/>
      <c r="AC1713" s="162"/>
      <c r="AD1713" s="163"/>
    </row>
    <row r="1714" spans="2:60" ht="15" thickBot="1" x14ac:dyDescent="0.3">
      <c r="B1714" s="169"/>
      <c r="C1714" s="172"/>
      <c r="D1714" s="161" t="s">
        <v>471</v>
      </c>
      <c r="E1714" s="162">
        <f>SUM(E1710:E1713)</f>
        <v>0</v>
      </c>
      <c r="F1714" s="163">
        <f>SUM(F1710:F1713)</f>
        <v>0</v>
      </c>
      <c r="H1714" s="169"/>
      <c r="I1714" s="172"/>
      <c r="J1714" s="161" t="s">
        <v>471</v>
      </c>
      <c r="K1714" s="162">
        <f>SUM(K1710:K1713)</f>
        <v>0</v>
      </c>
      <c r="L1714" s="163">
        <f>SUM(L1710:L1713)</f>
        <v>0</v>
      </c>
      <c r="N1714" s="169"/>
      <c r="O1714" s="172"/>
      <c r="P1714" s="161" t="s">
        <v>471</v>
      </c>
      <c r="Q1714" s="162">
        <f>SUM(Q1710:Q1713)</f>
        <v>0</v>
      </c>
      <c r="R1714" s="163">
        <f>SUM(R1710:R1713)</f>
        <v>0</v>
      </c>
      <c r="T1714" s="169"/>
      <c r="U1714" s="172"/>
      <c r="V1714" s="161" t="s">
        <v>471</v>
      </c>
      <c r="W1714" s="162">
        <f>SUM(W1710:W1713)</f>
        <v>0</v>
      </c>
      <c r="X1714" s="163">
        <f>SUM(X1710:X1713)</f>
        <v>0</v>
      </c>
      <c r="Z1714" s="169"/>
      <c r="AA1714" s="172"/>
      <c r="AB1714" s="161" t="s">
        <v>471</v>
      </c>
      <c r="AC1714" s="162">
        <f>SUM(AC1710:AC1713)</f>
        <v>0</v>
      </c>
      <c r="AD1714" s="163">
        <f>SUM(AD1710:AD1713)</f>
        <v>0</v>
      </c>
      <c r="BG1714" s="157">
        <f>SUM(E1714,K1714,Q1714,W1714,AC1714,AI1714,AO1714,AU1714,AX1714,BD1714)</f>
        <v>0</v>
      </c>
      <c r="BH1714" s="158">
        <f>SUM(F1714,L1714,R1714,X1714,AD1714,AJ1714,AP1714,AV1714,AY1714,BE1714)</f>
        <v>0</v>
      </c>
    </row>
    <row r="1715" spans="2:60" ht="14.4" thickBot="1" x14ac:dyDescent="0.3">
      <c r="B1715" s="170"/>
      <c r="C1715" s="173"/>
      <c r="D1715" s="164" t="str">
        <f>IF(E1714=F1714,"",IF(E1714&gt;F1714,"Saldo Deudor","Saldo Acreedor"))</f>
        <v/>
      </c>
      <c r="E1715" s="165" t="str">
        <f>IF(E1714&gt;F1714,E1714-F1714,"")</f>
        <v/>
      </c>
      <c r="F1715" s="176" t="str">
        <f>IF(E1714&lt;F1714,F1714-E1714,"")</f>
        <v/>
      </c>
      <c r="H1715" s="170"/>
      <c r="I1715" s="173"/>
      <c r="J1715" s="164" t="str">
        <f>IF(K1714=L1714,"",IF(K1714&gt;L1714,"Saldo Deudor","Saldo Acreedor"))</f>
        <v/>
      </c>
      <c r="K1715" s="165" t="str">
        <f>IF(K1714&gt;L1714,K1714-L1714,"")</f>
        <v/>
      </c>
      <c r="L1715" s="176" t="str">
        <f>IF(K1714&lt;L1714,L1714-K1714,"")</f>
        <v/>
      </c>
      <c r="N1715" s="170"/>
      <c r="O1715" s="173"/>
      <c r="P1715" s="164" t="str">
        <f>IF(Q1714=R1714,"",IF(Q1714&gt;R1714,"Saldo Deudor","Saldo Acreedor"))</f>
        <v/>
      </c>
      <c r="Q1715" s="165" t="str">
        <f>IF(Q1714&gt;R1714,Q1714-R1714,"")</f>
        <v/>
      </c>
      <c r="R1715" s="176" t="str">
        <f>IF(Q1714&lt;R1714,R1714-Q1714,"")</f>
        <v/>
      </c>
      <c r="T1715" s="170"/>
      <c r="U1715" s="173"/>
      <c r="V1715" s="164" t="str">
        <f>IF(W1714=X1714,"",IF(W1714&gt;X1714,"Saldo Deudor","Saldo Acreedor"))</f>
        <v/>
      </c>
      <c r="W1715" s="165" t="str">
        <f>IF(W1714&gt;X1714,W1714-X1714,"")</f>
        <v/>
      </c>
      <c r="X1715" s="176" t="str">
        <f>IF(W1714&lt;X1714,X1714-W1714,"")</f>
        <v/>
      </c>
      <c r="Z1715" s="170"/>
      <c r="AA1715" s="173"/>
      <c r="AB1715" s="164" t="str">
        <f>IF(AC1714=AD1714,"",IF(AC1714&gt;AD1714,"Saldo Deudor","Saldo Acreedor"))</f>
        <v/>
      </c>
      <c r="AC1715" s="165" t="str">
        <f>IF(AC1714&gt;AD1714,AC1714-AD1714,"")</f>
        <v/>
      </c>
      <c r="AD1715" s="176" t="str">
        <f>IF(AC1714&lt;AD1714,AD1714-AC1714,"")</f>
        <v/>
      </c>
    </row>
    <row r="1718" spans="2:60" ht="15.6" x14ac:dyDescent="0.25">
      <c r="B1718" s="324" t="s">
        <v>472</v>
      </c>
      <c r="C1718" s="324"/>
      <c r="D1718" s="175">
        <v>7551</v>
      </c>
      <c r="E1718" s="160"/>
      <c r="H1718" s="324" t="s">
        <v>472</v>
      </c>
      <c r="I1718" s="324"/>
      <c r="J1718" s="175">
        <v>7552</v>
      </c>
      <c r="K1718" s="160"/>
      <c r="N1718" s="324" t="s">
        <v>472</v>
      </c>
      <c r="O1718" s="324"/>
      <c r="P1718" s="175">
        <v>7553</v>
      </c>
      <c r="Q1718" s="160"/>
    </row>
    <row r="1719" spans="2:60" x14ac:dyDescent="0.25">
      <c r="B1719" s="160"/>
      <c r="C1719" s="160"/>
      <c r="D1719" s="160"/>
      <c r="E1719" s="160"/>
      <c r="H1719" s="160"/>
      <c r="I1719" s="160"/>
      <c r="J1719" s="160"/>
      <c r="K1719" s="160"/>
      <c r="N1719" s="160"/>
      <c r="O1719" s="160"/>
      <c r="P1719" s="160"/>
      <c r="Q1719" s="160"/>
    </row>
    <row r="1720" spans="2:60" ht="15.6" x14ac:dyDescent="0.25">
      <c r="B1720" s="324" t="s">
        <v>473</v>
      </c>
      <c r="C1720" s="324"/>
      <c r="D1720" s="234" t="str">
        <f>VLOOKUP(D1718,DivisionariasContables,3,FALSE)</f>
        <v>Recuperación - Cuentas de Cobranza Dudosa</v>
      </c>
      <c r="E1720" s="160"/>
      <c r="H1720" s="324" t="s">
        <v>473</v>
      </c>
      <c r="I1720" s="324"/>
      <c r="J1720" s="234" t="str">
        <f>VLOOKUP(J1718,DivisionariasContables,3,FALSE)</f>
        <v>Recuperación - Desvalorización de Existencias</v>
      </c>
      <c r="K1720" s="160"/>
      <c r="N1720" s="324" t="s">
        <v>473</v>
      </c>
      <c r="O1720" s="324"/>
      <c r="P1720" s="234" t="str">
        <f>VLOOKUP(P1718,DivisionariasContables,3,FALSE)</f>
        <v>Recuperación - Desvalorización de Inversiones Inmobiliarias</v>
      </c>
      <c r="Q1720" s="160"/>
    </row>
    <row r="1721" spans="2:60" ht="14.4" thickBot="1" x14ac:dyDescent="0.3"/>
    <row r="1722" spans="2:60" x14ac:dyDescent="0.25">
      <c r="B1722" s="325" t="s">
        <v>466</v>
      </c>
      <c r="C1722" s="327" t="s">
        <v>467</v>
      </c>
      <c r="D1722" s="327" t="s">
        <v>468</v>
      </c>
      <c r="E1722" s="329" t="s">
        <v>469</v>
      </c>
      <c r="F1722" s="330"/>
      <c r="H1722" s="325" t="s">
        <v>466</v>
      </c>
      <c r="I1722" s="327" t="s">
        <v>467</v>
      </c>
      <c r="J1722" s="327" t="s">
        <v>468</v>
      </c>
      <c r="K1722" s="329" t="s">
        <v>469</v>
      </c>
      <c r="L1722" s="330"/>
      <c r="N1722" s="325" t="s">
        <v>466</v>
      </c>
      <c r="O1722" s="327" t="s">
        <v>467</v>
      </c>
      <c r="P1722" s="327" t="s">
        <v>468</v>
      </c>
      <c r="Q1722" s="329" t="s">
        <v>469</v>
      </c>
      <c r="R1722" s="330"/>
    </row>
    <row r="1723" spans="2:60" ht="14.4" thickBot="1" x14ac:dyDescent="0.3">
      <c r="B1723" s="326"/>
      <c r="C1723" s="328"/>
      <c r="D1723" s="328"/>
      <c r="E1723" s="232" t="s">
        <v>403</v>
      </c>
      <c r="F1723" s="174" t="s">
        <v>402</v>
      </c>
      <c r="H1723" s="326"/>
      <c r="I1723" s="328"/>
      <c r="J1723" s="328"/>
      <c r="K1723" s="232" t="s">
        <v>403</v>
      </c>
      <c r="L1723" s="174" t="s">
        <v>402</v>
      </c>
      <c r="N1723" s="326"/>
      <c r="O1723" s="328"/>
      <c r="P1723" s="328"/>
      <c r="Q1723" s="232" t="s">
        <v>403</v>
      </c>
      <c r="R1723" s="174" t="s">
        <v>402</v>
      </c>
    </row>
    <row r="1724" spans="2:60" ht="14.4" thickTop="1" x14ac:dyDescent="0.25">
      <c r="B1724" s="236">
        <v>41670</v>
      </c>
      <c r="C1724" s="171"/>
      <c r="D1724" s="166" t="s">
        <v>470</v>
      </c>
      <c r="E1724" s="167">
        <f>SUMIF('Libro Diario Convencional'!$D$15:$D$167,D1718,'Libro Diario Convencional'!$G$15:$G$167)</f>
        <v>0</v>
      </c>
      <c r="F1724" s="168">
        <f>SUMIF('Libro Diario Convencional'!$D$15:$D$167,D1718,'Libro Diario Convencional'!$H$15:$H$167)</f>
        <v>0</v>
      </c>
      <c r="H1724" s="236">
        <v>41670</v>
      </c>
      <c r="I1724" s="171"/>
      <c r="J1724" s="166" t="s">
        <v>470</v>
      </c>
      <c r="K1724" s="167">
        <f>SUMIF('Libro Diario Convencional'!$D$15:$D$167,J1718,'Libro Diario Convencional'!$G$15:$G$167)</f>
        <v>0</v>
      </c>
      <c r="L1724" s="168">
        <f>SUMIF('Libro Diario Convencional'!$D$15:$D$167,J1718,'Libro Diario Convencional'!$H$15:$H$167)</f>
        <v>0</v>
      </c>
      <c r="N1724" s="236">
        <v>41670</v>
      </c>
      <c r="O1724" s="171"/>
      <c r="P1724" s="166" t="s">
        <v>470</v>
      </c>
      <c r="Q1724" s="167">
        <f>SUMIF('Libro Diario Convencional'!$D$15:$D$167,P1718,'Libro Diario Convencional'!$G$15:$G$167)</f>
        <v>0</v>
      </c>
      <c r="R1724" s="168">
        <f>SUMIF('Libro Diario Convencional'!$D$15:$D$167,P1718,'Libro Diario Convencional'!$H$15:$H$167)</f>
        <v>0</v>
      </c>
    </row>
    <row r="1725" spans="2:60" x14ac:dyDescent="0.25">
      <c r="B1725" s="169"/>
      <c r="C1725" s="172"/>
      <c r="D1725" s="161"/>
      <c r="E1725" s="162"/>
      <c r="F1725" s="163"/>
      <c r="H1725" s="169"/>
      <c r="I1725" s="172"/>
      <c r="J1725" s="161"/>
      <c r="K1725" s="162"/>
      <c r="L1725" s="163"/>
      <c r="N1725" s="169"/>
      <c r="O1725" s="172"/>
      <c r="P1725" s="161"/>
      <c r="Q1725" s="162"/>
      <c r="R1725" s="163"/>
    </row>
    <row r="1726" spans="2:60" x14ac:dyDescent="0.25">
      <c r="B1726" s="169"/>
      <c r="C1726" s="172"/>
      <c r="D1726" s="161"/>
      <c r="E1726" s="162"/>
      <c r="F1726" s="163"/>
      <c r="H1726" s="169"/>
      <c r="I1726" s="172"/>
      <c r="J1726" s="161"/>
      <c r="K1726" s="162"/>
      <c r="L1726" s="163"/>
      <c r="N1726" s="169"/>
      <c r="O1726" s="172"/>
      <c r="P1726" s="161"/>
      <c r="Q1726" s="162"/>
      <c r="R1726" s="163"/>
    </row>
    <row r="1727" spans="2:60" ht="14.4" thickBot="1" x14ac:dyDescent="0.3">
      <c r="B1727" s="169"/>
      <c r="C1727" s="172"/>
      <c r="D1727" s="161"/>
      <c r="E1727" s="162"/>
      <c r="F1727" s="163"/>
      <c r="H1727" s="169"/>
      <c r="I1727" s="172"/>
      <c r="J1727" s="161"/>
      <c r="K1727" s="162"/>
      <c r="L1727" s="163"/>
      <c r="N1727" s="169"/>
      <c r="O1727" s="172"/>
      <c r="P1727" s="161"/>
      <c r="Q1727" s="162"/>
      <c r="R1727" s="163"/>
    </row>
    <row r="1728" spans="2:60" ht="15" thickBot="1" x14ac:dyDescent="0.3">
      <c r="B1728" s="169"/>
      <c r="C1728" s="172"/>
      <c r="D1728" s="161" t="s">
        <v>471</v>
      </c>
      <c r="E1728" s="162">
        <f>SUM(E1724:E1727)</f>
        <v>0</v>
      </c>
      <c r="F1728" s="163">
        <f>SUM(F1724:F1727)</f>
        <v>0</v>
      </c>
      <c r="H1728" s="169"/>
      <c r="I1728" s="172"/>
      <c r="J1728" s="161" t="s">
        <v>471</v>
      </c>
      <c r="K1728" s="162">
        <f>SUM(K1724:K1727)</f>
        <v>0</v>
      </c>
      <c r="L1728" s="163">
        <f>SUM(L1724:L1727)</f>
        <v>0</v>
      </c>
      <c r="N1728" s="169"/>
      <c r="O1728" s="172"/>
      <c r="P1728" s="161" t="s">
        <v>471</v>
      </c>
      <c r="Q1728" s="162">
        <f>SUM(Q1724:Q1727)</f>
        <v>0</v>
      </c>
      <c r="R1728" s="163">
        <f>SUM(R1724:R1727)</f>
        <v>0</v>
      </c>
      <c r="BG1728" s="157">
        <f>SUM(E1728,K1728,Q1728,W1728,AC1728,AI1728,AO1728,AU1728,AX1728,BD1728)</f>
        <v>0</v>
      </c>
      <c r="BH1728" s="158">
        <f>SUM(F1728,L1728,R1728,X1728,AD1728,AJ1728,AP1728,AV1728,AY1728,BE1728)</f>
        <v>0</v>
      </c>
    </row>
    <row r="1729" spans="2:60" ht="14.4" thickBot="1" x14ac:dyDescent="0.3">
      <c r="B1729" s="170"/>
      <c r="C1729" s="173"/>
      <c r="D1729" s="164" t="str">
        <f>IF(E1728=F1728,"",IF(E1728&gt;F1728,"Saldo Deudor","Saldo Acreedor"))</f>
        <v/>
      </c>
      <c r="E1729" s="165" t="str">
        <f>IF(E1728&gt;F1728,E1728-F1728,"")</f>
        <v/>
      </c>
      <c r="F1729" s="176" t="str">
        <f>IF(E1728&lt;F1728,F1728-E1728,"")</f>
        <v/>
      </c>
      <c r="H1729" s="170"/>
      <c r="I1729" s="173"/>
      <c r="J1729" s="164" t="str">
        <f>IF(K1728=L1728,"",IF(K1728&gt;L1728,"Saldo Deudor","Saldo Acreedor"))</f>
        <v/>
      </c>
      <c r="K1729" s="165" t="str">
        <f>IF(K1728&gt;L1728,K1728-L1728,"")</f>
        <v/>
      </c>
      <c r="L1729" s="176" t="str">
        <f>IF(K1728&lt;L1728,L1728-K1728,"")</f>
        <v/>
      </c>
      <c r="N1729" s="170"/>
      <c r="O1729" s="173"/>
      <c r="P1729" s="164" t="str">
        <f>IF(Q1728=R1728,"",IF(Q1728&gt;R1728,"Saldo Deudor","Saldo Acreedor"))</f>
        <v/>
      </c>
      <c r="Q1729" s="165" t="str">
        <f>IF(Q1728&gt;R1728,Q1728-R1728,"")</f>
        <v/>
      </c>
      <c r="R1729" s="176" t="str">
        <f>IF(Q1728&lt;R1728,R1728-Q1728,"")</f>
        <v/>
      </c>
    </row>
    <row r="1732" spans="2:60" ht="15.6" x14ac:dyDescent="0.25">
      <c r="B1732" s="324" t="s">
        <v>472</v>
      </c>
      <c r="C1732" s="324"/>
      <c r="D1732" s="175">
        <v>7561</v>
      </c>
      <c r="E1732" s="160"/>
      <c r="H1732" s="324" t="s">
        <v>472</v>
      </c>
      <c r="I1732" s="324"/>
      <c r="J1732" s="175">
        <v>7562</v>
      </c>
      <c r="K1732" s="160"/>
      <c r="N1732" s="324" t="s">
        <v>472</v>
      </c>
      <c r="O1732" s="324"/>
      <c r="P1732" s="175">
        <v>7563</v>
      </c>
      <c r="Q1732" s="160"/>
      <c r="T1732" s="324" t="s">
        <v>472</v>
      </c>
      <c r="U1732" s="324"/>
      <c r="V1732" s="175">
        <v>7564</v>
      </c>
      <c r="W1732" s="160"/>
      <c r="Z1732" s="324" t="s">
        <v>472</v>
      </c>
      <c r="AA1732" s="324"/>
      <c r="AB1732" s="175">
        <v>7565</v>
      </c>
      <c r="AC1732" s="160"/>
    </row>
    <row r="1733" spans="2:60" x14ac:dyDescent="0.25">
      <c r="B1733" s="160"/>
      <c r="C1733" s="160"/>
      <c r="D1733" s="160"/>
      <c r="E1733" s="160"/>
      <c r="H1733" s="160"/>
      <c r="I1733" s="160"/>
      <c r="J1733" s="160"/>
      <c r="K1733" s="160"/>
      <c r="N1733" s="160"/>
      <c r="O1733" s="160"/>
      <c r="P1733" s="160"/>
      <c r="Q1733" s="160"/>
      <c r="T1733" s="160"/>
      <c r="U1733" s="160"/>
      <c r="V1733" s="160"/>
      <c r="W1733" s="160"/>
      <c r="Z1733" s="160"/>
      <c r="AA1733" s="160"/>
      <c r="AB1733" s="160"/>
      <c r="AC1733" s="160"/>
    </row>
    <row r="1734" spans="2:60" ht="15.6" x14ac:dyDescent="0.25">
      <c r="B1734" s="324" t="s">
        <v>473</v>
      </c>
      <c r="C1734" s="324"/>
      <c r="D1734" s="234" t="str">
        <f>VLOOKUP(D1732,DivisionariasContables,3,FALSE)</f>
        <v>Inversiones Mobiliarias</v>
      </c>
      <c r="E1734" s="160"/>
      <c r="H1734" s="324" t="s">
        <v>473</v>
      </c>
      <c r="I1734" s="324"/>
      <c r="J1734" s="234" t="str">
        <f>VLOOKUP(J1732,DivisionariasContables,3,FALSE)</f>
        <v>Inversiones Inmobiliarias</v>
      </c>
      <c r="K1734" s="160"/>
      <c r="N1734" s="324" t="s">
        <v>473</v>
      </c>
      <c r="O1734" s="324"/>
      <c r="P1734" s="234" t="str">
        <f>VLOOKUP(P1732,DivisionariasContables,3,FALSE)</f>
        <v>Activos Adquiridos en Arrendamiento Financiero</v>
      </c>
      <c r="Q1734" s="160"/>
      <c r="T1734" s="324" t="s">
        <v>473</v>
      </c>
      <c r="U1734" s="324"/>
      <c r="V1734" s="234" t="str">
        <f>VLOOKUP(V1732,DivisionariasContables,3,FALSE)</f>
        <v>Inmuebles, Maquinaria y Equipo</v>
      </c>
      <c r="W1734" s="160"/>
      <c r="Z1734" s="324" t="s">
        <v>473</v>
      </c>
      <c r="AA1734" s="324"/>
      <c r="AB1734" s="234" t="str">
        <f>VLOOKUP(AB1732,DivisionariasContables,3,FALSE)</f>
        <v>Intangibles</v>
      </c>
      <c r="AC1734" s="160"/>
    </row>
    <row r="1735" spans="2:60" ht="14.4" thickBot="1" x14ac:dyDescent="0.3"/>
    <row r="1736" spans="2:60" x14ac:dyDescent="0.25">
      <c r="B1736" s="325" t="s">
        <v>466</v>
      </c>
      <c r="C1736" s="327" t="s">
        <v>467</v>
      </c>
      <c r="D1736" s="327" t="s">
        <v>468</v>
      </c>
      <c r="E1736" s="329" t="s">
        <v>469</v>
      </c>
      <c r="F1736" s="330"/>
      <c r="H1736" s="325" t="s">
        <v>466</v>
      </c>
      <c r="I1736" s="327" t="s">
        <v>467</v>
      </c>
      <c r="J1736" s="327" t="s">
        <v>468</v>
      </c>
      <c r="K1736" s="329" t="s">
        <v>469</v>
      </c>
      <c r="L1736" s="330"/>
      <c r="N1736" s="325" t="s">
        <v>466</v>
      </c>
      <c r="O1736" s="327" t="s">
        <v>467</v>
      </c>
      <c r="P1736" s="327" t="s">
        <v>468</v>
      </c>
      <c r="Q1736" s="329" t="s">
        <v>469</v>
      </c>
      <c r="R1736" s="330"/>
      <c r="T1736" s="325" t="s">
        <v>466</v>
      </c>
      <c r="U1736" s="327" t="s">
        <v>467</v>
      </c>
      <c r="V1736" s="327" t="s">
        <v>468</v>
      </c>
      <c r="W1736" s="329" t="s">
        <v>469</v>
      </c>
      <c r="X1736" s="330"/>
      <c r="Z1736" s="325" t="s">
        <v>466</v>
      </c>
      <c r="AA1736" s="327" t="s">
        <v>467</v>
      </c>
      <c r="AB1736" s="327" t="s">
        <v>468</v>
      </c>
      <c r="AC1736" s="329" t="s">
        <v>469</v>
      </c>
      <c r="AD1736" s="330"/>
    </row>
    <row r="1737" spans="2:60" ht="14.4" thickBot="1" x14ac:dyDescent="0.3">
      <c r="B1737" s="326"/>
      <c r="C1737" s="328"/>
      <c r="D1737" s="328"/>
      <c r="E1737" s="232" t="s">
        <v>403</v>
      </c>
      <c r="F1737" s="174" t="s">
        <v>402</v>
      </c>
      <c r="H1737" s="326"/>
      <c r="I1737" s="328"/>
      <c r="J1737" s="328"/>
      <c r="K1737" s="232" t="s">
        <v>403</v>
      </c>
      <c r="L1737" s="174" t="s">
        <v>402</v>
      </c>
      <c r="N1737" s="326"/>
      <c r="O1737" s="328"/>
      <c r="P1737" s="328"/>
      <c r="Q1737" s="232" t="s">
        <v>403</v>
      </c>
      <c r="R1737" s="174" t="s">
        <v>402</v>
      </c>
      <c r="T1737" s="326"/>
      <c r="U1737" s="328"/>
      <c r="V1737" s="328"/>
      <c r="W1737" s="232" t="s">
        <v>403</v>
      </c>
      <c r="X1737" s="174" t="s">
        <v>402</v>
      </c>
      <c r="Z1737" s="326"/>
      <c r="AA1737" s="328"/>
      <c r="AB1737" s="328"/>
      <c r="AC1737" s="232" t="s">
        <v>403</v>
      </c>
      <c r="AD1737" s="174" t="s">
        <v>402</v>
      </c>
    </row>
    <row r="1738" spans="2:60" ht="14.4" thickTop="1" x14ac:dyDescent="0.25">
      <c r="B1738" s="236">
        <v>41670</v>
      </c>
      <c r="C1738" s="171"/>
      <c r="D1738" s="166" t="s">
        <v>470</v>
      </c>
      <c r="E1738" s="167">
        <f>SUMIF('Libro Diario Convencional'!$D$15:$D$167,D1732,'Libro Diario Convencional'!$G$15:$G$167)</f>
        <v>0</v>
      </c>
      <c r="F1738" s="168">
        <f>SUMIF('Libro Diario Convencional'!$D$15:$D$167,D1732,'Libro Diario Convencional'!$H$15:$H$167)</f>
        <v>0</v>
      </c>
      <c r="H1738" s="236">
        <v>41670</v>
      </c>
      <c r="I1738" s="171"/>
      <c r="J1738" s="166" t="s">
        <v>470</v>
      </c>
      <c r="K1738" s="167">
        <f>SUMIF('Libro Diario Convencional'!$D$15:$D$167,J1732,'Libro Diario Convencional'!$G$15:$G$167)</f>
        <v>0</v>
      </c>
      <c r="L1738" s="168">
        <f>SUMIF('Libro Diario Convencional'!$D$15:$D$167,J1732,'Libro Diario Convencional'!$H$15:$H$167)</f>
        <v>0</v>
      </c>
      <c r="N1738" s="236">
        <v>41670</v>
      </c>
      <c r="O1738" s="171"/>
      <c r="P1738" s="166" t="s">
        <v>470</v>
      </c>
      <c r="Q1738" s="167">
        <f>SUMIF('Libro Diario Convencional'!$D$15:$D$167,P1732,'Libro Diario Convencional'!$G$15:$G$167)</f>
        <v>0</v>
      </c>
      <c r="R1738" s="168">
        <f>SUMIF('Libro Diario Convencional'!$D$15:$D$167,P1732,'Libro Diario Convencional'!$H$15:$H$167)</f>
        <v>0</v>
      </c>
      <c r="T1738" s="236">
        <v>41670</v>
      </c>
      <c r="U1738" s="171"/>
      <c r="V1738" s="166" t="s">
        <v>470</v>
      </c>
      <c r="W1738" s="167">
        <f>SUMIF('Libro Diario Convencional'!$D$15:$D$167,V1732,'Libro Diario Convencional'!$G$15:$G$167)</f>
        <v>0</v>
      </c>
      <c r="X1738" s="168">
        <f>SUMIF('Libro Diario Convencional'!$D$15:$D$167,V1732,'Libro Diario Convencional'!$H$15:$H$167)</f>
        <v>0</v>
      </c>
      <c r="Z1738" s="236">
        <v>41670</v>
      </c>
      <c r="AA1738" s="171"/>
      <c r="AB1738" s="166" t="s">
        <v>470</v>
      </c>
      <c r="AC1738" s="167">
        <f>SUMIF('Libro Diario Convencional'!$D$15:$D$167,AB1732,'Libro Diario Convencional'!$G$15:$G$167)</f>
        <v>0</v>
      </c>
      <c r="AD1738" s="168">
        <f>SUMIF('Libro Diario Convencional'!$D$15:$D$167,AB1732,'Libro Diario Convencional'!$H$15:$H$167)</f>
        <v>0</v>
      </c>
    </row>
    <row r="1739" spans="2:60" x14ac:dyDescent="0.25">
      <c r="B1739" s="169"/>
      <c r="C1739" s="172"/>
      <c r="D1739" s="161"/>
      <c r="E1739" s="162"/>
      <c r="F1739" s="163"/>
      <c r="H1739" s="169"/>
      <c r="I1739" s="172"/>
      <c r="J1739" s="161"/>
      <c r="K1739" s="162"/>
      <c r="L1739" s="163"/>
      <c r="N1739" s="169"/>
      <c r="O1739" s="172"/>
      <c r="P1739" s="161"/>
      <c r="Q1739" s="162"/>
      <c r="R1739" s="163"/>
      <c r="T1739" s="169"/>
      <c r="U1739" s="172"/>
      <c r="V1739" s="161"/>
      <c r="W1739" s="162"/>
      <c r="X1739" s="163"/>
      <c r="Z1739" s="169"/>
      <c r="AA1739" s="172"/>
      <c r="AB1739" s="161"/>
      <c r="AC1739" s="162"/>
      <c r="AD1739" s="163"/>
    </row>
    <row r="1740" spans="2:60" x14ac:dyDescent="0.25">
      <c r="B1740" s="169"/>
      <c r="C1740" s="172"/>
      <c r="D1740" s="161"/>
      <c r="E1740" s="162"/>
      <c r="F1740" s="163"/>
      <c r="H1740" s="169"/>
      <c r="I1740" s="172"/>
      <c r="J1740" s="161"/>
      <c r="K1740" s="162"/>
      <c r="L1740" s="163"/>
      <c r="N1740" s="169"/>
      <c r="O1740" s="172"/>
      <c r="P1740" s="161"/>
      <c r="Q1740" s="162"/>
      <c r="R1740" s="163"/>
      <c r="T1740" s="169"/>
      <c r="U1740" s="172"/>
      <c r="V1740" s="161"/>
      <c r="W1740" s="162"/>
      <c r="X1740" s="163"/>
      <c r="Z1740" s="169"/>
      <c r="AA1740" s="172"/>
      <c r="AB1740" s="161"/>
      <c r="AC1740" s="162"/>
      <c r="AD1740" s="163"/>
    </row>
    <row r="1741" spans="2:60" ht="14.4" thickBot="1" x14ac:dyDescent="0.3">
      <c r="B1741" s="169"/>
      <c r="C1741" s="172"/>
      <c r="D1741" s="161"/>
      <c r="E1741" s="162"/>
      <c r="F1741" s="163"/>
      <c r="H1741" s="169"/>
      <c r="I1741" s="172"/>
      <c r="J1741" s="161"/>
      <c r="K1741" s="162"/>
      <c r="L1741" s="163"/>
      <c r="N1741" s="169"/>
      <c r="O1741" s="172"/>
      <c r="P1741" s="161"/>
      <c r="Q1741" s="162"/>
      <c r="R1741" s="163"/>
      <c r="T1741" s="169"/>
      <c r="U1741" s="172"/>
      <c r="V1741" s="161"/>
      <c r="W1741" s="162"/>
      <c r="X1741" s="163"/>
      <c r="Z1741" s="169"/>
      <c r="AA1741" s="172"/>
      <c r="AB1741" s="161"/>
      <c r="AC1741" s="162"/>
      <c r="AD1741" s="163"/>
    </row>
    <row r="1742" spans="2:60" ht="15" thickBot="1" x14ac:dyDescent="0.3">
      <c r="B1742" s="169"/>
      <c r="C1742" s="172"/>
      <c r="D1742" s="161" t="s">
        <v>471</v>
      </c>
      <c r="E1742" s="162">
        <f>SUM(E1738:E1741)</f>
        <v>0</v>
      </c>
      <c r="F1742" s="163">
        <f>SUM(F1738:F1741)</f>
        <v>0</v>
      </c>
      <c r="H1742" s="169"/>
      <c r="I1742" s="172"/>
      <c r="J1742" s="161" t="s">
        <v>471</v>
      </c>
      <c r="K1742" s="162">
        <f>SUM(K1738:K1741)</f>
        <v>0</v>
      </c>
      <c r="L1742" s="163">
        <f>SUM(L1738:L1741)</f>
        <v>0</v>
      </c>
      <c r="N1742" s="169"/>
      <c r="O1742" s="172"/>
      <c r="P1742" s="161" t="s">
        <v>471</v>
      </c>
      <c r="Q1742" s="162">
        <f>SUM(Q1738:Q1741)</f>
        <v>0</v>
      </c>
      <c r="R1742" s="163">
        <f>SUM(R1738:R1741)</f>
        <v>0</v>
      </c>
      <c r="T1742" s="169"/>
      <c r="U1742" s="172"/>
      <c r="V1742" s="161" t="s">
        <v>471</v>
      </c>
      <c r="W1742" s="162">
        <f>SUM(W1738:W1741)</f>
        <v>0</v>
      </c>
      <c r="X1742" s="163">
        <f>SUM(X1738:X1741)</f>
        <v>0</v>
      </c>
      <c r="Z1742" s="169"/>
      <c r="AA1742" s="172"/>
      <c r="AB1742" s="161" t="s">
        <v>471</v>
      </c>
      <c r="AC1742" s="162">
        <f>SUM(AC1738:AC1741)</f>
        <v>0</v>
      </c>
      <c r="AD1742" s="163">
        <f>SUM(AD1738:AD1741)</f>
        <v>0</v>
      </c>
      <c r="BG1742" s="157">
        <f>SUM(E1742,K1742,Q1742,W1742,AC1742,AI1742,AO1742,AU1742,AX1742,BD1742)</f>
        <v>0</v>
      </c>
      <c r="BH1742" s="158">
        <f>SUM(F1742,L1742,R1742,X1742,AD1742,AJ1742,AP1742,AV1742,AY1742,BE1742)</f>
        <v>0</v>
      </c>
    </row>
    <row r="1743" spans="2:60" ht="14.4" thickBot="1" x14ac:dyDescent="0.3">
      <c r="B1743" s="170"/>
      <c r="C1743" s="173"/>
      <c r="D1743" s="164" t="str">
        <f>IF(E1742=F1742,"",IF(E1742&gt;F1742,"Saldo Deudor","Saldo Acreedor"))</f>
        <v/>
      </c>
      <c r="E1743" s="165" t="str">
        <f>IF(E1742&gt;F1742,E1742-F1742,"")</f>
        <v/>
      </c>
      <c r="F1743" s="176" t="str">
        <f>IF(E1742&lt;F1742,F1742-E1742,"")</f>
        <v/>
      </c>
      <c r="H1743" s="170"/>
      <c r="I1743" s="173"/>
      <c r="J1743" s="164" t="str">
        <f>IF(K1742=L1742,"",IF(K1742&gt;L1742,"Saldo Deudor","Saldo Acreedor"))</f>
        <v/>
      </c>
      <c r="K1743" s="165" t="str">
        <f>IF(K1742&gt;L1742,K1742-L1742,"")</f>
        <v/>
      </c>
      <c r="L1743" s="176" t="str">
        <f>IF(K1742&lt;L1742,L1742-K1742,"")</f>
        <v/>
      </c>
      <c r="N1743" s="170"/>
      <c r="O1743" s="173"/>
      <c r="P1743" s="164" t="str">
        <f>IF(Q1742=R1742,"",IF(Q1742&gt;R1742,"Saldo Deudor","Saldo Acreedor"))</f>
        <v/>
      </c>
      <c r="Q1743" s="165" t="str">
        <f>IF(Q1742&gt;R1742,Q1742-R1742,"")</f>
        <v/>
      </c>
      <c r="R1743" s="176" t="str">
        <f>IF(Q1742&lt;R1742,R1742-Q1742,"")</f>
        <v/>
      </c>
      <c r="T1743" s="170"/>
      <c r="U1743" s="173"/>
      <c r="V1743" s="164" t="str">
        <f>IF(W1742=X1742,"",IF(W1742&gt;X1742,"Saldo Deudor","Saldo Acreedor"))</f>
        <v/>
      </c>
      <c r="W1743" s="165" t="str">
        <f>IF(W1742&gt;X1742,W1742-X1742,"")</f>
        <v/>
      </c>
      <c r="X1743" s="176" t="str">
        <f>IF(W1742&lt;X1742,X1742-W1742,"")</f>
        <v/>
      </c>
      <c r="Z1743" s="170"/>
      <c r="AA1743" s="173"/>
      <c r="AB1743" s="164" t="str">
        <f>IF(AC1742=AD1742,"",IF(AC1742&gt;AD1742,"Saldo Deudor","Saldo Acreedor"))</f>
        <v/>
      </c>
      <c r="AC1743" s="165" t="str">
        <f>IF(AC1742&gt;AD1742,AC1742-AD1742,"")</f>
        <v/>
      </c>
      <c r="AD1743" s="176" t="str">
        <f>IF(AC1742&lt;AD1742,AD1742-AC1742,"")</f>
        <v/>
      </c>
    </row>
    <row r="1746" spans="2:60" ht="15.6" x14ac:dyDescent="0.25">
      <c r="B1746" s="324" t="s">
        <v>472</v>
      </c>
      <c r="C1746" s="324"/>
      <c r="D1746" s="175">
        <v>7571</v>
      </c>
      <c r="E1746" s="160"/>
    </row>
    <row r="1747" spans="2:60" x14ac:dyDescent="0.25">
      <c r="B1747" s="160"/>
      <c r="C1747" s="160"/>
      <c r="D1747" s="160"/>
      <c r="E1747" s="160"/>
    </row>
    <row r="1748" spans="2:60" ht="15.6" x14ac:dyDescent="0.25">
      <c r="B1748" s="324" t="s">
        <v>473</v>
      </c>
      <c r="C1748" s="324"/>
      <c r="D1748" s="234" t="str">
        <f>VLOOKUP(D1746,DivisionariasContables,3,FALSE)</f>
        <v>Recuperación de Deterioro de Inversiones Inmobiliarias</v>
      </c>
      <c r="E1748" s="160"/>
    </row>
    <row r="1749" spans="2:60" ht="14.4" thickBot="1" x14ac:dyDescent="0.3"/>
    <row r="1750" spans="2:60" x14ac:dyDescent="0.25">
      <c r="B1750" s="325" t="s">
        <v>466</v>
      </c>
      <c r="C1750" s="327" t="s">
        <v>467</v>
      </c>
      <c r="D1750" s="327" t="s">
        <v>468</v>
      </c>
      <c r="E1750" s="329" t="s">
        <v>469</v>
      </c>
      <c r="F1750" s="330"/>
    </row>
    <row r="1751" spans="2:60" ht="14.4" thickBot="1" x14ac:dyDescent="0.3">
      <c r="B1751" s="326"/>
      <c r="C1751" s="328"/>
      <c r="D1751" s="328"/>
      <c r="E1751" s="232" t="s">
        <v>403</v>
      </c>
      <c r="F1751" s="174" t="s">
        <v>402</v>
      </c>
    </row>
    <row r="1752" spans="2:60" ht="14.4" thickTop="1" x14ac:dyDescent="0.25">
      <c r="B1752" s="236">
        <v>41670</v>
      </c>
      <c r="C1752" s="171"/>
      <c r="D1752" s="166" t="s">
        <v>470</v>
      </c>
      <c r="E1752" s="167">
        <f>SUMIF('Libro Diario Convencional'!$D$15:$D$167,D1746,'Libro Diario Convencional'!$G$15:$G$167)</f>
        <v>0</v>
      </c>
      <c r="F1752" s="168">
        <f>SUMIF('Libro Diario Convencional'!$D$15:$D$167,D1746,'Libro Diario Convencional'!$H$15:$H$167)</f>
        <v>0</v>
      </c>
    </row>
    <row r="1753" spans="2:60" x14ac:dyDescent="0.25">
      <c r="B1753" s="169"/>
      <c r="C1753" s="172"/>
      <c r="D1753" s="161"/>
      <c r="E1753" s="162"/>
      <c r="F1753" s="163"/>
    </row>
    <row r="1754" spans="2:60" x14ac:dyDescent="0.25">
      <c r="B1754" s="169"/>
      <c r="C1754" s="172"/>
      <c r="D1754" s="161"/>
      <c r="E1754" s="162"/>
      <c r="F1754" s="163"/>
    </row>
    <row r="1755" spans="2:60" ht="14.4" thickBot="1" x14ac:dyDescent="0.3">
      <c r="B1755" s="169"/>
      <c r="C1755" s="172"/>
      <c r="D1755" s="161"/>
      <c r="E1755" s="162"/>
      <c r="F1755" s="163"/>
    </row>
    <row r="1756" spans="2:60" ht="15" thickBot="1" x14ac:dyDescent="0.3">
      <c r="B1756" s="169"/>
      <c r="C1756" s="172"/>
      <c r="D1756" s="161" t="s">
        <v>471</v>
      </c>
      <c r="E1756" s="162">
        <f>SUM(E1752:E1755)</f>
        <v>0</v>
      </c>
      <c r="F1756" s="163">
        <f>SUM(F1752:F1755)</f>
        <v>0</v>
      </c>
      <c r="BG1756" s="157">
        <f>SUM(E1756,K1756,Q1756,W1756,AC1756,AI1756,AO1756,AU1756,AX1756,BD1756)</f>
        <v>0</v>
      </c>
      <c r="BH1756" s="158">
        <f>SUM(F1756,L1756,R1756,X1756,AD1756,AJ1756,AP1756,AV1756,AY1756,BE1756)</f>
        <v>0</v>
      </c>
    </row>
    <row r="1757" spans="2:60" ht="14.4" thickBot="1" x14ac:dyDescent="0.3">
      <c r="B1757" s="170"/>
      <c r="C1757" s="173"/>
      <c r="D1757" s="164" t="str">
        <f>IF(E1756=F1756,"",IF(E1756&gt;F1756,"Saldo Deudor","Saldo Acreedor"))</f>
        <v/>
      </c>
      <c r="E1757" s="165" t="str">
        <f>IF(E1756&gt;F1756,E1756-F1756,"")</f>
        <v/>
      </c>
      <c r="F1757" s="176" t="str">
        <f>IF(E1756&lt;F1756,F1756-E1756,"")</f>
        <v/>
      </c>
    </row>
    <row r="1760" spans="2:60" ht="15.6" x14ac:dyDescent="0.25">
      <c r="B1760" s="324" t="s">
        <v>472</v>
      </c>
      <c r="C1760" s="324"/>
      <c r="D1760" s="175">
        <v>7591</v>
      </c>
      <c r="E1760" s="160"/>
      <c r="H1760" s="324" t="s">
        <v>472</v>
      </c>
      <c r="I1760" s="324"/>
      <c r="J1760" s="175">
        <v>7599</v>
      </c>
      <c r="K1760" s="160"/>
    </row>
    <row r="1761" spans="2:60" x14ac:dyDescent="0.25">
      <c r="B1761" s="160"/>
      <c r="C1761" s="160"/>
      <c r="D1761" s="160"/>
      <c r="E1761" s="160"/>
      <c r="H1761" s="160"/>
      <c r="I1761" s="160"/>
      <c r="J1761" s="160"/>
      <c r="K1761" s="160"/>
    </row>
    <row r="1762" spans="2:60" ht="15.6" x14ac:dyDescent="0.25">
      <c r="B1762" s="324" t="s">
        <v>473</v>
      </c>
      <c r="C1762" s="324"/>
      <c r="D1762" s="234" t="str">
        <f>VLOOKUP(D1760,DivisionariasContables,3,FALSE)</f>
        <v>Subsidios Gubernamentales</v>
      </c>
      <c r="E1762" s="160"/>
      <c r="H1762" s="324" t="s">
        <v>473</v>
      </c>
      <c r="I1762" s="324"/>
      <c r="J1762" s="234" t="str">
        <f>VLOOKUP(J1760,DivisionariasContables,3,FALSE)</f>
        <v>Otros Ingresos de Gestión</v>
      </c>
      <c r="K1762" s="160"/>
    </row>
    <row r="1763" spans="2:60" ht="14.4" thickBot="1" x14ac:dyDescent="0.3"/>
    <row r="1764" spans="2:60" x14ac:dyDescent="0.25">
      <c r="B1764" s="325" t="s">
        <v>466</v>
      </c>
      <c r="C1764" s="327" t="s">
        <v>467</v>
      </c>
      <c r="D1764" s="327" t="s">
        <v>468</v>
      </c>
      <c r="E1764" s="329" t="s">
        <v>469</v>
      </c>
      <c r="F1764" s="330"/>
      <c r="H1764" s="325" t="s">
        <v>466</v>
      </c>
      <c r="I1764" s="327" t="s">
        <v>467</v>
      </c>
      <c r="J1764" s="327" t="s">
        <v>468</v>
      </c>
      <c r="K1764" s="329" t="s">
        <v>469</v>
      </c>
      <c r="L1764" s="330"/>
    </row>
    <row r="1765" spans="2:60" ht="14.4" thickBot="1" x14ac:dyDescent="0.3">
      <c r="B1765" s="326"/>
      <c r="C1765" s="328"/>
      <c r="D1765" s="328"/>
      <c r="E1765" s="232" t="s">
        <v>403</v>
      </c>
      <c r="F1765" s="174" t="s">
        <v>402</v>
      </c>
      <c r="H1765" s="326"/>
      <c r="I1765" s="328"/>
      <c r="J1765" s="328"/>
      <c r="K1765" s="232" t="s">
        <v>403</v>
      </c>
      <c r="L1765" s="174" t="s">
        <v>402</v>
      </c>
    </row>
    <row r="1766" spans="2:60" ht="14.4" thickTop="1" x14ac:dyDescent="0.25">
      <c r="B1766" s="236">
        <v>41670</v>
      </c>
      <c r="C1766" s="171"/>
      <c r="D1766" s="166" t="s">
        <v>470</v>
      </c>
      <c r="E1766" s="167">
        <f>SUMIF('Libro Diario Convencional'!$D$15:$D$167,D1760,'Libro Diario Convencional'!$G$15:$G$167)</f>
        <v>0</v>
      </c>
      <c r="F1766" s="168">
        <f>SUMIF('Libro Diario Convencional'!$D$15:$D$167,D1760,'Libro Diario Convencional'!$H$15:$H$167)</f>
        <v>0</v>
      </c>
      <c r="H1766" s="236">
        <v>41670</v>
      </c>
      <c r="I1766" s="171"/>
      <c r="J1766" s="166" t="s">
        <v>470</v>
      </c>
      <c r="K1766" s="167">
        <f>SUMIF('Libro Diario Convencional'!$D$15:$D$167,J1760,'Libro Diario Convencional'!$G$15:$G$167)</f>
        <v>0</v>
      </c>
      <c r="L1766" s="168">
        <f>SUMIF('Libro Diario Convencional'!$D$15:$D$167,J1760,'Libro Diario Convencional'!$H$15:$H$167)</f>
        <v>0</v>
      </c>
    </row>
    <row r="1767" spans="2:60" x14ac:dyDescent="0.25">
      <c r="B1767" s="169"/>
      <c r="C1767" s="172"/>
      <c r="D1767" s="161"/>
      <c r="E1767" s="162"/>
      <c r="F1767" s="163"/>
      <c r="H1767" s="169"/>
      <c r="I1767" s="172"/>
      <c r="J1767" s="161"/>
      <c r="K1767" s="162"/>
      <c r="L1767" s="163"/>
    </row>
    <row r="1768" spans="2:60" x14ac:dyDescent="0.25">
      <c r="B1768" s="169"/>
      <c r="C1768" s="172"/>
      <c r="D1768" s="161"/>
      <c r="E1768" s="162"/>
      <c r="F1768" s="163"/>
      <c r="H1768" s="169"/>
      <c r="I1768" s="172"/>
      <c r="J1768" s="161"/>
      <c r="K1768" s="162"/>
      <c r="L1768" s="163"/>
    </row>
    <row r="1769" spans="2:60" ht="14.4" thickBot="1" x14ac:dyDescent="0.3">
      <c r="B1769" s="169"/>
      <c r="C1769" s="172"/>
      <c r="D1769" s="161"/>
      <c r="E1769" s="162"/>
      <c r="F1769" s="163"/>
      <c r="H1769" s="169"/>
      <c r="I1769" s="172"/>
      <c r="J1769" s="161"/>
      <c r="K1769" s="162"/>
      <c r="L1769" s="163"/>
    </row>
    <row r="1770" spans="2:60" ht="15" thickBot="1" x14ac:dyDescent="0.3">
      <c r="B1770" s="169"/>
      <c r="C1770" s="172"/>
      <c r="D1770" s="161" t="s">
        <v>471</v>
      </c>
      <c r="E1770" s="162">
        <f>SUM(E1766:E1769)</f>
        <v>0</v>
      </c>
      <c r="F1770" s="163">
        <f>SUM(F1766:F1769)</f>
        <v>0</v>
      </c>
      <c r="H1770" s="169"/>
      <c r="I1770" s="172"/>
      <c r="J1770" s="161" t="s">
        <v>471</v>
      </c>
      <c r="K1770" s="162">
        <f>SUM(K1766:K1769)</f>
        <v>0</v>
      </c>
      <c r="L1770" s="163">
        <f>SUM(L1766:L1769)</f>
        <v>0</v>
      </c>
      <c r="BG1770" s="157">
        <f>SUM(E1770,K1770,Q1770,W1770,AC1770,AI1770,AO1770,AU1770,AX1770,BD1770)</f>
        <v>0</v>
      </c>
      <c r="BH1770" s="158">
        <f>SUM(F1770,L1770,R1770,X1770,AD1770,AJ1770,AP1770,AV1770,AY1770,BE1770)</f>
        <v>0</v>
      </c>
    </row>
    <row r="1771" spans="2:60" ht="14.4" thickBot="1" x14ac:dyDescent="0.3">
      <c r="B1771" s="170"/>
      <c r="C1771" s="173"/>
      <c r="D1771" s="164" t="str">
        <f>IF(E1770=F1770,"",IF(E1770&gt;F1770,"Saldo Deudor","Saldo Acreedor"))</f>
        <v/>
      </c>
      <c r="E1771" s="165" t="str">
        <f>IF(E1770&gt;F1770,E1770-F1770,"")</f>
        <v/>
      </c>
      <c r="F1771" s="176" t="str">
        <f>IF(E1770&lt;F1770,F1770-E1770,"")</f>
        <v/>
      </c>
      <c r="H1771" s="170"/>
      <c r="I1771" s="173"/>
      <c r="J1771" s="164" t="str">
        <f>IF(K1770=L1770,"",IF(K1770&gt;L1770,"Saldo Deudor","Saldo Acreedor"))</f>
        <v/>
      </c>
      <c r="K1771" s="165" t="str">
        <f>IF(K1770&gt;L1770,K1770-L1770,"")</f>
        <v/>
      </c>
      <c r="L1771" s="176" t="str">
        <f>IF(K1770&lt;L1770,L1770-K1770,"")</f>
        <v/>
      </c>
    </row>
    <row r="1774" spans="2:60" ht="15.6" x14ac:dyDescent="0.25">
      <c r="B1774" s="324" t="s">
        <v>472</v>
      </c>
      <c r="C1774" s="324"/>
      <c r="D1774" s="175">
        <v>7711</v>
      </c>
      <c r="E1774" s="160"/>
    </row>
    <row r="1775" spans="2:60" x14ac:dyDescent="0.25">
      <c r="B1775" s="160"/>
      <c r="C1775" s="160"/>
      <c r="D1775" s="160"/>
      <c r="E1775" s="160"/>
    </row>
    <row r="1776" spans="2:60" ht="15.6" x14ac:dyDescent="0.25">
      <c r="B1776" s="324" t="s">
        <v>473</v>
      </c>
      <c r="C1776" s="324"/>
      <c r="D1776" s="234" t="str">
        <f>VLOOKUP(D1774,DivisionariasContables,3,FALSE)</f>
        <v>Ganancia por Instrumento Financiero Derivado</v>
      </c>
      <c r="E1776" s="160"/>
    </row>
    <row r="1777" spans="2:60" ht="14.4" thickBot="1" x14ac:dyDescent="0.3"/>
    <row r="1778" spans="2:60" x14ac:dyDescent="0.25">
      <c r="B1778" s="325" t="s">
        <v>466</v>
      </c>
      <c r="C1778" s="327" t="s">
        <v>467</v>
      </c>
      <c r="D1778" s="327" t="s">
        <v>468</v>
      </c>
      <c r="E1778" s="329" t="s">
        <v>469</v>
      </c>
      <c r="F1778" s="330"/>
    </row>
    <row r="1779" spans="2:60" ht="14.4" thickBot="1" x14ac:dyDescent="0.3">
      <c r="B1779" s="326"/>
      <c r="C1779" s="328"/>
      <c r="D1779" s="328"/>
      <c r="E1779" s="232" t="s">
        <v>403</v>
      </c>
      <c r="F1779" s="174" t="s">
        <v>402</v>
      </c>
    </row>
    <row r="1780" spans="2:60" ht="14.4" thickTop="1" x14ac:dyDescent="0.25">
      <c r="B1780" s="236">
        <v>41670</v>
      </c>
      <c r="C1780" s="171"/>
      <c r="D1780" s="166" t="s">
        <v>470</v>
      </c>
      <c r="E1780" s="167">
        <f>SUMIF('Libro Diario Convencional'!$D$15:$D$167,D1774,'Libro Diario Convencional'!$G$15:$G$167)</f>
        <v>0</v>
      </c>
      <c r="F1780" s="168">
        <f>SUMIF('Libro Diario Convencional'!$D$15:$D$167,D1774,'Libro Diario Convencional'!$H$15:$H$167)</f>
        <v>0</v>
      </c>
    </row>
    <row r="1781" spans="2:60" x14ac:dyDescent="0.25">
      <c r="B1781" s="169"/>
      <c r="C1781" s="172"/>
      <c r="D1781" s="161"/>
      <c r="E1781" s="162"/>
      <c r="F1781" s="163"/>
    </row>
    <row r="1782" spans="2:60" x14ac:dyDescent="0.25">
      <c r="B1782" s="169"/>
      <c r="C1782" s="172"/>
      <c r="D1782" s="161"/>
      <c r="E1782" s="162"/>
      <c r="F1782" s="163"/>
    </row>
    <row r="1783" spans="2:60" ht="14.4" thickBot="1" x14ac:dyDescent="0.3">
      <c r="B1783" s="169"/>
      <c r="C1783" s="172"/>
      <c r="D1783" s="161"/>
      <c r="E1783" s="162"/>
      <c r="F1783" s="163"/>
    </row>
    <row r="1784" spans="2:60" ht="15" thickBot="1" x14ac:dyDescent="0.3">
      <c r="B1784" s="169"/>
      <c r="C1784" s="172"/>
      <c r="D1784" s="161" t="s">
        <v>471</v>
      </c>
      <c r="E1784" s="162">
        <f>SUM(E1780:E1783)</f>
        <v>0</v>
      </c>
      <c r="F1784" s="163">
        <f>SUM(F1780:F1783)</f>
        <v>0</v>
      </c>
      <c r="BG1784" s="157">
        <f>SUM(E1784,K1784,Q1784,W1784,AC1784,AI1784,AO1784,AU1784,AX1784,BD1784)</f>
        <v>0</v>
      </c>
      <c r="BH1784" s="158">
        <f>SUM(F1784,L1784,R1784,X1784,AD1784,AJ1784,AP1784,AV1784,AY1784,BE1784)</f>
        <v>0</v>
      </c>
    </row>
    <row r="1785" spans="2:60" ht="14.4" thickBot="1" x14ac:dyDescent="0.3">
      <c r="B1785" s="170"/>
      <c r="C1785" s="173"/>
      <c r="D1785" s="164" t="str">
        <f>IF(E1784=F1784,"",IF(E1784&gt;F1784,"Saldo Deudor","Saldo Acreedor"))</f>
        <v/>
      </c>
      <c r="E1785" s="165" t="str">
        <f>IF(E1784&gt;F1784,E1784-F1784,"")</f>
        <v/>
      </c>
      <c r="F1785" s="176" t="str">
        <f>IF(E1784&lt;F1784,F1784-E1784,"")</f>
        <v/>
      </c>
    </row>
    <row r="1788" spans="2:60" ht="15.6" x14ac:dyDescent="0.25">
      <c r="B1788" s="324" t="s">
        <v>472</v>
      </c>
      <c r="C1788" s="324"/>
      <c r="D1788" s="175">
        <v>7721</v>
      </c>
      <c r="E1788" s="160"/>
      <c r="H1788" s="324" t="s">
        <v>472</v>
      </c>
      <c r="I1788" s="324"/>
      <c r="J1788" s="175">
        <v>7722</v>
      </c>
      <c r="K1788" s="160"/>
      <c r="N1788" s="324" t="s">
        <v>472</v>
      </c>
      <c r="O1788" s="324"/>
      <c r="P1788" s="175">
        <v>7723</v>
      </c>
      <c r="Q1788" s="160"/>
      <c r="T1788" s="324" t="s">
        <v>472</v>
      </c>
      <c r="U1788" s="324"/>
      <c r="V1788" s="175">
        <v>7724</v>
      </c>
      <c r="W1788" s="160"/>
      <c r="Z1788" s="324" t="s">
        <v>472</v>
      </c>
      <c r="AA1788" s="324"/>
      <c r="AB1788" s="175">
        <v>7725</v>
      </c>
      <c r="AC1788" s="160"/>
    </row>
    <row r="1789" spans="2:60" x14ac:dyDescent="0.25">
      <c r="B1789" s="160"/>
      <c r="C1789" s="160"/>
      <c r="D1789" s="160"/>
      <c r="E1789" s="160"/>
      <c r="H1789" s="160"/>
      <c r="I1789" s="160"/>
      <c r="J1789" s="160"/>
      <c r="K1789" s="160"/>
      <c r="N1789" s="160"/>
      <c r="O1789" s="160"/>
      <c r="P1789" s="160"/>
      <c r="Q1789" s="160"/>
      <c r="T1789" s="160"/>
      <c r="U1789" s="160"/>
      <c r="V1789" s="160"/>
      <c r="W1789" s="160"/>
      <c r="Z1789" s="160"/>
      <c r="AA1789" s="160"/>
      <c r="AB1789" s="160"/>
      <c r="AC1789" s="160"/>
    </row>
    <row r="1790" spans="2:60" ht="15.6" x14ac:dyDescent="0.25">
      <c r="B1790" s="324" t="s">
        <v>473</v>
      </c>
      <c r="C1790" s="324"/>
      <c r="D1790" s="234" t="str">
        <f>VLOOKUP(D1788,DivisionariasContables,3,FALSE)</f>
        <v>Depósitos en Instituciones Financieras</v>
      </c>
      <c r="E1790" s="160"/>
      <c r="H1790" s="324" t="s">
        <v>473</v>
      </c>
      <c r="I1790" s="324"/>
      <c r="J1790" s="234" t="str">
        <f>VLOOKUP(J1788,DivisionariasContables,3,FALSE)</f>
        <v>Cuentas por Cobrar Comerciales</v>
      </c>
      <c r="K1790" s="160"/>
      <c r="N1790" s="324" t="s">
        <v>473</v>
      </c>
      <c r="O1790" s="324"/>
      <c r="P1790" s="234" t="str">
        <f>VLOOKUP(P1788,DivisionariasContables,3,FALSE)</f>
        <v>Préstamos Otorgados</v>
      </c>
      <c r="Q1790" s="160"/>
      <c r="T1790" s="324" t="s">
        <v>473</v>
      </c>
      <c r="U1790" s="324"/>
      <c r="V1790" s="234" t="str">
        <f>VLOOKUP(V1788,DivisionariasContables,3,FALSE)</f>
        <v>Inversiones a ser Mantenidas hasta el Vencimiento</v>
      </c>
      <c r="W1790" s="160"/>
      <c r="Z1790" s="324" t="s">
        <v>473</v>
      </c>
      <c r="AA1790" s="324"/>
      <c r="AB1790" s="234" t="str">
        <f>VLOOKUP(AB1788,DivisionariasContables,3,FALSE)</f>
        <v>Instrumentos Financieros Representativos de Derecho Patrimonial</v>
      </c>
      <c r="AC1790" s="160"/>
    </row>
    <row r="1791" spans="2:60" ht="14.4" thickBot="1" x14ac:dyDescent="0.3"/>
    <row r="1792" spans="2:60" x14ac:dyDescent="0.25">
      <c r="B1792" s="325" t="s">
        <v>466</v>
      </c>
      <c r="C1792" s="327" t="s">
        <v>467</v>
      </c>
      <c r="D1792" s="327" t="s">
        <v>468</v>
      </c>
      <c r="E1792" s="329" t="s">
        <v>469</v>
      </c>
      <c r="F1792" s="330"/>
      <c r="H1792" s="325" t="s">
        <v>466</v>
      </c>
      <c r="I1792" s="327" t="s">
        <v>467</v>
      </c>
      <c r="J1792" s="327" t="s">
        <v>468</v>
      </c>
      <c r="K1792" s="329" t="s">
        <v>469</v>
      </c>
      <c r="L1792" s="330"/>
      <c r="N1792" s="325" t="s">
        <v>466</v>
      </c>
      <c r="O1792" s="327" t="s">
        <v>467</v>
      </c>
      <c r="P1792" s="327" t="s">
        <v>468</v>
      </c>
      <c r="Q1792" s="329" t="s">
        <v>469</v>
      </c>
      <c r="R1792" s="330"/>
      <c r="T1792" s="325" t="s">
        <v>466</v>
      </c>
      <c r="U1792" s="327" t="s">
        <v>467</v>
      </c>
      <c r="V1792" s="327" t="s">
        <v>468</v>
      </c>
      <c r="W1792" s="329" t="s">
        <v>469</v>
      </c>
      <c r="X1792" s="330"/>
      <c r="Z1792" s="325" t="s">
        <v>466</v>
      </c>
      <c r="AA1792" s="327" t="s">
        <v>467</v>
      </c>
      <c r="AB1792" s="327" t="s">
        <v>468</v>
      </c>
      <c r="AC1792" s="329" t="s">
        <v>469</v>
      </c>
      <c r="AD1792" s="330"/>
    </row>
    <row r="1793" spans="2:60" ht="14.4" thickBot="1" x14ac:dyDescent="0.3">
      <c r="B1793" s="326"/>
      <c r="C1793" s="328"/>
      <c r="D1793" s="328"/>
      <c r="E1793" s="232" t="s">
        <v>403</v>
      </c>
      <c r="F1793" s="174" t="s">
        <v>402</v>
      </c>
      <c r="H1793" s="326"/>
      <c r="I1793" s="328"/>
      <c r="J1793" s="328"/>
      <c r="K1793" s="232" t="s">
        <v>403</v>
      </c>
      <c r="L1793" s="174" t="s">
        <v>402</v>
      </c>
      <c r="N1793" s="326"/>
      <c r="O1793" s="328"/>
      <c r="P1793" s="328"/>
      <c r="Q1793" s="232" t="s">
        <v>403</v>
      </c>
      <c r="R1793" s="174" t="s">
        <v>402</v>
      </c>
      <c r="T1793" s="326"/>
      <c r="U1793" s="328"/>
      <c r="V1793" s="328"/>
      <c r="W1793" s="232" t="s">
        <v>403</v>
      </c>
      <c r="X1793" s="174" t="s">
        <v>402</v>
      </c>
      <c r="Z1793" s="326"/>
      <c r="AA1793" s="328"/>
      <c r="AB1793" s="328"/>
      <c r="AC1793" s="232" t="s">
        <v>403</v>
      </c>
      <c r="AD1793" s="174" t="s">
        <v>402</v>
      </c>
    </row>
    <row r="1794" spans="2:60" ht="14.4" thickTop="1" x14ac:dyDescent="0.25">
      <c r="B1794" s="236">
        <v>41670</v>
      </c>
      <c r="C1794" s="171"/>
      <c r="D1794" s="166" t="s">
        <v>470</v>
      </c>
      <c r="E1794" s="167">
        <f>SUMIF('Libro Diario Convencional'!$D$15:$D$167,D1788,'Libro Diario Convencional'!$G$15:$G$167)</f>
        <v>0</v>
      </c>
      <c r="F1794" s="168">
        <f>SUMIF('Libro Diario Convencional'!$D$15:$D$167,D1788,'Libro Diario Convencional'!$H$15:$H$167)</f>
        <v>0</v>
      </c>
      <c r="H1794" s="236">
        <v>41670</v>
      </c>
      <c r="I1794" s="171"/>
      <c r="J1794" s="166" t="s">
        <v>470</v>
      </c>
      <c r="K1794" s="167">
        <f>SUMIF('Libro Diario Convencional'!$D$15:$D$167,J1788,'Libro Diario Convencional'!$G$15:$G$167)</f>
        <v>0</v>
      </c>
      <c r="L1794" s="168">
        <f>SUMIF('Libro Diario Convencional'!$D$15:$D$167,J1788,'Libro Diario Convencional'!$H$15:$H$167)</f>
        <v>0</v>
      </c>
      <c r="N1794" s="236">
        <v>41670</v>
      </c>
      <c r="O1794" s="171"/>
      <c r="P1794" s="166" t="s">
        <v>470</v>
      </c>
      <c r="Q1794" s="167">
        <f>SUMIF('Libro Diario Convencional'!$D$15:$D$167,P1788,'Libro Diario Convencional'!$G$15:$G$167)</f>
        <v>0</v>
      </c>
      <c r="R1794" s="168">
        <f>SUMIF('Libro Diario Convencional'!$D$15:$D$167,P1788,'Libro Diario Convencional'!$H$15:$H$167)</f>
        <v>0</v>
      </c>
      <c r="T1794" s="236">
        <v>41670</v>
      </c>
      <c r="U1794" s="171"/>
      <c r="V1794" s="166" t="s">
        <v>470</v>
      </c>
      <c r="W1794" s="167">
        <f>SUMIF('Libro Diario Convencional'!$D$15:$D$167,V1788,'Libro Diario Convencional'!$G$15:$G$167)</f>
        <v>0</v>
      </c>
      <c r="X1794" s="168">
        <f>SUMIF('Libro Diario Convencional'!$D$15:$D$167,V1788,'Libro Diario Convencional'!$H$15:$H$167)</f>
        <v>0</v>
      </c>
      <c r="Z1794" s="236">
        <v>41670</v>
      </c>
      <c r="AA1794" s="171"/>
      <c r="AB1794" s="166" t="s">
        <v>470</v>
      </c>
      <c r="AC1794" s="167">
        <f>SUMIF('Libro Diario Convencional'!$D$15:$D$167,AB1788,'Libro Diario Convencional'!$G$15:$G$167)</f>
        <v>0</v>
      </c>
      <c r="AD1794" s="168">
        <f>SUMIF('Libro Diario Convencional'!$D$15:$D$167,AB1788,'Libro Diario Convencional'!$H$15:$H$167)</f>
        <v>0</v>
      </c>
    </row>
    <row r="1795" spans="2:60" x14ac:dyDescent="0.25">
      <c r="B1795" s="169"/>
      <c r="C1795" s="172"/>
      <c r="D1795" s="161"/>
      <c r="E1795" s="162"/>
      <c r="F1795" s="163"/>
      <c r="H1795" s="169"/>
      <c r="I1795" s="172"/>
      <c r="J1795" s="161"/>
      <c r="K1795" s="162"/>
      <c r="L1795" s="163"/>
      <c r="N1795" s="169"/>
      <c r="O1795" s="172"/>
      <c r="P1795" s="161"/>
      <c r="Q1795" s="162"/>
      <c r="R1795" s="163"/>
      <c r="T1795" s="169"/>
      <c r="U1795" s="172"/>
      <c r="V1795" s="161"/>
      <c r="W1795" s="162"/>
      <c r="X1795" s="163"/>
      <c r="Z1795" s="169"/>
      <c r="AA1795" s="172"/>
      <c r="AB1795" s="161"/>
      <c r="AC1795" s="162"/>
      <c r="AD1795" s="163"/>
    </row>
    <row r="1796" spans="2:60" x14ac:dyDescent="0.25">
      <c r="B1796" s="169"/>
      <c r="C1796" s="172"/>
      <c r="D1796" s="161"/>
      <c r="E1796" s="162"/>
      <c r="F1796" s="163"/>
      <c r="H1796" s="169"/>
      <c r="I1796" s="172"/>
      <c r="J1796" s="161"/>
      <c r="K1796" s="162"/>
      <c r="L1796" s="163"/>
      <c r="N1796" s="169"/>
      <c r="O1796" s="172"/>
      <c r="P1796" s="161"/>
      <c r="Q1796" s="162"/>
      <c r="R1796" s="163"/>
      <c r="T1796" s="169"/>
      <c r="U1796" s="172"/>
      <c r="V1796" s="161"/>
      <c r="W1796" s="162"/>
      <c r="X1796" s="163"/>
      <c r="Z1796" s="169"/>
      <c r="AA1796" s="172"/>
      <c r="AB1796" s="161"/>
      <c r="AC1796" s="162"/>
      <c r="AD1796" s="163"/>
    </row>
    <row r="1797" spans="2:60" ht="14.4" thickBot="1" x14ac:dyDescent="0.3">
      <c r="B1797" s="169"/>
      <c r="C1797" s="172"/>
      <c r="D1797" s="161"/>
      <c r="E1797" s="162"/>
      <c r="F1797" s="163"/>
      <c r="H1797" s="169"/>
      <c r="I1797" s="172"/>
      <c r="J1797" s="161"/>
      <c r="K1797" s="162"/>
      <c r="L1797" s="163"/>
      <c r="N1797" s="169"/>
      <c r="O1797" s="172"/>
      <c r="P1797" s="161"/>
      <c r="Q1797" s="162"/>
      <c r="R1797" s="163"/>
      <c r="T1797" s="169"/>
      <c r="U1797" s="172"/>
      <c r="V1797" s="161"/>
      <c r="W1797" s="162"/>
      <c r="X1797" s="163"/>
      <c r="Z1797" s="169"/>
      <c r="AA1797" s="172"/>
      <c r="AB1797" s="161"/>
      <c r="AC1797" s="162"/>
      <c r="AD1797" s="163"/>
    </row>
    <row r="1798" spans="2:60" ht="15" thickBot="1" x14ac:dyDescent="0.3">
      <c r="B1798" s="169"/>
      <c r="C1798" s="172"/>
      <c r="D1798" s="161" t="s">
        <v>471</v>
      </c>
      <c r="E1798" s="162">
        <f>SUM(E1794:E1797)</f>
        <v>0</v>
      </c>
      <c r="F1798" s="163">
        <f>SUM(F1794:F1797)</f>
        <v>0</v>
      </c>
      <c r="H1798" s="169"/>
      <c r="I1798" s="172"/>
      <c r="J1798" s="161" t="s">
        <v>471</v>
      </c>
      <c r="K1798" s="162">
        <f>SUM(K1794:K1797)</f>
        <v>0</v>
      </c>
      <c r="L1798" s="163">
        <f>SUM(L1794:L1797)</f>
        <v>0</v>
      </c>
      <c r="N1798" s="169"/>
      <c r="O1798" s="172"/>
      <c r="P1798" s="161" t="s">
        <v>471</v>
      </c>
      <c r="Q1798" s="162">
        <f>SUM(Q1794:Q1797)</f>
        <v>0</v>
      </c>
      <c r="R1798" s="163">
        <f>SUM(R1794:R1797)</f>
        <v>0</v>
      </c>
      <c r="T1798" s="169"/>
      <c r="U1798" s="172"/>
      <c r="V1798" s="161" t="s">
        <v>471</v>
      </c>
      <c r="W1798" s="162">
        <f>SUM(W1794:W1797)</f>
        <v>0</v>
      </c>
      <c r="X1798" s="163">
        <f>SUM(X1794:X1797)</f>
        <v>0</v>
      </c>
      <c r="Z1798" s="169"/>
      <c r="AA1798" s="172"/>
      <c r="AB1798" s="161" t="s">
        <v>471</v>
      </c>
      <c r="AC1798" s="162">
        <f>SUM(AC1794:AC1797)</f>
        <v>0</v>
      </c>
      <c r="AD1798" s="163">
        <f>SUM(AD1794:AD1797)</f>
        <v>0</v>
      </c>
      <c r="BG1798" s="157">
        <f>SUM(E1798,K1798,Q1798,W1798,AC1798,AI1798,AO1798,AU1798,AX1798,BD1798)</f>
        <v>0</v>
      </c>
      <c r="BH1798" s="158">
        <f>SUM(F1798,L1798,R1798,X1798,AD1798,AJ1798,AP1798,AV1798,AY1798,BE1798)</f>
        <v>0</v>
      </c>
    </row>
    <row r="1799" spans="2:60" ht="14.4" thickBot="1" x14ac:dyDescent="0.3">
      <c r="B1799" s="170"/>
      <c r="C1799" s="173"/>
      <c r="D1799" s="164" t="str">
        <f>IF(E1798=F1798,"",IF(E1798&gt;F1798,"Saldo Deudor","Saldo Acreedor"))</f>
        <v/>
      </c>
      <c r="E1799" s="165" t="str">
        <f>IF(E1798&gt;F1798,E1798-F1798,"")</f>
        <v/>
      </c>
      <c r="F1799" s="176" t="str">
        <f>IF(E1798&lt;F1798,F1798-E1798,"")</f>
        <v/>
      </c>
      <c r="H1799" s="170"/>
      <c r="I1799" s="173"/>
      <c r="J1799" s="164" t="str">
        <f>IF(K1798=L1798,"",IF(K1798&gt;L1798,"Saldo Deudor","Saldo Acreedor"))</f>
        <v/>
      </c>
      <c r="K1799" s="165" t="str">
        <f>IF(K1798&gt;L1798,K1798-L1798,"")</f>
        <v/>
      </c>
      <c r="L1799" s="176" t="str">
        <f>IF(K1798&lt;L1798,L1798-K1798,"")</f>
        <v/>
      </c>
      <c r="N1799" s="170"/>
      <c r="O1799" s="173"/>
      <c r="P1799" s="164" t="str">
        <f>IF(Q1798=R1798,"",IF(Q1798&gt;R1798,"Saldo Deudor","Saldo Acreedor"))</f>
        <v/>
      </c>
      <c r="Q1799" s="165" t="str">
        <f>IF(Q1798&gt;R1798,Q1798-R1798,"")</f>
        <v/>
      </c>
      <c r="R1799" s="176" t="str">
        <f>IF(Q1798&lt;R1798,R1798-Q1798,"")</f>
        <v/>
      </c>
      <c r="T1799" s="170"/>
      <c r="U1799" s="173"/>
      <c r="V1799" s="164" t="str">
        <f>IF(W1798=X1798,"",IF(W1798&gt;X1798,"Saldo Deudor","Saldo Acreedor"))</f>
        <v/>
      </c>
      <c r="W1799" s="165" t="str">
        <f>IF(W1798&gt;X1798,W1798-X1798,"")</f>
        <v/>
      </c>
      <c r="X1799" s="176" t="str">
        <f>IF(W1798&lt;X1798,X1798-W1798,"")</f>
        <v/>
      </c>
      <c r="Z1799" s="170"/>
      <c r="AA1799" s="173"/>
      <c r="AB1799" s="164" t="str">
        <f>IF(AC1798=AD1798,"",IF(AC1798&gt;AD1798,"Saldo Deudor","Saldo Acreedor"))</f>
        <v/>
      </c>
      <c r="AC1799" s="165" t="str">
        <f>IF(AC1798&gt;AD1798,AC1798-AD1798,"")</f>
        <v/>
      </c>
      <c r="AD1799" s="176" t="str">
        <f>IF(AC1798&lt;AD1798,AD1798-AC1798,"")</f>
        <v/>
      </c>
    </row>
    <row r="1802" spans="2:60" ht="15.6" x14ac:dyDescent="0.25">
      <c r="B1802" s="324" t="s">
        <v>472</v>
      </c>
      <c r="C1802" s="324"/>
      <c r="D1802" s="175">
        <v>7731</v>
      </c>
      <c r="E1802" s="160"/>
    </row>
    <row r="1803" spans="2:60" x14ac:dyDescent="0.25">
      <c r="B1803" s="160"/>
      <c r="C1803" s="160"/>
      <c r="D1803" s="160"/>
      <c r="E1803" s="160"/>
    </row>
    <row r="1804" spans="2:60" ht="15.6" x14ac:dyDescent="0.25">
      <c r="B1804" s="324" t="s">
        <v>473</v>
      </c>
      <c r="C1804" s="324"/>
      <c r="D1804" s="234" t="str">
        <f>VLOOKUP(D1802,DivisionariasContables,3,FALSE)</f>
        <v>Dividendos</v>
      </c>
      <c r="E1804" s="160"/>
    </row>
    <row r="1805" spans="2:60" ht="14.4" thickBot="1" x14ac:dyDescent="0.3"/>
    <row r="1806" spans="2:60" x14ac:dyDescent="0.25">
      <c r="B1806" s="325" t="s">
        <v>466</v>
      </c>
      <c r="C1806" s="327" t="s">
        <v>467</v>
      </c>
      <c r="D1806" s="327" t="s">
        <v>468</v>
      </c>
      <c r="E1806" s="329" t="s">
        <v>469</v>
      </c>
      <c r="F1806" s="330"/>
    </row>
    <row r="1807" spans="2:60" ht="14.4" thickBot="1" x14ac:dyDescent="0.3">
      <c r="B1807" s="326"/>
      <c r="C1807" s="328"/>
      <c r="D1807" s="328"/>
      <c r="E1807" s="232" t="s">
        <v>403</v>
      </c>
      <c r="F1807" s="174" t="s">
        <v>402</v>
      </c>
    </row>
    <row r="1808" spans="2:60" ht="14.4" thickTop="1" x14ac:dyDescent="0.25">
      <c r="B1808" s="236">
        <v>41670</v>
      </c>
      <c r="C1808" s="171"/>
      <c r="D1808" s="166" t="s">
        <v>470</v>
      </c>
      <c r="E1808" s="167">
        <f>SUMIF('Libro Diario Convencional'!$D$15:$D$167,D1802,'Libro Diario Convencional'!$G$15:$G$167)</f>
        <v>0</v>
      </c>
      <c r="F1808" s="168">
        <f>SUMIF('Libro Diario Convencional'!$D$15:$D$167,D1802,'Libro Diario Convencional'!$H$15:$H$167)</f>
        <v>0</v>
      </c>
    </row>
    <row r="1809" spans="2:60" x14ac:dyDescent="0.25">
      <c r="B1809" s="169"/>
      <c r="C1809" s="172"/>
      <c r="D1809" s="161"/>
      <c r="E1809" s="162"/>
      <c r="F1809" s="163"/>
    </row>
    <row r="1810" spans="2:60" x14ac:dyDescent="0.25">
      <c r="B1810" s="169"/>
      <c r="C1810" s="172"/>
      <c r="D1810" s="161"/>
      <c r="E1810" s="162"/>
      <c r="F1810" s="163"/>
    </row>
    <row r="1811" spans="2:60" ht="14.4" thickBot="1" x14ac:dyDescent="0.3">
      <c r="B1811" s="169"/>
      <c r="C1811" s="172"/>
      <c r="D1811" s="161"/>
      <c r="E1811" s="162"/>
      <c r="F1811" s="163"/>
    </row>
    <row r="1812" spans="2:60" ht="15" thickBot="1" x14ac:dyDescent="0.3">
      <c r="B1812" s="169"/>
      <c r="C1812" s="172"/>
      <c r="D1812" s="161" t="s">
        <v>471</v>
      </c>
      <c r="E1812" s="162">
        <f>SUM(E1808:E1811)</f>
        <v>0</v>
      </c>
      <c r="F1812" s="163">
        <f>SUM(F1808:F1811)</f>
        <v>0</v>
      </c>
      <c r="BG1812" s="157">
        <f>SUM(E1812,K1812,Q1812,W1812,AC1812,AI1812,AO1812,AU1812,AX1812,BD1812)</f>
        <v>0</v>
      </c>
      <c r="BH1812" s="158">
        <f>SUM(F1812,L1812,R1812,X1812,AD1812,AJ1812,AP1812,AV1812,AY1812,BE1812)</f>
        <v>0</v>
      </c>
    </row>
    <row r="1813" spans="2:60" ht="14.4" thickBot="1" x14ac:dyDescent="0.3">
      <c r="B1813" s="170"/>
      <c r="C1813" s="173"/>
      <c r="D1813" s="164" t="str">
        <f>IF(E1812=F1812,"",IF(E1812&gt;F1812,"Saldo Deudor","Saldo Acreedor"))</f>
        <v/>
      </c>
      <c r="E1813" s="165" t="str">
        <f>IF(E1812&gt;F1812,E1812-F1812,"")</f>
        <v/>
      </c>
      <c r="F1813" s="176" t="str">
        <f>IF(E1812&lt;F1812,F1812-E1812,"")</f>
        <v/>
      </c>
    </row>
    <row r="1816" spans="2:60" ht="15.6" x14ac:dyDescent="0.25">
      <c r="B1816" s="324" t="s">
        <v>472</v>
      </c>
      <c r="C1816" s="324"/>
      <c r="D1816" s="175">
        <v>7751</v>
      </c>
      <c r="E1816" s="160"/>
    </row>
    <row r="1817" spans="2:60" x14ac:dyDescent="0.25">
      <c r="B1817" s="160"/>
      <c r="C1817" s="160"/>
      <c r="D1817" s="160"/>
      <c r="E1817" s="160"/>
    </row>
    <row r="1818" spans="2:60" ht="15.6" x14ac:dyDescent="0.25">
      <c r="B1818" s="324" t="s">
        <v>473</v>
      </c>
      <c r="C1818" s="324"/>
      <c r="D1818" s="234" t="str">
        <f>VLOOKUP(D1816,DivisionariasContables,3,FALSE)</f>
        <v>Descuentos Obtenidos por Pronto Pago</v>
      </c>
      <c r="E1818" s="160"/>
    </row>
    <row r="1819" spans="2:60" ht="14.4" thickBot="1" x14ac:dyDescent="0.3"/>
    <row r="1820" spans="2:60" x14ac:dyDescent="0.25">
      <c r="B1820" s="325" t="s">
        <v>466</v>
      </c>
      <c r="C1820" s="327" t="s">
        <v>467</v>
      </c>
      <c r="D1820" s="327" t="s">
        <v>468</v>
      </c>
      <c r="E1820" s="329" t="s">
        <v>469</v>
      </c>
      <c r="F1820" s="330"/>
    </row>
    <row r="1821" spans="2:60" ht="14.4" thickBot="1" x14ac:dyDescent="0.3">
      <c r="B1821" s="326"/>
      <c r="C1821" s="328"/>
      <c r="D1821" s="328"/>
      <c r="E1821" s="232" t="s">
        <v>403</v>
      </c>
      <c r="F1821" s="174" t="s">
        <v>402</v>
      </c>
    </row>
    <row r="1822" spans="2:60" ht="14.4" thickTop="1" x14ac:dyDescent="0.25">
      <c r="B1822" s="236">
        <v>41670</v>
      </c>
      <c r="C1822" s="171"/>
      <c r="D1822" s="166" t="s">
        <v>470</v>
      </c>
      <c r="E1822" s="167">
        <f>SUMIF('Libro Diario Convencional'!$D$15:$D$167,D1816,'Libro Diario Convencional'!$G$15:$G$167)</f>
        <v>0</v>
      </c>
      <c r="F1822" s="168">
        <f>SUMIF('Libro Diario Convencional'!$D$15:$D$167,D1816,'Libro Diario Convencional'!$H$15:$H$167)</f>
        <v>0</v>
      </c>
    </row>
    <row r="1823" spans="2:60" x14ac:dyDescent="0.25">
      <c r="B1823" s="169"/>
      <c r="C1823" s="172"/>
      <c r="D1823" s="161"/>
      <c r="E1823" s="162"/>
      <c r="F1823" s="163"/>
    </row>
    <row r="1824" spans="2:60" x14ac:dyDescent="0.25">
      <c r="B1824" s="169"/>
      <c r="C1824" s="172"/>
      <c r="D1824" s="161"/>
      <c r="E1824" s="162"/>
      <c r="F1824" s="163"/>
    </row>
    <row r="1825" spans="2:60" ht="14.4" thickBot="1" x14ac:dyDescent="0.3">
      <c r="B1825" s="169"/>
      <c r="C1825" s="172"/>
      <c r="D1825" s="161"/>
      <c r="E1825" s="162"/>
      <c r="F1825" s="163"/>
    </row>
    <row r="1826" spans="2:60" ht="15" thickBot="1" x14ac:dyDescent="0.3">
      <c r="B1826" s="169"/>
      <c r="C1826" s="172"/>
      <c r="D1826" s="161" t="s">
        <v>471</v>
      </c>
      <c r="E1826" s="162">
        <f>SUM(E1822:E1825)</f>
        <v>0</v>
      </c>
      <c r="F1826" s="163">
        <f>SUM(F1822:F1825)</f>
        <v>0</v>
      </c>
      <c r="BG1826" s="157">
        <f>SUM(E1826,K1826,Q1826,W1826,AC1826,AI1826,AO1826,AU1826,AX1826,BD1826)</f>
        <v>0</v>
      </c>
      <c r="BH1826" s="158">
        <f>SUM(F1826,L1826,R1826,X1826,AD1826,AJ1826,AP1826,AV1826,AY1826,BE1826)</f>
        <v>0</v>
      </c>
    </row>
    <row r="1827" spans="2:60" ht="14.4" thickBot="1" x14ac:dyDescent="0.3">
      <c r="B1827" s="170"/>
      <c r="C1827" s="173"/>
      <c r="D1827" s="164" t="str">
        <f>IF(E1826=F1826,"",IF(E1826&gt;F1826,"Saldo Deudor","Saldo Acreedor"))</f>
        <v/>
      </c>
      <c r="E1827" s="165" t="str">
        <f>IF(E1826&gt;F1826,E1826-F1826,"")</f>
        <v/>
      </c>
      <c r="F1827" s="176" t="str">
        <f>IF(E1826&lt;F1826,F1826-E1826,"")</f>
        <v/>
      </c>
    </row>
    <row r="1830" spans="2:60" ht="15.6" x14ac:dyDescent="0.25">
      <c r="B1830" s="324" t="s">
        <v>472</v>
      </c>
      <c r="C1830" s="324"/>
      <c r="D1830" s="175">
        <v>7761</v>
      </c>
      <c r="E1830" s="160"/>
    </row>
    <row r="1831" spans="2:60" x14ac:dyDescent="0.25">
      <c r="B1831" s="160"/>
      <c r="C1831" s="160"/>
      <c r="D1831" s="160"/>
      <c r="E1831" s="160"/>
    </row>
    <row r="1832" spans="2:60" ht="15.6" x14ac:dyDescent="0.25">
      <c r="B1832" s="324" t="s">
        <v>473</v>
      </c>
      <c r="C1832" s="324"/>
      <c r="D1832" s="234" t="str">
        <f>VLOOKUP(D1830,DivisionariasContables,3,FALSE)</f>
        <v>Diferencia en Cambio</v>
      </c>
      <c r="E1832" s="160"/>
    </row>
    <row r="1833" spans="2:60" ht="14.4" thickBot="1" x14ac:dyDescent="0.3"/>
    <row r="1834" spans="2:60" x14ac:dyDescent="0.25">
      <c r="B1834" s="325" t="s">
        <v>466</v>
      </c>
      <c r="C1834" s="327" t="s">
        <v>467</v>
      </c>
      <c r="D1834" s="327" t="s">
        <v>468</v>
      </c>
      <c r="E1834" s="329" t="s">
        <v>469</v>
      </c>
      <c r="F1834" s="330"/>
    </row>
    <row r="1835" spans="2:60" ht="14.4" thickBot="1" x14ac:dyDescent="0.3">
      <c r="B1835" s="326"/>
      <c r="C1835" s="328"/>
      <c r="D1835" s="328"/>
      <c r="E1835" s="232" t="s">
        <v>403</v>
      </c>
      <c r="F1835" s="174" t="s">
        <v>402</v>
      </c>
    </row>
    <row r="1836" spans="2:60" ht="14.4" thickTop="1" x14ac:dyDescent="0.25">
      <c r="B1836" s="236">
        <v>41670</v>
      </c>
      <c r="C1836" s="171"/>
      <c r="D1836" s="166" t="s">
        <v>470</v>
      </c>
      <c r="E1836" s="167">
        <f>SUMIF('Libro Diario Convencional'!$D$15:$D$167,D1830,'Libro Diario Convencional'!$G$15:$G$167)</f>
        <v>0</v>
      </c>
      <c r="F1836" s="168">
        <f>SUMIF('Libro Diario Convencional'!$D$15:$D$167,D1830,'Libro Diario Convencional'!$H$15:$H$167)</f>
        <v>0</v>
      </c>
    </row>
    <row r="1837" spans="2:60" x14ac:dyDescent="0.25">
      <c r="B1837" s="169"/>
      <c r="C1837" s="172"/>
      <c r="D1837" s="161"/>
      <c r="E1837" s="162"/>
      <c r="F1837" s="163"/>
    </row>
    <row r="1838" spans="2:60" x14ac:dyDescent="0.25">
      <c r="B1838" s="169"/>
      <c r="C1838" s="172"/>
      <c r="D1838" s="161"/>
      <c r="E1838" s="162"/>
      <c r="F1838" s="163"/>
    </row>
    <row r="1839" spans="2:60" ht="14.4" thickBot="1" x14ac:dyDescent="0.3">
      <c r="B1839" s="169"/>
      <c r="C1839" s="172"/>
      <c r="D1839" s="161"/>
      <c r="E1839" s="162"/>
      <c r="F1839" s="163"/>
    </row>
    <row r="1840" spans="2:60" ht="15" thickBot="1" x14ac:dyDescent="0.3">
      <c r="B1840" s="169"/>
      <c r="C1840" s="172"/>
      <c r="D1840" s="161" t="s">
        <v>471</v>
      </c>
      <c r="E1840" s="162">
        <f>SUM(E1836:E1839)</f>
        <v>0</v>
      </c>
      <c r="F1840" s="163">
        <f>SUM(F1836:F1839)</f>
        <v>0</v>
      </c>
      <c r="BG1840" s="157">
        <f>SUM(E1840,K1840,Q1840,W1840,AC1840,AI1840,AO1840,AU1840,AX1840,BD1840)</f>
        <v>0</v>
      </c>
      <c r="BH1840" s="158">
        <f>SUM(F1840,L1840,R1840,X1840,AD1840,AJ1840,AP1840,AV1840,AY1840,BE1840)</f>
        <v>0</v>
      </c>
    </row>
    <row r="1841" spans="2:60" ht="14.4" thickBot="1" x14ac:dyDescent="0.3">
      <c r="B1841" s="170"/>
      <c r="C1841" s="173"/>
      <c r="D1841" s="164" t="str">
        <f>IF(E1840=F1840,"",IF(E1840&gt;F1840,"Saldo Deudor","Saldo Acreedor"))</f>
        <v/>
      </c>
      <c r="E1841" s="165" t="str">
        <f>IF(E1840&gt;F1840,E1840-F1840,"")</f>
        <v/>
      </c>
      <c r="F1841" s="176" t="str">
        <f>IF(E1840&lt;F1840,F1840-E1840,"")</f>
        <v/>
      </c>
    </row>
    <row r="1844" spans="2:60" ht="15.6" x14ac:dyDescent="0.25">
      <c r="B1844" s="324" t="s">
        <v>472</v>
      </c>
      <c r="C1844" s="324"/>
      <c r="D1844" s="175">
        <v>7771</v>
      </c>
      <c r="E1844" s="160"/>
    </row>
    <row r="1845" spans="2:60" x14ac:dyDescent="0.25">
      <c r="B1845" s="160"/>
      <c r="C1845" s="160"/>
      <c r="D1845" s="160"/>
      <c r="E1845" s="160"/>
    </row>
    <row r="1846" spans="2:60" ht="15.6" x14ac:dyDescent="0.25">
      <c r="B1846" s="324" t="s">
        <v>473</v>
      </c>
      <c r="C1846" s="324"/>
      <c r="D1846" s="234" t="str">
        <f>VLOOKUP(D1844,DivisionariasContables,3,FALSE)</f>
        <v>Inversiones Mantenidas para Negociación</v>
      </c>
      <c r="E1846" s="160"/>
    </row>
    <row r="1847" spans="2:60" ht="14.4" thickBot="1" x14ac:dyDescent="0.3"/>
    <row r="1848" spans="2:60" x14ac:dyDescent="0.25">
      <c r="B1848" s="325" t="s">
        <v>466</v>
      </c>
      <c r="C1848" s="327" t="s">
        <v>467</v>
      </c>
      <c r="D1848" s="327" t="s">
        <v>468</v>
      </c>
      <c r="E1848" s="329" t="s">
        <v>469</v>
      </c>
      <c r="F1848" s="330"/>
    </row>
    <row r="1849" spans="2:60" ht="14.4" thickBot="1" x14ac:dyDescent="0.3">
      <c r="B1849" s="326"/>
      <c r="C1849" s="328"/>
      <c r="D1849" s="328"/>
      <c r="E1849" s="232" t="s">
        <v>403</v>
      </c>
      <c r="F1849" s="174" t="s">
        <v>402</v>
      </c>
    </row>
    <row r="1850" spans="2:60" ht="14.4" thickTop="1" x14ac:dyDescent="0.25">
      <c r="B1850" s="236">
        <v>41670</v>
      </c>
      <c r="C1850" s="171"/>
      <c r="D1850" s="166" t="s">
        <v>470</v>
      </c>
      <c r="E1850" s="167">
        <f>SUMIF('Libro Diario Convencional'!$D$15:$D$167,D1844,'Libro Diario Convencional'!$G$15:$G$167)</f>
        <v>0</v>
      </c>
      <c r="F1850" s="168">
        <f>SUMIF('Libro Diario Convencional'!$D$15:$D$167,D1844,'Libro Diario Convencional'!$H$15:$H$167)</f>
        <v>0</v>
      </c>
    </row>
    <row r="1851" spans="2:60" x14ac:dyDescent="0.25">
      <c r="B1851" s="169"/>
      <c r="C1851" s="172"/>
      <c r="D1851" s="161"/>
      <c r="E1851" s="162"/>
      <c r="F1851" s="163"/>
    </row>
    <row r="1852" spans="2:60" x14ac:dyDescent="0.25">
      <c r="B1852" s="169"/>
      <c r="C1852" s="172"/>
      <c r="D1852" s="161"/>
      <c r="E1852" s="162"/>
      <c r="F1852" s="163"/>
    </row>
    <row r="1853" spans="2:60" ht="14.4" thickBot="1" x14ac:dyDescent="0.3">
      <c r="B1853" s="169"/>
      <c r="C1853" s="172"/>
      <c r="D1853" s="161"/>
      <c r="E1853" s="162"/>
      <c r="F1853" s="163"/>
    </row>
    <row r="1854" spans="2:60" ht="15" thickBot="1" x14ac:dyDescent="0.3">
      <c r="B1854" s="169"/>
      <c r="C1854" s="172"/>
      <c r="D1854" s="161" t="s">
        <v>471</v>
      </c>
      <c r="E1854" s="162">
        <f>SUM(E1850:E1853)</f>
        <v>0</v>
      </c>
      <c r="F1854" s="163">
        <f>SUM(F1850:F1853)</f>
        <v>0</v>
      </c>
      <c r="BG1854" s="157">
        <f>SUM(E1854,K1854,Q1854,W1854,AC1854,AI1854,AO1854,AU1854,AX1854,BD1854)</f>
        <v>0</v>
      </c>
      <c r="BH1854" s="158">
        <f>SUM(F1854,L1854,R1854,X1854,AD1854,AJ1854,AP1854,AV1854,AY1854,BE1854)</f>
        <v>0</v>
      </c>
    </row>
    <row r="1855" spans="2:60" ht="14.4" thickBot="1" x14ac:dyDescent="0.3">
      <c r="B1855" s="170"/>
      <c r="C1855" s="173"/>
      <c r="D1855" s="164" t="str">
        <f>IF(E1854=F1854,"",IF(E1854&gt;F1854,"Saldo Deudor","Saldo Acreedor"))</f>
        <v/>
      </c>
      <c r="E1855" s="165" t="str">
        <f>IF(E1854&gt;F1854,E1854-F1854,"")</f>
        <v/>
      </c>
      <c r="F1855" s="176" t="str">
        <f>IF(E1854&lt;F1854,F1854-E1854,"")</f>
        <v/>
      </c>
    </row>
    <row r="1858" spans="2:60" ht="15.6" x14ac:dyDescent="0.25">
      <c r="B1858" s="324" t="s">
        <v>472</v>
      </c>
      <c r="C1858" s="324"/>
      <c r="D1858" s="175">
        <v>7791</v>
      </c>
      <c r="E1858" s="160"/>
    </row>
    <row r="1859" spans="2:60" x14ac:dyDescent="0.25">
      <c r="B1859" s="160"/>
      <c r="C1859" s="160"/>
      <c r="D1859" s="160"/>
      <c r="E1859" s="160"/>
    </row>
    <row r="1860" spans="2:60" ht="15.6" x14ac:dyDescent="0.25">
      <c r="B1860" s="324" t="s">
        <v>473</v>
      </c>
      <c r="C1860" s="324"/>
      <c r="D1860" s="234" t="str">
        <f>VLOOKUP(D1858,DivisionariasContables,3,FALSE)</f>
        <v>Ingresos Financieros en Medición al Valor Descontado</v>
      </c>
      <c r="E1860" s="160"/>
    </row>
    <row r="1861" spans="2:60" ht="14.4" thickBot="1" x14ac:dyDescent="0.3"/>
    <row r="1862" spans="2:60" x14ac:dyDescent="0.25">
      <c r="B1862" s="325" t="s">
        <v>466</v>
      </c>
      <c r="C1862" s="327" t="s">
        <v>467</v>
      </c>
      <c r="D1862" s="327" t="s">
        <v>468</v>
      </c>
      <c r="E1862" s="329" t="s">
        <v>469</v>
      </c>
      <c r="F1862" s="330"/>
    </row>
    <row r="1863" spans="2:60" ht="14.4" thickBot="1" x14ac:dyDescent="0.3">
      <c r="B1863" s="326"/>
      <c r="C1863" s="328"/>
      <c r="D1863" s="328"/>
      <c r="E1863" s="232" t="s">
        <v>403</v>
      </c>
      <c r="F1863" s="174" t="s">
        <v>402</v>
      </c>
    </row>
    <row r="1864" spans="2:60" ht="14.4" thickTop="1" x14ac:dyDescent="0.25">
      <c r="B1864" s="236">
        <v>41670</v>
      </c>
      <c r="C1864" s="171"/>
      <c r="D1864" s="166" t="s">
        <v>470</v>
      </c>
      <c r="E1864" s="167">
        <f>SUMIF('Libro Diario Convencional'!$D$15:$D$167,D1858,'Libro Diario Convencional'!$G$15:$G$167)</f>
        <v>0</v>
      </c>
      <c r="F1864" s="168">
        <f>SUMIF('Libro Diario Convencional'!$D$15:$D$167,D1858,'Libro Diario Convencional'!$H$15:$H$167)</f>
        <v>0</v>
      </c>
    </row>
    <row r="1865" spans="2:60" x14ac:dyDescent="0.25">
      <c r="B1865" s="169"/>
      <c r="C1865" s="172"/>
      <c r="D1865" s="161"/>
      <c r="E1865" s="162"/>
      <c r="F1865" s="163"/>
    </row>
    <row r="1866" spans="2:60" x14ac:dyDescent="0.25">
      <c r="B1866" s="169"/>
      <c r="C1866" s="172"/>
      <c r="D1866" s="161"/>
      <c r="E1866" s="162"/>
      <c r="F1866" s="163"/>
    </row>
    <row r="1867" spans="2:60" ht="14.4" thickBot="1" x14ac:dyDescent="0.3">
      <c r="B1867" s="169"/>
      <c r="C1867" s="172"/>
      <c r="D1867" s="161"/>
      <c r="E1867" s="162"/>
      <c r="F1867" s="163"/>
    </row>
    <row r="1868" spans="2:60" ht="15" thickBot="1" x14ac:dyDescent="0.3">
      <c r="B1868" s="169"/>
      <c r="C1868" s="172"/>
      <c r="D1868" s="161" t="s">
        <v>471</v>
      </c>
      <c r="E1868" s="162">
        <f>SUM(E1864:E1867)</f>
        <v>0</v>
      </c>
      <c r="F1868" s="163">
        <f>SUM(F1864:F1867)</f>
        <v>0</v>
      </c>
      <c r="BG1868" s="157">
        <f>SUM(E1868,K1868,Q1868,W1868,AC1868,AI1868,AO1868,AU1868,AX1868,BD1868)</f>
        <v>0</v>
      </c>
      <c r="BH1868" s="158">
        <f>SUM(F1868,L1868,R1868,X1868,AD1868,AJ1868,AP1868,AV1868,AY1868,BE1868)</f>
        <v>0</v>
      </c>
    </row>
    <row r="1869" spans="2:60" ht="14.4" thickBot="1" x14ac:dyDescent="0.3">
      <c r="B1869" s="170"/>
      <c r="C1869" s="173"/>
      <c r="D1869" s="164" t="str">
        <f>IF(E1868=F1868,"",IF(E1868&gt;F1868,"Saldo Deudor","Saldo Acreedor"))</f>
        <v/>
      </c>
      <c r="E1869" s="165" t="str">
        <f>IF(E1868&gt;F1868,E1868-F1868,"")</f>
        <v/>
      </c>
      <c r="F1869" s="176" t="str">
        <f>IF(E1868&lt;F1868,F1868-E1868,"")</f>
        <v/>
      </c>
    </row>
    <row r="1872" spans="2:60" ht="15.6" x14ac:dyDescent="0.25">
      <c r="B1872" s="324" t="s">
        <v>472</v>
      </c>
      <c r="C1872" s="324"/>
      <c r="D1872" s="175">
        <v>7911</v>
      </c>
      <c r="E1872" s="160"/>
    </row>
    <row r="1873" spans="2:60" x14ac:dyDescent="0.25">
      <c r="B1873" s="160"/>
      <c r="C1873" s="160"/>
      <c r="D1873" s="160"/>
      <c r="E1873" s="160"/>
    </row>
    <row r="1874" spans="2:60" ht="15.6" x14ac:dyDescent="0.25">
      <c r="B1874" s="324" t="s">
        <v>473</v>
      </c>
      <c r="C1874" s="324"/>
      <c r="D1874" s="234" t="str">
        <f>VLOOKUP(D1872,DivisionariasContables,3,FALSE)</f>
        <v>Cargas Imputables a Cuentas de Costos y Gastos</v>
      </c>
      <c r="E1874" s="160"/>
    </row>
    <row r="1875" spans="2:60" ht="14.4" thickBot="1" x14ac:dyDescent="0.3"/>
    <row r="1876" spans="2:60" x14ac:dyDescent="0.25">
      <c r="B1876" s="325" t="s">
        <v>466</v>
      </c>
      <c r="C1876" s="327" t="s">
        <v>467</v>
      </c>
      <c r="D1876" s="327" t="s">
        <v>468</v>
      </c>
      <c r="E1876" s="329" t="s">
        <v>469</v>
      </c>
      <c r="F1876" s="330"/>
    </row>
    <row r="1877" spans="2:60" ht="14.4" thickBot="1" x14ac:dyDescent="0.3">
      <c r="B1877" s="326"/>
      <c r="C1877" s="328"/>
      <c r="D1877" s="328"/>
      <c r="E1877" s="232" t="s">
        <v>403</v>
      </c>
      <c r="F1877" s="174" t="s">
        <v>402</v>
      </c>
    </row>
    <row r="1878" spans="2:60" ht="14.4" thickTop="1" x14ac:dyDescent="0.25">
      <c r="B1878" s="236">
        <v>41670</v>
      </c>
      <c r="C1878" s="171"/>
      <c r="D1878" s="166" t="s">
        <v>470</v>
      </c>
      <c r="E1878" s="167">
        <f>SUMIF('Libro Diario Convencional'!$D$15:$D$167,D1872,'Libro Diario Convencional'!$G$15:$G$167)</f>
        <v>0</v>
      </c>
      <c r="F1878" s="168">
        <f>SUMIF('Libro Diario Convencional'!$D$15:$D$167,D1872,'Libro Diario Convencional'!$H$15:$H$167)</f>
        <v>366992.5</v>
      </c>
    </row>
    <row r="1879" spans="2:60" x14ac:dyDescent="0.25">
      <c r="B1879" s="169"/>
      <c r="C1879" s="172"/>
      <c r="D1879" s="161"/>
      <c r="E1879" s="162"/>
      <c r="F1879" s="163"/>
    </row>
    <row r="1880" spans="2:60" x14ac:dyDescent="0.25">
      <c r="B1880" s="169"/>
      <c r="C1880" s="172"/>
      <c r="D1880" s="161"/>
      <c r="E1880" s="162"/>
      <c r="F1880" s="163"/>
    </row>
    <row r="1881" spans="2:60" ht="14.4" thickBot="1" x14ac:dyDescent="0.3">
      <c r="B1881" s="169"/>
      <c r="C1881" s="172"/>
      <c r="D1881" s="161"/>
      <c r="E1881" s="162"/>
      <c r="F1881" s="163"/>
    </row>
    <row r="1882" spans="2:60" ht="15" thickBot="1" x14ac:dyDescent="0.3">
      <c r="B1882" s="169"/>
      <c r="C1882" s="172"/>
      <c r="D1882" s="161" t="s">
        <v>471</v>
      </c>
      <c r="E1882" s="162">
        <f>SUM(E1878:E1881)</f>
        <v>0</v>
      </c>
      <c r="F1882" s="163">
        <f>SUM(F1878:F1881)</f>
        <v>366992.5</v>
      </c>
      <c r="BG1882" s="157">
        <f>SUM(E1882,K1882,Q1882,W1882,AC1882,AI1882,AO1882,AU1882,AX1882,BD1882)</f>
        <v>0</v>
      </c>
      <c r="BH1882" s="158">
        <f>SUM(F1882,L1882,R1882,X1882,AD1882,AJ1882,AP1882,AV1882,AY1882,BE1882)</f>
        <v>366992.5</v>
      </c>
    </row>
    <row r="1883" spans="2:60" ht="14.4" thickBot="1" x14ac:dyDescent="0.3">
      <c r="B1883" s="170"/>
      <c r="C1883" s="173"/>
      <c r="D1883" s="164" t="str">
        <f>IF(E1882=F1882,"",IF(E1882&gt;F1882,"Saldo Deudor","Saldo Acreedor"))</f>
        <v>Saldo Acreedor</v>
      </c>
      <c r="E1883" s="165" t="str">
        <f>IF(E1882&gt;F1882,E1882-F1882,"")</f>
        <v/>
      </c>
      <c r="F1883" s="176">
        <f>IF(E1882&lt;F1882,F1882-E1882,"")</f>
        <v>366992.5</v>
      </c>
    </row>
    <row r="1886" spans="2:60" ht="15.6" x14ac:dyDescent="0.25">
      <c r="B1886" s="324" t="s">
        <v>472</v>
      </c>
      <c r="C1886" s="324"/>
      <c r="D1886" s="175">
        <v>9311</v>
      </c>
      <c r="E1886" s="160"/>
      <c r="H1886" s="324" t="s">
        <v>472</v>
      </c>
      <c r="I1886" s="324"/>
      <c r="J1886" s="175">
        <v>9312</v>
      </c>
      <c r="K1886" s="160"/>
      <c r="N1886" s="324" t="s">
        <v>472</v>
      </c>
      <c r="O1886" s="324"/>
      <c r="P1886" s="175">
        <v>9313</v>
      </c>
      <c r="Q1886" s="160"/>
      <c r="T1886" s="324" t="s">
        <v>472</v>
      </c>
      <c r="U1886" s="324"/>
      <c r="V1886" s="175">
        <v>9314</v>
      </c>
      <c r="W1886" s="160"/>
      <c r="Z1886" s="324" t="s">
        <v>472</v>
      </c>
      <c r="AA1886" s="324"/>
      <c r="AB1886" s="175">
        <v>9315</v>
      </c>
      <c r="AC1886" s="160"/>
      <c r="AF1886" s="324" t="s">
        <v>472</v>
      </c>
      <c r="AG1886" s="324"/>
      <c r="AH1886" s="175">
        <v>9316</v>
      </c>
      <c r="AI1886" s="160"/>
    </row>
    <row r="1887" spans="2:60" x14ac:dyDescent="0.25">
      <c r="B1887" s="160"/>
      <c r="C1887" s="160"/>
      <c r="D1887" s="160"/>
      <c r="E1887" s="160"/>
      <c r="H1887" s="160"/>
      <c r="I1887" s="160"/>
      <c r="J1887" s="160"/>
      <c r="K1887" s="160"/>
      <c r="N1887" s="160"/>
      <c r="O1887" s="160"/>
      <c r="P1887" s="160"/>
      <c r="Q1887" s="160"/>
      <c r="T1887" s="160"/>
      <c r="U1887" s="160"/>
      <c r="V1887" s="160"/>
      <c r="W1887" s="160"/>
      <c r="Z1887" s="160"/>
      <c r="AA1887" s="160"/>
      <c r="AB1887" s="160"/>
      <c r="AC1887" s="160"/>
      <c r="AF1887" s="160"/>
      <c r="AG1887" s="160"/>
      <c r="AH1887" s="160"/>
      <c r="AI1887" s="160"/>
    </row>
    <row r="1888" spans="2:60" ht="15.6" x14ac:dyDescent="0.25">
      <c r="B1888" s="324" t="s">
        <v>473</v>
      </c>
      <c r="C1888" s="324"/>
      <c r="D1888" s="234" t="str">
        <f>VLOOKUP(D1886,DivisionariasContables,3,FALSE)</f>
        <v>Materias Primas</v>
      </c>
      <c r="E1888" s="160"/>
      <c r="H1888" s="324" t="s">
        <v>473</v>
      </c>
      <c r="I1888" s="324"/>
      <c r="J1888" s="234" t="str">
        <f>VLOOKUP(J1886,DivisionariasContables,3,FALSE)</f>
        <v>Materiales Auxiliares</v>
      </c>
      <c r="K1888" s="160"/>
      <c r="N1888" s="324" t="s">
        <v>473</v>
      </c>
      <c r="O1888" s="324"/>
      <c r="P1888" s="234" t="str">
        <f>VLOOKUP(P1886,DivisionariasContables,3,FALSE)</f>
        <v>Suministros</v>
      </c>
      <c r="Q1888" s="160"/>
      <c r="T1888" s="324" t="s">
        <v>473</v>
      </c>
      <c r="U1888" s="324"/>
      <c r="V1888" s="234" t="str">
        <f>VLOOKUP(V1886,DivisionariasContables,3,FALSE)</f>
        <v>Envases</v>
      </c>
      <c r="W1888" s="160"/>
      <c r="Z1888" s="324" t="s">
        <v>473</v>
      </c>
      <c r="AA1888" s="324"/>
      <c r="AB1888" s="234" t="str">
        <f>VLOOKUP(AB1886,DivisionariasContables,3,FALSE)</f>
        <v>Embalajes</v>
      </c>
      <c r="AC1888" s="160"/>
      <c r="AF1888" s="324" t="s">
        <v>473</v>
      </c>
      <c r="AG1888" s="324"/>
      <c r="AH1888" s="234" t="str">
        <f>VLOOKUP(AH1886,DivisionariasContables,3,FALSE)</f>
        <v>Costos Indirectos de Fabricación</v>
      </c>
      <c r="AI1888" s="160"/>
    </row>
    <row r="1889" spans="2:60" ht="14.4" thickBot="1" x14ac:dyDescent="0.3"/>
    <row r="1890" spans="2:60" x14ac:dyDescent="0.25">
      <c r="B1890" s="325" t="s">
        <v>466</v>
      </c>
      <c r="C1890" s="327" t="s">
        <v>467</v>
      </c>
      <c r="D1890" s="327" t="s">
        <v>468</v>
      </c>
      <c r="E1890" s="329" t="s">
        <v>469</v>
      </c>
      <c r="F1890" s="330"/>
      <c r="H1890" s="325" t="s">
        <v>466</v>
      </c>
      <c r="I1890" s="327" t="s">
        <v>467</v>
      </c>
      <c r="J1890" s="327" t="s">
        <v>468</v>
      </c>
      <c r="K1890" s="329" t="s">
        <v>469</v>
      </c>
      <c r="L1890" s="330"/>
      <c r="N1890" s="325" t="s">
        <v>466</v>
      </c>
      <c r="O1890" s="327" t="s">
        <v>467</v>
      </c>
      <c r="P1890" s="327" t="s">
        <v>468</v>
      </c>
      <c r="Q1890" s="329" t="s">
        <v>469</v>
      </c>
      <c r="R1890" s="330"/>
      <c r="T1890" s="325" t="s">
        <v>466</v>
      </c>
      <c r="U1890" s="327" t="s">
        <v>467</v>
      </c>
      <c r="V1890" s="327" t="s">
        <v>468</v>
      </c>
      <c r="W1890" s="329" t="s">
        <v>469</v>
      </c>
      <c r="X1890" s="330"/>
      <c r="Z1890" s="325" t="s">
        <v>466</v>
      </c>
      <c r="AA1890" s="327" t="s">
        <v>467</v>
      </c>
      <c r="AB1890" s="327" t="s">
        <v>468</v>
      </c>
      <c r="AC1890" s="329" t="s">
        <v>469</v>
      </c>
      <c r="AD1890" s="330"/>
      <c r="AF1890" s="325" t="s">
        <v>466</v>
      </c>
      <c r="AG1890" s="327" t="s">
        <v>467</v>
      </c>
      <c r="AH1890" s="327" t="s">
        <v>468</v>
      </c>
      <c r="AI1890" s="329" t="s">
        <v>469</v>
      </c>
      <c r="AJ1890" s="330"/>
    </row>
    <row r="1891" spans="2:60" ht="14.4" thickBot="1" x14ac:dyDescent="0.3">
      <c r="B1891" s="326"/>
      <c r="C1891" s="328"/>
      <c r="D1891" s="328"/>
      <c r="E1891" s="232" t="s">
        <v>403</v>
      </c>
      <c r="F1891" s="174" t="s">
        <v>402</v>
      </c>
      <c r="H1891" s="326"/>
      <c r="I1891" s="328"/>
      <c r="J1891" s="328"/>
      <c r="K1891" s="232" t="s">
        <v>403</v>
      </c>
      <c r="L1891" s="174" t="s">
        <v>402</v>
      </c>
      <c r="N1891" s="326"/>
      <c r="O1891" s="328"/>
      <c r="P1891" s="328"/>
      <c r="Q1891" s="232" t="s">
        <v>403</v>
      </c>
      <c r="R1891" s="174" t="s">
        <v>402</v>
      </c>
      <c r="T1891" s="326"/>
      <c r="U1891" s="328"/>
      <c r="V1891" s="328"/>
      <c r="W1891" s="232" t="s">
        <v>403</v>
      </c>
      <c r="X1891" s="174" t="s">
        <v>402</v>
      </c>
      <c r="Z1891" s="326"/>
      <c r="AA1891" s="328"/>
      <c r="AB1891" s="328"/>
      <c r="AC1891" s="232" t="s">
        <v>403</v>
      </c>
      <c r="AD1891" s="174" t="s">
        <v>402</v>
      </c>
      <c r="AF1891" s="326"/>
      <c r="AG1891" s="328"/>
      <c r="AH1891" s="328"/>
      <c r="AI1891" s="232" t="s">
        <v>403</v>
      </c>
      <c r="AJ1891" s="174" t="s">
        <v>402</v>
      </c>
    </row>
    <row r="1892" spans="2:60" ht="14.4" thickTop="1" x14ac:dyDescent="0.25">
      <c r="B1892" s="236">
        <v>41670</v>
      </c>
      <c r="C1892" s="171"/>
      <c r="D1892" s="166" t="s">
        <v>470</v>
      </c>
      <c r="E1892" s="167">
        <f>SUMIF('Libro Diario Convencional'!$D$15:$D$167,D1886,'Libro Diario Convencional'!$G$15:$G$167)</f>
        <v>0</v>
      </c>
      <c r="F1892" s="168">
        <f>SUMIF('Libro Diario Convencional'!$D$15:$D$167,D1886,'Libro Diario Convencional'!$H$15:$H$167)</f>
        <v>0</v>
      </c>
      <c r="H1892" s="236">
        <v>41670</v>
      </c>
      <c r="I1892" s="171"/>
      <c r="J1892" s="166" t="s">
        <v>470</v>
      </c>
      <c r="K1892" s="167">
        <f>SUMIF('Libro Diario Convencional'!$D$15:$D$167,J1886,'Libro Diario Convencional'!$G$15:$G$167)</f>
        <v>0</v>
      </c>
      <c r="L1892" s="168">
        <f>SUMIF('Libro Diario Convencional'!$D$15:$D$167,J1886,'Libro Diario Convencional'!$H$15:$H$167)</f>
        <v>0</v>
      </c>
      <c r="N1892" s="236">
        <v>41670</v>
      </c>
      <c r="O1892" s="171"/>
      <c r="P1892" s="166" t="s">
        <v>470</v>
      </c>
      <c r="Q1892" s="167">
        <f>SUMIF('Libro Diario Convencional'!$D$15:$D$167,P1886,'Libro Diario Convencional'!$G$15:$G$167)</f>
        <v>0</v>
      </c>
      <c r="R1892" s="168">
        <f>SUMIF('Libro Diario Convencional'!$D$15:$D$167,P1886,'Libro Diario Convencional'!$H$15:$H$167)</f>
        <v>0</v>
      </c>
      <c r="T1892" s="236">
        <v>41670</v>
      </c>
      <c r="U1892" s="171"/>
      <c r="V1892" s="166" t="s">
        <v>470</v>
      </c>
      <c r="W1892" s="167">
        <f>SUMIF('Libro Diario Convencional'!$D$15:$D$167,V1886,'Libro Diario Convencional'!$G$15:$G$167)</f>
        <v>0</v>
      </c>
      <c r="X1892" s="168">
        <f>SUMIF('Libro Diario Convencional'!$D$15:$D$167,V1886,'Libro Diario Convencional'!$H$15:$H$167)</f>
        <v>0</v>
      </c>
      <c r="Z1892" s="236">
        <v>41670</v>
      </c>
      <c r="AA1892" s="171"/>
      <c r="AB1892" s="166" t="s">
        <v>470</v>
      </c>
      <c r="AC1892" s="167">
        <f>SUMIF('Libro Diario Convencional'!$D$15:$D$167,AB1886,'Libro Diario Convencional'!$G$15:$G$167)</f>
        <v>0</v>
      </c>
      <c r="AD1892" s="168">
        <f>SUMIF('Libro Diario Convencional'!$D$15:$D$167,AB1886,'Libro Diario Convencional'!$H$15:$H$167)</f>
        <v>0</v>
      </c>
      <c r="AF1892" s="236">
        <v>41670</v>
      </c>
      <c r="AG1892" s="171"/>
      <c r="AH1892" s="166" t="s">
        <v>470</v>
      </c>
      <c r="AI1892" s="167">
        <f>SUMIF('Libro Diario Convencional'!$D$15:$D$167,AH1886,'Libro Diario Convencional'!$G$15:$G$167)</f>
        <v>0</v>
      </c>
      <c r="AJ1892" s="168">
        <f>SUMIF('Libro Diario Convencional'!$D$15:$D$167,AH1886,'Libro Diario Convencional'!$H$15:$H$167)</f>
        <v>0</v>
      </c>
    </row>
    <row r="1893" spans="2:60" x14ac:dyDescent="0.25">
      <c r="B1893" s="169"/>
      <c r="C1893" s="172"/>
      <c r="D1893" s="161"/>
      <c r="E1893" s="162"/>
      <c r="F1893" s="163"/>
      <c r="H1893" s="169"/>
      <c r="I1893" s="172"/>
      <c r="J1893" s="161"/>
      <c r="K1893" s="162"/>
      <c r="L1893" s="163"/>
      <c r="N1893" s="169"/>
      <c r="O1893" s="172"/>
      <c r="P1893" s="161"/>
      <c r="Q1893" s="162"/>
      <c r="R1893" s="163"/>
      <c r="T1893" s="169"/>
      <c r="U1893" s="172"/>
      <c r="V1893" s="161"/>
      <c r="W1893" s="162"/>
      <c r="X1893" s="163"/>
      <c r="Z1893" s="169"/>
      <c r="AA1893" s="172"/>
      <c r="AB1893" s="161"/>
      <c r="AC1893" s="162"/>
      <c r="AD1893" s="163"/>
      <c r="AF1893" s="169"/>
      <c r="AG1893" s="172"/>
      <c r="AH1893" s="161"/>
      <c r="AI1893" s="162"/>
      <c r="AJ1893" s="163"/>
    </row>
    <row r="1894" spans="2:60" x14ac:dyDescent="0.25">
      <c r="B1894" s="169"/>
      <c r="C1894" s="172"/>
      <c r="D1894" s="161"/>
      <c r="E1894" s="162"/>
      <c r="F1894" s="163"/>
      <c r="H1894" s="169"/>
      <c r="I1894" s="172"/>
      <c r="J1894" s="161"/>
      <c r="K1894" s="162"/>
      <c r="L1894" s="163"/>
      <c r="N1894" s="169"/>
      <c r="O1894" s="172"/>
      <c r="P1894" s="161"/>
      <c r="Q1894" s="162"/>
      <c r="R1894" s="163"/>
      <c r="T1894" s="169"/>
      <c r="U1894" s="172"/>
      <c r="V1894" s="161"/>
      <c r="W1894" s="162"/>
      <c r="X1894" s="163"/>
      <c r="Z1894" s="169"/>
      <c r="AA1894" s="172"/>
      <c r="AB1894" s="161"/>
      <c r="AC1894" s="162"/>
      <c r="AD1894" s="163"/>
      <c r="AF1894" s="169"/>
      <c r="AG1894" s="172"/>
      <c r="AH1894" s="161"/>
      <c r="AI1894" s="162"/>
      <c r="AJ1894" s="163"/>
    </row>
    <row r="1895" spans="2:60" ht="14.4" thickBot="1" x14ac:dyDescent="0.3">
      <c r="B1895" s="169"/>
      <c r="C1895" s="172"/>
      <c r="D1895" s="161"/>
      <c r="E1895" s="162"/>
      <c r="F1895" s="163"/>
      <c r="H1895" s="169"/>
      <c r="I1895" s="172"/>
      <c r="J1895" s="161"/>
      <c r="K1895" s="162"/>
      <c r="L1895" s="163"/>
      <c r="N1895" s="169"/>
      <c r="O1895" s="172"/>
      <c r="P1895" s="161"/>
      <c r="Q1895" s="162"/>
      <c r="R1895" s="163"/>
      <c r="T1895" s="169"/>
      <c r="U1895" s="172"/>
      <c r="V1895" s="161"/>
      <c r="W1895" s="162"/>
      <c r="X1895" s="163"/>
      <c r="Z1895" s="169"/>
      <c r="AA1895" s="172"/>
      <c r="AB1895" s="161"/>
      <c r="AC1895" s="162"/>
      <c r="AD1895" s="163"/>
      <c r="AF1895" s="169"/>
      <c r="AG1895" s="172"/>
      <c r="AH1895" s="161"/>
      <c r="AI1895" s="162"/>
      <c r="AJ1895" s="163"/>
    </row>
    <row r="1896" spans="2:60" ht="15" thickBot="1" x14ac:dyDescent="0.3">
      <c r="B1896" s="169"/>
      <c r="C1896" s="172"/>
      <c r="D1896" s="161" t="s">
        <v>471</v>
      </c>
      <c r="E1896" s="162">
        <f>SUM(E1892:E1895)</f>
        <v>0</v>
      </c>
      <c r="F1896" s="163">
        <f>SUM(F1892:F1895)</f>
        <v>0</v>
      </c>
      <c r="H1896" s="169"/>
      <c r="I1896" s="172"/>
      <c r="J1896" s="161" t="s">
        <v>471</v>
      </c>
      <c r="K1896" s="162">
        <f>SUM(K1892:K1895)</f>
        <v>0</v>
      </c>
      <c r="L1896" s="163">
        <f>SUM(L1892:L1895)</f>
        <v>0</v>
      </c>
      <c r="N1896" s="169"/>
      <c r="O1896" s="172"/>
      <c r="P1896" s="161" t="s">
        <v>471</v>
      </c>
      <c r="Q1896" s="162">
        <f>SUM(Q1892:Q1895)</f>
        <v>0</v>
      </c>
      <c r="R1896" s="163">
        <f>SUM(R1892:R1895)</f>
        <v>0</v>
      </c>
      <c r="T1896" s="169"/>
      <c r="U1896" s="172"/>
      <c r="V1896" s="161" t="s">
        <v>471</v>
      </c>
      <c r="W1896" s="162">
        <f>SUM(W1892:W1895)</f>
        <v>0</v>
      </c>
      <c r="X1896" s="163">
        <f>SUM(X1892:X1895)</f>
        <v>0</v>
      </c>
      <c r="Z1896" s="169"/>
      <c r="AA1896" s="172"/>
      <c r="AB1896" s="161" t="s">
        <v>471</v>
      </c>
      <c r="AC1896" s="162">
        <f>SUM(AC1892:AC1895)</f>
        <v>0</v>
      </c>
      <c r="AD1896" s="163">
        <f>SUM(AD1892:AD1895)</f>
        <v>0</v>
      </c>
      <c r="AF1896" s="169"/>
      <c r="AG1896" s="172"/>
      <c r="AH1896" s="161" t="s">
        <v>471</v>
      </c>
      <c r="AI1896" s="162">
        <f>SUM(AI1892:AI1895)</f>
        <v>0</v>
      </c>
      <c r="AJ1896" s="163">
        <f>SUM(AJ1892:AJ1895)</f>
        <v>0</v>
      </c>
      <c r="BG1896" s="157">
        <f>SUM(E1896,K1896,Q1896,W1896,AC1896,AI1896,AO1896,AU1896,AX1896,BD1896)</f>
        <v>0</v>
      </c>
      <c r="BH1896" s="158">
        <f>SUM(F1896,L1896,R1896,X1896,AD1896,AJ1896,AP1896,AV1896,AY1896,BE1896)</f>
        <v>0</v>
      </c>
    </row>
    <row r="1897" spans="2:60" ht="14.4" thickBot="1" x14ac:dyDescent="0.3">
      <c r="B1897" s="170"/>
      <c r="C1897" s="173"/>
      <c r="D1897" s="164" t="str">
        <f>IF(E1896=F1896,"",IF(E1896&gt;F1896,"Saldo Deudor","Saldo Acreedor"))</f>
        <v/>
      </c>
      <c r="E1897" s="165" t="str">
        <f>IF(E1896&gt;F1896,E1896-F1896,"")</f>
        <v/>
      </c>
      <c r="F1897" s="176" t="str">
        <f>IF(E1896&lt;F1896,F1896-E1896,"")</f>
        <v/>
      </c>
      <c r="H1897" s="170"/>
      <c r="I1897" s="173"/>
      <c r="J1897" s="164" t="str">
        <f>IF(K1896=L1896,"",IF(K1896&gt;L1896,"Saldo Deudor","Saldo Acreedor"))</f>
        <v/>
      </c>
      <c r="K1897" s="165" t="str">
        <f>IF(K1896&gt;L1896,K1896-L1896,"")</f>
        <v/>
      </c>
      <c r="L1897" s="176" t="str">
        <f>IF(K1896&lt;L1896,L1896-K1896,"")</f>
        <v/>
      </c>
      <c r="N1897" s="170"/>
      <c r="O1897" s="173"/>
      <c r="P1897" s="164" t="str">
        <f>IF(Q1896=R1896,"",IF(Q1896&gt;R1896,"Saldo Deudor","Saldo Acreedor"))</f>
        <v/>
      </c>
      <c r="Q1897" s="165" t="str">
        <f>IF(Q1896&gt;R1896,Q1896-R1896,"")</f>
        <v/>
      </c>
      <c r="R1897" s="176" t="str">
        <f>IF(Q1896&lt;R1896,R1896-Q1896,"")</f>
        <v/>
      </c>
      <c r="T1897" s="170"/>
      <c r="U1897" s="173"/>
      <c r="V1897" s="164" t="str">
        <f>IF(W1896=X1896,"",IF(W1896&gt;X1896,"Saldo Deudor","Saldo Acreedor"))</f>
        <v/>
      </c>
      <c r="W1897" s="165" t="str">
        <f>IF(W1896&gt;X1896,W1896-X1896,"")</f>
        <v/>
      </c>
      <c r="X1897" s="176" t="str">
        <f>IF(W1896&lt;X1896,X1896-W1896,"")</f>
        <v/>
      </c>
      <c r="Z1897" s="170"/>
      <c r="AA1897" s="173"/>
      <c r="AB1897" s="164" t="str">
        <f>IF(AC1896=AD1896,"",IF(AC1896&gt;AD1896,"Saldo Deudor","Saldo Acreedor"))</f>
        <v/>
      </c>
      <c r="AC1897" s="165" t="str">
        <f>IF(AC1896&gt;AD1896,AC1896-AD1896,"")</f>
        <v/>
      </c>
      <c r="AD1897" s="176" t="str">
        <f>IF(AC1896&lt;AD1896,AD1896-AC1896,"")</f>
        <v/>
      </c>
      <c r="AF1897" s="170"/>
      <c r="AG1897" s="173"/>
      <c r="AH1897" s="164" t="str">
        <f>IF(AI1896=AJ1896,"",IF(AI1896&gt;AJ1896,"Saldo Deudor","Saldo Acreedor"))</f>
        <v/>
      </c>
      <c r="AI1897" s="165" t="str">
        <f>IF(AI1896&gt;AJ1896,AI1896-AJ1896,"")</f>
        <v/>
      </c>
      <c r="AJ1897" s="176" t="str">
        <f>IF(AI1896&lt;AJ1896,AJ1896-AI1896,"")</f>
        <v/>
      </c>
    </row>
    <row r="1900" spans="2:60" ht="15.6" x14ac:dyDescent="0.25">
      <c r="B1900" s="324" t="s">
        <v>472</v>
      </c>
      <c r="C1900" s="324"/>
      <c r="D1900" s="175">
        <v>9321</v>
      </c>
      <c r="E1900" s="160"/>
      <c r="H1900" s="324" t="s">
        <v>472</v>
      </c>
      <c r="I1900" s="324"/>
      <c r="J1900" s="175">
        <v>9322</v>
      </c>
      <c r="K1900" s="160"/>
    </row>
    <row r="1901" spans="2:60" x14ac:dyDescent="0.25">
      <c r="B1901" s="160"/>
      <c r="C1901" s="160"/>
      <c r="D1901" s="160"/>
      <c r="E1901" s="160"/>
      <c r="H1901" s="160"/>
      <c r="I1901" s="160"/>
      <c r="J1901" s="160"/>
      <c r="K1901" s="160"/>
    </row>
    <row r="1902" spans="2:60" ht="15.6" x14ac:dyDescent="0.25">
      <c r="B1902" s="324" t="s">
        <v>473</v>
      </c>
      <c r="C1902" s="324"/>
      <c r="D1902" s="234" t="str">
        <f>VLOOKUP(D1900,DivisionariasContables,3,FALSE)</f>
        <v>Materiales Directos</v>
      </c>
      <c r="E1902" s="160"/>
      <c r="H1902" s="324" t="s">
        <v>473</v>
      </c>
      <c r="I1902" s="324"/>
      <c r="J1902" s="234" t="str">
        <f>VLOOKUP(J1900,DivisionariasContables,3,FALSE)</f>
        <v>Costos Indirectos de Fabricación</v>
      </c>
      <c r="K1902" s="160"/>
    </row>
    <row r="1903" spans="2:60" ht="14.4" thickBot="1" x14ac:dyDescent="0.3"/>
    <row r="1904" spans="2:60" x14ac:dyDescent="0.25">
      <c r="B1904" s="325" t="s">
        <v>466</v>
      </c>
      <c r="C1904" s="327" t="s">
        <v>467</v>
      </c>
      <c r="D1904" s="327" t="s">
        <v>468</v>
      </c>
      <c r="E1904" s="329" t="s">
        <v>469</v>
      </c>
      <c r="F1904" s="330"/>
      <c r="H1904" s="325" t="s">
        <v>466</v>
      </c>
      <c r="I1904" s="327" t="s">
        <v>467</v>
      </c>
      <c r="J1904" s="327" t="s">
        <v>468</v>
      </c>
      <c r="K1904" s="329" t="s">
        <v>469</v>
      </c>
      <c r="L1904" s="330"/>
    </row>
    <row r="1905" spans="2:60" ht="14.4" thickBot="1" x14ac:dyDescent="0.3">
      <c r="B1905" s="326"/>
      <c r="C1905" s="328"/>
      <c r="D1905" s="328"/>
      <c r="E1905" s="232" t="s">
        <v>403</v>
      </c>
      <c r="F1905" s="174" t="s">
        <v>402</v>
      </c>
      <c r="H1905" s="326"/>
      <c r="I1905" s="328"/>
      <c r="J1905" s="328"/>
      <c r="K1905" s="232" t="s">
        <v>403</v>
      </c>
      <c r="L1905" s="174" t="s">
        <v>402</v>
      </c>
    </row>
    <row r="1906" spans="2:60" ht="14.4" thickTop="1" x14ac:dyDescent="0.25">
      <c r="B1906" s="236">
        <v>41670</v>
      </c>
      <c r="C1906" s="171"/>
      <c r="D1906" s="166" t="s">
        <v>470</v>
      </c>
      <c r="E1906" s="167">
        <f>SUMIF('Libro Diario Convencional'!$D$15:$D$167,D1900,'Libro Diario Convencional'!$G$15:$G$167)</f>
        <v>0</v>
      </c>
      <c r="F1906" s="168">
        <f>SUMIF('Libro Diario Convencional'!$D$15:$D$167,D1900,'Libro Diario Convencional'!$H$15:$H$167)</f>
        <v>0</v>
      </c>
      <c r="H1906" s="236">
        <v>41670</v>
      </c>
      <c r="I1906" s="171"/>
      <c r="J1906" s="166" t="s">
        <v>470</v>
      </c>
      <c r="K1906" s="167">
        <f>SUMIF('Libro Diario Convencional'!$D$15:$D$167,J1900,'Libro Diario Convencional'!$G$15:$G$167)</f>
        <v>0</v>
      </c>
      <c r="L1906" s="168">
        <f>SUMIF('Libro Diario Convencional'!$D$15:$D$167,J1900,'Libro Diario Convencional'!$H$15:$H$167)</f>
        <v>0</v>
      </c>
    </row>
    <row r="1907" spans="2:60" x14ac:dyDescent="0.25">
      <c r="B1907" s="169"/>
      <c r="C1907" s="172"/>
      <c r="D1907" s="161"/>
      <c r="E1907" s="162"/>
      <c r="F1907" s="163"/>
      <c r="H1907" s="169"/>
      <c r="I1907" s="172"/>
      <c r="J1907" s="161"/>
      <c r="K1907" s="162"/>
      <c r="L1907" s="163"/>
    </row>
    <row r="1908" spans="2:60" x14ac:dyDescent="0.25">
      <c r="B1908" s="169"/>
      <c r="C1908" s="172"/>
      <c r="D1908" s="161"/>
      <c r="E1908" s="162"/>
      <c r="F1908" s="163"/>
      <c r="H1908" s="169"/>
      <c r="I1908" s="172"/>
      <c r="J1908" s="161"/>
      <c r="K1908" s="162"/>
      <c r="L1908" s="163"/>
    </row>
    <row r="1909" spans="2:60" ht="14.4" thickBot="1" x14ac:dyDescent="0.3">
      <c r="B1909" s="169"/>
      <c r="C1909" s="172"/>
      <c r="D1909" s="161"/>
      <c r="E1909" s="162"/>
      <c r="F1909" s="163"/>
      <c r="H1909" s="169"/>
      <c r="I1909" s="172"/>
      <c r="J1909" s="161"/>
      <c r="K1909" s="162"/>
      <c r="L1909" s="163"/>
    </row>
    <row r="1910" spans="2:60" ht="15" thickBot="1" x14ac:dyDescent="0.3">
      <c r="B1910" s="169"/>
      <c r="C1910" s="172"/>
      <c r="D1910" s="161" t="s">
        <v>471</v>
      </c>
      <c r="E1910" s="162">
        <f>SUM(E1906:E1909)</f>
        <v>0</v>
      </c>
      <c r="F1910" s="163">
        <f>SUM(F1906:F1909)</f>
        <v>0</v>
      </c>
      <c r="H1910" s="169"/>
      <c r="I1910" s="172"/>
      <c r="J1910" s="161" t="s">
        <v>471</v>
      </c>
      <c r="K1910" s="162">
        <f>SUM(K1906:K1909)</f>
        <v>0</v>
      </c>
      <c r="L1910" s="163">
        <f>SUM(L1906:L1909)</f>
        <v>0</v>
      </c>
      <c r="BG1910" s="157">
        <f>SUM(E1910,K1910,Q1910,W1910,AC1910,AI1910,AO1910,AU1910,AX1910,BD1910)</f>
        <v>0</v>
      </c>
      <c r="BH1910" s="158">
        <f>SUM(F1910,L1910,R1910,X1910,AD1910,AJ1910,AP1910,AV1910,AY1910,BE1910)</f>
        <v>0</v>
      </c>
    </row>
    <row r="1911" spans="2:60" ht="14.4" thickBot="1" x14ac:dyDescent="0.3">
      <c r="B1911" s="170"/>
      <c r="C1911" s="173"/>
      <c r="D1911" s="164" t="str">
        <f>IF(E1910=F1910,"",IF(E1910&gt;F1910,"Saldo Deudor","Saldo Acreedor"))</f>
        <v/>
      </c>
      <c r="E1911" s="165" t="str">
        <f>IF(E1910&gt;F1910,E1910-F1910,"")</f>
        <v/>
      </c>
      <c r="F1911" s="176" t="str">
        <f>IF(E1910&lt;F1910,F1910-E1910,"")</f>
        <v/>
      </c>
      <c r="H1911" s="170"/>
      <c r="I1911" s="173"/>
      <c r="J1911" s="164" t="str">
        <f>IF(K1910=L1910,"",IF(K1910&gt;L1910,"Saldo Deudor","Saldo Acreedor"))</f>
        <v/>
      </c>
      <c r="K1911" s="165" t="str">
        <f>IF(K1910&gt;L1910,K1910-L1910,"")</f>
        <v/>
      </c>
      <c r="L1911" s="176" t="str">
        <f>IF(K1910&lt;L1910,L1910-K1910,"")</f>
        <v/>
      </c>
    </row>
    <row r="1914" spans="2:60" ht="15.6" x14ac:dyDescent="0.25">
      <c r="B1914" s="324" t="s">
        <v>472</v>
      </c>
      <c r="C1914" s="324"/>
      <c r="D1914" s="175">
        <v>9491</v>
      </c>
      <c r="E1914" s="160"/>
    </row>
    <row r="1915" spans="2:60" x14ac:dyDescent="0.25">
      <c r="B1915" s="160"/>
      <c r="C1915" s="160"/>
      <c r="D1915" s="160"/>
      <c r="E1915" s="160"/>
    </row>
    <row r="1916" spans="2:60" ht="15.6" x14ac:dyDescent="0.25">
      <c r="B1916" s="324" t="s">
        <v>473</v>
      </c>
      <c r="C1916" s="324"/>
      <c r="D1916" s="234" t="str">
        <f>VLOOKUP(D1914,DivisionariasContables,3,FALSE)</f>
        <v>Otros Gastos Administrativos</v>
      </c>
      <c r="E1916" s="160"/>
    </row>
    <row r="1917" spans="2:60" ht="14.4" thickBot="1" x14ac:dyDescent="0.3"/>
    <row r="1918" spans="2:60" x14ac:dyDescent="0.25">
      <c r="B1918" s="325" t="s">
        <v>466</v>
      </c>
      <c r="C1918" s="327" t="s">
        <v>467</v>
      </c>
      <c r="D1918" s="327" t="s">
        <v>468</v>
      </c>
      <c r="E1918" s="329" t="s">
        <v>469</v>
      </c>
      <c r="F1918" s="330"/>
    </row>
    <row r="1919" spans="2:60" ht="14.4" thickBot="1" x14ac:dyDescent="0.3">
      <c r="B1919" s="326"/>
      <c r="C1919" s="328"/>
      <c r="D1919" s="328"/>
      <c r="E1919" s="232" t="s">
        <v>403</v>
      </c>
      <c r="F1919" s="174" t="s">
        <v>402</v>
      </c>
    </row>
    <row r="1920" spans="2:60" ht="14.4" thickTop="1" x14ac:dyDescent="0.25">
      <c r="B1920" s="236">
        <v>41670</v>
      </c>
      <c r="C1920" s="171"/>
      <c r="D1920" s="166" t="s">
        <v>470</v>
      </c>
      <c r="E1920" s="167">
        <f>SUMIF('Libro Diario Convencional'!$D$15:$D$167,D1914,'Libro Diario Convencional'!$G$15:$G$167)</f>
        <v>366992.5</v>
      </c>
      <c r="F1920" s="168">
        <f>SUMIF('Libro Diario Convencional'!$D$15:$D$167,D1914,'Libro Diario Convencional'!$H$15:$H$167)</f>
        <v>0</v>
      </c>
    </row>
    <row r="1921" spans="2:60" x14ac:dyDescent="0.25">
      <c r="B1921" s="169"/>
      <c r="C1921" s="172"/>
      <c r="D1921" s="161"/>
      <c r="E1921" s="162"/>
      <c r="F1921" s="163"/>
    </row>
    <row r="1922" spans="2:60" x14ac:dyDescent="0.25">
      <c r="B1922" s="169"/>
      <c r="C1922" s="172"/>
      <c r="D1922" s="161"/>
      <c r="E1922" s="162"/>
      <c r="F1922" s="163"/>
    </row>
    <row r="1923" spans="2:60" ht="14.4" thickBot="1" x14ac:dyDescent="0.3">
      <c r="B1923" s="169"/>
      <c r="C1923" s="172"/>
      <c r="D1923" s="161"/>
      <c r="E1923" s="162"/>
      <c r="F1923" s="163"/>
    </row>
    <row r="1924" spans="2:60" ht="15" thickBot="1" x14ac:dyDescent="0.3">
      <c r="B1924" s="169"/>
      <c r="C1924" s="172"/>
      <c r="D1924" s="161" t="s">
        <v>471</v>
      </c>
      <c r="E1924" s="162">
        <f>SUM(E1920:E1923)</f>
        <v>366992.5</v>
      </c>
      <c r="F1924" s="163">
        <f>SUM(F1920:F1923)</f>
        <v>0</v>
      </c>
      <c r="BG1924" s="157">
        <f>SUM(E1924,K1924,Q1924,W1924,AC1924,AI1924,AO1924,AU1924,AX1924,BD1924)</f>
        <v>366992.5</v>
      </c>
      <c r="BH1924" s="158">
        <f>SUM(F1924,L1924,R1924,X1924,AD1924,AJ1924,AP1924,AV1924,AY1924,BE1924)</f>
        <v>0</v>
      </c>
    </row>
    <row r="1925" spans="2:60" ht="14.4" thickBot="1" x14ac:dyDescent="0.3">
      <c r="B1925" s="170"/>
      <c r="C1925" s="173"/>
      <c r="D1925" s="164" t="str">
        <f>IF(E1924=F1924,"",IF(E1924&gt;F1924,"Saldo Deudor","Saldo Acreedor"))</f>
        <v>Saldo Deudor</v>
      </c>
      <c r="E1925" s="165">
        <f>IF(E1924&gt;F1924,E1924-F1924,"")</f>
        <v>366992.5</v>
      </c>
      <c r="F1925" s="176" t="str">
        <f>IF(E1924&lt;F1924,F1924-E1924,"")</f>
        <v/>
      </c>
    </row>
    <row r="1928" spans="2:60" ht="15.6" x14ac:dyDescent="0.25">
      <c r="B1928" s="324" t="s">
        <v>472</v>
      </c>
      <c r="C1928" s="324"/>
      <c r="D1928" s="175">
        <v>9791</v>
      </c>
      <c r="E1928" s="160"/>
    </row>
    <row r="1929" spans="2:60" x14ac:dyDescent="0.25">
      <c r="B1929" s="160"/>
      <c r="C1929" s="160"/>
      <c r="D1929" s="160"/>
      <c r="E1929" s="160"/>
    </row>
    <row r="1930" spans="2:60" ht="15.6" x14ac:dyDescent="0.25">
      <c r="B1930" s="324" t="s">
        <v>473</v>
      </c>
      <c r="C1930" s="324"/>
      <c r="D1930" s="234" t="str">
        <f>VLOOKUP(D1928,DivisionariasContables,3,FALSE)</f>
        <v>Impuesto a las Transacciones Financieras</v>
      </c>
      <c r="E1930" s="160"/>
    </row>
    <row r="1931" spans="2:60" ht="14.4" thickBot="1" x14ac:dyDescent="0.3"/>
    <row r="1932" spans="2:60" x14ac:dyDescent="0.25">
      <c r="B1932" s="325" t="s">
        <v>466</v>
      </c>
      <c r="C1932" s="327" t="s">
        <v>467</v>
      </c>
      <c r="D1932" s="327" t="s">
        <v>468</v>
      </c>
      <c r="E1932" s="329" t="s">
        <v>469</v>
      </c>
      <c r="F1932" s="330"/>
    </row>
    <row r="1933" spans="2:60" ht="14.4" thickBot="1" x14ac:dyDescent="0.3">
      <c r="B1933" s="326"/>
      <c r="C1933" s="328"/>
      <c r="D1933" s="328"/>
      <c r="E1933" s="232" t="s">
        <v>403</v>
      </c>
      <c r="F1933" s="174" t="s">
        <v>402</v>
      </c>
    </row>
    <row r="1934" spans="2:60" ht="14.4" thickTop="1" x14ac:dyDescent="0.25">
      <c r="B1934" s="236">
        <v>41670</v>
      </c>
      <c r="C1934" s="171"/>
      <c r="D1934" s="166" t="s">
        <v>470</v>
      </c>
      <c r="E1934" s="167">
        <f>SUMIF('Libro Diario Convencional'!$D$15:$D$167,D1928,'Libro Diario Convencional'!$G$15:$G$167)</f>
        <v>0</v>
      </c>
      <c r="F1934" s="168">
        <f>SUMIF('Libro Diario Convencional'!$D$15:$D$167,D1928,'Libro Diario Convencional'!$H$15:$H$167)</f>
        <v>0</v>
      </c>
    </row>
    <row r="1935" spans="2:60" x14ac:dyDescent="0.25">
      <c r="B1935" s="169"/>
      <c r="C1935" s="172"/>
      <c r="D1935" s="161"/>
      <c r="E1935" s="162"/>
      <c r="F1935" s="163"/>
    </row>
    <row r="1936" spans="2:60" x14ac:dyDescent="0.25">
      <c r="B1936" s="169"/>
      <c r="C1936" s="172"/>
      <c r="D1936" s="161"/>
      <c r="E1936" s="162"/>
      <c r="F1936" s="163"/>
    </row>
    <row r="1937" spans="2:60" ht="14.4" thickBot="1" x14ac:dyDescent="0.3">
      <c r="B1937" s="169"/>
      <c r="C1937" s="172"/>
      <c r="D1937" s="161"/>
      <c r="E1937" s="162"/>
      <c r="F1937" s="163"/>
    </row>
    <row r="1938" spans="2:60" ht="15" thickBot="1" x14ac:dyDescent="0.3">
      <c r="B1938" s="169"/>
      <c r="C1938" s="172"/>
      <c r="D1938" s="161" t="s">
        <v>471</v>
      </c>
      <c r="E1938" s="162">
        <f>SUM(E1934:E1937)</f>
        <v>0</v>
      </c>
      <c r="F1938" s="163">
        <f>SUM(F1934:F1937)</f>
        <v>0</v>
      </c>
      <c r="BG1938" s="157">
        <f>SUM(E1938,K1938,Q1938,W1938,AC1938,AI1938,AO1938,AU1938,AX1938,BD1938)</f>
        <v>0</v>
      </c>
      <c r="BH1938" s="158">
        <f>SUM(F1938,L1938,R1938,X1938,AD1938,AJ1938,AP1938,AV1938,AY1938,BE1938)</f>
        <v>0</v>
      </c>
    </row>
    <row r="1939" spans="2:60" ht="15" thickBot="1" x14ac:dyDescent="0.3">
      <c r="B1939" s="170"/>
      <c r="C1939" s="173"/>
      <c r="D1939" s="164" t="str">
        <f>IF(E1938=F1938,"",IF(E1938&gt;F1938,"Saldo Deudor","Saldo Acreedor"))</f>
        <v/>
      </c>
      <c r="E1939" s="165" t="str">
        <f>IF(E1938&gt;F1938,E1938-F1938,"")</f>
        <v/>
      </c>
      <c r="F1939" s="176" t="str">
        <f>IF(E1938&lt;F1938,F1938-E1938,"")</f>
        <v/>
      </c>
      <c r="BG1939" s="10">
        <f>SUM(BG20:BG1938)</f>
        <v>1096331.5</v>
      </c>
      <c r="BH1939" s="11">
        <f>SUM(BH20:BH1938)</f>
        <v>1092455</v>
      </c>
    </row>
    <row r="1941" spans="2:60" x14ac:dyDescent="0.25">
      <c r="BH1941" s="9">
        <f>BG1939-BH1939</f>
        <v>3876.5</v>
      </c>
    </row>
  </sheetData>
  <mergeCells count="1739">
    <mergeCell ref="B1932:B1933"/>
    <mergeCell ref="C1932:C1933"/>
    <mergeCell ref="D1932:D1933"/>
    <mergeCell ref="E1932:F1932"/>
    <mergeCell ref="K1904:L1904"/>
    <mergeCell ref="B1914:C1914"/>
    <mergeCell ref="B1916:C1916"/>
    <mergeCell ref="B1918:B1919"/>
    <mergeCell ref="C1918:C1919"/>
    <mergeCell ref="D1918:D1919"/>
    <mergeCell ref="E1918:F1918"/>
    <mergeCell ref="B1928:C1928"/>
    <mergeCell ref="B1930:C1930"/>
    <mergeCell ref="B1902:C1902"/>
    <mergeCell ref="H1902:I1902"/>
    <mergeCell ref="B1904:B1905"/>
    <mergeCell ref="C1904:C1905"/>
    <mergeCell ref="D1904:D1905"/>
    <mergeCell ref="E1904:F1904"/>
    <mergeCell ref="H1904:H1905"/>
    <mergeCell ref="I1904:I1905"/>
    <mergeCell ref="J1904:J1905"/>
    <mergeCell ref="AB1890:AB1891"/>
    <mergeCell ref="AC1890:AD1890"/>
    <mergeCell ref="AF1886:AG1886"/>
    <mergeCell ref="AF1888:AG1888"/>
    <mergeCell ref="AF1890:AF1891"/>
    <mergeCell ref="AG1890:AG1891"/>
    <mergeCell ref="AH1890:AH1891"/>
    <mergeCell ref="AI1890:AJ1890"/>
    <mergeCell ref="B1900:C1900"/>
    <mergeCell ref="H1900:I1900"/>
    <mergeCell ref="Q1890:R1890"/>
    <mergeCell ref="T1886:U1886"/>
    <mergeCell ref="T1888:U1888"/>
    <mergeCell ref="T1890:T1891"/>
    <mergeCell ref="U1890:U1891"/>
    <mergeCell ref="V1890:V1891"/>
    <mergeCell ref="W1890:X1890"/>
    <mergeCell ref="Z1886:AA1886"/>
    <mergeCell ref="Z1888:AA1888"/>
    <mergeCell ref="Z1890:Z1891"/>
    <mergeCell ref="AA1890:AA1891"/>
    <mergeCell ref="B1886:C1886"/>
    <mergeCell ref="B1888:C1888"/>
    <mergeCell ref="B1890:B1891"/>
    <mergeCell ref="C1890:C1891"/>
    <mergeCell ref="D1890:D1891"/>
    <mergeCell ref="E1890:F1890"/>
    <mergeCell ref="H1886:I1886"/>
    <mergeCell ref="H1888:I1888"/>
    <mergeCell ref="H1890:H1891"/>
    <mergeCell ref="I1890:I1891"/>
    <mergeCell ref="B1858:C1858"/>
    <mergeCell ref="B1860:C1860"/>
    <mergeCell ref="B1862:B1863"/>
    <mergeCell ref="C1862:C1863"/>
    <mergeCell ref="D1862:D1863"/>
    <mergeCell ref="E1862:F1862"/>
    <mergeCell ref="B1872:C1872"/>
    <mergeCell ref="B1874:C1874"/>
    <mergeCell ref="B1876:B1877"/>
    <mergeCell ref="C1876:C1877"/>
    <mergeCell ref="D1876:D1877"/>
    <mergeCell ref="E1876:F1876"/>
    <mergeCell ref="B1830:C1830"/>
    <mergeCell ref="B1832:C1832"/>
    <mergeCell ref="B1834:B1835"/>
    <mergeCell ref="C1834:C1835"/>
    <mergeCell ref="D1834:D1835"/>
    <mergeCell ref="E1834:F1834"/>
    <mergeCell ref="B1844:C1844"/>
    <mergeCell ref="B1846:C1846"/>
    <mergeCell ref="B1848:B1849"/>
    <mergeCell ref="C1848:C1849"/>
    <mergeCell ref="D1848:D1849"/>
    <mergeCell ref="E1848:F1848"/>
    <mergeCell ref="B1802:C1802"/>
    <mergeCell ref="B1804:C1804"/>
    <mergeCell ref="B1806:B1807"/>
    <mergeCell ref="C1806:C1807"/>
    <mergeCell ref="D1806:D1807"/>
    <mergeCell ref="E1806:F1806"/>
    <mergeCell ref="B1816:C1816"/>
    <mergeCell ref="B1818:C1818"/>
    <mergeCell ref="B1820:B1821"/>
    <mergeCell ref="C1820:C1821"/>
    <mergeCell ref="D1820:D1821"/>
    <mergeCell ref="E1820:F1820"/>
    <mergeCell ref="N1788:O1788"/>
    <mergeCell ref="T1788:U1788"/>
    <mergeCell ref="Z1788:AA1788"/>
    <mergeCell ref="B1790:C1790"/>
    <mergeCell ref="H1790:I1790"/>
    <mergeCell ref="N1790:O1790"/>
    <mergeCell ref="T1790:U1790"/>
    <mergeCell ref="Z1790:AA1790"/>
    <mergeCell ref="B1792:B1793"/>
    <mergeCell ref="C1792:C1793"/>
    <mergeCell ref="D1792:D1793"/>
    <mergeCell ref="E1792:F1792"/>
    <mergeCell ref="H1792:H1793"/>
    <mergeCell ref="I1792:I1793"/>
    <mergeCell ref="J1792:J1793"/>
    <mergeCell ref="K1792:L1792"/>
    <mergeCell ref="N1792:N1793"/>
    <mergeCell ref="O1792:O1793"/>
    <mergeCell ref="P1792:P1793"/>
    <mergeCell ref="Q1792:R1792"/>
    <mergeCell ref="T1792:T1793"/>
    <mergeCell ref="U1792:U1793"/>
    <mergeCell ref="V1792:V1793"/>
    <mergeCell ref="W1792:X1792"/>
    <mergeCell ref="J1764:J1765"/>
    <mergeCell ref="K1764:L1764"/>
    <mergeCell ref="B1774:C1774"/>
    <mergeCell ref="B1776:C1776"/>
    <mergeCell ref="B1778:B1779"/>
    <mergeCell ref="C1778:C1779"/>
    <mergeCell ref="D1778:D1779"/>
    <mergeCell ref="E1778:F1778"/>
    <mergeCell ref="B1788:C1788"/>
    <mergeCell ref="H1788:I1788"/>
    <mergeCell ref="B1760:C1760"/>
    <mergeCell ref="H1760:I1760"/>
    <mergeCell ref="B1762:C1762"/>
    <mergeCell ref="H1762:I1762"/>
    <mergeCell ref="B1764:B1765"/>
    <mergeCell ref="C1764:C1765"/>
    <mergeCell ref="D1764:D1765"/>
    <mergeCell ref="E1764:F1764"/>
    <mergeCell ref="H1764:H1765"/>
    <mergeCell ref="I1764:I1765"/>
    <mergeCell ref="W1736:X1736"/>
    <mergeCell ref="Z1736:Z1737"/>
    <mergeCell ref="AA1736:AA1737"/>
    <mergeCell ref="AB1736:AB1737"/>
    <mergeCell ref="AC1736:AD1736"/>
    <mergeCell ref="B1746:C1746"/>
    <mergeCell ref="B1748:C1748"/>
    <mergeCell ref="B1750:B1751"/>
    <mergeCell ref="C1750:C1751"/>
    <mergeCell ref="D1750:D1751"/>
    <mergeCell ref="E1750:F1750"/>
    <mergeCell ref="B1732:C1732"/>
    <mergeCell ref="H1732:I1732"/>
    <mergeCell ref="N1732:O1732"/>
    <mergeCell ref="B1734:C1734"/>
    <mergeCell ref="H1734:I1734"/>
    <mergeCell ref="N1734:O1734"/>
    <mergeCell ref="B1736:B1737"/>
    <mergeCell ref="C1736:C1737"/>
    <mergeCell ref="D1736:D1737"/>
    <mergeCell ref="E1736:F1736"/>
    <mergeCell ref="H1736:H1737"/>
    <mergeCell ref="I1736:I1737"/>
    <mergeCell ref="J1736:J1737"/>
    <mergeCell ref="K1736:L1736"/>
    <mergeCell ref="N1736:N1737"/>
    <mergeCell ref="O1736:O1737"/>
    <mergeCell ref="P1736:P1737"/>
    <mergeCell ref="Q1736:R1736"/>
    <mergeCell ref="T1732:U1732"/>
    <mergeCell ref="Z1732:AA1732"/>
    <mergeCell ref="T1734:U1734"/>
    <mergeCell ref="B1720:C1720"/>
    <mergeCell ref="H1720:I1720"/>
    <mergeCell ref="N1720:O1720"/>
    <mergeCell ref="B1722:B1723"/>
    <mergeCell ref="C1722:C1723"/>
    <mergeCell ref="D1722:D1723"/>
    <mergeCell ref="E1722:F1722"/>
    <mergeCell ref="H1722:H1723"/>
    <mergeCell ref="I1722:I1723"/>
    <mergeCell ref="J1722:J1723"/>
    <mergeCell ref="K1722:L1722"/>
    <mergeCell ref="N1722:N1723"/>
    <mergeCell ref="O1722:O1723"/>
    <mergeCell ref="Z1704:AA1704"/>
    <mergeCell ref="Z1706:AA1706"/>
    <mergeCell ref="Z1708:Z1709"/>
    <mergeCell ref="AA1708:AA1709"/>
    <mergeCell ref="P1722:P1723"/>
    <mergeCell ref="Q1722:R1722"/>
    <mergeCell ref="AB1708:AB1709"/>
    <mergeCell ref="AC1708:AD1708"/>
    <mergeCell ref="B1718:C1718"/>
    <mergeCell ref="H1718:I1718"/>
    <mergeCell ref="N1718:O1718"/>
    <mergeCell ref="K1708:L1708"/>
    <mergeCell ref="N1704:O1704"/>
    <mergeCell ref="T1704:U1704"/>
    <mergeCell ref="N1706:O1706"/>
    <mergeCell ref="T1706:U1706"/>
    <mergeCell ref="N1708:N1709"/>
    <mergeCell ref="O1708:O1709"/>
    <mergeCell ref="P1708:P1709"/>
    <mergeCell ref="Q1708:R1708"/>
    <mergeCell ref="T1708:T1709"/>
    <mergeCell ref="U1708:U1709"/>
    <mergeCell ref="B1706:C1706"/>
    <mergeCell ref="H1706:I1706"/>
    <mergeCell ref="B1708:B1709"/>
    <mergeCell ref="C1708:C1709"/>
    <mergeCell ref="D1708:D1709"/>
    <mergeCell ref="E1708:F1708"/>
    <mergeCell ref="H1708:H1709"/>
    <mergeCell ref="I1708:I1709"/>
    <mergeCell ref="J1708:J1709"/>
    <mergeCell ref="V1708:V1709"/>
    <mergeCell ref="W1708:X1708"/>
    <mergeCell ref="B1690:C1690"/>
    <mergeCell ref="B1692:C1692"/>
    <mergeCell ref="B1694:B1695"/>
    <mergeCell ref="C1694:C1695"/>
    <mergeCell ref="D1694:D1695"/>
    <mergeCell ref="E1694:F1694"/>
    <mergeCell ref="B1704:C1704"/>
    <mergeCell ref="H1704:I1704"/>
    <mergeCell ref="B1678:C1678"/>
    <mergeCell ref="H1678:I1678"/>
    <mergeCell ref="B1680:B1681"/>
    <mergeCell ref="C1680:C1681"/>
    <mergeCell ref="D1680:D1681"/>
    <mergeCell ref="E1680:F1680"/>
    <mergeCell ref="H1680:H1681"/>
    <mergeCell ref="I1680:I1681"/>
    <mergeCell ref="J1680:J1681"/>
    <mergeCell ref="B1666:B1667"/>
    <mergeCell ref="C1666:C1667"/>
    <mergeCell ref="D1666:D1667"/>
    <mergeCell ref="E1666:F1666"/>
    <mergeCell ref="B1676:C1676"/>
    <mergeCell ref="H1676:I1676"/>
    <mergeCell ref="B1648:C1648"/>
    <mergeCell ref="B1650:C1650"/>
    <mergeCell ref="B1652:B1653"/>
    <mergeCell ref="C1652:C1653"/>
    <mergeCell ref="D1652:D1653"/>
    <mergeCell ref="E1652:F1652"/>
    <mergeCell ref="H1648:I1648"/>
    <mergeCell ref="H1650:I1650"/>
    <mergeCell ref="H1652:H1653"/>
    <mergeCell ref="I1652:I1653"/>
    <mergeCell ref="K1680:L1680"/>
    <mergeCell ref="B1622:C1622"/>
    <mergeCell ref="B1624:B1625"/>
    <mergeCell ref="C1624:C1625"/>
    <mergeCell ref="D1624:D1625"/>
    <mergeCell ref="E1624:F1624"/>
    <mergeCell ref="B1634:C1634"/>
    <mergeCell ref="B1636:C1636"/>
    <mergeCell ref="B1638:B1639"/>
    <mergeCell ref="C1638:C1639"/>
    <mergeCell ref="D1638:D1639"/>
    <mergeCell ref="E1638:F1638"/>
    <mergeCell ref="AH1610:AH1611"/>
    <mergeCell ref="AI1610:AJ1610"/>
    <mergeCell ref="J1652:J1653"/>
    <mergeCell ref="K1652:L1652"/>
    <mergeCell ref="B1662:C1662"/>
    <mergeCell ref="B1664:C1664"/>
    <mergeCell ref="B1620:C1620"/>
    <mergeCell ref="V1610:V1611"/>
    <mergeCell ref="W1610:X1610"/>
    <mergeCell ref="Z1606:AA1606"/>
    <mergeCell ref="AF1606:AG1606"/>
    <mergeCell ref="Z1608:AA1608"/>
    <mergeCell ref="AF1608:AG1608"/>
    <mergeCell ref="Z1610:Z1611"/>
    <mergeCell ref="AA1610:AA1611"/>
    <mergeCell ref="AB1610:AB1611"/>
    <mergeCell ref="AC1610:AD1610"/>
    <mergeCell ref="AF1610:AF1611"/>
    <mergeCell ref="AG1610:AG1611"/>
    <mergeCell ref="N1606:O1606"/>
    <mergeCell ref="T1606:U1606"/>
    <mergeCell ref="N1608:O1608"/>
    <mergeCell ref="T1608:U1608"/>
    <mergeCell ref="N1610:N1611"/>
    <mergeCell ref="O1610:O1611"/>
    <mergeCell ref="P1610:P1611"/>
    <mergeCell ref="Q1610:R1610"/>
    <mergeCell ref="T1610:T1611"/>
    <mergeCell ref="U1610:U1611"/>
    <mergeCell ref="J1596:J1597"/>
    <mergeCell ref="K1596:L1596"/>
    <mergeCell ref="B1606:C1606"/>
    <mergeCell ref="H1606:I1606"/>
    <mergeCell ref="B1608:C1608"/>
    <mergeCell ref="H1608:I1608"/>
    <mergeCell ref="B1610:B1611"/>
    <mergeCell ref="C1610:C1611"/>
    <mergeCell ref="D1610:D1611"/>
    <mergeCell ref="E1610:F1610"/>
    <mergeCell ref="H1610:H1611"/>
    <mergeCell ref="I1610:I1611"/>
    <mergeCell ref="J1610:J1611"/>
    <mergeCell ref="K1610:L1610"/>
    <mergeCell ref="B1592:C1592"/>
    <mergeCell ref="H1592:I1592"/>
    <mergeCell ref="B1594:C1594"/>
    <mergeCell ref="H1594:I1594"/>
    <mergeCell ref="B1596:B1597"/>
    <mergeCell ref="C1596:C1597"/>
    <mergeCell ref="D1596:D1597"/>
    <mergeCell ref="E1596:F1596"/>
    <mergeCell ref="H1596:H1597"/>
    <mergeCell ref="I1596:I1597"/>
    <mergeCell ref="AB1568:AB1569"/>
    <mergeCell ref="AC1568:AD1568"/>
    <mergeCell ref="B1578:C1578"/>
    <mergeCell ref="H1578:I1578"/>
    <mergeCell ref="B1580:C1580"/>
    <mergeCell ref="H1580:I1580"/>
    <mergeCell ref="B1582:B1583"/>
    <mergeCell ref="C1582:C1583"/>
    <mergeCell ref="D1582:D1583"/>
    <mergeCell ref="E1582:F1582"/>
    <mergeCell ref="H1582:H1583"/>
    <mergeCell ref="I1582:I1583"/>
    <mergeCell ref="J1582:J1583"/>
    <mergeCell ref="K1582:L1582"/>
    <mergeCell ref="B1566:C1566"/>
    <mergeCell ref="H1566:I1566"/>
    <mergeCell ref="N1566:O1566"/>
    <mergeCell ref="T1566:U1566"/>
    <mergeCell ref="Z1566:AA1566"/>
    <mergeCell ref="B1568:B1569"/>
    <mergeCell ref="C1568:C1569"/>
    <mergeCell ref="D1568:D1569"/>
    <mergeCell ref="E1568:F1568"/>
    <mergeCell ref="H1568:H1569"/>
    <mergeCell ref="I1568:I1569"/>
    <mergeCell ref="J1568:J1569"/>
    <mergeCell ref="K1568:L1568"/>
    <mergeCell ref="N1568:N1569"/>
    <mergeCell ref="O1568:O1569"/>
    <mergeCell ref="P1568:P1569"/>
    <mergeCell ref="Q1568:R1568"/>
    <mergeCell ref="T1568:T1569"/>
    <mergeCell ref="U1568:U1569"/>
    <mergeCell ref="V1568:V1569"/>
    <mergeCell ref="W1568:X1568"/>
    <mergeCell ref="Z1568:Z1569"/>
    <mergeCell ref="AA1568:AA1569"/>
    <mergeCell ref="V1554:V1555"/>
    <mergeCell ref="W1554:X1554"/>
    <mergeCell ref="Z1550:AA1550"/>
    <mergeCell ref="Z1552:AA1552"/>
    <mergeCell ref="Z1554:Z1555"/>
    <mergeCell ref="AA1554:AA1555"/>
    <mergeCell ref="AB1554:AB1555"/>
    <mergeCell ref="AC1554:AD1554"/>
    <mergeCell ref="B1564:C1564"/>
    <mergeCell ref="H1564:I1564"/>
    <mergeCell ref="N1564:O1564"/>
    <mergeCell ref="T1564:U1564"/>
    <mergeCell ref="Z1564:AA1564"/>
    <mergeCell ref="J1554:J1555"/>
    <mergeCell ref="K1554:L1554"/>
    <mergeCell ref="N1550:O1550"/>
    <mergeCell ref="N1552:O1552"/>
    <mergeCell ref="N1554:N1555"/>
    <mergeCell ref="O1554:O1555"/>
    <mergeCell ref="P1554:P1555"/>
    <mergeCell ref="Q1554:R1554"/>
    <mergeCell ref="T1550:U1550"/>
    <mergeCell ref="T1552:U1552"/>
    <mergeCell ref="T1554:T1555"/>
    <mergeCell ref="U1554:U1555"/>
    <mergeCell ref="B1550:C1550"/>
    <mergeCell ref="B1552:C1552"/>
    <mergeCell ref="B1554:B1555"/>
    <mergeCell ref="C1554:C1555"/>
    <mergeCell ref="D1554:D1555"/>
    <mergeCell ref="E1554:F1554"/>
    <mergeCell ref="H1550:I1550"/>
    <mergeCell ref="H1552:I1552"/>
    <mergeCell ref="H1554:H1555"/>
    <mergeCell ref="I1554:I1555"/>
    <mergeCell ref="B1524:C1524"/>
    <mergeCell ref="B1526:B1527"/>
    <mergeCell ref="C1526:C1527"/>
    <mergeCell ref="D1526:D1527"/>
    <mergeCell ref="E1526:F1526"/>
    <mergeCell ref="B1536:C1536"/>
    <mergeCell ref="B1538:C1538"/>
    <mergeCell ref="B1540:B1541"/>
    <mergeCell ref="C1540:C1541"/>
    <mergeCell ref="D1540:D1541"/>
    <mergeCell ref="E1540:F1540"/>
    <mergeCell ref="AB1498:AB1499"/>
    <mergeCell ref="AC1498:AD1498"/>
    <mergeCell ref="B1508:C1508"/>
    <mergeCell ref="B1510:C1510"/>
    <mergeCell ref="B1512:B1513"/>
    <mergeCell ref="C1512:C1513"/>
    <mergeCell ref="D1512:D1513"/>
    <mergeCell ref="E1512:F1512"/>
    <mergeCell ref="B1522:C1522"/>
    <mergeCell ref="P1498:P1499"/>
    <mergeCell ref="Q1498:R1498"/>
    <mergeCell ref="T1494:U1494"/>
    <mergeCell ref="T1496:U1496"/>
    <mergeCell ref="T1498:T1499"/>
    <mergeCell ref="U1498:U1499"/>
    <mergeCell ref="V1498:V1499"/>
    <mergeCell ref="W1498:X1498"/>
    <mergeCell ref="Z1494:AA1494"/>
    <mergeCell ref="Z1496:AA1496"/>
    <mergeCell ref="Z1498:Z1499"/>
    <mergeCell ref="AA1498:AA1499"/>
    <mergeCell ref="H1494:I1494"/>
    <mergeCell ref="H1496:I1496"/>
    <mergeCell ref="H1498:H1499"/>
    <mergeCell ref="I1498:I1499"/>
    <mergeCell ref="J1498:J1499"/>
    <mergeCell ref="K1498:L1498"/>
    <mergeCell ref="N1494:O1494"/>
    <mergeCell ref="N1496:O1496"/>
    <mergeCell ref="N1498:N1499"/>
    <mergeCell ref="O1498:O1499"/>
    <mergeCell ref="U1428:U1429"/>
    <mergeCell ref="V1428:V1429"/>
    <mergeCell ref="W1428:X1428"/>
    <mergeCell ref="Z1428:Z1429"/>
    <mergeCell ref="AA1428:AA1429"/>
    <mergeCell ref="B1428:B1429"/>
    <mergeCell ref="C1428:C1429"/>
    <mergeCell ref="B1480:C1480"/>
    <mergeCell ref="B1482:C1482"/>
    <mergeCell ref="B1484:B1485"/>
    <mergeCell ref="C1484:C1485"/>
    <mergeCell ref="D1484:D1485"/>
    <mergeCell ref="E1484:F1484"/>
    <mergeCell ref="B1494:C1494"/>
    <mergeCell ref="B1496:C1496"/>
    <mergeCell ref="B1498:B1499"/>
    <mergeCell ref="C1498:C1499"/>
    <mergeCell ref="D1498:D1499"/>
    <mergeCell ref="E1498:F1498"/>
    <mergeCell ref="B1454:C1454"/>
    <mergeCell ref="B1456:B1457"/>
    <mergeCell ref="C1456:C1457"/>
    <mergeCell ref="D1456:D1457"/>
    <mergeCell ref="E1456:F1456"/>
    <mergeCell ref="B1466:C1466"/>
    <mergeCell ref="B1468:C1468"/>
    <mergeCell ref="B1470:B1471"/>
    <mergeCell ref="C1470:C1471"/>
    <mergeCell ref="D1470:D1471"/>
    <mergeCell ref="E1470:F1470"/>
    <mergeCell ref="T1424:U1424"/>
    <mergeCell ref="Z1424:AA1424"/>
    <mergeCell ref="B1426:C1426"/>
    <mergeCell ref="H1426:I1426"/>
    <mergeCell ref="N1426:O1426"/>
    <mergeCell ref="T1426:U1426"/>
    <mergeCell ref="Z1426:AA1426"/>
    <mergeCell ref="AN1428:AN1429"/>
    <mergeCell ref="AO1428:AP1428"/>
    <mergeCell ref="B1438:C1438"/>
    <mergeCell ref="B1440:C1440"/>
    <mergeCell ref="B1442:B1443"/>
    <mergeCell ref="C1442:C1443"/>
    <mergeCell ref="D1442:D1443"/>
    <mergeCell ref="E1442:F1442"/>
    <mergeCell ref="B1452:C1452"/>
    <mergeCell ref="AB1428:AB1429"/>
    <mergeCell ref="AC1428:AD1428"/>
    <mergeCell ref="AF1424:AG1424"/>
    <mergeCell ref="AF1426:AG1426"/>
    <mergeCell ref="AF1428:AF1429"/>
    <mergeCell ref="AG1428:AG1429"/>
    <mergeCell ref="AH1428:AH1429"/>
    <mergeCell ref="AI1428:AJ1428"/>
    <mergeCell ref="AL1424:AM1424"/>
    <mergeCell ref="AL1426:AM1426"/>
    <mergeCell ref="AL1428:AL1429"/>
    <mergeCell ref="AM1428:AM1429"/>
    <mergeCell ref="O1428:O1429"/>
    <mergeCell ref="P1428:P1429"/>
    <mergeCell ref="Q1428:R1428"/>
    <mergeCell ref="T1428:T1429"/>
    <mergeCell ref="B1410:C1410"/>
    <mergeCell ref="B1412:C1412"/>
    <mergeCell ref="B1414:B1415"/>
    <mergeCell ref="C1414:C1415"/>
    <mergeCell ref="D1414:D1415"/>
    <mergeCell ref="E1414:F1414"/>
    <mergeCell ref="B1400:B1401"/>
    <mergeCell ref="C1400:C1401"/>
    <mergeCell ref="D1400:D1401"/>
    <mergeCell ref="E1400:F1400"/>
    <mergeCell ref="H1400:H1401"/>
    <mergeCell ref="I1400:I1401"/>
    <mergeCell ref="J1400:J1401"/>
    <mergeCell ref="K1400:L1400"/>
    <mergeCell ref="N1400:N1401"/>
    <mergeCell ref="D1428:D1429"/>
    <mergeCell ref="E1428:F1428"/>
    <mergeCell ref="H1428:H1429"/>
    <mergeCell ref="I1428:I1429"/>
    <mergeCell ref="J1428:J1429"/>
    <mergeCell ref="K1428:L1428"/>
    <mergeCell ref="N1428:N1429"/>
    <mergeCell ref="B1424:C1424"/>
    <mergeCell ref="H1424:I1424"/>
    <mergeCell ref="N1424:O1424"/>
    <mergeCell ref="V1386:V1387"/>
    <mergeCell ref="W1386:X1386"/>
    <mergeCell ref="H1382:I1382"/>
    <mergeCell ref="H1384:I1384"/>
    <mergeCell ref="H1386:H1387"/>
    <mergeCell ref="I1386:I1387"/>
    <mergeCell ref="J1386:J1387"/>
    <mergeCell ref="K1386:L1386"/>
    <mergeCell ref="N1382:O1382"/>
    <mergeCell ref="N1384:O1384"/>
    <mergeCell ref="N1386:N1387"/>
    <mergeCell ref="O1386:O1387"/>
    <mergeCell ref="Q1400:R1400"/>
    <mergeCell ref="T1400:T1401"/>
    <mergeCell ref="U1400:U1401"/>
    <mergeCell ref="V1400:V1401"/>
    <mergeCell ref="W1400:X1400"/>
    <mergeCell ref="B1370:C1370"/>
    <mergeCell ref="B1372:B1373"/>
    <mergeCell ref="C1372:C1373"/>
    <mergeCell ref="D1372:D1373"/>
    <mergeCell ref="E1372:F1372"/>
    <mergeCell ref="B1382:C1382"/>
    <mergeCell ref="B1384:C1384"/>
    <mergeCell ref="B1386:B1387"/>
    <mergeCell ref="C1386:C1387"/>
    <mergeCell ref="D1386:D1387"/>
    <mergeCell ref="E1386:F1386"/>
    <mergeCell ref="B1396:C1396"/>
    <mergeCell ref="H1396:I1396"/>
    <mergeCell ref="N1396:O1396"/>
    <mergeCell ref="T1396:U1396"/>
    <mergeCell ref="B1398:C1398"/>
    <mergeCell ref="H1398:I1398"/>
    <mergeCell ref="N1398:O1398"/>
    <mergeCell ref="T1398:U1398"/>
    <mergeCell ref="T1384:U1384"/>
    <mergeCell ref="T1386:T1387"/>
    <mergeCell ref="U1386:U1387"/>
    <mergeCell ref="B1330:B1331"/>
    <mergeCell ref="C1330:C1331"/>
    <mergeCell ref="D1330:D1331"/>
    <mergeCell ref="E1330:F1330"/>
    <mergeCell ref="H1330:H1331"/>
    <mergeCell ref="I1330:I1331"/>
    <mergeCell ref="J1330:J1331"/>
    <mergeCell ref="K1330:L1330"/>
    <mergeCell ref="B1340:C1340"/>
    <mergeCell ref="H1340:I1340"/>
    <mergeCell ref="B1326:C1326"/>
    <mergeCell ref="H1326:I1326"/>
    <mergeCell ref="B1328:C1328"/>
    <mergeCell ref="H1328:I1328"/>
    <mergeCell ref="B1368:C1368"/>
    <mergeCell ref="B1354:C1354"/>
    <mergeCell ref="B1356:C1356"/>
    <mergeCell ref="B1358:B1359"/>
    <mergeCell ref="C1358:C1359"/>
    <mergeCell ref="D1358:D1359"/>
    <mergeCell ref="E1358:F1358"/>
    <mergeCell ref="B1342:C1342"/>
    <mergeCell ref="H1342:I1342"/>
    <mergeCell ref="B1344:B1345"/>
    <mergeCell ref="C1344:C1345"/>
    <mergeCell ref="D1344:D1345"/>
    <mergeCell ref="E1344:F1344"/>
    <mergeCell ref="H1344:H1345"/>
    <mergeCell ref="I1344:I1345"/>
    <mergeCell ref="J1344:J1345"/>
    <mergeCell ref="K1344:L1344"/>
    <mergeCell ref="B1298:C1298"/>
    <mergeCell ref="B1300:C1300"/>
    <mergeCell ref="B1302:B1303"/>
    <mergeCell ref="C1302:C1303"/>
    <mergeCell ref="D1302:D1303"/>
    <mergeCell ref="E1302:F1302"/>
    <mergeCell ref="B1312:C1312"/>
    <mergeCell ref="B1314:C1314"/>
    <mergeCell ref="B1316:B1317"/>
    <mergeCell ref="C1316:C1317"/>
    <mergeCell ref="D1316:D1317"/>
    <mergeCell ref="E1316:F1316"/>
    <mergeCell ref="B1270:C1270"/>
    <mergeCell ref="B1272:C1272"/>
    <mergeCell ref="B1274:B1275"/>
    <mergeCell ref="C1274:C1275"/>
    <mergeCell ref="D1274:D1275"/>
    <mergeCell ref="E1274:F1274"/>
    <mergeCell ref="B1284:C1284"/>
    <mergeCell ref="B1286:C1286"/>
    <mergeCell ref="B1288:B1289"/>
    <mergeCell ref="C1288:C1289"/>
    <mergeCell ref="D1288:D1289"/>
    <mergeCell ref="E1288:F1288"/>
    <mergeCell ref="B1256:C1256"/>
    <mergeCell ref="H1256:I1256"/>
    <mergeCell ref="N1256:O1256"/>
    <mergeCell ref="B1258:C1258"/>
    <mergeCell ref="H1258:I1258"/>
    <mergeCell ref="N1258:O1258"/>
    <mergeCell ref="B1260:B1261"/>
    <mergeCell ref="C1260:C1261"/>
    <mergeCell ref="D1260:D1261"/>
    <mergeCell ref="E1260:F1260"/>
    <mergeCell ref="H1260:H1261"/>
    <mergeCell ref="I1260:I1261"/>
    <mergeCell ref="J1260:J1261"/>
    <mergeCell ref="K1260:L1260"/>
    <mergeCell ref="N1260:N1261"/>
    <mergeCell ref="O1260:O1261"/>
    <mergeCell ref="B1242:C1242"/>
    <mergeCell ref="H1242:I1242"/>
    <mergeCell ref="N1242:O1242"/>
    <mergeCell ref="B1244:C1244"/>
    <mergeCell ref="H1244:I1244"/>
    <mergeCell ref="N1244:O1244"/>
    <mergeCell ref="B1246:B1247"/>
    <mergeCell ref="C1246:C1247"/>
    <mergeCell ref="D1246:D1247"/>
    <mergeCell ref="E1246:F1246"/>
    <mergeCell ref="H1246:H1247"/>
    <mergeCell ref="I1246:I1247"/>
    <mergeCell ref="J1246:J1247"/>
    <mergeCell ref="K1246:L1246"/>
    <mergeCell ref="N1246:N1247"/>
    <mergeCell ref="O1246:O1247"/>
    <mergeCell ref="AF1228:AG1228"/>
    <mergeCell ref="AF1230:AG1230"/>
    <mergeCell ref="AF1232:AF1233"/>
    <mergeCell ref="AG1232:AG1233"/>
    <mergeCell ref="AH1232:AH1233"/>
    <mergeCell ref="AI1232:AJ1232"/>
    <mergeCell ref="AL1228:AM1228"/>
    <mergeCell ref="AL1230:AM1230"/>
    <mergeCell ref="AL1232:AL1233"/>
    <mergeCell ref="AM1232:AM1233"/>
    <mergeCell ref="B1230:C1230"/>
    <mergeCell ref="H1230:I1230"/>
    <mergeCell ref="N1230:O1230"/>
    <mergeCell ref="T1230:U1230"/>
    <mergeCell ref="Z1230:AA1230"/>
    <mergeCell ref="B1232:B1233"/>
    <mergeCell ref="C1232:C1233"/>
    <mergeCell ref="D1232:D1233"/>
    <mergeCell ref="E1232:F1232"/>
    <mergeCell ref="H1232:H1233"/>
    <mergeCell ref="I1232:I1233"/>
    <mergeCell ref="J1232:J1233"/>
    <mergeCell ref="K1232:L1232"/>
    <mergeCell ref="N1232:N1233"/>
    <mergeCell ref="O1232:O1233"/>
    <mergeCell ref="P1232:P1233"/>
    <mergeCell ref="Q1232:R1232"/>
    <mergeCell ref="T1232:T1233"/>
    <mergeCell ref="U1232:U1233"/>
    <mergeCell ref="V1232:V1233"/>
    <mergeCell ref="W1232:X1232"/>
    <mergeCell ref="Z1232:Z1233"/>
    <mergeCell ref="Z1214:AA1214"/>
    <mergeCell ref="Z1216:AA1216"/>
    <mergeCell ref="Z1218:Z1219"/>
    <mergeCell ref="AA1218:AA1219"/>
    <mergeCell ref="AB1218:AB1219"/>
    <mergeCell ref="AC1218:AD1218"/>
    <mergeCell ref="B1228:C1228"/>
    <mergeCell ref="H1228:I1228"/>
    <mergeCell ref="N1228:O1228"/>
    <mergeCell ref="T1228:U1228"/>
    <mergeCell ref="Z1228:AA1228"/>
    <mergeCell ref="T1214:U1214"/>
    <mergeCell ref="N1216:O1216"/>
    <mergeCell ref="T1216:U1216"/>
    <mergeCell ref="N1218:N1219"/>
    <mergeCell ref="O1218:O1219"/>
    <mergeCell ref="P1218:P1219"/>
    <mergeCell ref="Q1218:R1218"/>
    <mergeCell ref="T1218:T1219"/>
    <mergeCell ref="U1218:U1219"/>
    <mergeCell ref="B1218:B1219"/>
    <mergeCell ref="C1218:C1219"/>
    <mergeCell ref="D1218:D1219"/>
    <mergeCell ref="E1218:F1218"/>
    <mergeCell ref="H1218:H1219"/>
    <mergeCell ref="I1218:I1219"/>
    <mergeCell ref="J1218:J1219"/>
    <mergeCell ref="K1218:L1218"/>
    <mergeCell ref="N1214:O1214"/>
    <mergeCell ref="H1200:I1200"/>
    <mergeCell ref="H1202:I1202"/>
    <mergeCell ref="H1204:H1205"/>
    <mergeCell ref="I1204:I1205"/>
    <mergeCell ref="J1204:J1205"/>
    <mergeCell ref="K1204:L1204"/>
    <mergeCell ref="B1214:C1214"/>
    <mergeCell ref="H1214:I1214"/>
    <mergeCell ref="B1216:C1216"/>
    <mergeCell ref="H1216:I1216"/>
    <mergeCell ref="B1186:C1186"/>
    <mergeCell ref="B1188:C1188"/>
    <mergeCell ref="B1190:B1191"/>
    <mergeCell ref="C1190:C1191"/>
    <mergeCell ref="D1190:D1191"/>
    <mergeCell ref="E1190:F1190"/>
    <mergeCell ref="B1200:C1200"/>
    <mergeCell ref="B1202:C1202"/>
    <mergeCell ref="B1204:B1205"/>
    <mergeCell ref="C1204:C1205"/>
    <mergeCell ref="D1204:D1205"/>
    <mergeCell ref="E1204:F1204"/>
    <mergeCell ref="B1172:C1172"/>
    <mergeCell ref="H1172:I1172"/>
    <mergeCell ref="N1172:O1172"/>
    <mergeCell ref="B1174:C1174"/>
    <mergeCell ref="H1174:I1174"/>
    <mergeCell ref="N1174:O1174"/>
    <mergeCell ref="B1176:B1177"/>
    <mergeCell ref="C1176:C1177"/>
    <mergeCell ref="D1176:D1177"/>
    <mergeCell ref="E1176:F1176"/>
    <mergeCell ref="H1176:H1177"/>
    <mergeCell ref="I1176:I1177"/>
    <mergeCell ref="J1176:J1177"/>
    <mergeCell ref="K1176:L1176"/>
    <mergeCell ref="N1176:N1177"/>
    <mergeCell ref="O1176:O1177"/>
    <mergeCell ref="P1176:P1177"/>
    <mergeCell ref="N1160:O1160"/>
    <mergeCell ref="T1160:U1160"/>
    <mergeCell ref="N1162:N1163"/>
    <mergeCell ref="O1162:O1163"/>
    <mergeCell ref="P1162:P1163"/>
    <mergeCell ref="Q1162:R1162"/>
    <mergeCell ref="T1162:T1163"/>
    <mergeCell ref="U1162:U1163"/>
    <mergeCell ref="B1160:C1160"/>
    <mergeCell ref="H1160:I1160"/>
    <mergeCell ref="B1162:B1163"/>
    <mergeCell ref="C1162:C1163"/>
    <mergeCell ref="D1162:D1163"/>
    <mergeCell ref="E1162:F1162"/>
    <mergeCell ref="H1162:H1163"/>
    <mergeCell ref="I1162:I1163"/>
    <mergeCell ref="J1162:J1163"/>
    <mergeCell ref="K1162:L1162"/>
    <mergeCell ref="B1144:C1144"/>
    <mergeCell ref="B1146:C1146"/>
    <mergeCell ref="B1148:B1149"/>
    <mergeCell ref="C1148:C1149"/>
    <mergeCell ref="D1148:D1149"/>
    <mergeCell ref="E1148:F1148"/>
    <mergeCell ref="B1158:C1158"/>
    <mergeCell ref="H1158:I1158"/>
    <mergeCell ref="B1134:B1135"/>
    <mergeCell ref="C1134:C1135"/>
    <mergeCell ref="D1134:D1135"/>
    <mergeCell ref="E1134:F1134"/>
    <mergeCell ref="H1130:I1130"/>
    <mergeCell ref="H1132:I1132"/>
    <mergeCell ref="H1134:H1135"/>
    <mergeCell ref="I1134:I1135"/>
    <mergeCell ref="J1134:J1135"/>
    <mergeCell ref="B1116:C1116"/>
    <mergeCell ref="B1118:C1118"/>
    <mergeCell ref="B1120:B1121"/>
    <mergeCell ref="C1120:C1121"/>
    <mergeCell ref="D1120:D1121"/>
    <mergeCell ref="E1120:F1120"/>
    <mergeCell ref="B1130:C1130"/>
    <mergeCell ref="B1132:C1132"/>
    <mergeCell ref="B1104:C1104"/>
    <mergeCell ref="H1104:I1104"/>
    <mergeCell ref="B1106:B1107"/>
    <mergeCell ref="C1106:C1107"/>
    <mergeCell ref="D1106:D1107"/>
    <mergeCell ref="E1106:F1106"/>
    <mergeCell ref="H1106:H1107"/>
    <mergeCell ref="I1106:I1107"/>
    <mergeCell ref="J1106:J1107"/>
    <mergeCell ref="B1092:B1093"/>
    <mergeCell ref="C1092:C1093"/>
    <mergeCell ref="D1092:D1093"/>
    <mergeCell ref="E1092:F1092"/>
    <mergeCell ref="H1092:H1093"/>
    <mergeCell ref="I1092:I1093"/>
    <mergeCell ref="J1092:J1093"/>
    <mergeCell ref="K1092:L1092"/>
    <mergeCell ref="B1102:C1102"/>
    <mergeCell ref="H1102:I1102"/>
    <mergeCell ref="N1076:O1076"/>
    <mergeCell ref="N1078:N1079"/>
    <mergeCell ref="O1078:O1079"/>
    <mergeCell ref="P1078:P1079"/>
    <mergeCell ref="Q1078:R1078"/>
    <mergeCell ref="B1088:C1088"/>
    <mergeCell ref="H1088:I1088"/>
    <mergeCell ref="B1090:C1090"/>
    <mergeCell ref="H1090:I1090"/>
    <mergeCell ref="B1062:C1062"/>
    <mergeCell ref="B1064:B1065"/>
    <mergeCell ref="C1064:C1065"/>
    <mergeCell ref="D1064:D1065"/>
    <mergeCell ref="E1064:F1064"/>
    <mergeCell ref="B1074:C1074"/>
    <mergeCell ref="B1076:C1076"/>
    <mergeCell ref="B1078:B1079"/>
    <mergeCell ref="C1078:C1079"/>
    <mergeCell ref="D1078:D1079"/>
    <mergeCell ref="E1078:F1078"/>
    <mergeCell ref="P1036:P1037"/>
    <mergeCell ref="Q1036:R1036"/>
    <mergeCell ref="B1046:C1046"/>
    <mergeCell ref="B1048:C1048"/>
    <mergeCell ref="B1050:B1051"/>
    <mergeCell ref="C1050:C1051"/>
    <mergeCell ref="D1050:D1051"/>
    <mergeCell ref="E1050:F1050"/>
    <mergeCell ref="B1060:C1060"/>
    <mergeCell ref="H1074:I1074"/>
    <mergeCell ref="H1076:I1076"/>
    <mergeCell ref="H1078:H1079"/>
    <mergeCell ref="I1078:I1079"/>
    <mergeCell ref="B1032:C1032"/>
    <mergeCell ref="H1032:I1032"/>
    <mergeCell ref="N1032:O1032"/>
    <mergeCell ref="B1034:C1034"/>
    <mergeCell ref="H1034:I1034"/>
    <mergeCell ref="N1034:O1034"/>
    <mergeCell ref="B1036:B1037"/>
    <mergeCell ref="C1036:C1037"/>
    <mergeCell ref="D1036:D1037"/>
    <mergeCell ref="E1036:F1036"/>
    <mergeCell ref="H1036:H1037"/>
    <mergeCell ref="I1036:I1037"/>
    <mergeCell ref="J1036:J1037"/>
    <mergeCell ref="K1036:L1036"/>
    <mergeCell ref="N1036:N1037"/>
    <mergeCell ref="O1036:O1037"/>
    <mergeCell ref="Q1008:R1008"/>
    <mergeCell ref="B1018:C1018"/>
    <mergeCell ref="H1018:I1018"/>
    <mergeCell ref="B1020:C1020"/>
    <mergeCell ref="H1020:I1020"/>
    <mergeCell ref="B1022:B1023"/>
    <mergeCell ref="C1022:C1023"/>
    <mergeCell ref="D1022:D1023"/>
    <mergeCell ref="E1022:F1022"/>
    <mergeCell ref="H1022:H1023"/>
    <mergeCell ref="I1022:I1023"/>
    <mergeCell ref="J1022:J1023"/>
    <mergeCell ref="K1022:L1022"/>
    <mergeCell ref="P1008:P1009"/>
    <mergeCell ref="B1004:C1004"/>
    <mergeCell ref="H1004:I1004"/>
    <mergeCell ref="N1004:O1004"/>
    <mergeCell ref="B1006:C1006"/>
    <mergeCell ref="H1006:I1006"/>
    <mergeCell ref="N1006:O1006"/>
    <mergeCell ref="B1008:B1009"/>
    <mergeCell ref="C1008:C1009"/>
    <mergeCell ref="D1008:D1009"/>
    <mergeCell ref="E1008:F1008"/>
    <mergeCell ref="H1008:H1009"/>
    <mergeCell ref="I1008:I1009"/>
    <mergeCell ref="J1008:J1009"/>
    <mergeCell ref="K1008:L1008"/>
    <mergeCell ref="N1008:N1009"/>
    <mergeCell ref="O1008:O1009"/>
    <mergeCell ref="B992:C992"/>
    <mergeCell ref="H992:I992"/>
    <mergeCell ref="N992:O992"/>
    <mergeCell ref="B994:B995"/>
    <mergeCell ref="C994:C995"/>
    <mergeCell ref="D994:D995"/>
    <mergeCell ref="E994:F994"/>
    <mergeCell ref="H994:H995"/>
    <mergeCell ref="I994:I995"/>
    <mergeCell ref="J994:J995"/>
    <mergeCell ref="K994:L994"/>
    <mergeCell ref="N994:N995"/>
    <mergeCell ref="O994:O995"/>
    <mergeCell ref="P994:P995"/>
    <mergeCell ref="Q994:R994"/>
    <mergeCell ref="T994:T995"/>
    <mergeCell ref="U994:U995"/>
    <mergeCell ref="Z976:AA976"/>
    <mergeCell ref="Z978:AA978"/>
    <mergeCell ref="Z980:Z981"/>
    <mergeCell ref="AA980:AA981"/>
    <mergeCell ref="V994:V995"/>
    <mergeCell ref="W994:X994"/>
    <mergeCell ref="B990:C990"/>
    <mergeCell ref="H990:I990"/>
    <mergeCell ref="N990:O990"/>
    <mergeCell ref="T990:U990"/>
    <mergeCell ref="N976:O976"/>
    <mergeCell ref="N978:O978"/>
    <mergeCell ref="N980:N981"/>
    <mergeCell ref="O980:O981"/>
    <mergeCell ref="P980:P981"/>
    <mergeCell ref="Q980:R980"/>
    <mergeCell ref="T976:U976"/>
    <mergeCell ref="T978:U978"/>
    <mergeCell ref="T980:T981"/>
    <mergeCell ref="U980:U981"/>
    <mergeCell ref="B976:C976"/>
    <mergeCell ref="B978:C978"/>
    <mergeCell ref="B980:B981"/>
    <mergeCell ref="C980:C981"/>
    <mergeCell ref="D980:D981"/>
    <mergeCell ref="E980:F980"/>
    <mergeCell ref="H976:I976"/>
    <mergeCell ref="H978:I978"/>
    <mergeCell ref="H980:H981"/>
    <mergeCell ref="I980:I981"/>
    <mergeCell ref="B948:C948"/>
    <mergeCell ref="B950:C950"/>
    <mergeCell ref="B952:B953"/>
    <mergeCell ref="C952:C953"/>
    <mergeCell ref="D952:D953"/>
    <mergeCell ref="E952:F952"/>
    <mergeCell ref="B962:C962"/>
    <mergeCell ref="B964:C964"/>
    <mergeCell ref="B966:B967"/>
    <mergeCell ref="C966:C967"/>
    <mergeCell ref="D966:D967"/>
    <mergeCell ref="E966:F966"/>
    <mergeCell ref="B934:C934"/>
    <mergeCell ref="B936:C936"/>
    <mergeCell ref="B938:B939"/>
    <mergeCell ref="C938:C939"/>
    <mergeCell ref="D938:D939"/>
    <mergeCell ref="E938:F938"/>
    <mergeCell ref="H934:I934"/>
    <mergeCell ref="H936:I936"/>
    <mergeCell ref="H938:H939"/>
    <mergeCell ref="I938:I939"/>
    <mergeCell ref="B906:C906"/>
    <mergeCell ref="B908:C908"/>
    <mergeCell ref="B910:B911"/>
    <mergeCell ref="C910:C911"/>
    <mergeCell ref="D910:D911"/>
    <mergeCell ref="E910:F910"/>
    <mergeCell ref="B920:C920"/>
    <mergeCell ref="B922:C922"/>
    <mergeCell ref="B924:B925"/>
    <mergeCell ref="C924:C925"/>
    <mergeCell ref="D924:D925"/>
    <mergeCell ref="E924:F924"/>
    <mergeCell ref="B880:C880"/>
    <mergeCell ref="B882:B883"/>
    <mergeCell ref="C882:C883"/>
    <mergeCell ref="D882:D883"/>
    <mergeCell ref="E882:F882"/>
    <mergeCell ref="B892:C892"/>
    <mergeCell ref="B894:C894"/>
    <mergeCell ref="B896:B897"/>
    <mergeCell ref="C896:C897"/>
    <mergeCell ref="D896:D897"/>
    <mergeCell ref="E896:F896"/>
    <mergeCell ref="V854:V855"/>
    <mergeCell ref="W854:X854"/>
    <mergeCell ref="B864:C864"/>
    <mergeCell ref="B866:C866"/>
    <mergeCell ref="B868:B869"/>
    <mergeCell ref="C868:C869"/>
    <mergeCell ref="D868:D869"/>
    <mergeCell ref="E868:F868"/>
    <mergeCell ref="B822:C822"/>
    <mergeCell ref="B878:C878"/>
    <mergeCell ref="J854:J855"/>
    <mergeCell ref="K854:L854"/>
    <mergeCell ref="N850:O850"/>
    <mergeCell ref="N852:O852"/>
    <mergeCell ref="N854:N855"/>
    <mergeCell ref="O854:O855"/>
    <mergeCell ref="P854:P855"/>
    <mergeCell ref="Q854:R854"/>
    <mergeCell ref="T850:U850"/>
    <mergeCell ref="T852:U852"/>
    <mergeCell ref="T854:T855"/>
    <mergeCell ref="U854:U855"/>
    <mergeCell ref="B852:C852"/>
    <mergeCell ref="B854:B855"/>
    <mergeCell ref="C854:C855"/>
    <mergeCell ref="D854:D855"/>
    <mergeCell ref="E854:F854"/>
    <mergeCell ref="H850:I850"/>
    <mergeCell ref="H852:I852"/>
    <mergeCell ref="H854:H855"/>
    <mergeCell ref="I854:I855"/>
    <mergeCell ref="B850:C850"/>
    <mergeCell ref="B808:C808"/>
    <mergeCell ref="B810:C810"/>
    <mergeCell ref="B812:B813"/>
    <mergeCell ref="C812:C813"/>
    <mergeCell ref="D812:D813"/>
    <mergeCell ref="E812:F812"/>
    <mergeCell ref="H808:I808"/>
    <mergeCell ref="H810:I810"/>
    <mergeCell ref="H812:H813"/>
    <mergeCell ref="I812:I813"/>
    <mergeCell ref="J826:J827"/>
    <mergeCell ref="K826:L826"/>
    <mergeCell ref="B836:C836"/>
    <mergeCell ref="B838:C838"/>
    <mergeCell ref="B840:B841"/>
    <mergeCell ref="C840:C841"/>
    <mergeCell ref="D840:D841"/>
    <mergeCell ref="E840:F840"/>
    <mergeCell ref="J812:J813"/>
    <mergeCell ref="K812:L812"/>
    <mergeCell ref="B824:C824"/>
    <mergeCell ref="B826:B827"/>
    <mergeCell ref="C826:C827"/>
    <mergeCell ref="D826:D827"/>
    <mergeCell ref="E826:F826"/>
    <mergeCell ref="H822:I822"/>
    <mergeCell ref="H824:I824"/>
    <mergeCell ref="H826:H827"/>
    <mergeCell ref="I826:I827"/>
    <mergeCell ref="AN1232:AN1233"/>
    <mergeCell ref="AO1232:AP1232"/>
    <mergeCell ref="P1246:P1247"/>
    <mergeCell ref="Q1246:R1246"/>
    <mergeCell ref="P1260:P1261"/>
    <mergeCell ref="Q1260:R1260"/>
    <mergeCell ref="T1256:U1256"/>
    <mergeCell ref="T1258:U1258"/>
    <mergeCell ref="T1260:T1261"/>
    <mergeCell ref="U1260:U1261"/>
    <mergeCell ref="V1260:V1261"/>
    <mergeCell ref="W1260:X1260"/>
    <mergeCell ref="P812:P813"/>
    <mergeCell ref="Q812:R812"/>
    <mergeCell ref="T808:U808"/>
    <mergeCell ref="T810:U810"/>
    <mergeCell ref="T812:T813"/>
    <mergeCell ref="U812:U813"/>
    <mergeCell ref="V812:V813"/>
    <mergeCell ref="W812:X812"/>
    <mergeCell ref="AB980:AB981"/>
    <mergeCell ref="AC980:AD980"/>
    <mergeCell ref="V980:V981"/>
    <mergeCell ref="W980:X980"/>
    <mergeCell ref="T992:U992"/>
    <mergeCell ref="T1158:U1158"/>
    <mergeCell ref="V1162:V1163"/>
    <mergeCell ref="W1162:X1162"/>
    <mergeCell ref="Q1176:R1176"/>
    <mergeCell ref="AA1232:AA1233"/>
    <mergeCell ref="V1218:V1219"/>
    <mergeCell ref="W1218:X1218"/>
    <mergeCell ref="J938:J939"/>
    <mergeCell ref="K938:L938"/>
    <mergeCell ref="J980:J981"/>
    <mergeCell ref="K980:L980"/>
    <mergeCell ref="Z1792:Z1793"/>
    <mergeCell ref="AA1792:AA1793"/>
    <mergeCell ref="AB1792:AB1793"/>
    <mergeCell ref="AC1792:AD1792"/>
    <mergeCell ref="J1890:J1891"/>
    <mergeCell ref="K1890:L1890"/>
    <mergeCell ref="N1886:O1886"/>
    <mergeCell ref="N1888:O1888"/>
    <mergeCell ref="N1890:N1891"/>
    <mergeCell ref="O1890:O1891"/>
    <mergeCell ref="P1890:P1891"/>
    <mergeCell ref="O1400:O1401"/>
    <mergeCell ref="P1400:P1401"/>
    <mergeCell ref="J1078:J1079"/>
    <mergeCell ref="K1078:L1078"/>
    <mergeCell ref="N1074:O1074"/>
    <mergeCell ref="Z1734:AA1734"/>
    <mergeCell ref="T1736:T1737"/>
    <mergeCell ref="U1736:U1737"/>
    <mergeCell ref="V1736:V1737"/>
    <mergeCell ref="P1386:P1387"/>
    <mergeCell ref="Q1386:R1386"/>
    <mergeCell ref="T1382:U1382"/>
    <mergeCell ref="AB1232:AB1233"/>
    <mergeCell ref="AC1232:AD1232"/>
    <mergeCell ref="K1106:L1106"/>
    <mergeCell ref="K1134:L1134"/>
    <mergeCell ref="N1158:O1158"/>
    <mergeCell ref="N808:O808"/>
    <mergeCell ref="N810:O810"/>
    <mergeCell ref="N812:N813"/>
    <mergeCell ref="O812:O813"/>
    <mergeCell ref="J560:J561"/>
    <mergeCell ref="K560:L560"/>
    <mergeCell ref="V560:V561"/>
    <mergeCell ref="W560:X560"/>
    <mergeCell ref="T570:U570"/>
    <mergeCell ref="T572:U572"/>
    <mergeCell ref="T574:T575"/>
    <mergeCell ref="U574:U575"/>
    <mergeCell ref="V574:V575"/>
    <mergeCell ref="W574:X574"/>
    <mergeCell ref="N444:O444"/>
    <mergeCell ref="N446:O446"/>
    <mergeCell ref="N448:N449"/>
    <mergeCell ref="O448:O449"/>
    <mergeCell ref="P448:P449"/>
    <mergeCell ref="Q448:R448"/>
    <mergeCell ref="T444:U444"/>
    <mergeCell ref="T446:U446"/>
    <mergeCell ref="T448:T449"/>
    <mergeCell ref="U448:U449"/>
    <mergeCell ref="V476:V477"/>
    <mergeCell ref="K630:L630"/>
    <mergeCell ref="N654:O654"/>
    <mergeCell ref="N656:O656"/>
    <mergeCell ref="N658:N659"/>
    <mergeCell ref="O658:O659"/>
    <mergeCell ref="P658:P659"/>
    <mergeCell ref="Q658:R658"/>
    <mergeCell ref="B2:C2"/>
    <mergeCell ref="B4:C4"/>
    <mergeCell ref="B6:C6"/>
    <mergeCell ref="D6:E6"/>
    <mergeCell ref="B8:C8"/>
    <mergeCell ref="B10:C10"/>
    <mergeCell ref="B12:C12"/>
    <mergeCell ref="B14:B15"/>
    <mergeCell ref="C14:C15"/>
    <mergeCell ref="D14:D15"/>
    <mergeCell ref="E14:F14"/>
    <mergeCell ref="B24:C24"/>
    <mergeCell ref="B26:C26"/>
    <mergeCell ref="B28:B29"/>
    <mergeCell ref="C28:C29"/>
    <mergeCell ref="D28:D29"/>
    <mergeCell ref="E28:F28"/>
    <mergeCell ref="B38:C38"/>
    <mergeCell ref="B40:C40"/>
    <mergeCell ref="B42:B43"/>
    <mergeCell ref="C42:C43"/>
    <mergeCell ref="D42:D43"/>
    <mergeCell ref="E42:F42"/>
    <mergeCell ref="B52:C52"/>
    <mergeCell ref="B54:C54"/>
    <mergeCell ref="B56:B57"/>
    <mergeCell ref="C56:C57"/>
    <mergeCell ref="D56:D57"/>
    <mergeCell ref="E56:F56"/>
    <mergeCell ref="H52:I52"/>
    <mergeCell ref="H54:I54"/>
    <mergeCell ref="H56:H57"/>
    <mergeCell ref="I56:I57"/>
    <mergeCell ref="J56:J57"/>
    <mergeCell ref="K56:L56"/>
    <mergeCell ref="B66:C66"/>
    <mergeCell ref="B68:C68"/>
    <mergeCell ref="B70:B71"/>
    <mergeCell ref="C70:C71"/>
    <mergeCell ref="D70:D71"/>
    <mergeCell ref="E70:F70"/>
    <mergeCell ref="B80:C80"/>
    <mergeCell ref="B82:C82"/>
    <mergeCell ref="B84:B85"/>
    <mergeCell ref="C84:C85"/>
    <mergeCell ref="D84:D85"/>
    <mergeCell ref="E84:F84"/>
    <mergeCell ref="B94:C94"/>
    <mergeCell ref="B96:C96"/>
    <mergeCell ref="B98:B99"/>
    <mergeCell ref="C98:C99"/>
    <mergeCell ref="D98:D99"/>
    <mergeCell ref="E98:F98"/>
    <mergeCell ref="B108:C108"/>
    <mergeCell ref="B110:C110"/>
    <mergeCell ref="B112:B113"/>
    <mergeCell ref="C112:C113"/>
    <mergeCell ref="D112:D113"/>
    <mergeCell ref="E112:F112"/>
    <mergeCell ref="B122:C122"/>
    <mergeCell ref="B124:C124"/>
    <mergeCell ref="B126:B127"/>
    <mergeCell ref="C126:C127"/>
    <mergeCell ref="D126:D127"/>
    <mergeCell ref="E126:F126"/>
    <mergeCell ref="B136:C136"/>
    <mergeCell ref="B138:C138"/>
    <mergeCell ref="B140:B141"/>
    <mergeCell ref="C140:C141"/>
    <mergeCell ref="D140:D141"/>
    <mergeCell ref="E140:F140"/>
    <mergeCell ref="B150:C150"/>
    <mergeCell ref="B152:C152"/>
    <mergeCell ref="B154:B155"/>
    <mergeCell ref="C154:C155"/>
    <mergeCell ref="D154:D155"/>
    <mergeCell ref="E154:F154"/>
    <mergeCell ref="B164:C164"/>
    <mergeCell ref="B166:C166"/>
    <mergeCell ref="B168:B169"/>
    <mergeCell ref="C168:C169"/>
    <mergeCell ref="D168:D169"/>
    <mergeCell ref="E168:F168"/>
    <mergeCell ref="B178:C178"/>
    <mergeCell ref="B180:C180"/>
    <mergeCell ref="B182:B183"/>
    <mergeCell ref="C182:C183"/>
    <mergeCell ref="D182:D183"/>
    <mergeCell ref="E182:F182"/>
    <mergeCell ref="B192:C192"/>
    <mergeCell ref="B194:C194"/>
    <mergeCell ref="B196:B197"/>
    <mergeCell ref="C196:C197"/>
    <mergeCell ref="D196:D197"/>
    <mergeCell ref="E196:F196"/>
    <mergeCell ref="H192:I192"/>
    <mergeCell ref="H194:I194"/>
    <mergeCell ref="H196:H197"/>
    <mergeCell ref="I196:I197"/>
    <mergeCell ref="J196:J197"/>
    <mergeCell ref="K196:L196"/>
    <mergeCell ref="B206:C206"/>
    <mergeCell ref="B208:C208"/>
    <mergeCell ref="B210:B211"/>
    <mergeCell ref="C210:C211"/>
    <mergeCell ref="D210:D211"/>
    <mergeCell ref="E210:F210"/>
    <mergeCell ref="B220:C220"/>
    <mergeCell ref="B222:C222"/>
    <mergeCell ref="B224:B225"/>
    <mergeCell ref="C224:C225"/>
    <mergeCell ref="D224:D225"/>
    <mergeCell ref="E224:F224"/>
    <mergeCell ref="B234:C234"/>
    <mergeCell ref="B236:C236"/>
    <mergeCell ref="B238:B239"/>
    <mergeCell ref="C238:C239"/>
    <mergeCell ref="D238:D239"/>
    <mergeCell ref="E238:F238"/>
    <mergeCell ref="H234:I234"/>
    <mergeCell ref="H236:I236"/>
    <mergeCell ref="H238:H239"/>
    <mergeCell ref="I238:I239"/>
    <mergeCell ref="J238:J239"/>
    <mergeCell ref="K238:L238"/>
    <mergeCell ref="B248:C248"/>
    <mergeCell ref="B250:C250"/>
    <mergeCell ref="B252:B253"/>
    <mergeCell ref="C252:C253"/>
    <mergeCell ref="D252:D253"/>
    <mergeCell ref="E252:F252"/>
    <mergeCell ref="B262:C262"/>
    <mergeCell ref="B264:C264"/>
    <mergeCell ref="B266:B267"/>
    <mergeCell ref="C266:C267"/>
    <mergeCell ref="D266:D267"/>
    <mergeCell ref="E266:F266"/>
    <mergeCell ref="B276:C276"/>
    <mergeCell ref="B278:C278"/>
    <mergeCell ref="B280:B281"/>
    <mergeCell ref="C280:C281"/>
    <mergeCell ref="D280:D281"/>
    <mergeCell ref="E280:F280"/>
    <mergeCell ref="B290:C290"/>
    <mergeCell ref="B292:C292"/>
    <mergeCell ref="B294:B295"/>
    <mergeCell ref="C294:C295"/>
    <mergeCell ref="D294:D295"/>
    <mergeCell ref="E294:F294"/>
    <mergeCell ref="B304:C304"/>
    <mergeCell ref="B306:C306"/>
    <mergeCell ref="B308:B309"/>
    <mergeCell ref="C308:C309"/>
    <mergeCell ref="D308:D309"/>
    <mergeCell ref="E308:F308"/>
    <mergeCell ref="B318:C318"/>
    <mergeCell ref="B320:C320"/>
    <mergeCell ref="B322:B323"/>
    <mergeCell ref="C322:C323"/>
    <mergeCell ref="D322:D323"/>
    <mergeCell ref="E322:F322"/>
    <mergeCell ref="B332:C332"/>
    <mergeCell ref="B334:C334"/>
    <mergeCell ref="B336:B337"/>
    <mergeCell ref="C336:C337"/>
    <mergeCell ref="D336:D337"/>
    <mergeCell ref="E336:F336"/>
    <mergeCell ref="B346:C346"/>
    <mergeCell ref="B348:C348"/>
    <mergeCell ref="B350:B351"/>
    <mergeCell ref="C350:C351"/>
    <mergeCell ref="D350:D351"/>
    <mergeCell ref="E350:F350"/>
    <mergeCell ref="B360:C360"/>
    <mergeCell ref="B362:C362"/>
    <mergeCell ref="B364:B365"/>
    <mergeCell ref="C364:C365"/>
    <mergeCell ref="D364:D365"/>
    <mergeCell ref="E364:F364"/>
    <mergeCell ref="T360:U360"/>
    <mergeCell ref="T362:U362"/>
    <mergeCell ref="T364:T365"/>
    <mergeCell ref="U364:U365"/>
    <mergeCell ref="V364:V365"/>
    <mergeCell ref="W364:X364"/>
    <mergeCell ref="B374:C374"/>
    <mergeCell ref="B376:C376"/>
    <mergeCell ref="B378:B379"/>
    <mergeCell ref="C378:C379"/>
    <mergeCell ref="D378:D379"/>
    <mergeCell ref="E378:F378"/>
    <mergeCell ref="H360:I360"/>
    <mergeCell ref="H362:I362"/>
    <mergeCell ref="H364:H365"/>
    <mergeCell ref="I364:I365"/>
    <mergeCell ref="J364:J365"/>
    <mergeCell ref="K364:L364"/>
    <mergeCell ref="N360:O360"/>
    <mergeCell ref="N362:O362"/>
    <mergeCell ref="N364:N365"/>
    <mergeCell ref="O364:O365"/>
    <mergeCell ref="P364:P365"/>
    <mergeCell ref="Q364:R364"/>
    <mergeCell ref="B388:C388"/>
    <mergeCell ref="B390:C390"/>
    <mergeCell ref="B392:B393"/>
    <mergeCell ref="C392:C393"/>
    <mergeCell ref="D392:D393"/>
    <mergeCell ref="E392:F392"/>
    <mergeCell ref="B402:C402"/>
    <mergeCell ref="B404:C404"/>
    <mergeCell ref="B406:B407"/>
    <mergeCell ref="C406:C407"/>
    <mergeCell ref="D406:D407"/>
    <mergeCell ref="E406:F406"/>
    <mergeCell ref="B416:C416"/>
    <mergeCell ref="B418:C418"/>
    <mergeCell ref="B420:B421"/>
    <mergeCell ref="C420:C421"/>
    <mergeCell ref="D420:D421"/>
    <mergeCell ref="E420:F420"/>
    <mergeCell ref="B430:C430"/>
    <mergeCell ref="B432:C432"/>
    <mergeCell ref="B434:B435"/>
    <mergeCell ref="C434:C435"/>
    <mergeCell ref="D434:D435"/>
    <mergeCell ref="E434:F434"/>
    <mergeCell ref="H432:I432"/>
    <mergeCell ref="H434:H435"/>
    <mergeCell ref="I434:I435"/>
    <mergeCell ref="J434:J435"/>
    <mergeCell ref="K434:L434"/>
    <mergeCell ref="B444:C444"/>
    <mergeCell ref="B446:C446"/>
    <mergeCell ref="B448:B449"/>
    <mergeCell ref="C448:C449"/>
    <mergeCell ref="D448:D449"/>
    <mergeCell ref="E448:F448"/>
    <mergeCell ref="H444:I444"/>
    <mergeCell ref="H446:I446"/>
    <mergeCell ref="H448:H449"/>
    <mergeCell ref="I448:I449"/>
    <mergeCell ref="J448:J449"/>
    <mergeCell ref="K448:L448"/>
    <mergeCell ref="H430:I430"/>
    <mergeCell ref="Z444:AA444"/>
    <mergeCell ref="Z446:AA446"/>
    <mergeCell ref="Z448:Z449"/>
    <mergeCell ref="AA448:AA449"/>
    <mergeCell ref="AB448:AB449"/>
    <mergeCell ref="AC448:AD448"/>
    <mergeCell ref="AF444:AG444"/>
    <mergeCell ref="AF446:AG446"/>
    <mergeCell ref="AF448:AF449"/>
    <mergeCell ref="AG448:AG449"/>
    <mergeCell ref="AL444:AM444"/>
    <mergeCell ref="AL446:AM446"/>
    <mergeCell ref="AL448:AL449"/>
    <mergeCell ref="AM448:AM449"/>
    <mergeCell ref="AN448:AN449"/>
    <mergeCell ref="AO448:AP448"/>
    <mergeCell ref="AR444:AS444"/>
    <mergeCell ref="AR446:AS446"/>
    <mergeCell ref="AR448:AR449"/>
    <mergeCell ref="AS448:AS449"/>
    <mergeCell ref="V532:V533"/>
    <mergeCell ref="W532:X532"/>
    <mergeCell ref="AT448:AT449"/>
    <mergeCell ref="AU448:AV448"/>
    <mergeCell ref="B458:C458"/>
    <mergeCell ref="B460:C460"/>
    <mergeCell ref="B462:B463"/>
    <mergeCell ref="C462:C463"/>
    <mergeCell ref="D462:D463"/>
    <mergeCell ref="E462:F462"/>
    <mergeCell ref="B472:C472"/>
    <mergeCell ref="AH448:AH449"/>
    <mergeCell ref="AI448:AJ448"/>
    <mergeCell ref="V448:V449"/>
    <mergeCell ref="W448:X448"/>
    <mergeCell ref="B474:C474"/>
    <mergeCell ref="B476:B477"/>
    <mergeCell ref="C476:C477"/>
    <mergeCell ref="D476:D477"/>
    <mergeCell ref="E476:F476"/>
    <mergeCell ref="H472:I472"/>
    <mergeCell ref="H474:I474"/>
    <mergeCell ref="H476:H477"/>
    <mergeCell ref="I476:I477"/>
    <mergeCell ref="N472:O472"/>
    <mergeCell ref="N474:O474"/>
    <mergeCell ref="N476:N477"/>
    <mergeCell ref="O476:O477"/>
    <mergeCell ref="P476:P477"/>
    <mergeCell ref="Q476:R476"/>
    <mergeCell ref="T472:U472"/>
    <mergeCell ref="T474:U474"/>
    <mergeCell ref="W476:X476"/>
    <mergeCell ref="B486:C486"/>
    <mergeCell ref="B488:C488"/>
    <mergeCell ref="B490:B491"/>
    <mergeCell ref="C490:C491"/>
    <mergeCell ref="D490:D491"/>
    <mergeCell ref="E490:F490"/>
    <mergeCell ref="B500:C500"/>
    <mergeCell ref="J476:J477"/>
    <mergeCell ref="K476:L476"/>
    <mergeCell ref="B502:C502"/>
    <mergeCell ref="B504:B505"/>
    <mergeCell ref="C504:C505"/>
    <mergeCell ref="D504:D505"/>
    <mergeCell ref="E504:F504"/>
    <mergeCell ref="H500:I500"/>
    <mergeCell ref="H502:I502"/>
    <mergeCell ref="H504:H505"/>
    <mergeCell ref="I504:I505"/>
    <mergeCell ref="J504:J505"/>
    <mergeCell ref="K504:L504"/>
    <mergeCell ref="T476:T477"/>
    <mergeCell ref="U476:U477"/>
    <mergeCell ref="B542:C542"/>
    <mergeCell ref="B544:C544"/>
    <mergeCell ref="B546:B547"/>
    <mergeCell ref="C546:C547"/>
    <mergeCell ref="D546:D547"/>
    <mergeCell ref="E546:F546"/>
    <mergeCell ref="H542:I542"/>
    <mergeCell ref="H544:I544"/>
    <mergeCell ref="H546:H547"/>
    <mergeCell ref="I546:I547"/>
    <mergeCell ref="J546:J547"/>
    <mergeCell ref="K546:L546"/>
    <mergeCell ref="J532:J533"/>
    <mergeCell ref="K532:L532"/>
    <mergeCell ref="B514:C514"/>
    <mergeCell ref="B516:C516"/>
    <mergeCell ref="B518:B519"/>
    <mergeCell ref="C518:C519"/>
    <mergeCell ref="D518:D519"/>
    <mergeCell ref="E518:F518"/>
    <mergeCell ref="H514:I514"/>
    <mergeCell ref="H516:I516"/>
    <mergeCell ref="H518:H519"/>
    <mergeCell ref="I518:I519"/>
    <mergeCell ref="J518:J519"/>
    <mergeCell ref="K518:L518"/>
    <mergeCell ref="B528:C528"/>
    <mergeCell ref="B530:C530"/>
    <mergeCell ref="B532:B533"/>
    <mergeCell ref="C532:C533"/>
    <mergeCell ref="D532:D533"/>
    <mergeCell ref="E532:F532"/>
    <mergeCell ref="H560:H561"/>
    <mergeCell ref="I560:I561"/>
    <mergeCell ref="N556:O556"/>
    <mergeCell ref="N558:O558"/>
    <mergeCell ref="N560:N561"/>
    <mergeCell ref="O560:O561"/>
    <mergeCell ref="P560:P561"/>
    <mergeCell ref="Q560:R560"/>
    <mergeCell ref="T556:U556"/>
    <mergeCell ref="T558:U558"/>
    <mergeCell ref="T560:T561"/>
    <mergeCell ref="U560:U561"/>
    <mergeCell ref="N528:O528"/>
    <mergeCell ref="N530:O530"/>
    <mergeCell ref="N532:N533"/>
    <mergeCell ref="O532:O533"/>
    <mergeCell ref="P532:P533"/>
    <mergeCell ref="Q532:R532"/>
    <mergeCell ref="T528:U528"/>
    <mergeCell ref="T530:U530"/>
    <mergeCell ref="T532:T533"/>
    <mergeCell ref="U532:U533"/>
    <mergeCell ref="H528:I528"/>
    <mergeCell ref="H530:I530"/>
    <mergeCell ref="H532:H533"/>
    <mergeCell ref="I532:I533"/>
    <mergeCell ref="Z556:AA556"/>
    <mergeCell ref="Z558:AA558"/>
    <mergeCell ref="Z560:Z561"/>
    <mergeCell ref="AA560:AA561"/>
    <mergeCell ref="AB560:AB561"/>
    <mergeCell ref="AC560:AD560"/>
    <mergeCell ref="B570:C570"/>
    <mergeCell ref="B572:C572"/>
    <mergeCell ref="B574:B575"/>
    <mergeCell ref="C574:C575"/>
    <mergeCell ref="D574:D575"/>
    <mergeCell ref="E574:F574"/>
    <mergeCell ref="H570:I570"/>
    <mergeCell ref="H572:I572"/>
    <mergeCell ref="H574:H575"/>
    <mergeCell ref="I574:I575"/>
    <mergeCell ref="J574:J575"/>
    <mergeCell ref="K574:L574"/>
    <mergeCell ref="N570:O570"/>
    <mergeCell ref="N572:O572"/>
    <mergeCell ref="N574:N575"/>
    <mergeCell ref="O574:O575"/>
    <mergeCell ref="P574:P575"/>
    <mergeCell ref="Q574:R574"/>
    <mergeCell ref="B556:C556"/>
    <mergeCell ref="B558:C558"/>
    <mergeCell ref="B560:B561"/>
    <mergeCell ref="C560:C561"/>
    <mergeCell ref="D560:D561"/>
    <mergeCell ref="E560:F560"/>
    <mergeCell ref="H556:I556"/>
    <mergeCell ref="H558:I558"/>
    <mergeCell ref="AH574:AH575"/>
    <mergeCell ref="AI574:AJ574"/>
    <mergeCell ref="AL570:AM570"/>
    <mergeCell ref="AL572:AM572"/>
    <mergeCell ref="AL574:AL575"/>
    <mergeCell ref="AM574:AM575"/>
    <mergeCell ref="AN574:AN575"/>
    <mergeCell ref="AO574:AP574"/>
    <mergeCell ref="B584:C584"/>
    <mergeCell ref="N584:O584"/>
    <mergeCell ref="Z570:AA570"/>
    <mergeCell ref="Z572:AA572"/>
    <mergeCell ref="Z574:Z575"/>
    <mergeCell ref="AA574:AA575"/>
    <mergeCell ref="AB574:AB575"/>
    <mergeCell ref="AC574:AD574"/>
    <mergeCell ref="AF570:AG570"/>
    <mergeCell ref="AF572:AG572"/>
    <mergeCell ref="AF574:AF575"/>
    <mergeCell ref="AG574:AG575"/>
    <mergeCell ref="B586:C586"/>
    <mergeCell ref="B588:B589"/>
    <mergeCell ref="C588:C589"/>
    <mergeCell ref="D588:D589"/>
    <mergeCell ref="E588:F588"/>
    <mergeCell ref="H584:I584"/>
    <mergeCell ref="H586:I586"/>
    <mergeCell ref="H588:H589"/>
    <mergeCell ref="I588:I589"/>
    <mergeCell ref="O588:O589"/>
    <mergeCell ref="P588:P589"/>
    <mergeCell ref="Q588:R588"/>
    <mergeCell ref="B598:C598"/>
    <mergeCell ref="B600:C600"/>
    <mergeCell ref="B602:B603"/>
    <mergeCell ref="C602:C603"/>
    <mergeCell ref="D602:D603"/>
    <mergeCell ref="E602:F602"/>
    <mergeCell ref="H598:I598"/>
    <mergeCell ref="H600:I600"/>
    <mergeCell ref="H602:H603"/>
    <mergeCell ref="I602:I603"/>
    <mergeCell ref="J602:J603"/>
    <mergeCell ref="K602:L602"/>
    <mergeCell ref="J588:J589"/>
    <mergeCell ref="K588:L588"/>
    <mergeCell ref="N586:O586"/>
    <mergeCell ref="N588:N589"/>
    <mergeCell ref="B612:C612"/>
    <mergeCell ref="B614:C614"/>
    <mergeCell ref="B616:B617"/>
    <mergeCell ref="C616:C617"/>
    <mergeCell ref="D616:D617"/>
    <mergeCell ref="E616:F616"/>
    <mergeCell ref="B626:C626"/>
    <mergeCell ref="B628:C628"/>
    <mergeCell ref="B630:B631"/>
    <mergeCell ref="C630:C631"/>
    <mergeCell ref="D630:D631"/>
    <mergeCell ref="E630:F630"/>
    <mergeCell ref="H626:I626"/>
    <mergeCell ref="H628:I628"/>
    <mergeCell ref="H630:H631"/>
    <mergeCell ref="I630:I631"/>
    <mergeCell ref="J630:J631"/>
    <mergeCell ref="B640:C640"/>
    <mergeCell ref="B642:C642"/>
    <mergeCell ref="B644:B645"/>
    <mergeCell ref="C644:C645"/>
    <mergeCell ref="D644:D645"/>
    <mergeCell ref="E644:F644"/>
    <mergeCell ref="H640:I640"/>
    <mergeCell ref="H642:I642"/>
    <mergeCell ref="H644:H645"/>
    <mergeCell ref="I644:I645"/>
    <mergeCell ref="J644:J645"/>
    <mergeCell ref="K644:L644"/>
    <mergeCell ref="B654:C654"/>
    <mergeCell ref="B656:C656"/>
    <mergeCell ref="B658:B659"/>
    <mergeCell ref="C658:C659"/>
    <mergeCell ref="D658:D659"/>
    <mergeCell ref="E658:F658"/>
    <mergeCell ref="H654:I654"/>
    <mergeCell ref="H656:I656"/>
    <mergeCell ref="H658:H659"/>
    <mergeCell ref="I658:I659"/>
    <mergeCell ref="J658:J659"/>
    <mergeCell ref="K658:L658"/>
    <mergeCell ref="T654:U654"/>
    <mergeCell ref="T656:U656"/>
    <mergeCell ref="T658:T659"/>
    <mergeCell ref="U658:U659"/>
    <mergeCell ref="V658:V659"/>
    <mergeCell ref="W658:X658"/>
    <mergeCell ref="B668:C668"/>
    <mergeCell ref="B670:C670"/>
    <mergeCell ref="B672:B673"/>
    <mergeCell ref="C672:C673"/>
    <mergeCell ref="D672:D673"/>
    <mergeCell ref="E672:F672"/>
    <mergeCell ref="B682:C682"/>
    <mergeCell ref="B684:C684"/>
    <mergeCell ref="B686:B687"/>
    <mergeCell ref="C686:C687"/>
    <mergeCell ref="D686:D687"/>
    <mergeCell ref="E686:F686"/>
    <mergeCell ref="H682:I682"/>
    <mergeCell ref="H684:I684"/>
    <mergeCell ref="H686:H687"/>
    <mergeCell ref="I686:I687"/>
    <mergeCell ref="J714:J715"/>
    <mergeCell ref="K714:L714"/>
    <mergeCell ref="J686:J687"/>
    <mergeCell ref="K686:L686"/>
    <mergeCell ref="B696:C696"/>
    <mergeCell ref="B698:C698"/>
    <mergeCell ref="B700:B701"/>
    <mergeCell ref="C700:C701"/>
    <mergeCell ref="D700:D701"/>
    <mergeCell ref="E700:F700"/>
    <mergeCell ref="H696:I696"/>
    <mergeCell ref="H698:I698"/>
    <mergeCell ref="H700:H701"/>
    <mergeCell ref="I700:I701"/>
    <mergeCell ref="J700:J701"/>
    <mergeCell ref="K700:L700"/>
    <mergeCell ref="B710:C710"/>
    <mergeCell ref="B712:C712"/>
    <mergeCell ref="B714:B715"/>
    <mergeCell ref="C714:C715"/>
    <mergeCell ref="D714:D715"/>
    <mergeCell ref="E714:F714"/>
    <mergeCell ref="H710:I710"/>
    <mergeCell ref="H712:I712"/>
    <mergeCell ref="H714:H715"/>
    <mergeCell ref="I714:I715"/>
    <mergeCell ref="B724:C724"/>
    <mergeCell ref="B726:C726"/>
    <mergeCell ref="B728:B729"/>
    <mergeCell ref="C728:C729"/>
    <mergeCell ref="D728:D729"/>
    <mergeCell ref="E728:F728"/>
    <mergeCell ref="B738:C738"/>
    <mergeCell ref="B740:C740"/>
    <mergeCell ref="B742:B743"/>
    <mergeCell ref="C742:C743"/>
    <mergeCell ref="D742:D743"/>
    <mergeCell ref="E742:F742"/>
    <mergeCell ref="J756:J757"/>
    <mergeCell ref="K756:L756"/>
    <mergeCell ref="N752:O752"/>
    <mergeCell ref="N754:O754"/>
    <mergeCell ref="N756:N757"/>
    <mergeCell ref="O756:O757"/>
    <mergeCell ref="P756:P757"/>
    <mergeCell ref="Q756:R756"/>
    <mergeCell ref="B766:C766"/>
    <mergeCell ref="B752:C752"/>
    <mergeCell ref="B754:C754"/>
    <mergeCell ref="B756:B757"/>
    <mergeCell ref="C756:C757"/>
    <mergeCell ref="D756:D757"/>
    <mergeCell ref="E756:F756"/>
    <mergeCell ref="H752:I752"/>
    <mergeCell ref="H754:I754"/>
    <mergeCell ref="H756:H757"/>
    <mergeCell ref="I756:I757"/>
    <mergeCell ref="J770:J771"/>
    <mergeCell ref="K770:L770"/>
    <mergeCell ref="N766:O766"/>
    <mergeCell ref="N768:O768"/>
    <mergeCell ref="N770:N771"/>
    <mergeCell ref="O770:O771"/>
    <mergeCell ref="P770:P771"/>
    <mergeCell ref="Q770:R770"/>
    <mergeCell ref="B780:C780"/>
    <mergeCell ref="B768:C768"/>
    <mergeCell ref="B770:B771"/>
    <mergeCell ref="C770:C771"/>
    <mergeCell ref="D770:D771"/>
    <mergeCell ref="E770:F770"/>
    <mergeCell ref="H766:I766"/>
    <mergeCell ref="H768:I768"/>
    <mergeCell ref="H770:H771"/>
    <mergeCell ref="I770:I771"/>
    <mergeCell ref="H794:I794"/>
    <mergeCell ref="H796:I796"/>
    <mergeCell ref="H798:H799"/>
    <mergeCell ref="I798:I799"/>
    <mergeCell ref="J798:J799"/>
    <mergeCell ref="K798:L798"/>
    <mergeCell ref="B782:C782"/>
    <mergeCell ref="B784:B785"/>
    <mergeCell ref="C784:C785"/>
    <mergeCell ref="D784:D785"/>
    <mergeCell ref="E784:F784"/>
    <mergeCell ref="B794:C794"/>
    <mergeCell ref="B796:C796"/>
    <mergeCell ref="B798:B799"/>
    <mergeCell ref="C798:C799"/>
    <mergeCell ref="D798:D799"/>
    <mergeCell ref="E798:F798"/>
  </mergeCells>
  <phoneticPr fontId="55" type="noConversion"/>
  <conditionalFormatting sqref="BG1939">
    <cfRule type="cellIs" dxfId="159" priority="352" stopIfTrue="1" operator="notEqual">
      <formula>BH1939</formula>
    </cfRule>
  </conditionalFormatting>
  <conditionalFormatting sqref="BH1939">
    <cfRule type="cellIs" dxfId="158" priority="351" stopIfTrue="1" operator="notEqual">
      <formula>BG1939</formula>
    </cfRule>
  </conditionalFormatting>
  <printOptions horizontalCentered="1"/>
  <pageMargins left="0.19685039370078741" right="0.19685039370078741" top="0.39370078740157483" bottom="0.39370078740157483" header="0" footer="0"/>
  <pageSetup paperSize="9" scale="80" orientation="landscape" horizontalDpi="120" verticalDpi="72" r:id="rId1"/>
  <headerFooter alignWithMargins="0">
    <oddFooter>&amp;C&amp;A&amp;R&amp;P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21"/>
    <pageSetUpPr fitToPage="1"/>
  </sheetPr>
  <dimension ref="B1:O109"/>
  <sheetViews>
    <sheetView showGridLines="0" topLeftCell="H69" zoomScale="80" zoomScaleNormal="80" workbookViewId="0">
      <selection activeCell="N90" sqref="N90"/>
    </sheetView>
  </sheetViews>
  <sheetFormatPr baseColWidth="10" defaultColWidth="11.44140625" defaultRowHeight="14.4" x14ac:dyDescent="0.25"/>
  <cols>
    <col min="1" max="1" width="3.6640625" style="159" customWidth="1"/>
    <col min="2" max="2" width="8.5546875" style="159" bestFit="1" customWidth="1"/>
    <col min="3" max="3" width="80.44140625" style="159" bestFit="1" customWidth="1"/>
    <col min="4" max="5" width="17.6640625" style="159" customWidth="1"/>
    <col min="6" max="7" width="16.6640625" style="159" customWidth="1"/>
    <col min="8" max="15" width="15.6640625" style="159" customWidth="1"/>
    <col min="16" max="16" width="3.6640625" style="159" customWidth="1"/>
    <col min="17" max="17" width="15.6640625" style="159" customWidth="1"/>
    <col min="18" max="16384" width="11.44140625" style="159"/>
  </cols>
  <sheetData>
    <row r="1" spans="2:15" ht="15.6" x14ac:dyDescent="0.25">
      <c r="B1" s="7"/>
      <c r="C1" s="7"/>
      <c r="D1" s="7"/>
      <c r="E1" s="7"/>
    </row>
    <row r="2" spans="2:15" ht="15.6" x14ac:dyDescent="0.25">
      <c r="C2" s="206" t="s">
        <v>321</v>
      </c>
      <c r="D2" s="256" t="s">
        <v>482</v>
      </c>
      <c r="E2" s="233"/>
    </row>
    <row r="3" spans="2:15" ht="15.6" x14ac:dyDescent="0.25">
      <c r="C3" s="1"/>
      <c r="D3" s="2"/>
      <c r="E3" s="7"/>
    </row>
    <row r="4" spans="2:15" ht="15.6" x14ac:dyDescent="0.25">
      <c r="C4" s="206" t="s">
        <v>322</v>
      </c>
      <c r="D4" s="257" t="str">
        <f>'Base de Datos'!C8</f>
        <v>MARZO</v>
      </c>
      <c r="E4" s="234"/>
    </row>
    <row r="5" spans="2:15" ht="15.6" x14ac:dyDescent="0.25">
      <c r="C5" s="1"/>
      <c r="D5" s="2"/>
      <c r="E5" s="7"/>
    </row>
    <row r="6" spans="2:15" ht="15.6" x14ac:dyDescent="0.25">
      <c r="C6" s="206" t="s">
        <v>323</v>
      </c>
      <c r="D6" s="254">
        <f>'Base de Datos'!$C$9</f>
        <v>2015</v>
      </c>
      <c r="E6" s="255"/>
    </row>
    <row r="7" spans="2:15" ht="15.6" x14ac:dyDescent="0.25">
      <c r="C7" s="1"/>
      <c r="D7" s="205"/>
      <c r="E7" s="7"/>
    </row>
    <row r="8" spans="2:15" ht="15.6" x14ac:dyDescent="0.25">
      <c r="C8" s="206" t="s">
        <v>324</v>
      </c>
      <c r="D8" s="231">
        <f>'Base de Datos'!$C$6</f>
        <v>20411074561</v>
      </c>
      <c r="E8" s="234"/>
    </row>
    <row r="9" spans="2:15" ht="15.6" x14ac:dyDescent="0.25">
      <c r="C9" s="1"/>
      <c r="D9" s="2"/>
      <c r="E9" s="7"/>
    </row>
    <row r="10" spans="2:15" ht="15.6" x14ac:dyDescent="0.25">
      <c r="C10" s="206" t="s">
        <v>325</v>
      </c>
      <c r="D10" s="254" t="str">
        <f>'Base de Datos'!$C$5</f>
        <v>LOS BAILARINES SRL</v>
      </c>
      <c r="E10" s="234"/>
    </row>
    <row r="11" spans="2:15" ht="15.6" x14ac:dyDescent="0.25">
      <c r="B11" s="7"/>
      <c r="C11" s="7"/>
      <c r="D11" s="7"/>
      <c r="E11" s="7"/>
    </row>
    <row r="12" spans="2:15" ht="14.25" customHeight="1" x14ac:dyDescent="0.25">
      <c r="B12" s="7"/>
      <c r="C12" s="7"/>
      <c r="D12" s="7"/>
      <c r="E12" s="7"/>
    </row>
    <row r="13" spans="2:15" ht="15" thickBot="1" x14ac:dyDescent="0.3">
      <c r="B13" s="211">
        <f>COUNT(B16:B87)</f>
        <v>70</v>
      </c>
    </row>
    <row r="14" spans="2:15" ht="42.75" customHeight="1" x14ac:dyDescent="0.25">
      <c r="B14" s="338" t="s">
        <v>475</v>
      </c>
      <c r="C14" s="339"/>
      <c r="D14" s="339" t="s">
        <v>476</v>
      </c>
      <c r="E14" s="339"/>
      <c r="F14" s="339" t="s">
        <v>477</v>
      </c>
      <c r="G14" s="339"/>
      <c r="H14" s="339" t="s">
        <v>404</v>
      </c>
      <c r="I14" s="339"/>
      <c r="J14" s="336" t="s">
        <v>478</v>
      </c>
      <c r="K14" s="336"/>
      <c r="L14" s="336" t="s">
        <v>480</v>
      </c>
      <c r="M14" s="336"/>
      <c r="N14" s="336" t="s">
        <v>481</v>
      </c>
      <c r="O14" s="337"/>
    </row>
    <row r="15" spans="2:15" ht="29.4" thickBot="1" x14ac:dyDescent="0.3">
      <c r="B15" s="207" t="s">
        <v>371</v>
      </c>
      <c r="C15" s="208" t="s">
        <v>372</v>
      </c>
      <c r="D15" s="208" t="s">
        <v>395</v>
      </c>
      <c r="E15" s="208" t="s">
        <v>394</v>
      </c>
      <c r="F15" s="208" t="s">
        <v>403</v>
      </c>
      <c r="G15" s="208" t="s">
        <v>402</v>
      </c>
      <c r="H15" s="208" t="s">
        <v>395</v>
      </c>
      <c r="I15" s="208" t="s">
        <v>394</v>
      </c>
      <c r="J15" s="208" t="s">
        <v>399</v>
      </c>
      <c r="K15" s="209" t="s">
        <v>479</v>
      </c>
      <c r="L15" s="208" t="s">
        <v>401</v>
      </c>
      <c r="M15" s="208" t="s">
        <v>400</v>
      </c>
      <c r="N15" s="208" t="s">
        <v>401</v>
      </c>
      <c r="O15" s="210" t="s">
        <v>400</v>
      </c>
    </row>
    <row r="16" spans="2:15" ht="15" thickTop="1" x14ac:dyDescent="0.25">
      <c r="B16" s="212">
        <v>10</v>
      </c>
      <c r="C16" s="190" t="str">
        <f t="shared" ref="C16:C79" si="0">VLOOKUP(B16,CuentasContables,5,FALSE)</f>
        <v>EFECTIVO Y EQUIVALENTES DE EFECTIVO</v>
      </c>
      <c r="D16" s="191">
        <f>'Libro Mayor - Nivel Cuentas'!E22</f>
        <v>1018450</v>
      </c>
      <c r="E16" s="191">
        <f>'Libro Mayor - Nivel Cuentas'!F22</f>
        <v>191809</v>
      </c>
      <c r="F16" s="191">
        <f>IF(D16&gt;E16,D16-E16,0)</f>
        <v>826641</v>
      </c>
      <c r="G16" s="191">
        <f>IF(D16&lt;E16,E16-D16,0)</f>
        <v>0</v>
      </c>
      <c r="H16" s="191"/>
      <c r="I16" s="191"/>
      <c r="J16" s="191">
        <f t="shared" ref="J16:J47" si="1">IF(60&gt;B16,F16,0)</f>
        <v>826641</v>
      </c>
      <c r="K16" s="191">
        <f t="shared" ref="K16:K47" si="2">IF(60&gt;B16,G16,0)</f>
        <v>0</v>
      </c>
      <c r="L16" s="191">
        <f>IF(AND(B16&gt;92,B16&lt;99),F16,IF(B16=74,F16,IF(B16=69,F16,IF(B16=66,F16,0))))</f>
        <v>0</v>
      </c>
      <c r="M16" s="191">
        <f>IF(AND(B16&gt;69,B16&lt;79),G16,0)</f>
        <v>0</v>
      </c>
      <c r="N16" s="191">
        <f>IF(AND(B16&gt;59,B16&lt;69),F16,IF(B16=74,F16,0))</f>
        <v>0</v>
      </c>
      <c r="O16" s="196">
        <f>IF(AND(B16&gt;69,B16&lt;79),G16,IF(B16=61,G16,0))</f>
        <v>0</v>
      </c>
    </row>
    <row r="17" spans="2:15" x14ac:dyDescent="0.25">
      <c r="B17" s="212">
        <v>11</v>
      </c>
      <c r="C17" s="190" t="str">
        <f t="shared" si="0"/>
        <v>INVERSIONES FINANCIERAS</v>
      </c>
      <c r="D17" s="191">
        <f>'Libro Mayor - Nivel Cuentas'!K22</f>
        <v>0</v>
      </c>
      <c r="E17" s="191">
        <f>'Libro Mayor - Nivel Cuentas'!L22</f>
        <v>0</v>
      </c>
      <c r="F17" s="191">
        <f t="shared" ref="F17:F82" si="3">IF(D17&gt;E17,D17-E17,0)</f>
        <v>0</v>
      </c>
      <c r="G17" s="191">
        <f t="shared" ref="G17:G82" si="4">IF(D17&lt;E17,E17-D17,0)</f>
        <v>0</v>
      </c>
      <c r="H17" s="191"/>
      <c r="I17" s="191"/>
      <c r="J17" s="191">
        <f t="shared" si="1"/>
        <v>0</v>
      </c>
      <c r="K17" s="191">
        <f t="shared" si="2"/>
        <v>0</v>
      </c>
      <c r="L17" s="191">
        <f t="shared" ref="L17:L82" si="5">IF(AND(B17&gt;92,B17&lt;99),F17,IF(B17=74,F17,IF(B17=69,F17,IF(B17=66,F17,0))))</f>
        <v>0</v>
      </c>
      <c r="M17" s="191">
        <f t="shared" ref="M17:M82" si="6">IF(AND(B17&gt;69,B17&lt;79),G17,0)</f>
        <v>0</v>
      </c>
      <c r="N17" s="191">
        <f t="shared" ref="N17:N62" si="7">IF(AND(B17&gt;59,B17&lt;69),F17,IF(B17=74,F17,0))</f>
        <v>0</v>
      </c>
      <c r="O17" s="196">
        <f t="shared" ref="O17:O62" si="8">IF(AND(B17&gt;69,B17&lt;79),G17,IF(B17=61,G17,0))</f>
        <v>0</v>
      </c>
    </row>
    <row r="18" spans="2:15" x14ac:dyDescent="0.25">
      <c r="B18" s="212">
        <v>12</v>
      </c>
      <c r="C18" s="190" t="str">
        <f t="shared" si="0"/>
        <v>CUENTAS POR COBRAR COMERCIALES - TERCEROS</v>
      </c>
      <c r="D18" s="191">
        <f>'Libro Mayor - Nivel Cuentas'!Q22</f>
        <v>726880</v>
      </c>
      <c r="E18" s="191">
        <f>'Libro Mayor - Nivel Cuentas'!R22</f>
        <v>0</v>
      </c>
      <c r="F18" s="191">
        <f t="shared" si="3"/>
        <v>726880</v>
      </c>
      <c r="G18" s="191">
        <f t="shared" si="4"/>
        <v>0</v>
      </c>
      <c r="H18" s="191"/>
      <c r="I18" s="191"/>
      <c r="J18" s="191">
        <f t="shared" si="1"/>
        <v>726880</v>
      </c>
      <c r="K18" s="191">
        <f t="shared" si="2"/>
        <v>0</v>
      </c>
      <c r="L18" s="191">
        <f t="shared" si="5"/>
        <v>0</v>
      </c>
      <c r="M18" s="191">
        <f t="shared" si="6"/>
        <v>0</v>
      </c>
      <c r="N18" s="191">
        <f t="shared" si="7"/>
        <v>0</v>
      </c>
      <c r="O18" s="196">
        <f t="shared" si="8"/>
        <v>0</v>
      </c>
    </row>
    <row r="19" spans="2:15" x14ac:dyDescent="0.25">
      <c r="B19" s="212">
        <v>13</v>
      </c>
      <c r="C19" s="190" t="str">
        <f t="shared" si="0"/>
        <v>CUENTAS POR COBRAR COMERCIALES - RELACIONADAS</v>
      </c>
      <c r="D19" s="191">
        <f>'Libro Mayor - Nivel Cuentas'!W22</f>
        <v>0</v>
      </c>
      <c r="E19" s="191">
        <f>'Libro Mayor - Nivel Cuentas'!X22</f>
        <v>0</v>
      </c>
      <c r="F19" s="191">
        <f t="shared" si="3"/>
        <v>0</v>
      </c>
      <c r="G19" s="191">
        <f t="shared" si="4"/>
        <v>0</v>
      </c>
      <c r="H19" s="191"/>
      <c r="I19" s="191"/>
      <c r="J19" s="191">
        <f t="shared" si="1"/>
        <v>0</v>
      </c>
      <c r="K19" s="191">
        <f t="shared" si="2"/>
        <v>0</v>
      </c>
      <c r="L19" s="191">
        <f t="shared" si="5"/>
        <v>0</v>
      </c>
      <c r="M19" s="191">
        <f t="shared" si="6"/>
        <v>0</v>
      </c>
      <c r="N19" s="191">
        <f t="shared" si="7"/>
        <v>0</v>
      </c>
      <c r="O19" s="196">
        <f t="shared" si="8"/>
        <v>0</v>
      </c>
    </row>
    <row r="20" spans="2:15" x14ac:dyDescent="0.25">
      <c r="B20" s="212">
        <v>14</v>
      </c>
      <c r="C20" s="190" t="str">
        <f t="shared" si="0"/>
        <v>CUENTAS POR COBRAR AL PERSONAL, A LOS ACCIONISTAS (SOCIOS), DIRECTORES Y GERENTES</v>
      </c>
      <c r="D20" s="191">
        <f>'Libro Mayor - Nivel Cuentas'!AC22</f>
        <v>0</v>
      </c>
      <c r="E20" s="191">
        <f>'Libro Mayor - Nivel Cuentas'!AD22</f>
        <v>0</v>
      </c>
      <c r="F20" s="191">
        <f t="shared" si="3"/>
        <v>0</v>
      </c>
      <c r="G20" s="191">
        <f t="shared" si="4"/>
        <v>0</v>
      </c>
      <c r="H20" s="191"/>
      <c r="I20" s="191"/>
      <c r="J20" s="191">
        <f t="shared" si="1"/>
        <v>0</v>
      </c>
      <c r="K20" s="191">
        <f t="shared" si="2"/>
        <v>0</v>
      </c>
      <c r="L20" s="191">
        <f t="shared" si="5"/>
        <v>0</v>
      </c>
      <c r="M20" s="191">
        <f t="shared" si="6"/>
        <v>0</v>
      </c>
      <c r="N20" s="191">
        <f t="shared" si="7"/>
        <v>0</v>
      </c>
      <c r="O20" s="196">
        <f t="shared" si="8"/>
        <v>0</v>
      </c>
    </row>
    <row r="21" spans="2:15" x14ac:dyDescent="0.25">
      <c r="B21" s="212">
        <v>16</v>
      </c>
      <c r="C21" s="190" t="str">
        <f t="shared" si="0"/>
        <v>CUENTAS POR COBRAR DIVERSAS - TERCEROS</v>
      </c>
      <c r="D21" s="191">
        <f>'Libro Mayor - Nivel Cuentas'!AI22</f>
        <v>0</v>
      </c>
      <c r="E21" s="191">
        <f>'Libro Mayor - Nivel Cuentas'!AJ22</f>
        <v>0</v>
      </c>
      <c r="F21" s="191">
        <f t="shared" si="3"/>
        <v>0</v>
      </c>
      <c r="G21" s="191">
        <f t="shared" si="4"/>
        <v>0</v>
      </c>
      <c r="H21" s="191"/>
      <c r="I21" s="191"/>
      <c r="J21" s="191">
        <f t="shared" si="1"/>
        <v>0</v>
      </c>
      <c r="K21" s="191">
        <f t="shared" si="2"/>
        <v>0</v>
      </c>
      <c r="L21" s="191">
        <f t="shared" si="5"/>
        <v>0</v>
      </c>
      <c r="M21" s="191">
        <f t="shared" si="6"/>
        <v>0</v>
      </c>
      <c r="N21" s="191">
        <f t="shared" si="7"/>
        <v>0</v>
      </c>
      <c r="O21" s="196">
        <f t="shared" si="8"/>
        <v>0</v>
      </c>
    </row>
    <row r="22" spans="2:15" x14ac:dyDescent="0.25">
      <c r="B22" s="212">
        <v>17</v>
      </c>
      <c r="C22" s="190" t="str">
        <f t="shared" si="0"/>
        <v>CUENTAS POR COBRAR DIVERSAS - RELACIONADAS</v>
      </c>
      <c r="D22" s="191">
        <f>'Libro Mayor - Nivel Cuentas'!AO22</f>
        <v>0</v>
      </c>
      <c r="E22" s="191">
        <f>'Libro Mayor - Nivel Cuentas'!AP22</f>
        <v>0</v>
      </c>
      <c r="F22" s="191">
        <f t="shared" si="3"/>
        <v>0</v>
      </c>
      <c r="G22" s="191">
        <f t="shared" si="4"/>
        <v>0</v>
      </c>
      <c r="H22" s="191"/>
      <c r="I22" s="191"/>
      <c r="J22" s="191">
        <f t="shared" si="1"/>
        <v>0</v>
      </c>
      <c r="K22" s="191">
        <f t="shared" si="2"/>
        <v>0</v>
      </c>
      <c r="L22" s="191">
        <f t="shared" si="5"/>
        <v>0</v>
      </c>
      <c r="M22" s="191">
        <f t="shared" si="6"/>
        <v>0</v>
      </c>
      <c r="N22" s="191">
        <f t="shared" si="7"/>
        <v>0</v>
      </c>
      <c r="O22" s="196">
        <f t="shared" si="8"/>
        <v>0</v>
      </c>
    </row>
    <row r="23" spans="2:15" x14ac:dyDescent="0.25">
      <c r="B23" s="212">
        <v>18</v>
      </c>
      <c r="C23" s="190" t="str">
        <f t="shared" si="0"/>
        <v>SERVICIOS Y OTROS CONTRATADOS POR ANTICIPADO</v>
      </c>
      <c r="D23" s="191">
        <f>'Libro Mayor - Nivel Cuentas'!AU22</f>
        <v>0</v>
      </c>
      <c r="E23" s="191">
        <f>'Libro Mayor - Nivel Cuentas'!AV22</f>
        <v>0</v>
      </c>
      <c r="F23" s="191">
        <f t="shared" si="3"/>
        <v>0</v>
      </c>
      <c r="G23" s="191">
        <f t="shared" si="4"/>
        <v>0</v>
      </c>
      <c r="H23" s="191"/>
      <c r="I23" s="191"/>
      <c r="J23" s="191">
        <f t="shared" si="1"/>
        <v>0</v>
      </c>
      <c r="K23" s="191">
        <f t="shared" si="2"/>
        <v>0</v>
      </c>
      <c r="L23" s="191">
        <f t="shared" si="5"/>
        <v>0</v>
      </c>
      <c r="M23" s="191">
        <f t="shared" si="6"/>
        <v>0</v>
      </c>
      <c r="N23" s="191">
        <f t="shared" si="7"/>
        <v>0</v>
      </c>
      <c r="O23" s="196">
        <f t="shared" si="8"/>
        <v>0</v>
      </c>
    </row>
    <row r="24" spans="2:15" x14ac:dyDescent="0.25">
      <c r="B24" s="212">
        <v>19</v>
      </c>
      <c r="C24" s="190" t="str">
        <f t="shared" si="0"/>
        <v>ESTIMACIÓN DE CUENTAS DE COBRANZA DUDOSA</v>
      </c>
      <c r="D24" s="191">
        <f>'Libro Mayor - Nivel Cuentas'!BA22</f>
        <v>0</v>
      </c>
      <c r="E24" s="191">
        <f>'Libro Mayor - Nivel Cuentas'!BB22</f>
        <v>0</v>
      </c>
      <c r="F24" s="191">
        <f t="shared" si="3"/>
        <v>0</v>
      </c>
      <c r="G24" s="191">
        <f t="shared" si="4"/>
        <v>0</v>
      </c>
      <c r="H24" s="191"/>
      <c r="I24" s="191"/>
      <c r="J24" s="191">
        <f t="shared" si="1"/>
        <v>0</v>
      </c>
      <c r="K24" s="191">
        <f t="shared" si="2"/>
        <v>0</v>
      </c>
      <c r="L24" s="191">
        <f t="shared" si="5"/>
        <v>0</v>
      </c>
      <c r="M24" s="191">
        <f t="shared" si="6"/>
        <v>0</v>
      </c>
      <c r="N24" s="191">
        <f t="shared" si="7"/>
        <v>0</v>
      </c>
      <c r="O24" s="196">
        <f t="shared" si="8"/>
        <v>0</v>
      </c>
    </row>
    <row r="25" spans="2:15" x14ac:dyDescent="0.25">
      <c r="B25" s="212">
        <v>20</v>
      </c>
      <c r="C25" s="190" t="str">
        <f t="shared" si="0"/>
        <v>MERCADERÍAS</v>
      </c>
      <c r="D25" s="191">
        <f>'Libro Mayor - Nivel Cuentas'!E46</f>
        <v>154100</v>
      </c>
      <c r="E25" s="191">
        <f>'Libro Mayor - Nivel Cuentas'!F46</f>
        <v>128800</v>
      </c>
      <c r="F25" s="191">
        <f t="shared" si="3"/>
        <v>25300</v>
      </c>
      <c r="G25" s="191">
        <f t="shared" si="4"/>
        <v>0</v>
      </c>
      <c r="H25" s="191"/>
      <c r="I25" s="191"/>
      <c r="J25" s="191">
        <f t="shared" si="1"/>
        <v>25300</v>
      </c>
      <c r="K25" s="191">
        <f t="shared" si="2"/>
        <v>0</v>
      </c>
      <c r="L25" s="191">
        <f t="shared" si="5"/>
        <v>0</v>
      </c>
      <c r="M25" s="191">
        <f t="shared" si="6"/>
        <v>0</v>
      </c>
      <c r="N25" s="191">
        <f t="shared" si="7"/>
        <v>0</v>
      </c>
      <c r="O25" s="196">
        <f t="shared" si="8"/>
        <v>0</v>
      </c>
    </row>
    <row r="26" spans="2:15" x14ac:dyDescent="0.25">
      <c r="B26" s="212">
        <v>21</v>
      </c>
      <c r="C26" s="190" t="str">
        <f t="shared" si="0"/>
        <v>PRODUCTOS TERMINADOS</v>
      </c>
      <c r="D26" s="191">
        <f>'Libro Mayor - Nivel Cuentas'!K46</f>
        <v>0</v>
      </c>
      <c r="E26" s="191">
        <f>'Libro Mayor - Nivel Cuentas'!L46</f>
        <v>0</v>
      </c>
      <c r="F26" s="191">
        <f t="shared" si="3"/>
        <v>0</v>
      </c>
      <c r="G26" s="191">
        <f t="shared" si="4"/>
        <v>0</v>
      </c>
      <c r="H26" s="191"/>
      <c r="I26" s="191"/>
      <c r="J26" s="191">
        <f t="shared" si="1"/>
        <v>0</v>
      </c>
      <c r="K26" s="191">
        <f t="shared" si="2"/>
        <v>0</v>
      </c>
      <c r="L26" s="191">
        <f t="shared" si="5"/>
        <v>0</v>
      </c>
      <c r="M26" s="191">
        <f t="shared" si="6"/>
        <v>0</v>
      </c>
      <c r="N26" s="191">
        <f t="shared" si="7"/>
        <v>0</v>
      </c>
      <c r="O26" s="196">
        <f t="shared" si="8"/>
        <v>0</v>
      </c>
    </row>
    <row r="27" spans="2:15" x14ac:dyDescent="0.25">
      <c r="B27" s="212">
        <v>22</v>
      </c>
      <c r="C27" s="190" t="str">
        <f t="shared" si="0"/>
        <v>SUB-PRODUCTOS, DESECHOS Y DESPERDICIOS</v>
      </c>
      <c r="D27" s="191">
        <f>'Libro Mayor - Nivel Cuentas'!Q46</f>
        <v>0</v>
      </c>
      <c r="E27" s="191">
        <f>'Libro Mayor - Nivel Cuentas'!R46</f>
        <v>0</v>
      </c>
      <c r="F27" s="191">
        <f t="shared" si="3"/>
        <v>0</v>
      </c>
      <c r="G27" s="191">
        <f t="shared" si="4"/>
        <v>0</v>
      </c>
      <c r="H27" s="191"/>
      <c r="I27" s="191"/>
      <c r="J27" s="191">
        <f t="shared" si="1"/>
        <v>0</v>
      </c>
      <c r="K27" s="191">
        <f t="shared" si="2"/>
        <v>0</v>
      </c>
      <c r="L27" s="191">
        <f t="shared" si="5"/>
        <v>0</v>
      </c>
      <c r="M27" s="191">
        <f t="shared" si="6"/>
        <v>0</v>
      </c>
      <c r="N27" s="191">
        <f t="shared" si="7"/>
        <v>0</v>
      </c>
      <c r="O27" s="196">
        <f t="shared" si="8"/>
        <v>0</v>
      </c>
    </row>
    <row r="28" spans="2:15" x14ac:dyDescent="0.25">
      <c r="B28" s="212">
        <v>23</v>
      </c>
      <c r="C28" s="190" t="str">
        <f t="shared" si="0"/>
        <v>PRODUCTOS EN PROCESO</v>
      </c>
      <c r="D28" s="191">
        <f>'Libro Mayor - Nivel Cuentas'!W46</f>
        <v>0</v>
      </c>
      <c r="E28" s="191">
        <f>'Libro Mayor - Nivel Cuentas'!X46</f>
        <v>0</v>
      </c>
      <c r="F28" s="191">
        <f t="shared" si="3"/>
        <v>0</v>
      </c>
      <c r="G28" s="191">
        <f t="shared" si="4"/>
        <v>0</v>
      </c>
      <c r="H28" s="191"/>
      <c r="I28" s="191"/>
      <c r="J28" s="191">
        <f t="shared" si="1"/>
        <v>0</v>
      </c>
      <c r="K28" s="191">
        <f t="shared" si="2"/>
        <v>0</v>
      </c>
      <c r="L28" s="191">
        <f t="shared" si="5"/>
        <v>0</v>
      </c>
      <c r="M28" s="191">
        <f t="shared" si="6"/>
        <v>0</v>
      </c>
      <c r="N28" s="191">
        <f t="shared" si="7"/>
        <v>0</v>
      </c>
      <c r="O28" s="196">
        <f t="shared" si="8"/>
        <v>0</v>
      </c>
    </row>
    <row r="29" spans="2:15" x14ac:dyDescent="0.25">
      <c r="B29" s="212">
        <v>24</v>
      </c>
      <c r="C29" s="190" t="str">
        <f t="shared" si="0"/>
        <v>MATERIAS PRIMAS</v>
      </c>
      <c r="D29" s="191">
        <f>'Libro Mayor - Nivel Cuentas'!AC46</f>
        <v>0</v>
      </c>
      <c r="E29" s="191">
        <f>'Libro Mayor - Nivel Cuentas'!AD46</f>
        <v>0</v>
      </c>
      <c r="F29" s="191">
        <f t="shared" si="3"/>
        <v>0</v>
      </c>
      <c r="G29" s="191">
        <f t="shared" si="4"/>
        <v>0</v>
      </c>
      <c r="H29" s="191"/>
      <c r="I29" s="191"/>
      <c r="J29" s="191">
        <f t="shared" si="1"/>
        <v>0</v>
      </c>
      <c r="K29" s="191">
        <f t="shared" si="2"/>
        <v>0</v>
      </c>
      <c r="L29" s="191">
        <f t="shared" si="5"/>
        <v>0</v>
      </c>
      <c r="M29" s="191">
        <f t="shared" si="6"/>
        <v>0</v>
      </c>
      <c r="N29" s="191">
        <f t="shared" si="7"/>
        <v>0</v>
      </c>
      <c r="O29" s="196">
        <f t="shared" si="8"/>
        <v>0</v>
      </c>
    </row>
    <row r="30" spans="2:15" x14ac:dyDescent="0.25">
      <c r="B30" s="212">
        <v>25</v>
      </c>
      <c r="C30" s="190" t="str">
        <f t="shared" si="0"/>
        <v>MATERIALES AUXILIARES, SUMINISTROS Y REPUESTOS</v>
      </c>
      <c r="D30" s="191">
        <f>'Libro Mayor - Nivel Cuentas'!AI46</f>
        <v>0</v>
      </c>
      <c r="E30" s="191">
        <f>'Libro Mayor - Nivel Cuentas'!AJ46</f>
        <v>0</v>
      </c>
      <c r="F30" s="191">
        <f t="shared" si="3"/>
        <v>0</v>
      </c>
      <c r="G30" s="191">
        <f t="shared" si="4"/>
        <v>0</v>
      </c>
      <c r="H30" s="191"/>
      <c r="I30" s="191"/>
      <c r="J30" s="191">
        <f t="shared" si="1"/>
        <v>0</v>
      </c>
      <c r="K30" s="191">
        <f t="shared" si="2"/>
        <v>0</v>
      </c>
      <c r="L30" s="191">
        <f t="shared" si="5"/>
        <v>0</v>
      </c>
      <c r="M30" s="191">
        <f t="shared" si="6"/>
        <v>0</v>
      </c>
      <c r="N30" s="191">
        <f t="shared" si="7"/>
        <v>0</v>
      </c>
      <c r="O30" s="196">
        <f t="shared" si="8"/>
        <v>0</v>
      </c>
    </row>
    <row r="31" spans="2:15" x14ac:dyDescent="0.25">
      <c r="B31" s="212">
        <v>26</v>
      </c>
      <c r="C31" s="190" t="str">
        <f t="shared" si="0"/>
        <v>ENVASES Y EMBALAJES</v>
      </c>
      <c r="D31" s="191">
        <f>'Libro Mayor - Nivel Cuentas'!AO46</f>
        <v>0</v>
      </c>
      <c r="E31" s="191">
        <f>'Libro Mayor - Nivel Cuentas'!AP46</f>
        <v>0</v>
      </c>
      <c r="F31" s="191">
        <f t="shared" si="3"/>
        <v>0</v>
      </c>
      <c r="G31" s="191">
        <f t="shared" si="4"/>
        <v>0</v>
      </c>
      <c r="H31" s="191"/>
      <c r="I31" s="191"/>
      <c r="J31" s="191">
        <f t="shared" si="1"/>
        <v>0</v>
      </c>
      <c r="K31" s="191">
        <f t="shared" si="2"/>
        <v>0</v>
      </c>
      <c r="L31" s="191">
        <f t="shared" si="5"/>
        <v>0</v>
      </c>
      <c r="M31" s="191">
        <f t="shared" si="6"/>
        <v>0</v>
      </c>
      <c r="N31" s="191">
        <f t="shared" si="7"/>
        <v>0</v>
      </c>
      <c r="O31" s="196">
        <f t="shared" si="8"/>
        <v>0</v>
      </c>
    </row>
    <row r="32" spans="2:15" x14ac:dyDescent="0.25">
      <c r="B32" s="212">
        <v>27</v>
      </c>
      <c r="C32" s="190" t="str">
        <f t="shared" si="0"/>
        <v>ACTIVOS NO CORRIENTES MANTENIDOS PARA LA VENTA</v>
      </c>
      <c r="D32" s="191">
        <f>'Libro Mayor - Nivel Cuentas'!AU46</f>
        <v>0</v>
      </c>
      <c r="E32" s="191">
        <f>'Libro Mayor - Nivel Cuentas'!AV46</f>
        <v>0</v>
      </c>
      <c r="F32" s="191">
        <f t="shared" si="3"/>
        <v>0</v>
      </c>
      <c r="G32" s="191">
        <f t="shared" si="4"/>
        <v>0</v>
      </c>
      <c r="H32" s="191"/>
      <c r="I32" s="191"/>
      <c r="J32" s="191">
        <f t="shared" si="1"/>
        <v>0</v>
      </c>
      <c r="K32" s="191">
        <f t="shared" si="2"/>
        <v>0</v>
      </c>
      <c r="L32" s="191">
        <f t="shared" si="5"/>
        <v>0</v>
      </c>
      <c r="M32" s="191">
        <f t="shared" si="6"/>
        <v>0</v>
      </c>
      <c r="N32" s="191">
        <f t="shared" si="7"/>
        <v>0</v>
      </c>
      <c r="O32" s="196">
        <f t="shared" si="8"/>
        <v>0</v>
      </c>
    </row>
    <row r="33" spans="2:15" x14ac:dyDescent="0.25">
      <c r="B33" s="212">
        <v>28</v>
      </c>
      <c r="C33" s="190" t="str">
        <f t="shared" si="0"/>
        <v>EXISTENCIAS POR RECIBIR</v>
      </c>
      <c r="D33" s="191">
        <f>'Libro Mayor - Nivel Cuentas'!BA46</f>
        <v>0</v>
      </c>
      <c r="E33" s="191">
        <f>'Libro Mayor - Nivel Cuentas'!BB46</f>
        <v>0</v>
      </c>
      <c r="F33" s="191">
        <f t="shared" si="3"/>
        <v>0</v>
      </c>
      <c r="G33" s="191">
        <f t="shared" si="4"/>
        <v>0</v>
      </c>
      <c r="H33" s="191"/>
      <c r="I33" s="191"/>
      <c r="J33" s="191">
        <f t="shared" si="1"/>
        <v>0</v>
      </c>
      <c r="K33" s="191">
        <f t="shared" si="2"/>
        <v>0</v>
      </c>
      <c r="L33" s="191">
        <f t="shared" si="5"/>
        <v>0</v>
      </c>
      <c r="M33" s="191">
        <f t="shared" si="6"/>
        <v>0</v>
      </c>
      <c r="N33" s="191">
        <f t="shared" si="7"/>
        <v>0</v>
      </c>
      <c r="O33" s="196">
        <f t="shared" si="8"/>
        <v>0</v>
      </c>
    </row>
    <row r="34" spans="2:15" x14ac:dyDescent="0.25">
      <c r="B34" s="212">
        <v>29</v>
      </c>
      <c r="C34" s="190" t="str">
        <f t="shared" si="0"/>
        <v>DESVALORIZACIÓN DE EXISTENCIAS</v>
      </c>
      <c r="D34" s="191">
        <f>'Libro Mayor - Nivel Cuentas'!BG46</f>
        <v>0</v>
      </c>
      <c r="E34" s="191">
        <f>'Libro Mayor - Nivel Cuentas'!BH46</f>
        <v>0</v>
      </c>
      <c r="F34" s="191">
        <f t="shared" si="3"/>
        <v>0</v>
      </c>
      <c r="G34" s="191">
        <f t="shared" si="4"/>
        <v>0</v>
      </c>
      <c r="H34" s="191"/>
      <c r="I34" s="191"/>
      <c r="J34" s="191">
        <f t="shared" si="1"/>
        <v>0</v>
      </c>
      <c r="K34" s="191">
        <f t="shared" si="2"/>
        <v>0</v>
      </c>
      <c r="L34" s="191">
        <f t="shared" si="5"/>
        <v>0</v>
      </c>
      <c r="M34" s="191">
        <f t="shared" si="6"/>
        <v>0</v>
      </c>
      <c r="N34" s="191">
        <f t="shared" si="7"/>
        <v>0</v>
      </c>
      <c r="O34" s="196">
        <f t="shared" si="8"/>
        <v>0</v>
      </c>
    </row>
    <row r="35" spans="2:15" x14ac:dyDescent="0.25">
      <c r="B35" s="212">
        <v>30</v>
      </c>
      <c r="C35" s="190" t="str">
        <f t="shared" si="0"/>
        <v>INVERSIONES MOBILIARIAS</v>
      </c>
      <c r="D35" s="191">
        <f>'Libro Mayor - Nivel Cuentas'!E70</f>
        <v>0</v>
      </c>
      <c r="E35" s="191">
        <f>'Libro Mayor - Nivel Cuentas'!F70</f>
        <v>0</v>
      </c>
      <c r="F35" s="191">
        <f t="shared" si="3"/>
        <v>0</v>
      </c>
      <c r="G35" s="191">
        <f t="shared" si="4"/>
        <v>0</v>
      </c>
      <c r="H35" s="191"/>
      <c r="I35" s="191"/>
      <c r="J35" s="191">
        <f t="shared" si="1"/>
        <v>0</v>
      </c>
      <c r="K35" s="191">
        <f t="shared" si="2"/>
        <v>0</v>
      </c>
      <c r="L35" s="191">
        <f t="shared" si="5"/>
        <v>0</v>
      </c>
      <c r="M35" s="191">
        <f t="shared" si="6"/>
        <v>0</v>
      </c>
      <c r="N35" s="191">
        <f t="shared" si="7"/>
        <v>0</v>
      </c>
      <c r="O35" s="196">
        <f t="shared" si="8"/>
        <v>0</v>
      </c>
    </row>
    <row r="36" spans="2:15" x14ac:dyDescent="0.25">
      <c r="B36" s="212">
        <v>31</v>
      </c>
      <c r="C36" s="190" t="str">
        <f t="shared" si="0"/>
        <v>INVERSIONES INMOBILIARIAS</v>
      </c>
      <c r="D36" s="191">
        <f>'Libro Mayor - Nivel Cuentas'!K70</f>
        <v>0</v>
      </c>
      <c r="E36" s="191">
        <f>'Libro Mayor - Nivel Cuentas'!L70</f>
        <v>0</v>
      </c>
      <c r="F36" s="191">
        <f t="shared" si="3"/>
        <v>0</v>
      </c>
      <c r="G36" s="191">
        <f t="shared" si="4"/>
        <v>0</v>
      </c>
      <c r="H36" s="191"/>
      <c r="I36" s="191"/>
      <c r="J36" s="191">
        <f t="shared" si="1"/>
        <v>0</v>
      </c>
      <c r="K36" s="191">
        <f t="shared" si="2"/>
        <v>0</v>
      </c>
      <c r="L36" s="191">
        <f t="shared" si="5"/>
        <v>0</v>
      </c>
      <c r="M36" s="191">
        <f t="shared" si="6"/>
        <v>0</v>
      </c>
      <c r="N36" s="191">
        <f t="shared" si="7"/>
        <v>0</v>
      </c>
      <c r="O36" s="196">
        <f t="shared" si="8"/>
        <v>0</v>
      </c>
    </row>
    <row r="37" spans="2:15" x14ac:dyDescent="0.25">
      <c r="B37" s="212">
        <v>32</v>
      </c>
      <c r="C37" s="190" t="str">
        <f t="shared" si="0"/>
        <v>ACTIVOS ADQUIRIDOS EN ARRENDAMIENTO FINANCIERO</v>
      </c>
      <c r="D37" s="191">
        <f>'Libro Mayor - Nivel Cuentas'!Q70</f>
        <v>0</v>
      </c>
      <c r="E37" s="191">
        <f>'Libro Mayor - Nivel Cuentas'!R70</f>
        <v>0</v>
      </c>
      <c r="F37" s="191">
        <f t="shared" si="3"/>
        <v>0</v>
      </c>
      <c r="G37" s="191">
        <f t="shared" si="4"/>
        <v>0</v>
      </c>
      <c r="H37" s="192"/>
      <c r="I37" s="191"/>
      <c r="J37" s="191">
        <f t="shared" si="1"/>
        <v>0</v>
      </c>
      <c r="K37" s="191">
        <f t="shared" si="2"/>
        <v>0</v>
      </c>
      <c r="L37" s="191">
        <f t="shared" si="5"/>
        <v>0</v>
      </c>
      <c r="M37" s="191">
        <f t="shared" si="6"/>
        <v>0</v>
      </c>
      <c r="N37" s="191">
        <f t="shared" si="7"/>
        <v>0</v>
      </c>
      <c r="O37" s="196">
        <f t="shared" si="8"/>
        <v>0</v>
      </c>
    </row>
    <row r="38" spans="2:15" x14ac:dyDescent="0.25">
      <c r="B38" s="212">
        <v>33</v>
      </c>
      <c r="C38" s="190" t="str">
        <f t="shared" si="0"/>
        <v>INMUEBLES, MAQUINARIA Y EQUIPO</v>
      </c>
      <c r="D38" s="191">
        <f>'Libro Mayor - Nivel Cuentas'!W70</f>
        <v>188450</v>
      </c>
      <c r="E38" s="191">
        <f>'Libro Mayor - Nivel Cuentas'!X70</f>
        <v>0</v>
      </c>
      <c r="F38" s="191">
        <f t="shared" si="3"/>
        <v>188450</v>
      </c>
      <c r="G38" s="191">
        <f t="shared" si="4"/>
        <v>0</v>
      </c>
      <c r="H38" s="191"/>
      <c r="I38" s="191"/>
      <c r="J38" s="191">
        <f t="shared" si="1"/>
        <v>188450</v>
      </c>
      <c r="K38" s="191">
        <f t="shared" si="2"/>
        <v>0</v>
      </c>
      <c r="L38" s="191">
        <f t="shared" si="5"/>
        <v>0</v>
      </c>
      <c r="M38" s="191">
        <f t="shared" si="6"/>
        <v>0</v>
      </c>
      <c r="N38" s="191">
        <f t="shared" si="7"/>
        <v>0</v>
      </c>
      <c r="O38" s="196">
        <f t="shared" si="8"/>
        <v>0</v>
      </c>
    </row>
    <row r="39" spans="2:15" x14ac:dyDescent="0.25">
      <c r="B39" s="212">
        <v>34</v>
      </c>
      <c r="C39" s="190" t="str">
        <f t="shared" si="0"/>
        <v>INTANGIBLES</v>
      </c>
      <c r="D39" s="191">
        <f>'Libro Mayor - Nivel Cuentas'!AC70</f>
        <v>0</v>
      </c>
      <c r="E39" s="191">
        <f>'Libro Mayor - Nivel Cuentas'!AD70</f>
        <v>0</v>
      </c>
      <c r="F39" s="191">
        <f t="shared" si="3"/>
        <v>0</v>
      </c>
      <c r="G39" s="191">
        <f t="shared" si="4"/>
        <v>0</v>
      </c>
      <c r="H39" s="191"/>
      <c r="I39" s="191"/>
      <c r="J39" s="191">
        <f t="shared" si="1"/>
        <v>0</v>
      </c>
      <c r="K39" s="191">
        <f t="shared" si="2"/>
        <v>0</v>
      </c>
      <c r="L39" s="191">
        <f t="shared" si="5"/>
        <v>0</v>
      </c>
      <c r="M39" s="191">
        <f t="shared" si="6"/>
        <v>0</v>
      </c>
      <c r="N39" s="191">
        <f t="shared" si="7"/>
        <v>0</v>
      </c>
      <c r="O39" s="196">
        <f t="shared" si="8"/>
        <v>0</v>
      </c>
    </row>
    <row r="40" spans="2:15" x14ac:dyDescent="0.25">
      <c r="B40" s="212">
        <v>35</v>
      </c>
      <c r="C40" s="190" t="str">
        <f t="shared" si="0"/>
        <v>ACTIVOS BIOLÓGICOS</v>
      </c>
      <c r="D40" s="191">
        <f>'Libro Mayor - Nivel Cuentas'!AI70</f>
        <v>0</v>
      </c>
      <c r="E40" s="191">
        <f>'Libro Mayor - Nivel Cuentas'!AJ70</f>
        <v>0</v>
      </c>
      <c r="F40" s="191">
        <f t="shared" si="3"/>
        <v>0</v>
      </c>
      <c r="G40" s="191">
        <f t="shared" si="4"/>
        <v>0</v>
      </c>
      <c r="H40" s="191"/>
      <c r="I40" s="191"/>
      <c r="J40" s="191">
        <f t="shared" si="1"/>
        <v>0</v>
      </c>
      <c r="K40" s="191">
        <f t="shared" si="2"/>
        <v>0</v>
      </c>
      <c r="L40" s="191">
        <f t="shared" si="5"/>
        <v>0</v>
      </c>
      <c r="M40" s="191">
        <f t="shared" si="6"/>
        <v>0</v>
      </c>
      <c r="N40" s="191">
        <f t="shared" si="7"/>
        <v>0</v>
      </c>
      <c r="O40" s="196">
        <f t="shared" si="8"/>
        <v>0</v>
      </c>
    </row>
    <row r="41" spans="2:15" x14ac:dyDescent="0.25">
      <c r="B41" s="212">
        <v>36</v>
      </c>
      <c r="C41" s="190" t="str">
        <f t="shared" si="0"/>
        <v>DESVALORIZACIÓN DE ACTIVO INMOVILIZADO</v>
      </c>
      <c r="D41" s="191">
        <f>'Libro Mayor - Nivel Cuentas'!AO70</f>
        <v>0</v>
      </c>
      <c r="E41" s="191">
        <f>'Libro Mayor - Nivel Cuentas'!AP70</f>
        <v>0</v>
      </c>
      <c r="F41" s="191">
        <f t="shared" si="3"/>
        <v>0</v>
      </c>
      <c r="G41" s="191">
        <f t="shared" si="4"/>
        <v>0</v>
      </c>
      <c r="H41" s="191"/>
      <c r="I41" s="191"/>
      <c r="J41" s="191">
        <f t="shared" si="1"/>
        <v>0</v>
      </c>
      <c r="K41" s="191">
        <f t="shared" si="2"/>
        <v>0</v>
      </c>
      <c r="L41" s="191">
        <f t="shared" si="5"/>
        <v>0</v>
      </c>
      <c r="M41" s="191">
        <f t="shared" si="6"/>
        <v>0</v>
      </c>
      <c r="N41" s="191">
        <f t="shared" si="7"/>
        <v>0</v>
      </c>
      <c r="O41" s="196">
        <f t="shared" si="8"/>
        <v>0</v>
      </c>
    </row>
    <row r="42" spans="2:15" x14ac:dyDescent="0.25">
      <c r="B42" s="212">
        <v>37</v>
      </c>
      <c r="C42" s="190" t="str">
        <f t="shared" si="0"/>
        <v>ACTIVO DIFERIDO</v>
      </c>
      <c r="D42" s="191">
        <f>'Libro Mayor - Nivel Cuentas'!AU70</f>
        <v>0</v>
      </c>
      <c r="E42" s="191">
        <f>'Libro Mayor - Nivel Cuentas'!AV70</f>
        <v>0</v>
      </c>
      <c r="F42" s="191">
        <f t="shared" si="3"/>
        <v>0</v>
      </c>
      <c r="G42" s="191">
        <f t="shared" si="4"/>
        <v>0</v>
      </c>
      <c r="H42" s="191"/>
      <c r="I42" s="191"/>
      <c r="J42" s="191">
        <f t="shared" si="1"/>
        <v>0</v>
      </c>
      <c r="K42" s="191">
        <f t="shared" si="2"/>
        <v>0</v>
      </c>
      <c r="L42" s="191">
        <f t="shared" si="5"/>
        <v>0</v>
      </c>
      <c r="M42" s="191">
        <f t="shared" si="6"/>
        <v>0</v>
      </c>
      <c r="N42" s="191">
        <f t="shared" si="7"/>
        <v>0</v>
      </c>
      <c r="O42" s="196">
        <f t="shared" si="8"/>
        <v>0</v>
      </c>
    </row>
    <row r="43" spans="2:15" x14ac:dyDescent="0.25">
      <c r="B43" s="212">
        <v>38</v>
      </c>
      <c r="C43" s="190" t="str">
        <f t="shared" si="0"/>
        <v>OTROS ACTIVOS</v>
      </c>
      <c r="D43" s="191">
        <f>'Libro Mayor - Nivel Cuentas'!BA70</f>
        <v>0</v>
      </c>
      <c r="E43" s="191">
        <f>'Libro Mayor - Nivel Cuentas'!BB70</f>
        <v>0</v>
      </c>
      <c r="F43" s="191">
        <f t="shared" si="3"/>
        <v>0</v>
      </c>
      <c r="G43" s="191">
        <f t="shared" si="4"/>
        <v>0</v>
      </c>
      <c r="H43" s="191"/>
      <c r="I43" s="191"/>
      <c r="J43" s="191">
        <f t="shared" si="1"/>
        <v>0</v>
      </c>
      <c r="K43" s="191">
        <f t="shared" si="2"/>
        <v>0</v>
      </c>
      <c r="L43" s="191">
        <f t="shared" si="5"/>
        <v>0</v>
      </c>
      <c r="M43" s="191">
        <f t="shared" si="6"/>
        <v>0</v>
      </c>
      <c r="N43" s="191">
        <f t="shared" si="7"/>
        <v>0</v>
      </c>
      <c r="O43" s="196">
        <f t="shared" si="8"/>
        <v>0</v>
      </c>
    </row>
    <row r="44" spans="2:15" x14ac:dyDescent="0.25">
      <c r="B44" s="212">
        <v>39</v>
      </c>
      <c r="C44" s="190" t="str">
        <f t="shared" si="0"/>
        <v>DEPRECIACIÓN, AMORTIZACIÓN Y AGOTAMIENTO ACUMULADOS</v>
      </c>
      <c r="D44" s="191">
        <f>'Libro Mayor - Nivel Cuentas'!BG70</f>
        <v>0</v>
      </c>
      <c r="E44" s="191">
        <f>'Libro Mayor - Nivel Cuentas'!BH70</f>
        <v>31542.5</v>
      </c>
      <c r="F44" s="191">
        <f t="shared" si="3"/>
        <v>0</v>
      </c>
      <c r="G44" s="191">
        <f t="shared" si="4"/>
        <v>31542.5</v>
      </c>
      <c r="H44" s="191"/>
      <c r="I44" s="191"/>
      <c r="J44" s="191">
        <f t="shared" si="1"/>
        <v>0</v>
      </c>
      <c r="K44" s="191">
        <f t="shared" si="2"/>
        <v>31542.5</v>
      </c>
      <c r="L44" s="191">
        <f t="shared" si="5"/>
        <v>0</v>
      </c>
      <c r="M44" s="191">
        <f t="shared" si="6"/>
        <v>0</v>
      </c>
      <c r="N44" s="191">
        <f t="shared" si="7"/>
        <v>0</v>
      </c>
      <c r="O44" s="196">
        <f t="shared" si="8"/>
        <v>0</v>
      </c>
    </row>
    <row r="45" spans="2:15" x14ac:dyDescent="0.25">
      <c r="B45" s="212">
        <v>40</v>
      </c>
      <c r="C45" s="190" t="str">
        <f t="shared" si="0"/>
        <v>TRIBUTOS, CONTRAPRESTACIONES Y APORTES AL SISTEMA DE PENSIONES Y DE SALUD POR PAGAR</v>
      </c>
      <c r="D45" s="191">
        <f>'Libro Mayor - Nivel Cuentas'!E94</f>
        <v>30796.627118644068</v>
      </c>
      <c r="E45" s="191">
        <f>'Libro Mayor - Nivel Cuentas'!F94</f>
        <v>176982</v>
      </c>
      <c r="F45" s="191">
        <f t="shared" si="3"/>
        <v>0</v>
      </c>
      <c r="G45" s="191">
        <f t="shared" si="4"/>
        <v>146185.37288135593</v>
      </c>
      <c r="H45" s="191"/>
      <c r="I45" s="192"/>
      <c r="J45" s="191">
        <f t="shared" si="1"/>
        <v>0</v>
      </c>
      <c r="K45" s="191">
        <f t="shared" si="2"/>
        <v>146185.37288135593</v>
      </c>
      <c r="L45" s="191">
        <f t="shared" si="5"/>
        <v>0</v>
      </c>
      <c r="M45" s="191">
        <f t="shared" si="6"/>
        <v>0</v>
      </c>
      <c r="N45" s="191">
        <f t="shared" si="7"/>
        <v>0</v>
      </c>
      <c r="O45" s="196">
        <f t="shared" si="8"/>
        <v>0</v>
      </c>
    </row>
    <row r="46" spans="2:15" x14ac:dyDescent="0.25">
      <c r="B46" s="212">
        <v>41</v>
      </c>
      <c r="C46" s="190" t="str">
        <f t="shared" si="0"/>
        <v>REMUNERACIONES Y PARTICIPACIONES POR PAGAR</v>
      </c>
      <c r="D46" s="191">
        <f>'Libro Mayor - Nivel Cuentas'!K94</f>
        <v>0</v>
      </c>
      <c r="E46" s="191">
        <f>'Libro Mayor - Nivel Cuentas'!L94</f>
        <v>261858</v>
      </c>
      <c r="F46" s="191">
        <f t="shared" si="3"/>
        <v>0</v>
      </c>
      <c r="G46" s="191">
        <f t="shared" si="4"/>
        <v>261858</v>
      </c>
      <c r="H46" s="191"/>
      <c r="I46" s="191"/>
      <c r="J46" s="191">
        <f t="shared" si="1"/>
        <v>0</v>
      </c>
      <c r="K46" s="191">
        <f t="shared" si="2"/>
        <v>261858</v>
      </c>
      <c r="L46" s="191">
        <f t="shared" si="5"/>
        <v>0</v>
      </c>
      <c r="M46" s="191">
        <f t="shared" si="6"/>
        <v>0</v>
      </c>
      <c r="N46" s="191">
        <f t="shared" si="7"/>
        <v>0</v>
      </c>
      <c r="O46" s="196">
        <f t="shared" si="8"/>
        <v>0</v>
      </c>
    </row>
    <row r="47" spans="2:15" x14ac:dyDescent="0.25">
      <c r="B47" s="212">
        <v>42</v>
      </c>
      <c r="C47" s="190" t="str">
        <f t="shared" si="0"/>
        <v>CUENTAS POR PAGAR COMERCIALES - TERCEROS</v>
      </c>
      <c r="D47" s="191">
        <f>'Libro Mayor - Nivel Cuentas'!Q94</f>
        <v>181838</v>
      </c>
      <c r="E47" s="191">
        <f>'Libro Mayor - Nivel Cuentas'!R94</f>
        <v>192878</v>
      </c>
      <c r="F47" s="191">
        <f t="shared" si="3"/>
        <v>0</v>
      </c>
      <c r="G47" s="191">
        <f t="shared" si="4"/>
        <v>11040</v>
      </c>
      <c r="H47" s="192"/>
      <c r="I47" s="191"/>
      <c r="J47" s="191">
        <f t="shared" si="1"/>
        <v>0</v>
      </c>
      <c r="K47" s="191">
        <f t="shared" si="2"/>
        <v>11040</v>
      </c>
      <c r="L47" s="191">
        <f t="shared" si="5"/>
        <v>0</v>
      </c>
      <c r="M47" s="191">
        <f t="shared" si="6"/>
        <v>0</v>
      </c>
      <c r="N47" s="191">
        <f t="shared" si="7"/>
        <v>0</v>
      </c>
      <c r="O47" s="196">
        <f t="shared" si="8"/>
        <v>0</v>
      </c>
    </row>
    <row r="48" spans="2:15" x14ac:dyDescent="0.25">
      <c r="B48" s="212">
        <v>43</v>
      </c>
      <c r="C48" s="190" t="str">
        <f t="shared" si="0"/>
        <v>CUENTAS POR PAGAR COMERCIALES - RELACIONADAS</v>
      </c>
      <c r="D48" s="191">
        <f>'Libro Mayor - Nivel Cuentas'!W94</f>
        <v>0</v>
      </c>
      <c r="E48" s="191">
        <f>'Libro Mayor - Nivel Cuentas'!X94</f>
        <v>0</v>
      </c>
      <c r="F48" s="191">
        <f t="shared" si="3"/>
        <v>0</v>
      </c>
      <c r="G48" s="191">
        <f t="shared" si="4"/>
        <v>0</v>
      </c>
      <c r="H48" s="191"/>
      <c r="I48" s="191"/>
      <c r="J48" s="191">
        <f t="shared" ref="J48:J80" si="9">IF(60&gt;B48,F48,0)</f>
        <v>0</v>
      </c>
      <c r="K48" s="191">
        <f t="shared" ref="K48:K80" si="10">IF(60&gt;B48,G48,0)</f>
        <v>0</v>
      </c>
      <c r="L48" s="191">
        <f t="shared" si="5"/>
        <v>0</v>
      </c>
      <c r="M48" s="191">
        <f t="shared" si="6"/>
        <v>0</v>
      </c>
      <c r="N48" s="191">
        <f t="shared" si="7"/>
        <v>0</v>
      </c>
      <c r="O48" s="196">
        <f t="shared" si="8"/>
        <v>0</v>
      </c>
    </row>
    <row r="49" spans="2:15" x14ac:dyDescent="0.25">
      <c r="B49" s="212">
        <v>44</v>
      </c>
      <c r="C49" s="190" t="str">
        <f t="shared" si="0"/>
        <v>CUENTAS POR PAGAR A LOS ACCIONISTAS (SOCIOS), DIRECTORES Y GERENTES</v>
      </c>
      <c r="D49" s="191">
        <f>'Libro Mayor - Nivel Cuentas'!AC94</f>
        <v>0</v>
      </c>
      <c r="E49" s="191">
        <f>'Libro Mayor - Nivel Cuentas'!AD94</f>
        <v>0</v>
      </c>
      <c r="F49" s="191">
        <f t="shared" si="3"/>
        <v>0</v>
      </c>
      <c r="G49" s="191">
        <f t="shared" si="4"/>
        <v>0</v>
      </c>
      <c r="H49" s="191"/>
      <c r="I49" s="191"/>
      <c r="J49" s="191">
        <f t="shared" si="9"/>
        <v>0</v>
      </c>
      <c r="K49" s="191">
        <f t="shared" si="10"/>
        <v>0</v>
      </c>
      <c r="L49" s="191">
        <f t="shared" si="5"/>
        <v>0</v>
      </c>
      <c r="M49" s="191">
        <f t="shared" si="6"/>
        <v>0</v>
      </c>
      <c r="N49" s="191">
        <f t="shared" si="7"/>
        <v>0</v>
      </c>
      <c r="O49" s="196">
        <f t="shared" si="8"/>
        <v>0</v>
      </c>
    </row>
    <row r="50" spans="2:15" x14ac:dyDescent="0.25">
      <c r="B50" s="212">
        <v>45</v>
      </c>
      <c r="C50" s="190" t="str">
        <f t="shared" si="0"/>
        <v>OBLIGACIONES FINANCIERAS</v>
      </c>
      <c r="D50" s="191">
        <f>'Libro Mayor - Nivel Cuentas'!AI94</f>
        <v>0</v>
      </c>
      <c r="E50" s="191">
        <f>'Libro Mayor - Nivel Cuentas'!AJ94</f>
        <v>0</v>
      </c>
      <c r="F50" s="191">
        <f t="shared" si="3"/>
        <v>0</v>
      </c>
      <c r="G50" s="191">
        <f t="shared" si="4"/>
        <v>0</v>
      </c>
      <c r="H50" s="191"/>
      <c r="I50" s="191"/>
      <c r="J50" s="191">
        <f t="shared" si="9"/>
        <v>0</v>
      </c>
      <c r="K50" s="191">
        <f t="shared" si="10"/>
        <v>0</v>
      </c>
      <c r="L50" s="191">
        <f t="shared" si="5"/>
        <v>0</v>
      </c>
      <c r="M50" s="191">
        <f t="shared" si="6"/>
        <v>0</v>
      </c>
      <c r="N50" s="191">
        <f t="shared" si="7"/>
        <v>0</v>
      </c>
      <c r="O50" s="196">
        <f t="shared" si="8"/>
        <v>0</v>
      </c>
    </row>
    <row r="51" spans="2:15" x14ac:dyDescent="0.25">
      <c r="B51" s="212">
        <v>46</v>
      </c>
      <c r="C51" s="190" t="str">
        <f t="shared" si="0"/>
        <v>CUENTAS POR PAGAR DIVERSAS - TERCEROS</v>
      </c>
      <c r="D51" s="191">
        <f>'Libro Mayor - Nivel Cuentas'!AO94</f>
        <v>9971</v>
      </c>
      <c r="E51" s="191">
        <f>'Libro Mayor - Nivel Cuentas'!AP94</f>
        <v>20051</v>
      </c>
      <c r="F51" s="191">
        <f t="shared" si="3"/>
        <v>0</v>
      </c>
      <c r="G51" s="191">
        <f t="shared" si="4"/>
        <v>10080</v>
      </c>
      <c r="H51" s="191"/>
      <c r="I51" s="191"/>
      <c r="J51" s="191">
        <f t="shared" si="9"/>
        <v>0</v>
      </c>
      <c r="K51" s="191">
        <f t="shared" si="10"/>
        <v>10080</v>
      </c>
      <c r="L51" s="191">
        <f t="shared" si="5"/>
        <v>0</v>
      </c>
      <c r="M51" s="191">
        <f t="shared" si="6"/>
        <v>0</v>
      </c>
      <c r="N51" s="191">
        <f t="shared" si="7"/>
        <v>0</v>
      </c>
      <c r="O51" s="196">
        <f t="shared" si="8"/>
        <v>0</v>
      </c>
    </row>
    <row r="52" spans="2:15" x14ac:dyDescent="0.25">
      <c r="B52" s="212">
        <v>47</v>
      </c>
      <c r="C52" s="190" t="str">
        <f t="shared" si="0"/>
        <v>CUENTAS POR PAGAR DIVERSAS - RELACIONADAS</v>
      </c>
      <c r="D52" s="191">
        <f>'Libro Mayor - Nivel Cuentas'!AU94</f>
        <v>0</v>
      </c>
      <c r="E52" s="191">
        <f>'Libro Mayor - Nivel Cuentas'!AV94</f>
        <v>0</v>
      </c>
      <c r="F52" s="191">
        <f t="shared" si="3"/>
        <v>0</v>
      </c>
      <c r="G52" s="191">
        <f t="shared" si="4"/>
        <v>0</v>
      </c>
      <c r="H52" s="191"/>
      <c r="I52" s="191"/>
      <c r="J52" s="191">
        <f t="shared" si="9"/>
        <v>0</v>
      </c>
      <c r="K52" s="191">
        <f t="shared" si="10"/>
        <v>0</v>
      </c>
      <c r="L52" s="191">
        <f t="shared" si="5"/>
        <v>0</v>
      </c>
      <c r="M52" s="191">
        <f t="shared" si="6"/>
        <v>0</v>
      </c>
      <c r="N52" s="191">
        <f t="shared" si="7"/>
        <v>0</v>
      </c>
      <c r="O52" s="196">
        <f t="shared" si="8"/>
        <v>0</v>
      </c>
    </row>
    <row r="53" spans="2:15" x14ac:dyDescent="0.25">
      <c r="B53" s="212">
        <v>48</v>
      </c>
      <c r="C53" s="190" t="str">
        <f t="shared" si="0"/>
        <v>PROVISIONES</v>
      </c>
      <c r="D53" s="191">
        <f>'Libro Mayor - Nivel Cuentas'!BA94</f>
        <v>0</v>
      </c>
      <c r="E53" s="191">
        <f>'Libro Mayor - Nivel Cuentas'!BB94</f>
        <v>0</v>
      </c>
      <c r="F53" s="191">
        <f t="shared" si="3"/>
        <v>0</v>
      </c>
      <c r="G53" s="191">
        <f t="shared" si="4"/>
        <v>0</v>
      </c>
      <c r="H53" s="192"/>
      <c r="I53" s="191"/>
      <c r="J53" s="191">
        <f t="shared" si="9"/>
        <v>0</v>
      </c>
      <c r="K53" s="191">
        <f t="shared" si="10"/>
        <v>0</v>
      </c>
      <c r="L53" s="191">
        <f t="shared" si="5"/>
        <v>0</v>
      </c>
      <c r="M53" s="191">
        <f t="shared" si="6"/>
        <v>0</v>
      </c>
      <c r="N53" s="191">
        <f t="shared" si="7"/>
        <v>0</v>
      </c>
      <c r="O53" s="196">
        <f t="shared" si="8"/>
        <v>0</v>
      </c>
    </row>
    <row r="54" spans="2:15" x14ac:dyDescent="0.25">
      <c r="B54" s="212">
        <v>49</v>
      </c>
      <c r="C54" s="190" t="str">
        <f t="shared" si="0"/>
        <v>PASIVO DIFERIDO</v>
      </c>
      <c r="D54" s="191">
        <f>'Libro Mayor - Nivel Cuentas'!BG94</f>
        <v>0</v>
      </c>
      <c r="E54" s="191">
        <f>'Libro Mayor - Nivel Cuentas'!BH94</f>
        <v>0</v>
      </c>
      <c r="F54" s="191">
        <f t="shared" si="3"/>
        <v>0</v>
      </c>
      <c r="G54" s="191">
        <f t="shared" si="4"/>
        <v>0</v>
      </c>
      <c r="H54" s="191"/>
      <c r="I54" s="192"/>
      <c r="J54" s="191">
        <f t="shared" si="9"/>
        <v>0</v>
      </c>
      <c r="K54" s="191">
        <f t="shared" si="10"/>
        <v>0</v>
      </c>
      <c r="L54" s="191">
        <f t="shared" si="5"/>
        <v>0</v>
      </c>
      <c r="M54" s="191">
        <f t="shared" si="6"/>
        <v>0</v>
      </c>
      <c r="N54" s="191">
        <f t="shared" si="7"/>
        <v>0</v>
      </c>
      <c r="O54" s="196">
        <f t="shared" si="8"/>
        <v>0</v>
      </c>
    </row>
    <row r="55" spans="2:15" x14ac:dyDescent="0.25">
      <c r="B55" s="212">
        <v>50</v>
      </c>
      <c r="C55" s="190" t="str">
        <f t="shared" si="0"/>
        <v>CAPITAL</v>
      </c>
      <c r="D55" s="191">
        <f>'Libro Mayor - Nivel Cuentas'!E118</f>
        <v>0</v>
      </c>
      <c r="E55" s="191">
        <f>'Libro Mayor - Nivel Cuentas'!F118</f>
        <v>1206900</v>
      </c>
      <c r="F55" s="191">
        <f t="shared" si="3"/>
        <v>0</v>
      </c>
      <c r="G55" s="191">
        <f t="shared" si="4"/>
        <v>1206900</v>
      </c>
      <c r="H55" s="191"/>
      <c r="I55" s="192"/>
      <c r="J55" s="191">
        <f t="shared" si="9"/>
        <v>0</v>
      </c>
      <c r="K55" s="191">
        <f t="shared" si="10"/>
        <v>1206900</v>
      </c>
      <c r="L55" s="191">
        <f t="shared" si="5"/>
        <v>0</v>
      </c>
      <c r="M55" s="191">
        <f t="shared" si="6"/>
        <v>0</v>
      </c>
      <c r="N55" s="191">
        <f t="shared" si="7"/>
        <v>0</v>
      </c>
      <c r="O55" s="196">
        <f t="shared" si="8"/>
        <v>0</v>
      </c>
    </row>
    <row r="56" spans="2:15" x14ac:dyDescent="0.25">
      <c r="B56" s="212">
        <v>51</v>
      </c>
      <c r="C56" s="190" t="str">
        <f t="shared" si="0"/>
        <v>ACCIONES DE INVERSIÓN</v>
      </c>
      <c r="D56" s="191">
        <f>'Libro Mayor - Nivel Cuentas'!K118</f>
        <v>0</v>
      </c>
      <c r="E56" s="191">
        <f>'Libro Mayor - Nivel Cuentas'!L118</f>
        <v>0</v>
      </c>
      <c r="F56" s="191">
        <f t="shared" si="3"/>
        <v>0</v>
      </c>
      <c r="G56" s="191">
        <f t="shared" si="4"/>
        <v>0</v>
      </c>
      <c r="H56" s="191"/>
      <c r="I56" s="191"/>
      <c r="J56" s="191">
        <f t="shared" si="9"/>
        <v>0</v>
      </c>
      <c r="K56" s="191">
        <f t="shared" si="10"/>
        <v>0</v>
      </c>
      <c r="L56" s="191">
        <f t="shared" si="5"/>
        <v>0</v>
      </c>
      <c r="M56" s="191">
        <f t="shared" si="6"/>
        <v>0</v>
      </c>
      <c r="N56" s="191">
        <f t="shared" si="7"/>
        <v>0</v>
      </c>
      <c r="O56" s="196">
        <f t="shared" si="8"/>
        <v>0</v>
      </c>
    </row>
    <row r="57" spans="2:15" x14ac:dyDescent="0.25">
      <c r="B57" s="212">
        <v>52</v>
      </c>
      <c r="C57" s="190" t="str">
        <f t="shared" si="0"/>
        <v>CAPITAL ADICIONAL</v>
      </c>
      <c r="D57" s="191">
        <f>'Libro Mayor - Nivel Cuentas'!Q118</f>
        <v>0</v>
      </c>
      <c r="E57" s="191">
        <f>'Libro Mayor - Nivel Cuentas'!R118</f>
        <v>0</v>
      </c>
      <c r="F57" s="191">
        <f t="shared" si="3"/>
        <v>0</v>
      </c>
      <c r="G57" s="191">
        <f t="shared" si="4"/>
        <v>0</v>
      </c>
      <c r="H57" s="191"/>
      <c r="I57" s="191"/>
      <c r="J57" s="191">
        <f t="shared" si="9"/>
        <v>0</v>
      </c>
      <c r="K57" s="191">
        <f t="shared" si="10"/>
        <v>0</v>
      </c>
      <c r="L57" s="191">
        <f t="shared" si="5"/>
        <v>0</v>
      </c>
      <c r="M57" s="191">
        <f t="shared" si="6"/>
        <v>0</v>
      </c>
      <c r="N57" s="191">
        <f t="shared" si="7"/>
        <v>0</v>
      </c>
      <c r="O57" s="196">
        <f t="shared" si="8"/>
        <v>0</v>
      </c>
    </row>
    <row r="58" spans="2:15" x14ac:dyDescent="0.25">
      <c r="B58" s="212">
        <v>56</v>
      </c>
      <c r="C58" s="190" t="str">
        <f t="shared" si="0"/>
        <v>RESULTADOS NO REALIZADOS</v>
      </c>
      <c r="D58" s="191">
        <f>'Libro Mayor - Nivel Cuentas'!W118</f>
        <v>0</v>
      </c>
      <c r="E58" s="191">
        <f>'Libro Mayor - Nivel Cuentas'!X118</f>
        <v>0</v>
      </c>
      <c r="F58" s="191">
        <f t="shared" si="3"/>
        <v>0</v>
      </c>
      <c r="G58" s="191">
        <f t="shared" si="4"/>
        <v>0</v>
      </c>
      <c r="H58" s="191"/>
      <c r="I58" s="191"/>
      <c r="J58" s="191">
        <f t="shared" si="9"/>
        <v>0</v>
      </c>
      <c r="K58" s="191">
        <f t="shared" si="10"/>
        <v>0</v>
      </c>
      <c r="L58" s="191">
        <f t="shared" si="5"/>
        <v>0</v>
      </c>
      <c r="M58" s="191">
        <f t="shared" si="6"/>
        <v>0</v>
      </c>
      <c r="N58" s="191">
        <f t="shared" si="7"/>
        <v>0</v>
      </c>
      <c r="O58" s="196">
        <f t="shared" si="8"/>
        <v>0</v>
      </c>
    </row>
    <row r="59" spans="2:15" x14ac:dyDescent="0.25">
      <c r="B59" s="212">
        <v>57</v>
      </c>
      <c r="C59" s="190" t="str">
        <f t="shared" si="0"/>
        <v>EXCEDENTE DE REVALUACIÓN</v>
      </c>
      <c r="D59" s="191">
        <f>'Libro Mayor - Nivel Cuentas'!AC118</f>
        <v>0</v>
      </c>
      <c r="E59" s="191">
        <f>'Libro Mayor - Nivel Cuentas'!AD118</f>
        <v>0</v>
      </c>
      <c r="F59" s="191">
        <f t="shared" si="3"/>
        <v>0</v>
      </c>
      <c r="G59" s="191">
        <f t="shared" si="4"/>
        <v>0</v>
      </c>
      <c r="H59" s="191"/>
      <c r="I59" s="191"/>
      <c r="J59" s="191">
        <f t="shared" si="9"/>
        <v>0</v>
      </c>
      <c r="K59" s="191">
        <f t="shared" si="10"/>
        <v>0</v>
      </c>
      <c r="L59" s="191">
        <f t="shared" si="5"/>
        <v>0</v>
      </c>
      <c r="M59" s="191">
        <f t="shared" si="6"/>
        <v>0</v>
      </c>
      <c r="N59" s="191">
        <f t="shared" si="7"/>
        <v>0</v>
      </c>
      <c r="O59" s="196">
        <f t="shared" si="8"/>
        <v>0</v>
      </c>
    </row>
    <row r="60" spans="2:15" x14ac:dyDescent="0.25">
      <c r="B60" s="212">
        <v>58</v>
      </c>
      <c r="C60" s="190" t="str">
        <f t="shared" si="0"/>
        <v>RESERVAS</v>
      </c>
      <c r="D60" s="191">
        <f>'Libro Mayor - Nivel Cuentas'!AI118</f>
        <v>0</v>
      </c>
      <c r="E60" s="191">
        <f>'Libro Mayor - Nivel Cuentas'!AJ118</f>
        <v>0</v>
      </c>
      <c r="F60" s="191">
        <f t="shared" si="3"/>
        <v>0</v>
      </c>
      <c r="G60" s="191">
        <f t="shared" si="4"/>
        <v>0</v>
      </c>
      <c r="H60" s="191"/>
      <c r="I60" s="191"/>
      <c r="J60" s="191">
        <f t="shared" si="9"/>
        <v>0</v>
      </c>
      <c r="K60" s="191">
        <f t="shared" si="10"/>
        <v>0</v>
      </c>
      <c r="L60" s="191">
        <f t="shared" si="5"/>
        <v>0</v>
      </c>
      <c r="M60" s="191">
        <f t="shared" si="6"/>
        <v>0</v>
      </c>
      <c r="N60" s="191">
        <f t="shared" si="7"/>
        <v>0</v>
      </c>
      <c r="O60" s="196">
        <f t="shared" si="8"/>
        <v>0</v>
      </c>
    </row>
    <row r="61" spans="2:15" x14ac:dyDescent="0.25">
      <c r="B61" s="212">
        <v>59</v>
      </c>
      <c r="C61" s="190" t="str">
        <f t="shared" si="0"/>
        <v>RESULTADOS  ACUMULADOS</v>
      </c>
      <c r="D61" s="191">
        <f>'Libro Mayor - Nivel Cuentas'!AO118</f>
        <v>0</v>
      </c>
      <c r="E61" s="191">
        <f>'Libro Mayor - Nivel Cuentas'!AP118</f>
        <v>0</v>
      </c>
      <c r="F61" s="191">
        <f t="shared" si="3"/>
        <v>0</v>
      </c>
      <c r="G61" s="191">
        <f t="shared" si="4"/>
        <v>0</v>
      </c>
      <c r="H61" s="191"/>
      <c r="I61" s="191"/>
      <c r="J61" s="191">
        <f t="shared" si="9"/>
        <v>0</v>
      </c>
      <c r="K61" s="191">
        <f t="shared" si="10"/>
        <v>0</v>
      </c>
      <c r="L61" s="191">
        <f t="shared" si="5"/>
        <v>0</v>
      </c>
      <c r="M61" s="191">
        <f t="shared" si="6"/>
        <v>0</v>
      </c>
      <c r="N61" s="191">
        <f t="shared" si="7"/>
        <v>0</v>
      </c>
      <c r="O61" s="196">
        <f t="shared" si="8"/>
        <v>0</v>
      </c>
    </row>
    <row r="62" spans="2:15" x14ac:dyDescent="0.25">
      <c r="B62" s="212">
        <v>60</v>
      </c>
      <c r="C62" s="190" t="str">
        <f t="shared" si="0"/>
        <v>COMPRAS</v>
      </c>
      <c r="D62" s="191">
        <f>'Libro Mayor - Nivel Cuentas'!E142</f>
        <v>154100</v>
      </c>
      <c r="E62" s="191">
        <f>'Libro Mayor - Nivel Cuentas'!F142</f>
        <v>0</v>
      </c>
      <c r="F62" s="191">
        <f t="shared" si="3"/>
        <v>154100</v>
      </c>
      <c r="G62" s="191">
        <f t="shared" si="4"/>
        <v>0</v>
      </c>
      <c r="H62" s="191"/>
      <c r="I62" s="191"/>
      <c r="J62" s="191">
        <f t="shared" si="9"/>
        <v>0</v>
      </c>
      <c r="K62" s="191">
        <f t="shared" si="10"/>
        <v>0</v>
      </c>
      <c r="L62" s="191">
        <f t="shared" si="5"/>
        <v>0</v>
      </c>
      <c r="M62" s="191">
        <f t="shared" si="6"/>
        <v>0</v>
      </c>
      <c r="N62" s="191">
        <f t="shared" si="7"/>
        <v>154100</v>
      </c>
      <c r="O62" s="196">
        <f t="shared" si="8"/>
        <v>0</v>
      </c>
    </row>
    <row r="63" spans="2:15" x14ac:dyDescent="0.25">
      <c r="B63" s="212">
        <v>61</v>
      </c>
      <c r="C63" s="190" t="str">
        <f t="shared" si="0"/>
        <v>VARIACIÓN DE EXISTENCIAS</v>
      </c>
      <c r="D63" s="191">
        <f>'Libro Mayor - Nivel Cuentas'!K142</f>
        <v>0</v>
      </c>
      <c r="E63" s="191">
        <f>'Libro Mayor - Nivel Cuentas'!L142</f>
        <v>0</v>
      </c>
      <c r="F63" s="191">
        <f t="shared" si="3"/>
        <v>0</v>
      </c>
      <c r="G63" s="191">
        <f t="shared" si="4"/>
        <v>0</v>
      </c>
      <c r="H63" s="193">
        <f>F71</f>
        <v>128800</v>
      </c>
      <c r="I63" s="191"/>
      <c r="J63" s="191">
        <f t="shared" si="9"/>
        <v>0</v>
      </c>
      <c r="K63" s="191">
        <f t="shared" si="10"/>
        <v>0</v>
      </c>
      <c r="L63" s="191">
        <f t="shared" si="5"/>
        <v>0</v>
      </c>
      <c r="M63" s="191">
        <f t="shared" si="6"/>
        <v>0</v>
      </c>
      <c r="N63" s="191">
        <f>IF(H63&gt;G63,H63-G63,IF(OR(H63=0,G63=0),0,))</f>
        <v>128800</v>
      </c>
      <c r="O63" s="196">
        <f>IF(H63=0,G63,IF(H63&lt;G63,G63-H63,0))</f>
        <v>0</v>
      </c>
    </row>
    <row r="64" spans="2:15" x14ac:dyDescent="0.25">
      <c r="B64" s="212">
        <v>62</v>
      </c>
      <c r="C64" s="190" t="str">
        <f t="shared" si="0"/>
        <v>GASTOS DE PERSONAL, DIRECTORES Y GERENTES</v>
      </c>
      <c r="D64" s="191">
        <f>'Libro Mayor - Nivel Cuentas'!Q142</f>
        <v>327000</v>
      </c>
      <c r="E64" s="191">
        <f>'Libro Mayor - Nivel Cuentas'!R142</f>
        <v>0</v>
      </c>
      <c r="F64" s="191">
        <f t="shared" si="3"/>
        <v>327000</v>
      </c>
      <c r="G64" s="191">
        <f t="shared" si="4"/>
        <v>0</v>
      </c>
      <c r="H64" s="191"/>
      <c r="I64" s="191"/>
      <c r="J64" s="191">
        <f t="shared" si="9"/>
        <v>0</v>
      </c>
      <c r="K64" s="191">
        <f t="shared" si="10"/>
        <v>0</v>
      </c>
      <c r="L64" s="191">
        <f t="shared" si="5"/>
        <v>0</v>
      </c>
      <c r="M64" s="191">
        <f t="shared" si="6"/>
        <v>0</v>
      </c>
      <c r="N64" s="191">
        <f t="shared" ref="N64:N85" si="11">IF(AND(B64&gt;59,B64&lt;69),F64,IF(B64=74,F64,0))</f>
        <v>327000</v>
      </c>
      <c r="O64" s="196">
        <f t="shared" ref="O64:O85" si="12">IF(AND(B64&gt;69,B64&lt;79),G64,IF(B64=61,G64,0))</f>
        <v>0</v>
      </c>
    </row>
    <row r="65" spans="2:15" x14ac:dyDescent="0.25">
      <c r="B65" s="212">
        <v>63</v>
      </c>
      <c r="C65" s="190" t="str">
        <f t="shared" si="0"/>
        <v>GASTOS DE SERVICIOS PRESTADOS POR TERCEROS</v>
      </c>
      <c r="D65" s="191">
        <f>'Libro Mayor - Nivel Cuentas'!W142</f>
        <v>20542.372881355932</v>
      </c>
      <c r="E65" s="191">
        <f>'Libro Mayor - Nivel Cuentas'!X142</f>
        <v>0</v>
      </c>
      <c r="F65" s="191">
        <f t="shared" si="3"/>
        <v>20542.372881355932</v>
      </c>
      <c r="G65" s="191">
        <f t="shared" si="4"/>
        <v>0</v>
      </c>
      <c r="H65" s="191"/>
      <c r="I65" s="191"/>
      <c r="J65" s="191">
        <f t="shared" si="9"/>
        <v>0</v>
      </c>
      <c r="K65" s="191">
        <f t="shared" si="10"/>
        <v>0</v>
      </c>
      <c r="L65" s="191">
        <f t="shared" si="5"/>
        <v>0</v>
      </c>
      <c r="M65" s="191">
        <f t="shared" si="6"/>
        <v>0</v>
      </c>
      <c r="N65" s="191">
        <f t="shared" si="11"/>
        <v>20542.372881355932</v>
      </c>
      <c r="O65" s="196">
        <f t="shared" si="12"/>
        <v>0</v>
      </c>
    </row>
    <row r="66" spans="2:15" x14ac:dyDescent="0.25">
      <c r="B66" s="212">
        <v>64</v>
      </c>
      <c r="C66" s="190" t="str">
        <f t="shared" si="0"/>
        <v>GASTOS POR TRIBUTOS</v>
      </c>
      <c r="D66" s="191">
        <f>'Libro Mayor - Nivel Cuentas'!AC142</f>
        <v>0</v>
      </c>
      <c r="E66" s="191">
        <f>'Libro Mayor - Nivel Cuentas'!AD142</f>
        <v>0</v>
      </c>
      <c r="F66" s="191">
        <f t="shared" si="3"/>
        <v>0</v>
      </c>
      <c r="G66" s="191">
        <f t="shared" si="4"/>
        <v>0</v>
      </c>
      <c r="H66" s="191"/>
      <c r="I66" s="191"/>
      <c r="J66" s="191">
        <f t="shared" si="9"/>
        <v>0</v>
      </c>
      <c r="K66" s="191">
        <f t="shared" si="10"/>
        <v>0</v>
      </c>
      <c r="L66" s="191">
        <f t="shared" si="5"/>
        <v>0</v>
      </c>
      <c r="M66" s="191">
        <f t="shared" si="6"/>
        <v>0</v>
      </c>
      <c r="N66" s="191">
        <f t="shared" si="11"/>
        <v>0</v>
      </c>
      <c r="O66" s="196">
        <f t="shared" si="12"/>
        <v>0</v>
      </c>
    </row>
    <row r="67" spans="2:15" x14ac:dyDescent="0.25">
      <c r="B67" s="212">
        <v>65</v>
      </c>
      <c r="C67" s="190" t="str">
        <f t="shared" si="0"/>
        <v>OTROS GASTOS DE GESTIÓN</v>
      </c>
      <c r="D67" s="191">
        <f>'Libro Mayor - Nivel Cuentas'!AI142</f>
        <v>8450</v>
      </c>
      <c r="E67" s="191">
        <f>'Libro Mayor - Nivel Cuentas'!AJ142</f>
        <v>0</v>
      </c>
      <c r="F67" s="191">
        <f t="shared" si="3"/>
        <v>8450</v>
      </c>
      <c r="G67" s="191">
        <f t="shared" si="4"/>
        <v>0</v>
      </c>
      <c r="H67" s="191"/>
      <c r="I67" s="191"/>
      <c r="J67" s="191">
        <f t="shared" si="9"/>
        <v>0</v>
      </c>
      <c r="K67" s="191">
        <f t="shared" si="10"/>
        <v>0</v>
      </c>
      <c r="L67" s="191">
        <f t="shared" si="5"/>
        <v>0</v>
      </c>
      <c r="M67" s="191">
        <f t="shared" si="6"/>
        <v>0</v>
      </c>
      <c r="N67" s="191">
        <f t="shared" si="11"/>
        <v>8450</v>
      </c>
      <c r="O67" s="196">
        <f t="shared" si="12"/>
        <v>0</v>
      </c>
    </row>
    <row r="68" spans="2:15" x14ac:dyDescent="0.25">
      <c r="B68" s="212">
        <v>66</v>
      </c>
      <c r="C68" s="190" t="str">
        <f t="shared" si="0"/>
        <v>PÉRDIDA POR MEDICIÓN DE ACTIVOS NO FINANCIEROS AL VALOR RAZONABLE</v>
      </c>
      <c r="D68" s="191">
        <f>'Libro Mayor - Nivel Cuentas'!AO142</f>
        <v>0</v>
      </c>
      <c r="E68" s="191">
        <f>'Libro Mayor - Nivel Cuentas'!AP142</f>
        <v>0</v>
      </c>
      <c r="F68" s="191">
        <f t="shared" si="3"/>
        <v>0</v>
      </c>
      <c r="G68" s="191">
        <f t="shared" si="4"/>
        <v>0</v>
      </c>
      <c r="H68" s="191"/>
      <c r="I68" s="191"/>
      <c r="J68" s="191">
        <f t="shared" si="9"/>
        <v>0</v>
      </c>
      <c r="K68" s="191">
        <f t="shared" si="10"/>
        <v>0</v>
      </c>
      <c r="L68" s="191">
        <f t="shared" si="5"/>
        <v>0</v>
      </c>
      <c r="M68" s="191">
        <f t="shared" si="6"/>
        <v>0</v>
      </c>
      <c r="N68" s="191">
        <f t="shared" si="11"/>
        <v>0</v>
      </c>
      <c r="O68" s="196">
        <f t="shared" si="12"/>
        <v>0</v>
      </c>
    </row>
    <row r="69" spans="2:15" x14ac:dyDescent="0.25">
      <c r="B69" s="212">
        <v>67</v>
      </c>
      <c r="C69" s="190" t="str">
        <f t="shared" si="0"/>
        <v>GASTOS FINANCIEROS</v>
      </c>
      <c r="D69" s="191">
        <f>'Libro Mayor - Nivel Cuentas'!AU142</f>
        <v>0</v>
      </c>
      <c r="E69" s="191">
        <f>'Libro Mayor - Nivel Cuentas'!AV142</f>
        <v>0</v>
      </c>
      <c r="F69" s="191">
        <f t="shared" si="3"/>
        <v>0</v>
      </c>
      <c r="G69" s="191">
        <f t="shared" si="4"/>
        <v>0</v>
      </c>
      <c r="H69" s="191"/>
      <c r="I69" s="191"/>
      <c r="J69" s="191">
        <f t="shared" si="9"/>
        <v>0</v>
      </c>
      <c r="K69" s="191">
        <f t="shared" si="10"/>
        <v>0</v>
      </c>
      <c r="L69" s="191">
        <f t="shared" si="5"/>
        <v>0</v>
      </c>
      <c r="M69" s="191">
        <f t="shared" si="6"/>
        <v>0</v>
      </c>
      <c r="N69" s="191">
        <f t="shared" si="11"/>
        <v>0</v>
      </c>
      <c r="O69" s="196">
        <f t="shared" si="12"/>
        <v>0</v>
      </c>
    </row>
    <row r="70" spans="2:15" x14ac:dyDescent="0.25">
      <c r="B70" s="212">
        <v>68</v>
      </c>
      <c r="C70" s="190" t="str">
        <f t="shared" si="0"/>
        <v>VALUACIÓN Y DETERIORO DE ACTIVOS Y PROVISIONES</v>
      </c>
      <c r="D70" s="191">
        <f>'Libro Mayor - Nivel Cuentas'!BA142</f>
        <v>31542.5</v>
      </c>
      <c r="E70" s="191">
        <f>'Libro Mayor - Nivel Cuentas'!BB142</f>
        <v>0</v>
      </c>
      <c r="F70" s="191">
        <f t="shared" ref="F70:F72" si="13">IF(D70&gt;E70,D70-E70,0)</f>
        <v>31542.5</v>
      </c>
      <c r="G70" s="191">
        <f t="shared" ref="G70:G72" si="14">IF(D70&lt;E70,E70-D70,0)</f>
        <v>0</v>
      </c>
      <c r="H70" s="191"/>
      <c r="I70" s="191"/>
      <c r="J70" s="191">
        <f t="shared" si="9"/>
        <v>0</v>
      </c>
      <c r="K70" s="191">
        <f t="shared" si="10"/>
        <v>0</v>
      </c>
      <c r="L70" s="191">
        <f t="shared" si="5"/>
        <v>0</v>
      </c>
      <c r="M70" s="191">
        <f t="shared" si="6"/>
        <v>0</v>
      </c>
      <c r="N70" s="191">
        <f t="shared" si="11"/>
        <v>31542.5</v>
      </c>
      <c r="O70" s="196">
        <f t="shared" si="12"/>
        <v>0</v>
      </c>
    </row>
    <row r="71" spans="2:15" x14ac:dyDescent="0.25">
      <c r="B71" s="212">
        <v>69</v>
      </c>
      <c r="C71" s="190" t="str">
        <f t="shared" si="0"/>
        <v>COSTO DE VENTAS</v>
      </c>
      <c r="D71" s="191">
        <f>'Libro Mayor - Nivel Cuentas'!BG142</f>
        <v>128800</v>
      </c>
      <c r="E71" s="191">
        <f>'Libro Mayor - Nivel Cuentas'!BH142</f>
        <v>0</v>
      </c>
      <c r="F71" s="191">
        <f t="shared" si="13"/>
        <v>128800</v>
      </c>
      <c r="G71" s="191">
        <f t="shared" si="14"/>
        <v>0</v>
      </c>
      <c r="H71" s="191"/>
      <c r="I71" s="193">
        <f>F71</f>
        <v>128800</v>
      </c>
      <c r="J71" s="191">
        <f t="shared" si="9"/>
        <v>0</v>
      </c>
      <c r="K71" s="191">
        <f t="shared" si="10"/>
        <v>0</v>
      </c>
      <c r="L71" s="191">
        <f t="shared" ref="L71:L73" si="15">IF(AND(B71&gt;92,B71&lt;99),F71,IF(B71=74,F71,IF(B71=69,F71,IF(B71=66,F71,0))))</f>
        <v>128800</v>
      </c>
      <c r="M71" s="191">
        <f t="shared" ref="M71:M73" si="16">IF(AND(B71&gt;69,B71&lt;79),G71,0)</f>
        <v>0</v>
      </c>
      <c r="N71" s="191">
        <f t="shared" ref="N71:N73" si="17">IF(AND(B71&gt;59,B71&lt;69),F71,IF(B71=74,F71,0))</f>
        <v>0</v>
      </c>
      <c r="O71" s="196">
        <f t="shared" ref="O71:O73" si="18">IF(AND(B71&gt;69,B71&lt;79),G71,IF(B71=61,G71,0))</f>
        <v>0</v>
      </c>
    </row>
    <row r="72" spans="2:15" x14ac:dyDescent="0.25">
      <c r="B72" s="212">
        <v>70</v>
      </c>
      <c r="C72" s="190" t="str">
        <f t="shared" si="0"/>
        <v>VENTAS</v>
      </c>
      <c r="D72" s="191">
        <f>'Libro Mayor - Nivel Cuentas'!E166</f>
        <v>0</v>
      </c>
      <c r="E72" s="191">
        <f>'Libro Mayor - Nivel Cuentas'!F166</f>
        <v>616000</v>
      </c>
      <c r="F72" s="191">
        <f t="shared" si="13"/>
        <v>0</v>
      </c>
      <c r="G72" s="191">
        <f t="shared" si="14"/>
        <v>616000</v>
      </c>
      <c r="H72" s="191"/>
      <c r="I72" s="191"/>
      <c r="J72" s="191">
        <f t="shared" si="9"/>
        <v>0</v>
      </c>
      <c r="K72" s="191">
        <f t="shared" si="10"/>
        <v>0</v>
      </c>
      <c r="L72" s="191">
        <f t="shared" si="15"/>
        <v>0</v>
      </c>
      <c r="M72" s="191">
        <f t="shared" si="16"/>
        <v>616000</v>
      </c>
      <c r="N72" s="191">
        <f t="shared" si="17"/>
        <v>0</v>
      </c>
      <c r="O72" s="196">
        <f t="shared" si="18"/>
        <v>616000</v>
      </c>
    </row>
    <row r="73" spans="2:15" x14ac:dyDescent="0.25">
      <c r="B73" s="212">
        <v>71</v>
      </c>
      <c r="C73" s="190" t="str">
        <f t="shared" si="0"/>
        <v>VARIACIÓN DE LA PRODUCCIÓN ALMACENADA</v>
      </c>
      <c r="D73" s="191">
        <f>'Libro Mayor - Nivel Cuentas'!K166</f>
        <v>0</v>
      </c>
      <c r="E73" s="191">
        <f>'Libro Mayor - Nivel Cuentas'!L166</f>
        <v>0</v>
      </c>
      <c r="F73" s="191">
        <f t="shared" si="3"/>
        <v>0</v>
      </c>
      <c r="G73" s="191">
        <f t="shared" si="4"/>
        <v>0</v>
      </c>
      <c r="H73" s="193"/>
      <c r="I73" s="191"/>
      <c r="J73" s="191">
        <f t="shared" si="9"/>
        <v>0</v>
      </c>
      <c r="K73" s="191">
        <f t="shared" si="10"/>
        <v>0</v>
      </c>
      <c r="L73" s="191">
        <f t="shared" si="15"/>
        <v>0</v>
      </c>
      <c r="M73" s="191">
        <f t="shared" si="16"/>
        <v>0</v>
      </c>
      <c r="N73" s="191">
        <f t="shared" si="17"/>
        <v>0</v>
      </c>
      <c r="O73" s="196">
        <f t="shared" si="18"/>
        <v>0</v>
      </c>
    </row>
    <row r="74" spans="2:15" x14ac:dyDescent="0.25">
      <c r="B74" s="212">
        <v>72</v>
      </c>
      <c r="C74" s="190" t="str">
        <f t="shared" si="0"/>
        <v>PRODUCCIÓN DE ACTIVO INMOVILIZADO</v>
      </c>
      <c r="D74" s="191">
        <f>'Libro Mayor - Nivel Cuentas'!Q166</f>
        <v>0</v>
      </c>
      <c r="E74" s="191">
        <f>'Libro Mayor - Nivel Cuentas'!R166</f>
        <v>0</v>
      </c>
      <c r="F74" s="191">
        <f t="shared" si="3"/>
        <v>0</v>
      </c>
      <c r="G74" s="191">
        <f t="shared" si="4"/>
        <v>0</v>
      </c>
      <c r="H74" s="191"/>
      <c r="I74" s="191"/>
      <c r="J74" s="191">
        <f t="shared" si="9"/>
        <v>0</v>
      </c>
      <c r="K74" s="191">
        <f t="shared" si="10"/>
        <v>0</v>
      </c>
      <c r="L74" s="191">
        <f t="shared" si="5"/>
        <v>0</v>
      </c>
      <c r="M74" s="191">
        <f t="shared" si="6"/>
        <v>0</v>
      </c>
      <c r="N74" s="191">
        <f t="shared" si="11"/>
        <v>0</v>
      </c>
      <c r="O74" s="196">
        <f t="shared" si="12"/>
        <v>0</v>
      </c>
    </row>
    <row r="75" spans="2:15" x14ac:dyDescent="0.25">
      <c r="B75" s="212">
        <v>73</v>
      </c>
      <c r="C75" s="190" t="str">
        <f t="shared" si="0"/>
        <v>DESCUENTOS, REBAJAS Y BONIFICACIONES OBTENIDOS</v>
      </c>
      <c r="D75" s="191">
        <f>'Libro Mayor - Nivel Cuentas'!W166</f>
        <v>0</v>
      </c>
      <c r="E75" s="191">
        <f>'Libro Mayor - Nivel Cuentas'!X166</f>
        <v>0</v>
      </c>
      <c r="F75" s="191">
        <f t="shared" si="3"/>
        <v>0</v>
      </c>
      <c r="G75" s="191">
        <f t="shared" si="4"/>
        <v>0</v>
      </c>
      <c r="H75" s="191"/>
      <c r="I75" s="191"/>
      <c r="J75" s="191">
        <f t="shared" si="9"/>
        <v>0</v>
      </c>
      <c r="K75" s="191">
        <f t="shared" si="10"/>
        <v>0</v>
      </c>
      <c r="L75" s="191">
        <f t="shared" si="5"/>
        <v>0</v>
      </c>
      <c r="M75" s="191">
        <f t="shared" si="6"/>
        <v>0</v>
      </c>
      <c r="N75" s="191">
        <f t="shared" si="11"/>
        <v>0</v>
      </c>
      <c r="O75" s="196">
        <f t="shared" si="12"/>
        <v>0</v>
      </c>
    </row>
    <row r="76" spans="2:15" x14ac:dyDescent="0.25">
      <c r="B76" s="212">
        <v>74</v>
      </c>
      <c r="C76" s="190" t="str">
        <f t="shared" si="0"/>
        <v>DESCUENTOS, REBAJAS Y BONIFICACIONES CONCEDIDOS</v>
      </c>
      <c r="D76" s="191">
        <f>'Libro Mayor - Nivel Cuentas'!AC166</f>
        <v>0</v>
      </c>
      <c r="E76" s="191">
        <f>'Libro Mayor - Nivel Cuentas'!AD166</f>
        <v>0</v>
      </c>
      <c r="F76" s="191">
        <f t="shared" si="3"/>
        <v>0</v>
      </c>
      <c r="G76" s="191">
        <f t="shared" si="4"/>
        <v>0</v>
      </c>
      <c r="H76" s="191"/>
      <c r="I76" s="191"/>
      <c r="J76" s="191">
        <f t="shared" si="9"/>
        <v>0</v>
      </c>
      <c r="K76" s="191">
        <f t="shared" si="10"/>
        <v>0</v>
      </c>
      <c r="L76" s="191">
        <f t="shared" si="5"/>
        <v>0</v>
      </c>
      <c r="M76" s="191">
        <f t="shared" si="6"/>
        <v>0</v>
      </c>
      <c r="N76" s="191">
        <f t="shared" si="11"/>
        <v>0</v>
      </c>
      <c r="O76" s="196">
        <f t="shared" si="12"/>
        <v>0</v>
      </c>
    </row>
    <row r="77" spans="2:15" x14ac:dyDescent="0.25">
      <c r="B77" s="212">
        <v>75</v>
      </c>
      <c r="C77" s="190" t="str">
        <f t="shared" si="0"/>
        <v>OTROS INGRESOS DE GESTIÓN</v>
      </c>
      <c r="D77" s="191">
        <f>'Libro Mayor - Nivel Cuentas'!AI166</f>
        <v>0</v>
      </c>
      <c r="E77" s="191">
        <f>'Libro Mayor - Nivel Cuentas'!AJ166</f>
        <v>0</v>
      </c>
      <c r="F77" s="191">
        <f t="shared" si="3"/>
        <v>0</v>
      </c>
      <c r="G77" s="191">
        <f t="shared" si="4"/>
        <v>0</v>
      </c>
      <c r="H77" s="191"/>
      <c r="I77" s="191"/>
      <c r="J77" s="191">
        <f t="shared" si="9"/>
        <v>0</v>
      </c>
      <c r="K77" s="191">
        <f t="shared" si="10"/>
        <v>0</v>
      </c>
      <c r="L77" s="191">
        <f t="shared" si="5"/>
        <v>0</v>
      </c>
      <c r="M77" s="191">
        <f t="shared" si="6"/>
        <v>0</v>
      </c>
      <c r="N77" s="191">
        <f t="shared" si="11"/>
        <v>0</v>
      </c>
      <c r="O77" s="196">
        <f t="shared" si="12"/>
        <v>0</v>
      </c>
    </row>
    <row r="78" spans="2:15" x14ac:dyDescent="0.25">
      <c r="B78" s="212">
        <v>76</v>
      </c>
      <c r="C78" s="190" t="str">
        <f t="shared" si="0"/>
        <v>GANANCIA POR MEDICIÓN DE ACTIVOS NO FINANCIEROS AL VALOR RAZONABLE</v>
      </c>
      <c r="D78" s="191">
        <f>'Libro Mayor - Nivel Cuentas'!AO166</f>
        <v>0</v>
      </c>
      <c r="E78" s="191">
        <f>'Libro Mayor - Nivel Cuentas'!AP166</f>
        <v>0</v>
      </c>
      <c r="F78" s="191">
        <f t="shared" si="3"/>
        <v>0</v>
      </c>
      <c r="G78" s="191">
        <f t="shared" si="4"/>
        <v>0</v>
      </c>
      <c r="H78" s="191"/>
      <c r="I78" s="191"/>
      <c r="J78" s="191">
        <f t="shared" si="9"/>
        <v>0</v>
      </c>
      <c r="K78" s="191">
        <f t="shared" si="10"/>
        <v>0</v>
      </c>
      <c r="L78" s="191">
        <f t="shared" si="5"/>
        <v>0</v>
      </c>
      <c r="M78" s="191">
        <f t="shared" si="6"/>
        <v>0</v>
      </c>
      <c r="N78" s="191">
        <f t="shared" si="11"/>
        <v>0</v>
      </c>
      <c r="O78" s="196">
        <f t="shared" si="12"/>
        <v>0</v>
      </c>
    </row>
    <row r="79" spans="2:15" x14ac:dyDescent="0.25">
      <c r="B79" s="212">
        <v>77</v>
      </c>
      <c r="C79" s="190" t="str">
        <f t="shared" si="0"/>
        <v>INGRESOS FINANCIEROS</v>
      </c>
      <c r="D79" s="191">
        <f>'Libro Mayor - Nivel Cuentas'!AU166</f>
        <v>0</v>
      </c>
      <c r="E79" s="191">
        <f>'Libro Mayor - Nivel Cuentas'!AV166</f>
        <v>0</v>
      </c>
      <c r="F79" s="191">
        <f t="shared" si="3"/>
        <v>0</v>
      </c>
      <c r="G79" s="191">
        <f t="shared" si="4"/>
        <v>0</v>
      </c>
      <c r="H79" s="191"/>
      <c r="I79" s="191"/>
      <c r="J79" s="191">
        <f t="shared" si="9"/>
        <v>0</v>
      </c>
      <c r="K79" s="191">
        <f t="shared" si="10"/>
        <v>0</v>
      </c>
      <c r="L79" s="191">
        <f t="shared" si="5"/>
        <v>0</v>
      </c>
      <c r="M79" s="191">
        <f t="shared" si="6"/>
        <v>0</v>
      </c>
      <c r="N79" s="191">
        <f t="shared" si="11"/>
        <v>0</v>
      </c>
      <c r="O79" s="196">
        <f t="shared" si="12"/>
        <v>0</v>
      </c>
    </row>
    <row r="80" spans="2:15" x14ac:dyDescent="0.25">
      <c r="B80" s="212">
        <v>78</v>
      </c>
      <c r="C80" s="190" t="str">
        <f t="shared" ref="C80:C85" si="19">VLOOKUP(B80,CuentasContables,5,FALSE)</f>
        <v>CARGAS CUBIERTAS POR PROVISIONES</v>
      </c>
      <c r="D80" s="191">
        <f>'Libro Mayor - Nivel Cuentas'!BA166</f>
        <v>0</v>
      </c>
      <c r="E80" s="191">
        <f>'Libro Mayor - Nivel Cuentas'!BB166</f>
        <v>0</v>
      </c>
      <c r="F80" s="191">
        <f t="shared" si="3"/>
        <v>0</v>
      </c>
      <c r="G80" s="191">
        <f t="shared" si="4"/>
        <v>0</v>
      </c>
      <c r="H80" s="191"/>
      <c r="I80" s="191"/>
      <c r="J80" s="191">
        <f t="shared" si="9"/>
        <v>0</v>
      </c>
      <c r="K80" s="191">
        <f t="shared" si="10"/>
        <v>0</v>
      </c>
      <c r="L80" s="191">
        <f t="shared" si="5"/>
        <v>0</v>
      </c>
      <c r="M80" s="191">
        <f t="shared" si="6"/>
        <v>0</v>
      </c>
      <c r="N80" s="191">
        <f t="shared" si="11"/>
        <v>0</v>
      </c>
      <c r="O80" s="196">
        <f t="shared" si="12"/>
        <v>0</v>
      </c>
    </row>
    <row r="81" spans="2:15" x14ac:dyDescent="0.25">
      <c r="B81" s="212">
        <v>79</v>
      </c>
      <c r="C81" s="190" t="str">
        <f t="shared" si="19"/>
        <v>CARGAS IMPUTABLES A CUENTAS DE COSTOS Y GASTOS</v>
      </c>
      <c r="D81" s="191">
        <f>'Libro Mayor - Nivel Cuentas'!BG166</f>
        <v>0</v>
      </c>
      <c r="E81" s="191">
        <f>'Libro Mayor - Nivel Cuentas'!BH166</f>
        <v>387534.87288135593</v>
      </c>
      <c r="F81" s="191">
        <f t="shared" ref="F81" si="20">IF(D81&gt;E81,D81-E81,0)</f>
        <v>0</v>
      </c>
      <c r="G81" s="191">
        <f t="shared" ref="G81" si="21">IF(D81&lt;E81,E81-D81,0)</f>
        <v>387534.87288135593</v>
      </c>
      <c r="H81" s="194">
        <f>G81</f>
        <v>387534.87288135593</v>
      </c>
      <c r="I81" s="191"/>
      <c r="J81" s="191"/>
      <c r="K81" s="191"/>
      <c r="L81" s="191"/>
      <c r="M81" s="191"/>
      <c r="N81" s="191"/>
      <c r="O81" s="196"/>
    </row>
    <row r="82" spans="2:15" x14ac:dyDescent="0.25">
      <c r="B82" s="212">
        <v>93</v>
      </c>
      <c r="C82" s="190" t="str">
        <f t="shared" si="19"/>
        <v>CENTROS DE COSTOS</v>
      </c>
      <c r="D82" s="191">
        <f>'Libro Mayor - Nivel Cuentas'!E190</f>
        <v>0</v>
      </c>
      <c r="E82" s="191">
        <f>'Libro Mayor - Nivel Cuentas'!F190</f>
        <v>0</v>
      </c>
      <c r="F82" s="191">
        <f t="shared" si="3"/>
        <v>0</v>
      </c>
      <c r="G82" s="191">
        <f t="shared" si="4"/>
        <v>0</v>
      </c>
      <c r="H82" s="191"/>
      <c r="I82" s="194">
        <f>F82</f>
        <v>0</v>
      </c>
      <c r="J82" s="191">
        <f>IF(60&gt;B82,F82,0)</f>
        <v>0</v>
      </c>
      <c r="K82" s="191">
        <f>IF(60&gt;B82,G82,0)</f>
        <v>0</v>
      </c>
      <c r="L82" s="191">
        <f t="shared" si="5"/>
        <v>0</v>
      </c>
      <c r="M82" s="191">
        <f t="shared" si="6"/>
        <v>0</v>
      </c>
      <c r="N82" s="191">
        <f t="shared" si="11"/>
        <v>0</v>
      </c>
      <c r="O82" s="196">
        <f t="shared" si="12"/>
        <v>0</v>
      </c>
    </row>
    <row r="83" spans="2:15" x14ac:dyDescent="0.25">
      <c r="B83" s="212">
        <v>94</v>
      </c>
      <c r="C83" s="190" t="str">
        <f t="shared" si="19"/>
        <v>GASTOS ADMINISTRATIVOS</v>
      </c>
      <c r="D83" s="191">
        <f>'Libro Mayor - Nivel Cuentas'!K190</f>
        <v>387534.87288135593</v>
      </c>
      <c r="E83" s="191">
        <f>'Libro Mayor - Nivel Cuentas'!L190</f>
        <v>0</v>
      </c>
      <c r="F83" s="191">
        <f t="shared" ref="F83:F85" si="22">IF(D83&gt;E83,D83-E83,0)</f>
        <v>387534.87288135593</v>
      </c>
      <c r="G83" s="191">
        <f t="shared" ref="G83:G85" si="23">IF(D83&lt;E83,E83-D83,0)</f>
        <v>0</v>
      </c>
      <c r="H83" s="191"/>
      <c r="I83" s="194">
        <f>F83</f>
        <v>387534.87288135593</v>
      </c>
      <c r="J83" s="191">
        <f>IF(60&gt;B83,F83,0)</f>
        <v>0</v>
      </c>
      <c r="K83" s="191">
        <f>IF(60&gt;B83,G83,0)</f>
        <v>0</v>
      </c>
      <c r="L83" s="191">
        <f t="shared" ref="L83:L85" si="24">IF(AND(B83&gt;92,B83&lt;99),F83,IF(B83=74,F83,IF(B83=69,F83,IF(B83=66,F83,0))))</f>
        <v>387534.87288135593</v>
      </c>
      <c r="M83" s="191">
        <f t="shared" ref="M83:M85" si="25">IF(AND(B83&gt;69,B83&lt;79),G83,0)</f>
        <v>0</v>
      </c>
      <c r="N83" s="191">
        <f t="shared" si="11"/>
        <v>0</v>
      </c>
      <c r="O83" s="196">
        <f t="shared" si="12"/>
        <v>0</v>
      </c>
    </row>
    <row r="84" spans="2:15" x14ac:dyDescent="0.25">
      <c r="B84" s="212">
        <v>95</v>
      </c>
      <c r="C84" s="190" t="str">
        <f t="shared" si="19"/>
        <v>GASTOS DE VENTAS</v>
      </c>
      <c r="D84" s="191">
        <f>'Libro Mayor - Nivel Cuentas'!Q190</f>
        <v>0</v>
      </c>
      <c r="E84" s="191">
        <f>'Libro Mayor - Nivel Cuentas'!R190</f>
        <v>0</v>
      </c>
      <c r="F84" s="191">
        <f t="shared" si="22"/>
        <v>0</v>
      </c>
      <c r="G84" s="191">
        <f t="shared" si="23"/>
        <v>0</v>
      </c>
      <c r="H84" s="191"/>
      <c r="I84" s="194">
        <f>F84</f>
        <v>0</v>
      </c>
      <c r="J84" s="191">
        <f>IF(60&gt;B84,F84,0)</f>
        <v>0</v>
      </c>
      <c r="K84" s="191">
        <f>IF(60&gt;B84,G84,0)</f>
        <v>0</v>
      </c>
      <c r="L84" s="191">
        <f t="shared" si="24"/>
        <v>0</v>
      </c>
      <c r="M84" s="191">
        <f t="shared" si="25"/>
        <v>0</v>
      </c>
      <c r="N84" s="191">
        <f t="shared" si="11"/>
        <v>0</v>
      </c>
      <c r="O84" s="196">
        <f t="shared" si="12"/>
        <v>0</v>
      </c>
    </row>
    <row r="85" spans="2:15" x14ac:dyDescent="0.25">
      <c r="B85" s="212">
        <v>97</v>
      </c>
      <c r="C85" s="190" t="str">
        <f t="shared" si="19"/>
        <v>GASTOS FINANCIEROS</v>
      </c>
      <c r="D85" s="191">
        <f>'Libro Mayor - Nivel Cuentas'!W190</f>
        <v>0</v>
      </c>
      <c r="E85" s="191">
        <f>'Libro Mayor - Nivel Cuentas'!X190</f>
        <v>0</v>
      </c>
      <c r="F85" s="191">
        <f t="shared" si="22"/>
        <v>0</v>
      </c>
      <c r="G85" s="191">
        <f t="shared" si="23"/>
        <v>0</v>
      </c>
      <c r="H85" s="191"/>
      <c r="I85" s="194">
        <f>F85</f>
        <v>0</v>
      </c>
      <c r="J85" s="191">
        <f>IF(60&gt;B85,F85,0)</f>
        <v>0</v>
      </c>
      <c r="K85" s="191">
        <f>IF(60&gt;B85,G85,0)</f>
        <v>0</v>
      </c>
      <c r="L85" s="191">
        <f t="shared" si="24"/>
        <v>0</v>
      </c>
      <c r="M85" s="191">
        <f t="shared" si="25"/>
        <v>0</v>
      </c>
      <c r="N85" s="191">
        <f t="shared" si="11"/>
        <v>0</v>
      </c>
      <c r="O85" s="196">
        <f t="shared" si="12"/>
        <v>0</v>
      </c>
    </row>
    <row r="86" spans="2:15" x14ac:dyDescent="0.25">
      <c r="B86" s="212"/>
      <c r="C86" s="190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6"/>
    </row>
    <row r="87" spans="2:15" ht="15" thickBot="1" x14ac:dyDescent="0.3">
      <c r="B87" s="212"/>
      <c r="C87" s="190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6"/>
    </row>
    <row r="88" spans="2:15" ht="15.6" thickTop="1" thickBot="1" x14ac:dyDescent="0.3">
      <c r="B88" s="212"/>
      <c r="C88" s="190"/>
      <c r="D88" s="195"/>
      <c r="E88" s="195"/>
      <c r="F88" s="195"/>
      <c r="G88" s="195"/>
      <c r="H88" s="190"/>
      <c r="I88" s="190"/>
      <c r="J88" s="214">
        <f>SUM(J16:J87)</f>
        <v>1767271</v>
      </c>
      <c r="K88" s="214">
        <f>SUM(K16:K87)</f>
        <v>1667605.8728813559</v>
      </c>
      <c r="L88" s="214">
        <f t="shared" ref="L88:O88" si="26">SUM(L16:L87)</f>
        <v>516334.87288135593</v>
      </c>
      <c r="M88" s="214">
        <f t="shared" si="26"/>
        <v>616000</v>
      </c>
      <c r="N88" s="214">
        <f t="shared" si="26"/>
        <v>670434.87288135593</v>
      </c>
      <c r="O88" s="215">
        <f t="shared" si="26"/>
        <v>616000</v>
      </c>
    </row>
    <row r="89" spans="2:15" ht="15.6" thickTop="1" thickBot="1" x14ac:dyDescent="0.3">
      <c r="B89" s="213"/>
      <c r="C89" s="198"/>
      <c r="D89" s="340" t="str">
        <f>IF(AND(N89=0,O89=0),"",IF(N89=0,"P É R D I D A   D E L   E J E R C I C I O  :","G A N A N C I A   D E L  E J E R C I C I O  :"))</f>
        <v>P É R D I D A   D E L   E J E R C I C I O  :</v>
      </c>
      <c r="E89" s="340"/>
      <c r="F89" s="340"/>
      <c r="G89" s="340"/>
      <c r="H89" s="201"/>
      <c r="I89" s="201"/>
      <c r="J89" s="202">
        <f>IF(K88&gt;J88,K88-J88,0)</f>
        <v>0</v>
      </c>
      <c r="K89" s="203">
        <f>IF(J88&gt;K88,J88-K88,0)</f>
        <v>99665.127118644072</v>
      </c>
      <c r="L89" s="203">
        <f>IF(M88&gt;L88,M88-L88,0)</f>
        <v>99665.127118644072</v>
      </c>
      <c r="M89" s="202">
        <f>IF(L88&gt;M88,L88-M88,0)</f>
        <v>0</v>
      </c>
      <c r="N89" s="203">
        <f>IF(O88&gt;N88,O88-N88,0)</f>
        <v>0</v>
      </c>
      <c r="O89" s="204">
        <f>IF(N88&gt;O88,N88-O88,0)</f>
        <v>54434.872881355928</v>
      </c>
    </row>
    <row r="90" spans="2:15" ht="15" thickBot="1" x14ac:dyDescent="0.3">
      <c r="B90" s="197"/>
      <c r="C90" s="198"/>
      <c r="D90" s="199">
        <f t="shared" ref="D90:I90" si="27">SUM(D16:D88)</f>
        <v>3368455.3728813557</v>
      </c>
      <c r="E90" s="199">
        <f t="shared" si="27"/>
        <v>3214355.3728813557</v>
      </c>
      <c r="F90" s="199">
        <f t="shared" si="27"/>
        <v>2825240.7457627123</v>
      </c>
      <c r="G90" s="199">
        <f t="shared" si="27"/>
        <v>2671140.7457627114</v>
      </c>
      <c r="H90" s="199">
        <f t="shared" si="27"/>
        <v>516334.87288135593</v>
      </c>
      <c r="I90" s="199">
        <f t="shared" si="27"/>
        <v>516334.87288135593</v>
      </c>
      <c r="J90" s="199">
        <f>SUM(J88:J89)</f>
        <v>1767271</v>
      </c>
      <c r="K90" s="199">
        <f>SUM(K88:K89)</f>
        <v>1767271</v>
      </c>
      <c r="L90" s="199">
        <f t="shared" ref="L90:O90" si="28">SUM(L88:L89)</f>
        <v>616000</v>
      </c>
      <c r="M90" s="199">
        <f t="shared" si="28"/>
        <v>616000</v>
      </c>
      <c r="N90" s="199">
        <f t="shared" si="28"/>
        <v>670434.87288135593</v>
      </c>
      <c r="O90" s="200">
        <f t="shared" si="28"/>
        <v>670434.87288135593</v>
      </c>
    </row>
    <row r="91" spans="2:15" x14ac:dyDescent="0.25">
      <c r="D91" s="6">
        <f>IF(D90&lt;E90,E90-D90,0)</f>
        <v>0</v>
      </c>
      <c r="E91" s="6">
        <f>IF(D90&gt;E90,D90-E90,0)</f>
        <v>154100</v>
      </c>
    </row>
    <row r="93" spans="2:15" x14ac:dyDescent="0.25">
      <c r="D93" s="159" t="s">
        <v>408</v>
      </c>
      <c r="E93" s="12">
        <f>E72</f>
        <v>616000</v>
      </c>
      <c r="G93" s="159" t="s">
        <v>409</v>
      </c>
    </row>
    <row r="94" spans="2:15" x14ac:dyDescent="0.25">
      <c r="D94" s="159" t="s">
        <v>410</v>
      </c>
      <c r="E94" s="12">
        <f>D71</f>
        <v>128800</v>
      </c>
      <c r="G94" s="159" t="s">
        <v>411</v>
      </c>
      <c r="H94" s="13">
        <f>E95/E94</f>
        <v>3.7826086956521738</v>
      </c>
      <c r="I94" s="14">
        <f>H94</f>
        <v>3.7826086956521738</v>
      </c>
      <c r="J94" s="14"/>
      <c r="K94" s="14"/>
    </row>
    <row r="95" spans="2:15" x14ac:dyDescent="0.25">
      <c r="D95" s="159" t="s">
        <v>411</v>
      </c>
      <c r="E95" s="15">
        <f>E93-E94</f>
        <v>487200</v>
      </c>
      <c r="G95" s="159" t="s">
        <v>412</v>
      </c>
      <c r="H95" s="13">
        <f>E101/(E93)</f>
        <v>4.8538211259079901E-2</v>
      </c>
    </row>
    <row r="97" spans="4:5" x14ac:dyDescent="0.25">
      <c r="D97" s="159" t="s">
        <v>1594</v>
      </c>
    </row>
    <row r="98" spans="4:5" x14ac:dyDescent="0.25">
      <c r="D98" s="159" t="s">
        <v>1595</v>
      </c>
      <c r="E98" s="12">
        <f>IF(L89="","",'Distribución de Utilidades'!D5)</f>
        <v>0</v>
      </c>
    </row>
    <row r="100" spans="4:5" x14ac:dyDescent="0.25">
      <c r="D100" s="159" t="s">
        <v>413</v>
      </c>
    </row>
    <row r="101" spans="4:5" x14ac:dyDescent="0.25">
      <c r="D101" s="159" t="s">
        <v>414</v>
      </c>
      <c r="E101" s="15">
        <f>IF(L89="","",(L89-E98)*30%)</f>
        <v>29899.538135593219</v>
      </c>
    </row>
    <row r="102" spans="4:5" x14ac:dyDescent="0.25">
      <c r="E102" s="15"/>
    </row>
    <row r="103" spans="4:5" x14ac:dyDescent="0.25">
      <c r="D103" s="159" t="s">
        <v>415</v>
      </c>
      <c r="E103" s="12"/>
    </row>
    <row r="104" spans="4:5" x14ac:dyDescent="0.25">
      <c r="D104" s="159" t="s">
        <v>416</v>
      </c>
      <c r="E104" s="12">
        <f>'Mayor - Nivel Divisionarias'!E748</f>
        <v>0</v>
      </c>
    </row>
    <row r="106" spans="4:5" x14ac:dyDescent="0.25">
      <c r="D106" s="159" t="s">
        <v>417</v>
      </c>
    </row>
    <row r="107" spans="4:5" x14ac:dyDescent="0.25">
      <c r="D107" s="159" t="s">
        <v>418</v>
      </c>
      <c r="E107" s="15">
        <f>E101-E104</f>
        <v>29899.538135593219</v>
      </c>
    </row>
    <row r="109" spans="4:5" x14ac:dyDescent="0.25">
      <c r="D109" s="159" t="s">
        <v>1597</v>
      </c>
      <c r="E109" s="15">
        <f>K89-E98-E101</f>
        <v>69765.588983050853</v>
      </c>
    </row>
  </sheetData>
  <mergeCells count="8">
    <mergeCell ref="N14:O14"/>
    <mergeCell ref="J14:K14"/>
    <mergeCell ref="B14:C14"/>
    <mergeCell ref="D89:G89"/>
    <mergeCell ref="H14:I14"/>
    <mergeCell ref="D14:E14"/>
    <mergeCell ref="F14:G14"/>
    <mergeCell ref="L14:M14"/>
  </mergeCells>
  <phoneticPr fontId="0" type="noConversion"/>
  <conditionalFormatting sqref="L90 N90 J90 D90 F90 H90">
    <cfRule type="cellIs" dxfId="157" priority="7" stopIfTrue="1" operator="notEqual">
      <formula>E90</formula>
    </cfRule>
    <cfRule type="cellIs" dxfId="156" priority="8" stopIfTrue="1" operator="greaterThan">
      <formula>0</formula>
    </cfRule>
  </conditionalFormatting>
  <conditionalFormatting sqref="M90 O90 K90 E90 G90 I90">
    <cfRule type="cellIs" dxfId="155" priority="9" stopIfTrue="1" operator="notEqual">
      <formula>D90</formula>
    </cfRule>
    <cfRule type="cellIs" dxfId="154" priority="10" stopIfTrue="1" operator="greaterThan">
      <formula>0</formula>
    </cfRule>
  </conditionalFormatting>
  <conditionalFormatting sqref="D89:G89">
    <cfRule type="cellIs" dxfId="153" priority="3" stopIfTrue="1" operator="equal">
      <formula>"P É R D I D A   D E L   E J E R C I C I O  :"</formula>
    </cfRule>
    <cfRule type="cellIs" dxfId="152" priority="4" stopIfTrue="1" operator="equal">
      <formula>"G A N A N C I A   D E L  E J E R C I C I O  :"</formula>
    </cfRule>
  </conditionalFormatting>
  <conditionalFormatting sqref="E95 H94:H95 E102 E107 I94:K94">
    <cfRule type="cellIs" dxfId="151" priority="5" stopIfTrue="1" operator="greaterThan">
      <formula>0</formula>
    </cfRule>
  </conditionalFormatting>
  <conditionalFormatting sqref="H16:H36 I46:I53 H38:H46 H48:H52 I56:I87 J16:O89 D16:G87 H54:H87 I16:I44">
    <cfRule type="cellIs" dxfId="150" priority="6" stopIfTrue="1" operator="equal">
      <formula>0</formula>
    </cfRule>
  </conditionalFormatting>
  <conditionalFormatting sqref="D91:E91">
    <cfRule type="cellIs" dxfId="149" priority="19" stopIfTrue="1" operator="greaterThan">
      <formula>0</formula>
    </cfRule>
  </conditionalFormatting>
  <conditionalFormatting sqref="E101">
    <cfRule type="cellIs" dxfId="148" priority="2" stopIfTrue="1" operator="greaterThan">
      <formula>0</formula>
    </cfRule>
  </conditionalFormatting>
  <conditionalFormatting sqref="E109">
    <cfRule type="cellIs" dxfId="147" priority="1" stopIfTrue="1" operator="greaterThan">
      <formula>0</formula>
    </cfRule>
  </conditionalFormatting>
  <printOptions horizontalCentered="1"/>
  <pageMargins left="0.19685039370078741" right="0.19685039370078741" top="0.39370078740157483" bottom="0.19685039370078741" header="0" footer="0"/>
  <pageSetup paperSize="9" scale="50" fitToHeight="2" orientation="landscape" verticalDpi="72" r:id="rId1"/>
  <headerFooter alignWithMargins="0"/>
  <ignoredErrors>
    <ignoredError sqref="N89:O89 M89 N63:O63" formula="1"/>
    <ignoredError sqref="H94:H9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21"/>
    <pageSetUpPr fitToPage="1"/>
  </sheetPr>
  <dimension ref="B1:O329"/>
  <sheetViews>
    <sheetView showGridLines="0" topLeftCell="D303" zoomScale="80" zoomScaleNormal="80" workbookViewId="0">
      <selection activeCell="D303" sqref="D303"/>
    </sheetView>
  </sheetViews>
  <sheetFormatPr baseColWidth="10" defaultColWidth="11.44140625" defaultRowHeight="14.4" x14ac:dyDescent="0.25"/>
  <cols>
    <col min="1" max="1" width="3.6640625" style="159" customWidth="1"/>
    <col min="2" max="2" width="8.5546875" style="159" bestFit="1" customWidth="1"/>
    <col min="3" max="3" width="80.44140625" style="159" bestFit="1" customWidth="1"/>
    <col min="4" max="5" width="17.6640625" style="159" customWidth="1"/>
    <col min="6" max="7" width="16.6640625" style="159" customWidth="1"/>
    <col min="8" max="15" width="15.6640625" style="159" customWidth="1"/>
    <col min="16" max="16" width="3.6640625" style="159" customWidth="1"/>
    <col min="17" max="17" width="15.6640625" style="159" customWidth="1"/>
    <col min="18" max="16384" width="11.44140625" style="159"/>
  </cols>
  <sheetData>
    <row r="1" spans="2:15" ht="15.6" x14ac:dyDescent="0.25">
      <c r="B1" s="7"/>
      <c r="C1" s="7"/>
      <c r="D1" s="7"/>
      <c r="E1" s="7"/>
    </row>
    <row r="2" spans="2:15" ht="15.6" x14ac:dyDescent="0.25">
      <c r="C2" s="206" t="s">
        <v>321</v>
      </c>
      <c r="D2" s="233" t="s">
        <v>482</v>
      </c>
      <c r="E2" s="233"/>
    </row>
    <row r="3" spans="2:15" ht="15.6" x14ac:dyDescent="0.25">
      <c r="C3" s="1"/>
      <c r="D3" s="2"/>
      <c r="E3" s="7"/>
    </row>
    <row r="4" spans="2:15" ht="15.6" x14ac:dyDescent="0.25">
      <c r="C4" s="206" t="s">
        <v>322</v>
      </c>
      <c r="D4" s="255" t="str">
        <f>'Base de Datos'!C8</f>
        <v>MARZO</v>
      </c>
      <c r="E4" s="234"/>
    </row>
    <row r="5" spans="2:15" ht="15.6" x14ac:dyDescent="0.25">
      <c r="C5" s="1"/>
      <c r="D5" s="2"/>
      <c r="E5" s="7"/>
    </row>
    <row r="6" spans="2:15" ht="15.6" x14ac:dyDescent="0.25">
      <c r="C6" s="206" t="s">
        <v>323</v>
      </c>
      <c r="D6" s="231">
        <f>'Base de Datos'!$C$9</f>
        <v>2015</v>
      </c>
      <c r="E6" s="234"/>
    </row>
    <row r="7" spans="2:15" ht="15.6" x14ac:dyDescent="0.25">
      <c r="C7" s="1"/>
      <c r="D7" s="205"/>
      <c r="E7" s="7"/>
    </row>
    <row r="8" spans="2:15" ht="15.6" x14ac:dyDescent="0.25">
      <c r="C8" s="206" t="s">
        <v>324</v>
      </c>
      <c r="D8" s="231">
        <f>'Base de Datos'!$C$6</f>
        <v>20411074561</v>
      </c>
      <c r="E8" s="234"/>
    </row>
    <row r="9" spans="2:15" ht="15.6" x14ac:dyDescent="0.25">
      <c r="C9" s="1"/>
      <c r="D9" s="2"/>
      <c r="E9" s="7"/>
    </row>
    <row r="10" spans="2:15" ht="15.6" x14ac:dyDescent="0.25">
      <c r="C10" s="206" t="s">
        <v>325</v>
      </c>
      <c r="D10" s="254" t="str">
        <f>'Base de Datos'!$C$5</f>
        <v>LOS BAILARINES SRL</v>
      </c>
      <c r="E10" s="234"/>
    </row>
    <row r="11" spans="2:15" ht="15.6" x14ac:dyDescent="0.25">
      <c r="B11" s="7"/>
      <c r="C11" s="7"/>
      <c r="D11" s="7"/>
      <c r="E11" s="7"/>
    </row>
    <row r="13" spans="2:15" ht="15" thickBot="1" x14ac:dyDescent="0.3">
      <c r="B13" s="211">
        <f>COUNT(B16:B307)</f>
        <v>290</v>
      </c>
    </row>
    <row r="14" spans="2:15" ht="43.5" customHeight="1" x14ac:dyDescent="0.25">
      <c r="B14" s="338" t="s">
        <v>475</v>
      </c>
      <c r="C14" s="339"/>
      <c r="D14" s="339" t="s">
        <v>476</v>
      </c>
      <c r="E14" s="339"/>
      <c r="F14" s="339" t="s">
        <v>477</v>
      </c>
      <c r="G14" s="339"/>
      <c r="H14" s="339" t="s">
        <v>404</v>
      </c>
      <c r="I14" s="339"/>
      <c r="J14" s="336" t="s">
        <v>478</v>
      </c>
      <c r="K14" s="336"/>
      <c r="L14" s="336" t="s">
        <v>480</v>
      </c>
      <c r="M14" s="336"/>
      <c r="N14" s="336" t="s">
        <v>481</v>
      </c>
      <c r="O14" s="337"/>
    </row>
    <row r="15" spans="2:15" ht="29.25" customHeight="1" thickBot="1" x14ac:dyDescent="0.3">
      <c r="B15" s="207" t="s">
        <v>371</v>
      </c>
      <c r="C15" s="208" t="s">
        <v>372</v>
      </c>
      <c r="D15" s="208" t="s">
        <v>395</v>
      </c>
      <c r="E15" s="208" t="s">
        <v>394</v>
      </c>
      <c r="F15" s="208" t="s">
        <v>403</v>
      </c>
      <c r="G15" s="208" t="s">
        <v>402</v>
      </c>
      <c r="H15" s="208" t="s">
        <v>395</v>
      </c>
      <c r="I15" s="208" t="s">
        <v>394</v>
      </c>
      <c r="J15" s="208" t="s">
        <v>399</v>
      </c>
      <c r="K15" s="209" t="s">
        <v>479</v>
      </c>
      <c r="L15" s="208" t="s">
        <v>401</v>
      </c>
      <c r="M15" s="210" t="s">
        <v>400</v>
      </c>
      <c r="N15" s="208" t="s">
        <v>401</v>
      </c>
      <c r="O15" s="208" t="s">
        <v>400</v>
      </c>
    </row>
    <row r="16" spans="2:15" ht="15" thickTop="1" x14ac:dyDescent="0.25">
      <c r="B16" s="212">
        <v>1011</v>
      </c>
      <c r="C16" s="190" t="str">
        <f t="shared" ref="C16:C80" si="0">VLOOKUP(B16,DivisionariasContables,3,FALSE)</f>
        <v>Dinero en Efectivo</v>
      </c>
      <c r="D16" s="191">
        <f>'Mayor - Nivel Divisionarias'!E20</f>
        <v>0</v>
      </c>
      <c r="E16" s="191">
        <f>'Mayor - Nivel Divisionarias'!F20</f>
        <v>0</v>
      </c>
      <c r="F16" s="191">
        <f>IF(D16&gt;E16,D16-E16,0)</f>
        <v>0</v>
      </c>
      <c r="G16" s="191">
        <f>IF(D16&lt;E16,E16-D16,0)</f>
        <v>0</v>
      </c>
      <c r="H16" s="191"/>
      <c r="I16" s="191"/>
      <c r="J16" s="191">
        <f t="shared" ref="J16:J79" si="1">IF(6000&gt;B16,F16,0)</f>
        <v>0</v>
      </c>
      <c r="K16" s="196">
        <f t="shared" ref="K16:K79" si="2">IF(6000&gt;B16,G16,0)</f>
        <v>0</v>
      </c>
      <c r="L16" s="191">
        <f t="shared" ref="L16" si="3">IF(AND(B16&gt;9200,B16&lt;9999),F16,IF(B16=7091,F16,IF(B16=7411,F16,IF(B16=6911,F16,IF(B16=6611,F16,0)))))</f>
        <v>0</v>
      </c>
      <c r="M16" s="191">
        <f>IF(AND(B16&gt;6900,B16&lt;7900),G16,0)</f>
        <v>0</v>
      </c>
      <c r="N16" s="191">
        <f t="shared" ref="N16" si="4">IF(AND(B16&gt;5900,B16&lt;6911),F16,IF(B16=7091,F16,IF(B16=7411,F16,0)))</f>
        <v>0</v>
      </c>
      <c r="O16" s="191">
        <f>IF(AND(B16&gt;6900,B16&lt;7900),G16,IF(B16=6111,G16,0))</f>
        <v>0</v>
      </c>
    </row>
    <row r="17" spans="2:15" x14ac:dyDescent="0.25">
      <c r="B17" s="212">
        <v>1041</v>
      </c>
      <c r="C17" s="190" t="str">
        <f t="shared" si="0"/>
        <v>Cuentas Corrientes Operativas</v>
      </c>
      <c r="D17" s="191">
        <f>'Mayor - Nivel Divisionarias'!E34</f>
        <v>0</v>
      </c>
      <c r="E17" s="191">
        <f>'Mayor - Nivel Divisionarias'!F34</f>
        <v>191809</v>
      </c>
      <c r="F17" s="191">
        <f t="shared" ref="F17:F80" si="5">IF(D17&gt;E17,D17-E17,0)</f>
        <v>0</v>
      </c>
      <c r="G17" s="191">
        <f t="shared" ref="G17:G80" si="6">IF(D17&lt;E17,E17-D17,0)</f>
        <v>191809</v>
      </c>
      <c r="H17" s="191"/>
      <c r="I17" s="191"/>
      <c r="J17" s="191">
        <f t="shared" si="1"/>
        <v>0</v>
      </c>
      <c r="K17" s="196">
        <f t="shared" si="2"/>
        <v>191809</v>
      </c>
      <c r="L17" s="191">
        <f t="shared" ref="L17:L80" si="7">IF(AND(B17&gt;9200,B17&lt;9999),F17,IF(B17=7091,F17,IF(B17=7411,F17,IF(B17=6911,F17,IF(B17=6611,F17,0)))))</f>
        <v>0</v>
      </c>
      <c r="M17" s="191">
        <f t="shared" ref="M17:M80" si="8">IF(AND(B17&gt;6900,B17&lt;7900),G17,0)</f>
        <v>0</v>
      </c>
      <c r="N17" s="191">
        <f t="shared" ref="N17:N80" si="9">IF(AND(B17&gt;5900,B17&lt;6911),F17,IF(B17=7091,F17,IF(B17=7411,F17,0)))</f>
        <v>0</v>
      </c>
      <c r="O17" s="191">
        <f t="shared" ref="O17:O80" si="10">IF(AND(B17&gt;6900,B17&lt;7900),G17,IF(B17=6111,G17,0))</f>
        <v>0</v>
      </c>
    </row>
    <row r="18" spans="2:15" x14ac:dyDescent="0.25">
      <c r="B18" s="212">
        <v>1212</v>
      </c>
      <c r="C18" s="190" t="str">
        <f t="shared" si="0"/>
        <v>Facturas, Boletas y Otros Comprobantes por Cobrar - Emitidas en Cartera</v>
      </c>
      <c r="D18" s="191">
        <f>'Mayor - Nivel Divisionarias'!E48</f>
        <v>0</v>
      </c>
      <c r="E18" s="191">
        <f>'Mayor - Nivel Divisionarias'!F48</f>
        <v>0</v>
      </c>
      <c r="F18" s="191">
        <f t="shared" si="5"/>
        <v>0</v>
      </c>
      <c r="G18" s="191">
        <f t="shared" si="6"/>
        <v>0</v>
      </c>
      <c r="H18" s="191"/>
      <c r="I18" s="191"/>
      <c r="J18" s="191">
        <f t="shared" si="1"/>
        <v>0</v>
      </c>
      <c r="K18" s="196">
        <f t="shared" si="2"/>
        <v>0</v>
      </c>
      <c r="L18" s="191">
        <f t="shared" si="7"/>
        <v>0</v>
      </c>
      <c r="M18" s="191">
        <f t="shared" si="8"/>
        <v>0</v>
      </c>
      <c r="N18" s="191">
        <f t="shared" si="9"/>
        <v>0</v>
      </c>
      <c r="O18" s="191">
        <f t="shared" si="10"/>
        <v>0</v>
      </c>
    </row>
    <row r="19" spans="2:15" x14ac:dyDescent="0.25">
      <c r="B19" s="212">
        <v>1411</v>
      </c>
      <c r="C19" s="190" t="str">
        <f t="shared" si="0"/>
        <v>Personal - Préstamos</v>
      </c>
      <c r="D19" s="191">
        <f>'Mayor - Nivel Divisionarias'!E62</f>
        <v>0</v>
      </c>
      <c r="E19" s="191">
        <f>'Mayor - Nivel Divisionarias'!F62</f>
        <v>0</v>
      </c>
      <c r="F19" s="191">
        <f t="shared" si="5"/>
        <v>0</v>
      </c>
      <c r="G19" s="191">
        <f t="shared" si="6"/>
        <v>0</v>
      </c>
      <c r="H19" s="191"/>
      <c r="I19" s="191"/>
      <c r="J19" s="191">
        <f t="shared" si="1"/>
        <v>0</v>
      </c>
      <c r="K19" s="196">
        <f t="shared" si="2"/>
        <v>0</v>
      </c>
      <c r="L19" s="191">
        <f t="shared" si="7"/>
        <v>0</v>
      </c>
      <c r="M19" s="191">
        <f t="shared" si="8"/>
        <v>0</v>
      </c>
      <c r="N19" s="191">
        <f t="shared" si="9"/>
        <v>0</v>
      </c>
      <c r="O19" s="191">
        <f t="shared" si="10"/>
        <v>0</v>
      </c>
    </row>
    <row r="20" spans="2:15" x14ac:dyDescent="0.25">
      <c r="B20" s="212">
        <v>1412</v>
      </c>
      <c r="C20" s="190" t="str">
        <f t="shared" si="0"/>
        <v>Personal - Adelanto de Remuneraciones</v>
      </c>
      <c r="D20" s="191">
        <f>'Mayor - Nivel Divisionarias'!K62</f>
        <v>0</v>
      </c>
      <c r="E20" s="191">
        <f>'Mayor - Nivel Divisionarias'!L62</f>
        <v>0</v>
      </c>
      <c r="F20" s="191">
        <f t="shared" si="5"/>
        <v>0</v>
      </c>
      <c r="G20" s="191">
        <f t="shared" si="6"/>
        <v>0</v>
      </c>
      <c r="H20" s="191"/>
      <c r="I20" s="191"/>
      <c r="J20" s="191">
        <f t="shared" si="1"/>
        <v>0</v>
      </c>
      <c r="K20" s="196">
        <f t="shared" si="2"/>
        <v>0</v>
      </c>
      <c r="L20" s="191">
        <f t="shared" si="7"/>
        <v>0</v>
      </c>
      <c r="M20" s="191">
        <f t="shared" si="8"/>
        <v>0</v>
      </c>
      <c r="N20" s="191">
        <f t="shared" si="9"/>
        <v>0</v>
      </c>
      <c r="O20" s="191">
        <f t="shared" si="10"/>
        <v>0</v>
      </c>
    </row>
    <row r="21" spans="2:15" x14ac:dyDescent="0.25">
      <c r="B21" s="212">
        <v>1421</v>
      </c>
      <c r="C21" s="190" t="str">
        <f t="shared" si="0"/>
        <v>Accionistas (O Socios) - Suscripciones por Cobrar a Socios o Accionistas</v>
      </c>
      <c r="D21" s="191">
        <f>'Mayor - Nivel Divisionarias'!E76</f>
        <v>0</v>
      </c>
      <c r="E21" s="191">
        <f>'Mayor - Nivel Divisionarias'!F76</f>
        <v>0</v>
      </c>
      <c r="F21" s="191">
        <f t="shared" si="5"/>
        <v>0</v>
      </c>
      <c r="G21" s="191">
        <f t="shared" si="6"/>
        <v>0</v>
      </c>
      <c r="H21" s="191"/>
      <c r="I21" s="191"/>
      <c r="J21" s="191">
        <f t="shared" si="1"/>
        <v>0</v>
      </c>
      <c r="K21" s="196">
        <f t="shared" si="2"/>
        <v>0</v>
      </c>
      <c r="L21" s="191">
        <f t="shared" si="7"/>
        <v>0</v>
      </c>
      <c r="M21" s="191">
        <f t="shared" si="8"/>
        <v>0</v>
      </c>
      <c r="N21" s="191">
        <f t="shared" si="9"/>
        <v>0</v>
      </c>
      <c r="O21" s="191">
        <f t="shared" si="10"/>
        <v>0</v>
      </c>
    </row>
    <row r="22" spans="2:15" x14ac:dyDescent="0.25">
      <c r="B22" s="212">
        <v>1631</v>
      </c>
      <c r="C22" s="190" t="str">
        <f t="shared" si="0"/>
        <v>Intereses, Regalías y Dividendos - Intereses</v>
      </c>
      <c r="D22" s="191">
        <f>'Mayor - Nivel Divisionarias'!E90</f>
        <v>0</v>
      </c>
      <c r="E22" s="191">
        <f>'Mayor - Nivel Divisionarias'!F90</f>
        <v>0</v>
      </c>
      <c r="F22" s="191">
        <f t="shared" si="5"/>
        <v>0</v>
      </c>
      <c r="G22" s="191">
        <f t="shared" si="6"/>
        <v>0</v>
      </c>
      <c r="H22" s="191"/>
      <c r="I22" s="191"/>
      <c r="J22" s="191">
        <f t="shared" si="1"/>
        <v>0</v>
      </c>
      <c r="K22" s="196">
        <f t="shared" si="2"/>
        <v>0</v>
      </c>
      <c r="L22" s="191">
        <f t="shared" si="7"/>
        <v>0</v>
      </c>
      <c r="M22" s="191">
        <f t="shared" si="8"/>
        <v>0</v>
      </c>
      <c r="N22" s="191">
        <f t="shared" si="9"/>
        <v>0</v>
      </c>
      <c r="O22" s="191">
        <f t="shared" si="10"/>
        <v>0</v>
      </c>
    </row>
    <row r="23" spans="2:15" x14ac:dyDescent="0.25">
      <c r="B23" s="212">
        <v>1651</v>
      </c>
      <c r="C23" s="190" t="str">
        <f t="shared" si="0"/>
        <v>Venta de Activo Inmovilizado - Inversión Mobiliaria</v>
      </c>
      <c r="D23" s="191">
        <f>'Mayor - Nivel Divisionarias'!E104</f>
        <v>0</v>
      </c>
      <c r="E23" s="191">
        <f>'Mayor - Nivel Divisionarias'!F104</f>
        <v>0</v>
      </c>
      <c r="F23" s="191">
        <f t="shared" si="5"/>
        <v>0</v>
      </c>
      <c r="G23" s="191">
        <f t="shared" si="6"/>
        <v>0</v>
      </c>
      <c r="H23" s="191"/>
      <c r="I23" s="191"/>
      <c r="J23" s="191">
        <f t="shared" si="1"/>
        <v>0</v>
      </c>
      <c r="K23" s="196">
        <f t="shared" si="2"/>
        <v>0</v>
      </c>
      <c r="L23" s="191">
        <f t="shared" si="7"/>
        <v>0</v>
      </c>
      <c r="M23" s="191">
        <f t="shared" si="8"/>
        <v>0</v>
      </c>
      <c r="N23" s="191">
        <f t="shared" si="9"/>
        <v>0</v>
      </c>
      <c r="O23" s="191">
        <f t="shared" si="10"/>
        <v>0</v>
      </c>
    </row>
    <row r="24" spans="2:15" x14ac:dyDescent="0.25">
      <c r="B24" s="212">
        <v>1689</v>
      </c>
      <c r="C24" s="190" t="str">
        <f t="shared" si="0"/>
        <v>Otras Cuentas por Cobrar Diversas - Otras</v>
      </c>
      <c r="D24" s="191">
        <f>'Mayor - Nivel Divisionarias'!E118</f>
        <v>0</v>
      </c>
      <c r="E24" s="191">
        <f>'Mayor - Nivel Divisionarias'!F118</f>
        <v>0</v>
      </c>
      <c r="F24" s="191">
        <f t="shared" si="5"/>
        <v>0</v>
      </c>
      <c r="G24" s="191">
        <f t="shared" si="6"/>
        <v>0</v>
      </c>
      <c r="H24" s="191"/>
      <c r="I24" s="191"/>
      <c r="J24" s="191">
        <f t="shared" si="1"/>
        <v>0</v>
      </c>
      <c r="K24" s="196">
        <f t="shared" si="2"/>
        <v>0</v>
      </c>
      <c r="L24" s="191">
        <f t="shared" si="7"/>
        <v>0</v>
      </c>
      <c r="M24" s="191">
        <f t="shared" si="8"/>
        <v>0</v>
      </c>
      <c r="N24" s="191">
        <f t="shared" si="9"/>
        <v>0</v>
      </c>
      <c r="O24" s="191">
        <f t="shared" si="10"/>
        <v>0</v>
      </c>
    </row>
    <row r="25" spans="2:15" x14ac:dyDescent="0.25">
      <c r="B25" s="212">
        <v>1811</v>
      </c>
      <c r="C25" s="190" t="str">
        <f t="shared" si="0"/>
        <v>Servicios y Otros Contratados por Anticipado - Costos Financieros</v>
      </c>
      <c r="D25" s="191">
        <f>'Mayor - Nivel Divisionarias'!E132</f>
        <v>0</v>
      </c>
      <c r="E25" s="191">
        <f>'Mayor - Nivel Divisionarias'!F132</f>
        <v>0</v>
      </c>
      <c r="F25" s="191">
        <f t="shared" si="5"/>
        <v>0</v>
      </c>
      <c r="G25" s="191">
        <f t="shared" si="6"/>
        <v>0</v>
      </c>
      <c r="H25" s="191"/>
      <c r="I25" s="191"/>
      <c r="J25" s="191">
        <f t="shared" si="1"/>
        <v>0</v>
      </c>
      <c r="K25" s="196">
        <f t="shared" si="2"/>
        <v>0</v>
      </c>
      <c r="L25" s="191">
        <f t="shared" si="7"/>
        <v>0</v>
      </c>
      <c r="M25" s="191">
        <f t="shared" si="8"/>
        <v>0</v>
      </c>
      <c r="N25" s="191">
        <f t="shared" si="9"/>
        <v>0</v>
      </c>
      <c r="O25" s="191">
        <f t="shared" si="10"/>
        <v>0</v>
      </c>
    </row>
    <row r="26" spans="2:15" x14ac:dyDescent="0.25">
      <c r="B26" s="212">
        <v>1821</v>
      </c>
      <c r="C26" s="190" t="str">
        <f t="shared" si="0"/>
        <v>Servicios y Otros Contratados por Anticipado - Seguros</v>
      </c>
      <c r="D26" s="191">
        <f>'Mayor - Nivel Divisionarias'!E146</f>
        <v>0</v>
      </c>
      <c r="E26" s="191">
        <f>'Mayor - Nivel Divisionarias'!F146</f>
        <v>0</v>
      </c>
      <c r="F26" s="191">
        <f t="shared" si="5"/>
        <v>0</v>
      </c>
      <c r="G26" s="191">
        <f t="shared" si="6"/>
        <v>0</v>
      </c>
      <c r="H26" s="191"/>
      <c r="I26" s="191"/>
      <c r="J26" s="191">
        <f t="shared" si="1"/>
        <v>0</v>
      </c>
      <c r="K26" s="196">
        <f t="shared" si="2"/>
        <v>0</v>
      </c>
      <c r="L26" s="191">
        <f t="shared" si="7"/>
        <v>0</v>
      </c>
      <c r="M26" s="191">
        <f t="shared" si="8"/>
        <v>0</v>
      </c>
      <c r="N26" s="191">
        <f t="shared" si="9"/>
        <v>0</v>
      </c>
      <c r="O26" s="191">
        <f t="shared" si="10"/>
        <v>0</v>
      </c>
    </row>
    <row r="27" spans="2:15" x14ac:dyDescent="0.25">
      <c r="B27" s="212">
        <v>1831</v>
      </c>
      <c r="C27" s="190" t="str">
        <f t="shared" si="0"/>
        <v>Servicios y Otros Contratados por Anticipado - Alquileres</v>
      </c>
      <c r="D27" s="191">
        <f>'Mayor - Nivel Divisionarias'!E160</f>
        <v>0</v>
      </c>
      <c r="E27" s="191">
        <f>'Mayor - Nivel Divisionarias'!F160</f>
        <v>0</v>
      </c>
      <c r="F27" s="191">
        <f t="shared" si="5"/>
        <v>0</v>
      </c>
      <c r="G27" s="191">
        <f t="shared" si="6"/>
        <v>0</v>
      </c>
      <c r="H27" s="191"/>
      <c r="I27" s="191"/>
      <c r="J27" s="191">
        <f t="shared" si="1"/>
        <v>0</v>
      </c>
      <c r="K27" s="196">
        <f t="shared" si="2"/>
        <v>0</v>
      </c>
      <c r="L27" s="191">
        <f t="shared" si="7"/>
        <v>0</v>
      </c>
      <c r="M27" s="191">
        <f t="shared" si="8"/>
        <v>0</v>
      </c>
      <c r="N27" s="191">
        <f t="shared" si="9"/>
        <v>0</v>
      </c>
      <c r="O27" s="191">
        <f t="shared" si="10"/>
        <v>0</v>
      </c>
    </row>
    <row r="28" spans="2:15" x14ac:dyDescent="0.25">
      <c r="B28" s="212">
        <v>1841</v>
      </c>
      <c r="C28" s="190" t="str">
        <f t="shared" si="0"/>
        <v>Servicios y Otros Contratados por Anticipado - Primas Pagadas por Opciones</v>
      </c>
      <c r="D28" s="191">
        <f>'Mayor - Nivel Divisionarias'!E174</f>
        <v>0</v>
      </c>
      <c r="E28" s="191">
        <f>'Mayor - Nivel Divisionarias'!F174</f>
        <v>0</v>
      </c>
      <c r="F28" s="191">
        <f t="shared" si="5"/>
        <v>0</v>
      </c>
      <c r="G28" s="191">
        <f t="shared" si="6"/>
        <v>0</v>
      </c>
      <c r="H28" s="191"/>
      <c r="I28" s="191"/>
      <c r="J28" s="191">
        <f t="shared" si="1"/>
        <v>0</v>
      </c>
      <c r="K28" s="196">
        <f t="shared" si="2"/>
        <v>0</v>
      </c>
      <c r="L28" s="191">
        <f t="shared" si="7"/>
        <v>0</v>
      </c>
      <c r="M28" s="191">
        <f t="shared" si="8"/>
        <v>0</v>
      </c>
      <c r="N28" s="191">
        <f t="shared" si="9"/>
        <v>0</v>
      </c>
      <c r="O28" s="191">
        <f t="shared" si="10"/>
        <v>0</v>
      </c>
    </row>
    <row r="29" spans="2:15" x14ac:dyDescent="0.25">
      <c r="B29" s="212">
        <v>1851</v>
      </c>
      <c r="C29" s="190" t="str">
        <f t="shared" si="0"/>
        <v>Servicios y Otros Contratados por Anticipado - Mantenimiento de Activos Inmovilizados</v>
      </c>
      <c r="D29" s="191">
        <f>'Mayor - Nivel Divisionarias'!E188</f>
        <v>0</v>
      </c>
      <c r="E29" s="191">
        <f>'Mayor - Nivel Divisionarias'!F188</f>
        <v>0</v>
      </c>
      <c r="F29" s="191">
        <f t="shared" si="5"/>
        <v>0</v>
      </c>
      <c r="G29" s="191">
        <f t="shared" si="6"/>
        <v>0</v>
      </c>
      <c r="H29" s="191"/>
      <c r="I29" s="191"/>
      <c r="J29" s="191">
        <f t="shared" si="1"/>
        <v>0</v>
      </c>
      <c r="K29" s="196">
        <f t="shared" si="2"/>
        <v>0</v>
      </c>
      <c r="L29" s="191">
        <f t="shared" si="7"/>
        <v>0</v>
      </c>
      <c r="M29" s="191">
        <f t="shared" si="8"/>
        <v>0</v>
      </c>
      <c r="N29" s="191">
        <f t="shared" si="9"/>
        <v>0</v>
      </c>
      <c r="O29" s="191">
        <f t="shared" si="10"/>
        <v>0</v>
      </c>
    </row>
    <row r="30" spans="2:15" x14ac:dyDescent="0.25">
      <c r="B30" s="212">
        <v>1891</v>
      </c>
      <c r="C30" s="190" t="str">
        <f t="shared" si="0"/>
        <v>Servicios y Otros Contratados por Anticipado - Otros Gastos Contratados por Anticipado</v>
      </c>
      <c r="D30" s="191">
        <f>'Mayor - Nivel Divisionarias'!E202</f>
        <v>0</v>
      </c>
      <c r="E30" s="191">
        <f>'Mayor - Nivel Divisionarias'!F202</f>
        <v>0</v>
      </c>
      <c r="F30" s="191">
        <f t="shared" si="5"/>
        <v>0</v>
      </c>
      <c r="G30" s="191">
        <f t="shared" si="6"/>
        <v>0</v>
      </c>
      <c r="H30" s="191"/>
      <c r="I30" s="191"/>
      <c r="J30" s="191">
        <f t="shared" si="1"/>
        <v>0</v>
      </c>
      <c r="K30" s="196">
        <f t="shared" si="2"/>
        <v>0</v>
      </c>
      <c r="L30" s="191">
        <f t="shared" si="7"/>
        <v>0</v>
      </c>
      <c r="M30" s="191">
        <f t="shared" si="8"/>
        <v>0</v>
      </c>
      <c r="N30" s="191">
        <f t="shared" si="9"/>
        <v>0</v>
      </c>
      <c r="O30" s="191">
        <f t="shared" si="10"/>
        <v>0</v>
      </c>
    </row>
    <row r="31" spans="2:15" x14ac:dyDescent="0.25">
      <c r="B31" s="212">
        <v>1899</v>
      </c>
      <c r="C31" s="190" t="str">
        <f t="shared" si="0"/>
        <v>Servicios y Otros Contratados por Anticipado - Reclasificación de IGV al Gasto Anticipado</v>
      </c>
      <c r="D31" s="191">
        <f>'Mayor - Nivel Divisionarias'!K202</f>
        <v>0</v>
      </c>
      <c r="E31" s="191">
        <f>'Mayor - Nivel Divisionarias'!L202</f>
        <v>0</v>
      </c>
      <c r="F31" s="191">
        <f t="shared" si="5"/>
        <v>0</v>
      </c>
      <c r="G31" s="191">
        <f t="shared" si="6"/>
        <v>0</v>
      </c>
      <c r="H31" s="191"/>
      <c r="I31" s="191"/>
      <c r="J31" s="191">
        <f t="shared" si="1"/>
        <v>0</v>
      </c>
      <c r="K31" s="196">
        <f t="shared" si="2"/>
        <v>0</v>
      </c>
      <c r="L31" s="191">
        <f t="shared" si="7"/>
        <v>0</v>
      </c>
      <c r="M31" s="191">
        <f t="shared" si="8"/>
        <v>0</v>
      </c>
      <c r="N31" s="191">
        <f t="shared" si="9"/>
        <v>0</v>
      </c>
      <c r="O31" s="191">
        <f t="shared" si="10"/>
        <v>0</v>
      </c>
    </row>
    <row r="32" spans="2:15" x14ac:dyDescent="0.25">
      <c r="B32" s="212">
        <v>2011</v>
      </c>
      <c r="C32" s="190" t="str">
        <f t="shared" si="0"/>
        <v>Mercaderías Manufacturadas</v>
      </c>
      <c r="D32" s="191">
        <f>'Mayor - Nivel Divisionarias'!E216</f>
        <v>0</v>
      </c>
      <c r="E32" s="191">
        <f>'Mayor - Nivel Divisionarias'!F216</f>
        <v>0</v>
      </c>
      <c r="F32" s="191">
        <f t="shared" si="5"/>
        <v>0</v>
      </c>
      <c r="G32" s="191">
        <f t="shared" si="6"/>
        <v>0</v>
      </c>
      <c r="H32" s="191"/>
      <c r="I32" s="191"/>
      <c r="J32" s="191">
        <f t="shared" si="1"/>
        <v>0</v>
      </c>
      <c r="K32" s="196">
        <f t="shared" si="2"/>
        <v>0</v>
      </c>
      <c r="L32" s="191">
        <f t="shared" si="7"/>
        <v>0</v>
      </c>
      <c r="M32" s="191">
        <f t="shared" si="8"/>
        <v>0</v>
      </c>
      <c r="N32" s="191">
        <f t="shared" si="9"/>
        <v>0</v>
      </c>
      <c r="O32" s="191">
        <f t="shared" si="10"/>
        <v>0</v>
      </c>
    </row>
    <row r="33" spans="2:15" x14ac:dyDescent="0.25">
      <c r="B33" s="212">
        <v>2021</v>
      </c>
      <c r="C33" s="190" t="str">
        <f t="shared" si="0"/>
        <v>Mercaderías de Extracción</v>
      </c>
      <c r="D33" s="191">
        <f>'Mayor - Nivel Divisionarias'!E230</f>
        <v>0</v>
      </c>
      <c r="E33" s="191">
        <f>'Mayor - Nivel Divisionarias'!F230</f>
        <v>0</v>
      </c>
      <c r="F33" s="191">
        <f t="shared" si="5"/>
        <v>0</v>
      </c>
      <c r="G33" s="191">
        <f t="shared" si="6"/>
        <v>0</v>
      </c>
      <c r="H33" s="191"/>
      <c r="I33" s="191"/>
      <c r="J33" s="191">
        <f t="shared" si="1"/>
        <v>0</v>
      </c>
      <c r="K33" s="196">
        <f t="shared" si="2"/>
        <v>0</v>
      </c>
      <c r="L33" s="191">
        <f t="shared" si="7"/>
        <v>0</v>
      </c>
      <c r="M33" s="191">
        <f t="shared" si="8"/>
        <v>0</v>
      </c>
      <c r="N33" s="191">
        <f t="shared" si="9"/>
        <v>0</v>
      </c>
      <c r="O33" s="191">
        <f t="shared" si="10"/>
        <v>0</v>
      </c>
    </row>
    <row r="34" spans="2:15" x14ac:dyDescent="0.25">
      <c r="B34" s="212">
        <v>2031</v>
      </c>
      <c r="C34" s="190" t="str">
        <f t="shared" si="0"/>
        <v>De Origen Animal</v>
      </c>
      <c r="D34" s="191">
        <f>'Mayor - Nivel Divisionarias'!E244</f>
        <v>0</v>
      </c>
      <c r="E34" s="191">
        <f>'Mayor - Nivel Divisionarias'!F244</f>
        <v>0</v>
      </c>
      <c r="F34" s="191">
        <f t="shared" si="5"/>
        <v>0</v>
      </c>
      <c r="G34" s="191">
        <f t="shared" si="6"/>
        <v>0</v>
      </c>
      <c r="H34" s="191"/>
      <c r="I34" s="191"/>
      <c r="J34" s="191">
        <f t="shared" si="1"/>
        <v>0</v>
      </c>
      <c r="K34" s="196">
        <f t="shared" si="2"/>
        <v>0</v>
      </c>
      <c r="L34" s="191">
        <f t="shared" si="7"/>
        <v>0</v>
      </c>
      <c r="M34" s="191">
        <f t="shared" si="8"/>
        <v>0</v>
      </c>
      <c r="N34" s="191">
        <f t="shared" si="9"/>
        <v>0</v>
      </c>
      <c r="O34" s="191">
        <f t="shared" si="10"/>
        <v>0</v>
      </c>
    </row>
    <row r="35" spans="2:15" x14ac:dyDescent="0.25">
      <c r="B35" s="212">
        <v>2032</v>
      </c>
      <c r="C35" s="190" t="str">
        <f t="shared" si="0"/>
        <v>De Origen Vegetal</v>
      </c>
      <c r="D35" s="191">
        <f>'Mayor - Nivel Divisionarias'!K244</f>
        <v>0</v>
      </c>
      <c r="E35" s="191">
        <f>'Mayor - Nivel Divisionarias'!L244</f>
        <v>0</v>
      </c>
      <c r="F35" s="191">
        <f t="shared" si="5"/>
        <v>0</v>
      </c>
      <c r="G35" s="191">
        <f t="shared" si="6"/>
        <v>0</v>
      </c>
      <c r="H35" s="191"/>
      <c r="I35" s="191"/>
      <c r="J35" s="191">
        <f t="shared" si="1"/>
        <v>0</v>
      </c>
      <c r="K35" s="196">
        <f t="shared" si="2"/>
        <v>0</v>
      </c>
      <c r="L35" s="191">
        <f t="shared" si="7"/>
        <v>0</v>
      </c>
      <c r="M35" s="191">
        <f t="shared" si="8"/>
        <v>0</v>
      </c>
      <c r="N35" s="191">
        <f t="shared" si="9"/>
        <v>0</v>
      </c>
      <c r="O35" s="191">
        <f t="shared" si="10"/>
        <v>0</v>
      </c>
    </row>
    <row r="36" spans="2:15" x14ac:dyDescent="0.25">
      <c r="B36" s="212">
        <v>2041</v>
      </c>
      <c r="C36" s="190" t="str">
        <f t="shared" si="0"/>
        <v>Mercaderías Inmuebles</v>
      </c>
      <c r="D36" s="191">
        <f>'Mayor - Nivel Divisionarias'!E258</f>
        <v>0</v>
      </c>
      <c r="E36" s="191">
        <f>'Mayor - Nivel Divisionarias'!F258</f>
        <v>0</v>
      </c>
      <c r="F36" s="191">
        <f t="shared" si="5"/>
        <v>0</v>
      </c>
      <c r="G36" s="191">
        <f t="shared" si="6"/>
        <v>0</v>
      </c>
      <c r="H36" s="191"/>
      <c r="I36" s="191"/>
      <c r="J36" s="191">
        <f t="shared" si="1"/>
        <v>0</v>
      </c>
      <c r="K36" s="196">
        <f t="shared" si="2"/>
        <v>0</v>
      </c>
      <c r="L36" s="191">
        <f t="shared" si="7"/>
        <v>0</v>
      </c>
      <c r="M36" s="191">
        <f t="shared" si="8"/>
        <v>0</v>
      </c>
      <c r="N36" s="191">
        <f t="shared" si="9"/>
        <v>0</v>
      </c>
      <c r="O36" s="191">
        <f t="shared" si="10"/>
        <v>0</v>
      </c>
    </row>
    <row r="37" spans="2:15" x14ac:dyDescent="0.25">
      <c r="B37" s="212">
        <v>2081</v>
      </c>
      <c r="C37" s="190" t="str">
        <f t="shared" si="0"/>
        <v>Otras Mercaderías</v>
      </c>
      <c r="D37" s="191">
        <f>'Mayor - Nivel Divisionarias'!E272</f>
        <v>0</v>
      </c>
      <c r="E37" s="191">
        <f>'Mayor - Nivel Divisionarias'!F272</f>
        <v>0</v>
      </c>
      <c r="F37" s="191">
        <f t="shared" si="5"/>
        <v>0</v>
      </c>
      <c r="G37" s="191">
        <f t="shared" si="6"/>
        <v>0</v>
      </c>
      <c r="H37" s="191"/>
      <c r="I37" s="191"/>
      <c r="J37" s="191">
        <f t="shared" si="1"/>
        <v>0</v>
      </c>
      <c r="K37" s="196">
        <f t="shared" si="2"/>
        <v>0</v>
      </c>
      <c r="L37" s="191">
        <f t="shared" si="7"/>
        <v>0</v>
      </c>
      <c r="M37" s="191">
        <f t="shared" si="8"/>
        <v>0</v>
      </c>
      <c r="N37" s="191">
        <f t="shared" si="9"/>
        <v>0</v>
      </c>
      <c r="O37" s="191">
        <f t="shared" si="10"/>
        <v>0</v>
      </c>
    </row>
    <row r="38" spans="2:15" x14ac:dyDescent="0.25">
      <c r="B38" s="212">
        <v>2111</v>
      </c>
      <c r="C38" s="190" t="str">
        <f t="shared" si="0"/>
        <v>Productos Manufacturados</v>
      </c>
      <c r="D38" s="191">
        <f>'Mayor - Nivel Divisionarias'!E286</f>
        <v>0</v>
      </c>
      <c r="E38" s="191">
        <f>'Mayor - Nivel Divisionarias'!F286</f>
        <v>0</v>
      </c>
      <c r="F38" s="191">
        <f t="shared" si="5"/>
        <v>0</v>
      </c>
      <c r="G38" s="191">
        <f t="shared" si="6"/>
        <v>0</v>
      </c>
      <c r="H38" s="191"/>
      <c r="I38" s="191"/>
      <c r="J38" s="191">
        <f t="shared" si="1"/>
        <v>0</v>
      </c>
      <c r="K38" s="196">
        <f t="shared" si="2"/>
        <v>0</v>
      </c>
      <c r="L38" s="191">
        <f t="shared" si="7"/>
        <v>0</v>
      </c>
      <c r="M38" s="191">
        <f t="shared" si="8"/>
        <v>0</v>
      </c>
      <c r="N38" s="191">
        <f t="shared" si="9"/>
        <v>0</v>
      </c>
      <c r="O38" s="191">
        <f t="shared" si="10"/>
        <v>0</v>
      </c>
    </row>
    <row r="39" spans="2:15" x14ac:dyDescent="0.25">
      <c r="B39" s="212">
        <v>2411</v>
      </c>
      <c r="C39" s="190" t="str">
        <f t="shared" si="0"/>
        <v>Materias Primas para Productos Manufacturados</v>
      </c>
      <c r="D39" s="191">
        <f>'Mayor - Nivel Divisionarias'!E300</f>
        <v>0</v>
      </c>
      <c r="E39" s="191">
        <f>'Mayor - Nivel Divisionarias'!F300</f>
        <v>0</v>
      </c>
      <c r="F39" s="191">
        <f t="shared" si="5"/>
        <v>0</v>
      </c>
      <c r="G39" s="191">
        <f t="shared" si="6"/>
        <v>0</v>
      </c>
      <c r="H39" s="191"/>
      <c r="I39" s="191"/>
      <c r="J39" s="191">
        <f t="shared" si="1"/>
        <v>0</v>
      </c>
      <c r="K39" s="196">
        <f t="shared" si="2"/>
        <v>0</v>
      </c>
      <c r="L39" s="191">
        <f t="shared" si="7"/>
        <v>0</v>
      </c>
      <c r="M39" s="191">
        <f t="shared" si="8"/>
        <v>0</v>
      </c>
      <c r="N39" s="191">
        <f t="shared" si="9"/>
        <v>0</v>
      </c>
      <c r="O39" s="191">
        <f t="shared" si="10"/>
        <v>0</v>
      </c>
    </row>
    <row r="40" spans="2:15" x14ac:dyDescent="0.25">
      <c r="B40" s="212">
        <v>2421</v>
      </c>
      <c r="C40" s="190" t="str">
        <f t="shared" si="0"/>
        <v>Materias Primas para Productos de Extracción</v>
      </c>
      <c r="D40" s="191">
        <f>'Mayor - Nivel Divisionarias'!E314</f>
        <v>0</v>
      </c>
      <c r="E40" s="191">
        <f>'Mayor - Nivel Divisionarias'!F314</f>
        <v>0</v>
      </c>
      <c r="F40" s="191">
        <f t="shared" si="5"/>
        <v>0</v>
      </c>
      <c r="G40" s="191">
        <f t="shared" si="6"/>
        <v>0</v>
      </c>
      <c r="H40" s="191"/>
      <c r="I40" s="191"/>
      <c r="J40" s="191">
        <f t="shared" si="1"/>
        <v>0</v>
      </c>
      <c r="K40" s="196">
        <f t="shared" si="2"/>
        <v>0</v>
      </c>
      <c r="L40" s="191">
        <f t="shared" si="7"/>
        <v>0</v>
      </c>
      <c r="M40" s="191">
        <f t="shared" si="8"/>
        <v>0</v>
      </c>
      <c r="N40" s="191">
        <f t="shared" si="9"/>
        <v>0</v>
      </c>
      <c r="O40" s="191">
        <f t="shared" si="10"/>
        <v>0</v>
      </c>
    </row>
    <row r="41" spans="2:15" x14ac:dyDescent="0.25">
      <c r="B41" s="212">
        <v>2431</v>
      </c>
      <c r="C41" s="190" t="str">
        <f t="shared" si="0"/>
        <v>Materias Primas para Productos Agropecuarios y Piscícolas</v>
      </c>
      <c r="D41" s="191">
        <f>'Mayor - Nivel Divisionarias'!E328</f>
        <v>0</v>
      </c>
      <c r="E41" s="191">
        <f>'Mayor - Nivel Divisionarias'!F328</f>
        <v>0</v>
      </c>
      <c r="F41" s="191">
        <f t="shared" si="5"/>
        <v>0</v>
      </c>
      <c r="G41" s="191">
        <f t="shared" si="6"/>
        <v>0</v>
      </c>
      <c r="H41" s="191"/>
      <c r="I41" s="191"/>
      <c r="J41" s="191">
        <f t="shared" si="1"/>
        <v>0</v>
      </c>
      <c r="K41" s="196">
        <f t="shared" si="2"/>
        <v>0</v>
      </c>
      <c r="L41" s="191">
        <f t="shared" si="7"/>
        <v>0</v>
      </c>
      <c r="M41" s="191">
        <f t="shared" si="8"/>
        <v>0</v>
      </c>
      <c r="N41" s="191">
        <f t="shared" si="9"/>
        <v>0</v>
      </c>
      <c r="O41" s="191">
        <f t="shared" si="10"/>
        <v>0</v>
      </c>
    </row>
    <row r="42" spans="2:15" x14ac:dyDescent="0.25">
      <c r="B42" s="212">
        <v>2441</v>
      </c>
      <c r="C42" s="190" t="str">
        <f t="shared" si="0"/>
        <v>Materias Primas para Productos Inmuebles</v>
      </c>
      <c r="D42" s="191">
        <f>'Mayor - Nivel Divisionarias'!E342</f>
        <v>0</v>
      </c>
      <c r="E42" s="191">
        <f>'Mayor - Nivel Divisionarias'!F342</f>
        <v>0</v>
      </c>
      <c r="F42" s="191">
        <f t="shared" si="5"/>
        <v>0</v>
      </c>
      <c r="G42" s="191">
        <f t="shared" si="6"/>
        <v>0</v>
      </c>
      <c r="H42" s="191"/>
      <c r="I42" s="191"/>
      <c r="J42" s="191">
        <f t="shared" si="1"/>
        <v>0</v>
      </c>
      <c r="K42" s="196">
        <f t="shared" si="2"/>
        <v>0</v>
      </c>
      <c r="L42" s="191">
        <f t="shared" si="7"/>
        <v>0</v>
      </c>
      <c r="M42" s="191">
        <f t="shared" si="8"/>
        <v>0</v>
      </c>
      <c r="N42" s="191">
        <f t="shared" si="9"/>
        <v>0</v>
      </c>
      <c r="O42" s="191">
        <f t="shared" si="10"/>
        <v>0</v>
      </c>
    </row>
    <row r="43" spans="2:15" x14ac:dyDescent="0.25">
      <c r="B43" s="212">
        <v>2511</v>
      </c>
      <c r="C43" s="190" t="str">
        <f t="shared" si="0"/>
        <v>Materiales Auxiliares</v>
      </c>
      <c r="D43" s="191">
        <f>'Mayor - Nivel Divisionarias'!E356</f>
        <v>0</v>
      </c>
      <c r="E43" s="191">
        <f>'Mayor - Nivel Divisionarias'!F356</f>
        <v>0</v>
      </c>
      <c r="F43" s="191">
        <f t="shared" si="5"/>
        <v>0</v>
      </c>
      <c r="G43" s="191">
        <f t="shared" si="6"/>
        <v>0</v>
      </c>
      <c r="H43" s="191"/>
      <c r="I43" s="191"/>
      <c r="J43" s="191">
        <f t="shared" si="1"/>
        <v>0</v>
      </c>
      <c r="K43" s="196">
        <f t="shared" si="2"/>
        <v>0</v>
      </c>
      <c r="L43" s="191">
        <f t="shared" si="7"/>
        <v>0</v>
      </c>
      <c r="M43" s="191">
        <f t="shared" si="8"/>
        <v>0</v>
      </c>
      <c r="N43" s="191">
        <f t="shared" si="9"/>
        <v>0</v>
      </c>
      <c r="O43" s="191">
        <f t="shared" si="10"/>
        <v>0</v>
      </c>
    </row>
    <row r="44" spans="2:15" x14ac:dyDescent="0.25">
      <c r="B44" s="212">
        <v>2521</v>
      </c>
      <c r="C44" s="190" t="str">
        <f t="shared" si="0"/>
        <v>Combustibles</v>
      </c>
      <c r="D44" s="191">
        <f>'Mayor - Nivel Divisionarias'!E370</f>
        <v>0</v>
      </c>
      <c r="E44" s="191">
        <f>'Mayor - Nivel Divisionarias'!F370</f>
        <v>0</v>
      </c>
      <c r="F44" s="191">
        <f t="shared" si="5"/>
        <v>0</v>
      </c>
      <c r="G44" s="191">
        <f t="shared" si="6"/>
        <v>0</v>
      </c>
      <c r="H44" s="191"/>
      <c r="I44" s="191"/>
      <c r="J44" s="191">
        <f t="shared" si="1"/>
        <v>0</v>
      </c>
      <c r="K44" s="196">
        <f t="shared" si="2"/>
        <v>0</v>
      </c>
      <c r="L44" s="191">
        <f t="shared" si="7"/>
        <v>0</v>
      </c>
      <c r="M44" s="191">
        <f t="shared" si="8"/>
        <v>0</v>
      </c>
      <c r="N44" s="191">
        <f t="shared" si="9"/>
        <v>0</v>
      </c>
      <c r="O44" s="191">
        <f t="shared" si="10"/>
        <v>0</v>
      </c>
    </row>
    <row r="45" spans="2:15" x14ac:dyDescent="0.25">
      <c r="B45" s="212">
        <v>2522</v>
      </c>
      <c r="C45" s="190" t="str">
        <f t="shared" si="0"/>
        <v>Lubricantes</v>
      </c>
      <c r="D45" s="191">
        <f>'Mayor - Nivel Divisionarias'!K370</f>
        <v>0</v>
      </c>
      <c r="E45" s="191">
        <f>'Mayor - Nivel Divisionarias'!L370</f>
        <v>0</v>
      </c>
      <c r="F45" s="191">
        <f t="shared" si="5"/>
        <v>0</v>
      </c>
      <c r="G45" s="191">
        <f t="shared" si="6"/>
        <v>0</v>
      </c>
      <c r="H45" s="191"/>
      <c r="I45" s="191"/>
      <c r="J45" s="191">
        <f t="shared" si="1"/>
        <v>0</v>
      </c>
      <c r="K45" s="196">
        <f t="shared" si="2"/>
        <v>0</v>
      </c>
      <c r="L45" s="191">
        <f t="shared" si="7"/>
        <v>0</v>
      </c>
      <c r="M45" s="191">
        <f t="shared" si="8"/>
        <v>0</v>
      </c>
      <c r="N45" s="191">
        <f t="shared" si="9"/>
        <v>0</v>
      </c>
      <c r="O45" s="191">
        <f t="shared" si="10"/>
        <v>0</v>
      </c>
    </row>
    <row r="46" spans="2:15" x14ac:dyDescent="0.25">
      <c r="B46" s="212">
        <v>2523</v>
      </c>
      <c r="C46" s="190" t="str">
        <f t="shared" si="0"/>
        <v>Energía</v>
      </c>
      <c r="D46" s="191">
        <f>'Mayor - Nivel Divisionarias'!Q370</f>
        <v>0</v>
      </c>
      <c r="E46" s="191">
        <f>'Mayor - Nivel Divisionarias'!R370</f>
        <v>0</v>
      </c>
      <c r="F46" s="191">
        <f t="shared" si="5"/>
        <v>0</v>
      </c>
      <c r="G46" s="191">
        <f t="shared" si="6"/>
        <v>0</v>
      </c>
      <c r="H46" s="191"/>
      <c r="I46" s="191"/>
      <c r="J46" s="191">
        <f t="shared" si="1"/>
        <v>0</v>
      </c>
      <c r="K46" s="196">
        <f t="shared" si="2"/>
        <v>0</v>
      </c>
      <c r="L46" s="191">
        <f t="shared" si="7"/>
        <v>0</v>
      </c>
      <c r="M46" s="191">
        <f t="shared" si="8"/>
        <v>0</v>
      </c>
      <c r="N46" s="191">
        <f t="shared" si="9"/>
        <v>0</v>
      </c>
      <c r="O46" s="191">
        <f t="shared" si="10"/>
        <v>0</v>
      </c>
    </row>
    <row r="47" spans="2:15" x14ac:dyDescent="0.25">
      <c r="B47" s="212">
        <v>2524</v>
      </c>
      <c r="C47" s="190" t="str">
        <f t="shared" si="0"/>
        <v>Otros Suministros</v>
      </c>
      <c r="D47" s="191">
        <f>'Mayor - Nivel Divisionarias'!W370</f>
        <v>0</v>
      </c>
      <c r="E47" s="191">
        <f>'Mayor - Nivel Divisionarias'!X370</f>
        <v>0</v>
      </c>
      <c r="F47" s="191">
        <f t="shared" si="5"/>
        <v>0</v>
      </c>
      <c r="G47" s="191">
        <f t="shared" si="6"/>
        <v>0</v>
      </c>
      <c r="H47" s="191"/>
      <c r="I47" s="191"/>
      <c r="J47" s="191">
        <f t="shared" si="1"/>
        <v>0</v>
      </c>
      <c r="K47" s="196">
        <f t="shared" si="2"/>
        <v>0</v>
      </c>
      <c r="L47" s="191">
        <f t="shared" si="7"/>
        <v>0</v>
      </c>
      <c r="M47" s="191">
        <f t="shared" si="8"/>
        <v>0</v>
      </c>
      <c r="N47" s="191">
        <f t="shared" si="9"/>
        <v>0</v>
      </c>
      <c r="O47" s="191">
        <f t="shared" si="10"/>
        <v>0</v>
      </c>
    </row>
    <row r="48" spans="2:15" x14ac:dyDescent="0.25">
      <c r="B48" s="212">
        <v>2531</v>
      </c>
      <c r="C48" s="190" t="str">
        <f t="shared" si="0"/>
        <v>Repuestos</v>
      </c>
      <c r="D48" s="191">
        <f>'Mayor - Nivel Divisionarias'!E384</f>
        <v>0</v>
      </c>
      <c r="E48" s="191">
        <f>'Mayor - Nivel Divisionarias'!F384</f>
        <v>0</v>
      </c>
      <c r="F48" s="191">
        <f t="shared" si="5"/>
        <v>0</v>
      </c>
      <c r="G48" s="191">
        <f t="shared" si="6"/>
        <v>0</v>
      </c>
      <c r="H48" s="191"/>
      <c r="I48" s="191"/>
      <c r="J48" s="191">
        <f t="shared" si="1"/>
        <v>0</v>
      </c>
      <c r="K48" s="196">
        <f t="shared" si="2"/>
        <v>0</v>
      </c>
      <c r="L48" s="191">
        <f t="shared" si="7"/>
        <v>0</v>
      </c>
      <c r="M48" s="191">
        <f t="shared" si="8"/>
        <v>0</v>
      </c>
      <c r="N48" s="191">
        <f t="shared" si="9"/>
        <v>0</v>
      </c>
      <c r="O48" s="191">
        <f t="shared" si="10"/>
        <v>0</v>
      </c>
    </row>
    <row r="49" spans="2:15" x14ac:dyDescent="0.25">
      <c r="B49" s="212">
        <v>2611</v>
      </c>
      <c r="C49" s="190" t="str">
        <f t="shared" si="0"/>
        <v>Envases</v>
      </c>
      <c r="D49" s="191">
        <f>'Mayor - Nivel Divisionarias'!E398</f>
        <v>0</v>
      </c>
      <c r="E49" s="191">
        <f>'Mayor - Nivel Divisionarias'!F398</f>
        <v>0</v>
      </c>
      <c r="F49" s="191">
        <f t="shared" si="5"/>
        <v>0</v>
      </c>
      <c r="G49" s="191">
        <f t="shared" si="6"/>
        <v>0</v>
      </c>
      <c r="H49" s="191"/>
      <c r="I49" s="191"/>
      <c r="J49" s="191">
        <f t="shared" si="1"/>
        <v>0</v>
      </c>
      <c r="K49" s="196">
        <f t="shared" si="2"/>
        <v>0</v>
      </c>
      <c r="L49" s="191">
        <f t="shared" si="7"/>
        <v>0</v>
      </c>
      <c r="M49" s="191">
        <f t="shared" si="8"/>
        <v>0</v>
      </c>
      <c r="N49" s="191">
        <f t="shared" si="9"/>
        <v>0</v>
      </c>
      <c r="O49" s="191">
        <f t="shared" si="10"/>
        <v>0</v>
      </c>
    </row>
    <row r="50" spans="2:15" x14ac:dyDescent="0.25">
      <c r="B50" s="212">
        <v>2621</v>
      </c>
      <c r="C50" s="190" t="str">
        <f t="shared" si="0"/>
        <v>Embalajes</v>
      </c>
      <c r="D50" s="191">
        <f>'Mayor - Nivel Divisionarias'!E412</f>
        <v>0</v>
      </c>
      <c r="E50" s="191">
        <f>'Mayor - Nivel Divisionarias'!F412</f>
        <v>0</v>
      </c>
      <c r="F50" s="191">
        <f t="shared" si="5"/>
        <v>0</v>
      </c>
      <c r="G50" s="191">
        <f t="shared" si="6"/>
        <v>0</v>
      </c>
      <c r="H50" s="191"/>
      <c r="I50" s="191"/>
      <c r="J50" s="191">
        <f t="shared" si="1"/>
        <v>0</v>
      </c>
      <c r="K50" s="196">
        <f t="shared" si="2"/>
        <v>0</v>
      </c>
      <c r="L50" s="191">
        <f t="shared" si="7"/>
        <v>0</v>
      </c>
      <c r="M50" s="191">
        <f t="shared" si="8"/>
        <v>0</v>
      </c>
      <c r="N50" s="191">
        <f t="shared" si="9"/>
        <v>0</v>
      </c>
      <c r="O50" s="191">
        <f t="shared" si="10"/>
        <v>0</v>
      </c>
    </row>
    <row r="51" spans="2:15" x14ac:dyDescent="0.25">
      <c r="B51" s="212">
        <v>2725</v>
      </c>
      <c r="C51" s="190" t="str">
        <f t="shared" si="0"/>
        <v>Muebles y Enseres</v>
      </c>
      <c r="D51" s="191">
        <f>'Mayor - Nivel Divisionarias'!E426</f>
        <v>0</v>
      </c>
      <c r="E51" s="191">
        <f>'Mayor - Nivel Divisionarias'!F426</f>
        <v>0</v>
      </c>
      <c r="F51" s="191">
        <f t="shared" si="5"/>
        <v>0</v>
      </c>
      <c r="G51" s="191">
        <f t="shared" si="6"/>
        <v>0</v>
      </c>
      <c r="H51" s="191"/>
      <c r="I51" s="191"/>
      <c r="J51" s="191">
        <f t="shared" si="1"/>
        <v>0</v>
      </c>
      <c r="K51" s="196">
        <f t="shared" si="2"/>
        <v>0</v>
      </c>
      <c r="L51" s="191">
        <f t="shared" si="7"/>
        <v>0</v>
      </c>
      <c r="M51" s="191">
        <f t="shared" si="8"/>
        <v>0</v>
      </c>
      <c r="N51" s="191">
        <f t="shared" si="9"/>
        <v>0</v>
      </c>
      <c r="O51" s="191">
        <f t="shared" si="10"/>
        <v>0</v>
      </c>
    </row>
    <row r="52" spans="2:15" x14ac:dyDescent="0.25">
      <c r="B52" s="212">
        <v>3211</v>
      </c>
      <c r="C52" s="190" t="str">
        <f t="shared" si="0"/>
        <v>Inversiones Inmobiliarias - Terrenos</v>
      </c>
      <c r="D52" s="191">
        <f>'Mayor - Nivel Divisionarias'!E440</f>
        <v>0</v>
      </c>
      <c r="E52" s="191">
        <f>'Mayor - Nivel Divisionarias'!F440</f>
        <v>0</v>
      </c>
      <c r="F52" s="191">
        <f t="shared" si="5"/>
        <v>0</v>
      </c>
      <c r="G52" s="191">
        <f t="shared" si="6"/>
        <v>0</v>
      </c>
      <c r="H52" s="191"/>
      <c r="I52" s="191"/>
      <c r="J52" s="191">
        <f t="shared" si="1"/>
        <v>0</v>
      </c>
      <c r="K52" s="196">
        <f t="shared" si="2"/>
        <v>0</v>
      </c>
      <c r="L52" s="191">
        <f t="shared" si="7"/>
        <v>0</v>
      </c>
      <c r="M52" s="191">
        <f t="shared" si="8"/>
        <v>0</v>
      </c>
      <c r="N52" s="191">
        <f t="shared" si="9"/>
        <v>0</v>
      </c>
      <c r="O52" s="191">
        <f t="shared" si="10"/>
        <v>0</v>
      </c>
    </row>
    <row r="53" spans="2:15" x14ac:dyDescent="0.25">
      <c r="B53" s="212">
        <v>3212</v>
      </c>
      <c r="C53" s="190" t="str">
        <f t="shared" si="0"/>
        <v>Inversiones Inmobiliarias - Edificaciones</v>
      </c>
      <c r="D53" s="191">
        <f>'Mayor - Nivel Divisionarias'!K440</f>
        <v>0</v>
      </c>
      <c r="E53" s="191">
        <f>'Mayor - Nivel Divisionarias'!L440</f>
        <v>0</v>
      </c>
      <c r="F53" s="191">
        <f t="shared" si="5"/>
        <v>0</v>
      </c>
      <c r="G53" s="191">
        <f t="shared" si="6"/>
        <v>0</v>
      </c>
      <c r="H53" s="191"/>
      <c r="I53" s="191"/>
      <c r="J53" s="191">
        <f t="shared" si="1"/>
        <v>0</v>
      </c>
      <c r="K53" s="196">
        <f t="shared" si="2"/>
        <v>0</v>
      </c>
      <c r="L53" s="191">
        <f t="shared" si="7"/>
        <v>0</v>
      </c>
      <c r="M53" s="191">
        <f t="shared" si="8"/>
        <v>0</v>
      </c>
      <c r="N53" s="191">
        <f t="shared" si="9"/>
        <v>0</v>
      </c>
      <c r="O53" s="191">
        <f t="shared" si="10"/>
        <v>0</v>
      </c>
    </row>
    <row r="54" spans="2:15" x14ac:dyDescent="0.25">
      <c r="B54" s="212">
        <v>3221</v>
      </c>
      <c r="C54" s="190" t="str">
        <f t="shared" si="0"/>
        <v>Inmuebles, Maquinaria y Equipo - Terrenos</v>
      </c>
      <c r="D54" s="191">
        <f>'Mayor - Nivel Divisionarias'!E454</f>
        <v>0</v>
      </c>
      <c r="E54" s="191">
        <f>'Mayor - Nivel Divisionarias'!F454</f>
        <v>0</v>
      </c>
      <c r="F54" s="191">
        <f t="shared" si="5"/>
        <v>0</v>
      </c>
      <c r="G54" s="191">
        <f t="shared" si="6"/>
        <v>0</v>
      </c>
      <c r="H54" s="191"/>
      <c r="I54" s="191"/>
      <c r="J54" s="191">
        <f t="shared" si="1"/>
        <v>0</v>
      </c>
      <c r="K54" s="196">
        <f t="shared" si="2"/>
        <v>0</v>
      </c>
      <c r="L54" s="191">
        <f t="shared" si="7"/>
        <v>0</v>
      </c>
      <c r="M54" s="191">
        <f t="shared" si="8"/>
        <v>0</v>
      </c>
      <c r="N54" s="191">
        <f t="shared" si="9"/>
        <v>0</v>
      </c>
      <c r="O54" s="191">
        <f t="shared" si="10"/>
        <v>0</v>
      </c>
    </row>
    <row r="55" spans="2:15" x14ac:dyDescent="0.25">
      <c r="B55" s="212">
        <v>3222</v>
      </c>
      <c r="C55" s="190" t="str">
        <f t="shared" si="0"/>
        <v>Inmuebles, Maquinaria y Equipo - Edificaciones</v>
      </c>
      <c r="D55" s="191">
        <f>'Mayor - Nivel Divisionarias'!K454</f>
        <v>0</v>
      </c>
      <c r="E55" s="191">
        <f>'Mayor - Nivel Divisionarias'!L454</f>
        <v>0</v>
      </c>
      <c r="F55" s="191">
        <f t="shared" si="5"/>
        <v>0</v>
      </c>
      <c r="G55" s="191">
        <f t="shared" si="6"/>
        <v>0</v>
      </c>
      <c r="H55" s="191"/>
      <c r="I55" s="191"/>
      <c r="J55" s="191">
        <f t="shared" si="1"/>
        <v>0</v>
      </c>
      <c r="K55" s="196">
        <f t="shared" si="2"/>
        <v>0</v>
      </c>
      <c r="L55" s="191">
        <f t="shared" si="7"/>
        <v>0</v>
      </c>
      <c r="M55" s="191">
        <f t="shared" si="8"/>
        <v>0</v>
      </c>
      <c r="N55" s="191">
        <f t="shared" si="9"/>
        <v>0</v>
      </c>
      <c r="O55" s="191">
        <f t="shared" si="10"/>
        <v>0</v>
      </c>
    </row>
    <row r="56" spans="2:15" x14ac:dyDescent="0.25">
      <c r="B56" s="212">
        <v>3223</v>
      </c>
      <c r="C56" s="190" t="str">
        <f t="shared" si="0"/>
        <v>Inmuebles, Maquinaria y Equipo - Maquinarias y Equipos de Explotación</v>
      </c>
      <c r="D56" s="191">
        <f>'Mayor - Nivel Divisionarias'!Q454</f>
        <v>0</v>
      </c>
      <c r="E56" s="191">
        <f>'Mayor - Nivel Divisionarias'!R454</f>
        <v>0</v>
      </c>
      <c r="F56" s="191">
        <f t="shared" si="5"/>
        <v>0</v>
      </c>
      <c r="G56" s="191">
        <f t="shared" si="6"/>
        <v>0</v>
      </c>
      <c r="H56" s="191"/>
      <c r="I56" s="191"/>
      <c r="J56" s="191">
        <f t="shared" si="1"/>
        <v>0</v>
      </c>
      <c r="K56" s="196">
        <f t="shared" si="2"/>
        <v>0</v>
      </c>
      <c r="L56" s="191">
        <f t="shared" si="7"/>
        <v>0</v>
      </c>
      <c r="M56" s="191">
        <f t="shared" si="8"/>
        <v>0</v>
      </c>
      <c r="N56" s="191">
        <f t="shared" si="9"/>
        <v>0</v>
      </c>
      <c r="O56" s="191">
        <f t="shared" si="10"/>
        <v>0</v>
      </c>
    </row>
    <row r="57" spans="2:15" x14ac:dyDescent="0.25">
      <c r="B57" s="212">
        <v>3224</v>
      </c>
      <c r="C57" s="190" t="str">
        <f t="shared" si="0"/>
        <v>Inmuebles, Maquinaria y Equipo - Equipos de Transporte</v>
      </c>
      <c r="D57" s="191">
        <f>'Mayor - Nivel Divisionarias'!W454</f>
        <v>0</v>
      </c>
      <c r="E57" s="191">
        <f>'Mayor - Nivel Divisionarias'!X454</f>
        <v>0</v>
      </c>
      <c r="F57" s="191">
        <f t="shared" si="5"/>
        <v>0</v>
      </c>
      <c r="G57" s="191">
        <f t="shared" si="6"/>
        <v>0</v>
      </c>
      <c r="H57" s="191"/>
      <c r="I57" s="191"/>
      <c r="J57" s="191">
        <f t="shared" si="1"/>
        <v>0</v>
      </c>
      <c r="K57" s="196">
        <f t="shared" si="2"/>
        <v>0</v>
      </c>
      <c r="L57" s="191">
        <f t="shared" si="7"/>
        <v>0</v>
      </c>
      <c r="M57" s="191">
        <f t="shared" si="8"/>
        <v>0</v>
      </c>
      <c r="N57" s="191">
        <f t="shared" si="9"/>
        <v>0</v>
      </c>
      <c r="O57" s="191">
        <f t="shared" si="10"/>
        <v>0</v>
      </c>
    </row>
    <row r="58" spans="2:15" x14ac:dyDescent="0.25">
      <c r="B58" s="212">
        <v>3225</v>
      </c>
      <c r="C58" s="190" t="str">
        <f t="shared" si="0"/>
        <v>Inmuebles, Maquinaria y Equipo - Muebles y Enseres</v>
      </c>
      <c r="D58" s="191">
        <f>'Mayor - Nivel Divisionarias'!AC454</f>
        <v>0</v>
      </c>
      <c r="E58" s="191">
        <f>'Mayor - Nivel Divisionarias'!AD454</f>
        <v>0</v>
      </c>
      <c r="F58" s="191">
        <f t="shared" si="5"/>
        <v>0</v>
      </c>
      <c r="G58" s="191">
        <f t="shared" si="6"/>
        <v>0</v>
      </c>
      <c r="H58" s="191"/>
      <c r="I58" s="191"/>
      <c r="J58" s="191">
        <f t="shared" si="1"/>
        <v>0</v>
      </c>
      <c r="K58" s="196">
        <f t="shared" si="2"/>
        <v>0</v>
      </c>
      <c r="L58" s="191">
        <f t="shared" si="7"/>
        <v>0</v>
      </c>
      <c r="M58" s="191">
        <f t="shared" si="8"/>
        <v>0</v>
      </c>
      <c r="N58" s="191">
        <f t="shared" si="9"/>
        <v>0</v>
      </c>
      <c r="O58" s="191">
        <f t="shared" si="10"/>
        <v>0</v>
      </c>
    </row>
    <row r="59" spans="2:15" x14ac:dyDescent="0.25">
      <c r="B59" s="212">
        <v>3226</v>
      </c>
      <c r="C59" s="190" t="str">
        <f t="shared" si="0"/>
        <v>Inmuebles, Maquinaria y Equipo - Equipos Diversos</v>
      </c>
      <c r="D59" s="191">
        <f>'Mayor - Nivel Divisionarias'!AI454</f>
        <v>0</v>
      </c>
      <c r="E59" s="191">
        <f>'Mayor - Nivel Divisionarias'!AJ454</f>
        <v>0</v>
      </c>
      <c r="F59" s="191">
        <f t="shared" si="5"/>
        <v>0</v>
      </c>
      <c r="G59" s="191">
        <f t="shared" si="6"/>
        <v>0</v>
      </c>
      <c r="H59" s="191"/>
      <c r="I59" s="191"/>
      <c r="J59" s="191">
        <f t="shared" si="1"/>
        <v>0</v>
      </c>
      <c r="K59" s="196">
        <f t="shared" si="2"/>
        <v>0</v>
      </c>
      <c r="L59" s="191">
        <f t="shared" si="7"/>
        <v>0</v>
      </c>
      <c r="M59" s="191">
        <f t="shared" si="8"/>
        <v>0</v>
      </c>
      <c r="N59" s="191">
        <f t="shared" si="9"/>
        <v>0</v>
      </c>
      <c r="O59" s="191">
        <f t="shared" si="10"/>
        <v>0</v>
      </c>
    </row>
    <row r="60" spans="2:15" x14ac:dyDescent="0.25">
      <c r="B60" s="212">
        <v>3227</v>
      </c>
      <c r="C60" s="190" t="str">
        <f t="shared" si="0"/>
        <v>Inmuebles, Maquinaria y Equipo - Herramientas y Unidades de Reemplazo</v>
      </c>
      <c r="D60" s="191">
        <f>'Mayor - Nivel Divisionarias'!AO454</f>
        <v>0</v>
      </c>
      <c r="E60" s="191">
        <f>'Mayor - Nivel Divisionarias'!AP454</f>
        <v>0</v>
      </c>
      <c r="F60" s="191">
        <f t="shared" si="5"/>
        <v>0</v>
      </c>
      <c r="G60" s="191">
        <f t="shared" si="6"/>
        <v>0</v>
      </c>
      <c r="H60" s="191"/>
      <c r="I60" s="191"/>
      <c r="J60" s="191">
        <f t="shared" si="1"/>
        <v>0</v>
      </c>
      <c r="K60" s="196">
        <f t="shared" si="2"/>
        <v>0</v>
      </c>
      <c r="L60" s="191">
        <f t="shared" si="7"/>
        <v>0</v>
      </c>
      <c r="M60" s="191">
        <f t="shared" si="8"/>
        <v>0</v>
      </c>
      <c r="N60" s="191">
        <f t="shared" si="9"/>
        <v>0</v>
      </c>
      <c r="O60" s="191">
        <f t="shared" si="10"/>
        <v>0</v>
      </c>
    </row>
    <row r="61" spans="2:15" x14ac:dyDescent="0.25">
      <c r="B61" s="212">
        <v>3229</v>
      </c>
      <c r="C61" s="190" t="str">
        <f t="shared" si="0"/>
        <v>Reclasificación de IGV al Costo</v>
      </c>
      <c r="D61" s="191">
        <f>'Mayor - Nivel Divisionarias'!AU454</f>
        <v>0</v>
      </c>
      <c r="E61" s="191">
        <f>'Mayor - Nivel Divisionarias'!AV454</f>
        <v>0</v>
      </c>
      <c r="F61" s="191">
        <f t="shared" si="5"/>
        <v>0</v>
      </c>
      <c r="G61" s="191">
        <f t="shared" si="6"/>
        <v>0</v>
      </c>
      <c r="H61" s="191"/>
      <c r="I61" s="191"/>
      <c r="J61" s="191">
        <f t="shared" si="1"/>
        <v>0</v>
      </c>
      <c r="K61" s="196">
        <f t="shared" si="2"/>
        <v>0</v>
      </c>
      <c r="L61" s="191">
        <f t="shared" si="7"/>
        <v>0</v>
      </c>
      <c r="M61" s="191">
        <f t="shared" si="8"/>
        <v>0</v>
      </c>
      <c r="N61" s="191">
        <f t="shared" si="9"/>
        <v>0</v>
      </c>
      <c r="O61" s="191">
        <f t="shared" si="10"/>
        <v>0</v>
      </c>
    </row>
    <row r="62" spans="2:15" x14ac:dyDescent="0.25">
      <c r="B62" s="212">
        <v>3311</v>
      </c>
      <c r="C62" s="190" t="str">
        <f t="shared" si="0"/>
        <v>Terrenos</v>
      </c>
      <c r="D62" s="191">
        <f>'Mayor - Nivel Divisionarias'!E468</f>
        <v>0</v>
      </c>
      <c r="E62" s="191">
        <f>'Mayor - Nivel Divisionarias'!F468</f>
        <v>0</v>
      </c>
      <c r="F62" s="191">
        <f t="shared" si="5"/>
        <v>0</v>
      </c>
      <c r="G62" s="191">
        <f t="shared" si="6"/>
        <v>0</v>
      </c>
      <c r="H62" s="191"/>
      <c r="I62" s="191"/>
      <c r="J62" s="191">
        <f t="shared" si="1"/>
        <v>0</v>
      </c>
      <c r="K62" s="196">
        <f t="shared" si="2"/>
        <v>0</v>
      </c>
      <c r="L62" s="191">
        <f t="shared" si="7"/>
        <v>0</v>
      </c>
      <c r="M62" s="191">
        <f t="shared" si="8"/>
        <v>0</v>
      </c>
      <c r="N62" s="191">
        <f t="shared" si="9"/>
        <v>0</v>
      </c>
      <c r="O62" s="191">
        <f t="shared" si="10"/>
        <v>0</v>
      </c>
    </row>
    <row r="63" spans="2:15" x14ac:dyDescent="0.25">
      <c r="B63" s="212">
        <v>3321</v>
      </c>
      <c r="C63" s="190" t="str">
        <f t="shared" si="0"/>
        <v>Edificaciones - Edificaciones Administrativas</v>
      </c>
      <c r="D63" s="191">
        <f>'Mayor - Nivel Divisionarias'!E482</f>
        <v>0</v>
      </c>
      <c r="E63" s="191">
        <f>'Mayor - Nivel Divisionarias'!F482</f>
        <v>0</v>
      </c>
      <c r="F63" s="191">
        <f t="shared" si="5"/>
        <v>0</v>
      </c>
      <c r="G63" s="191">
        <f t="shared" si="6"/>
        <v>0</v>
      </c>
      <c r="H63" s="191"/>
      <c r="I63" s="191"/>
      <c r="J63" s="191">
        <f t="shared" si="1"/>
        <v>0</v>
      </c>
      <c r="K63" s="196">
        <f t="shared" si="2"/>
        <v>0</v>
      </c>
      <c r="L63" s="191">
        <f t="shared" si="7"/>
        <v>0</v>
      </c>
      <c r="M63" s="191">
        <f t="shared" si="8"/>
        <v>0</v>
      </c>
      <c r="N63" s="191">
        <f t="shared" si="9"/>
        <v>0</v>
      </c>
      <c r="O63" s="191">
        <f t="shared" si="10"/>
        <v>0</v>
      </c>
    </row>
    <row r="64" spans="2:15" x14ac:dyDescent="0.25">
      <c r="B64" s="212">
        <v>3322</v>
      </c>
      <c r="C64" s="190" t="str">
        <f t="shared" si="0"/>
        <v>Edificaciones - Almacenes</v>
      </c>
      <c r="D64" s="191">
        <f>'Mayor - Nivel Divisionarias'!K482</f>
        <v>0</v>
      </c>
      <c r="E64" s="191">
        <f>'Mayor - Nivel Divisionarias'!L482</f>
        <v>0</v>
      </c>
      <c r="F64" s="191">
        <f t="shared" si="5"/>
        <v>0</v>
      </c>
      <c r="G64" s="191">
        <f t="shared" si="6"/>
        <v>0</v>
      </c>
      <c r="H64" s="191"/>
      <c r="I64" s="191"/>
      <c r="J64" s="191">
        <f t="shared" si="1"/>
        <v>0</v>
      </c>
      <c r="K64" s="196">
        <f t="shared" si="2"/>
        <v>0</v>
      </c>
      <c r="L64" s="191">
        <f t="shared" si="7"/>
        <v>0</v>
      </c>
      <c r="M64" s="191">
        <f t="shared" si="8"/>
        <v>0</v>
      </c>
      <c r="N64" s="191">
        <f t="shared" si="9"/>
        <v>0</v>
      </c>
      <c r="O64" s="191">
        <f t="shared" si="10"/>
        <v>0</v>
      </c>
    </row>
    <row r="65" spans="2:15" x14ac:dyDescent="0.25">
      <c r="B65" s="212">
        <v>3323</v>
      </c>
      <c r="C65" s="190" t="str">
        <f t="shared" si="0"/>
        <v>Edificaciones - Edificaciones para Producción</v>
      </c>
      <c r="D65" s="191">
        <f>'Mayor - Nivel Divisionarias'!Q482</f>
        <v>0</v>
      </c>
      <c r="E65" s="191">
        <f>'Mayor - Nivel Divisionarias'!R482</f>
        <v>0</v>
      </c>
      <c r="F65" s="191">
        <f t="shared" si="5"/>
        <v>0</v>
      </c>
      <c r="G65" s="191">
        <f t="shared" si="6"/>
        <v>0</v>
      </c>
      <c r="H65" s="191"/>
      <c r="I65" s="191"/>
      <c r="J65" s="191">
        <f t="shared" si="1"/>
        <v>0</v>
      </c>
      <c r="K65" s="196">
        <f t="shared" si="2"/>
        <v>0</v>
      </c>
      <c r="L65" s="191">
        <f t="shared" si="7"/>
        <v>0</v>
      </c>
      <c r="M65" s="191">
        <f t="shared" si="8"/>
        <v>0</v>
      </c>
      <c r="N65" s="191">
        <f t="shared" si="9"/>
        <v>0</v>
      </c>
      <c r="O65" s="191">
        <f t="shared" si="10"/>
        <v>0</v>
      </c>
    </row>
    <row r="66" spans="2:15" x14ac:dyDescent="0.25">
      <c r="B66" s="212">
        <v>3324</v>
      </c>
      <c r="C66" s="190" t="str">
        <f t="shared" si="0"/>
        <v>Edificaciones - Instalaciones</v>
      </c>
      <c r="D66" s="191">
        <f>'Mayor - Nivel Divisionarias'!W482</f>
        <v>0</v>
      </c>
      <c r="E66" s="191">
        <f>'Mayor - Nivel Divisionarias'!X482</f>
        <v>0</v>
      </c>
      <c r="F66" s="191">
        <f t="shared" si="5"/>
        <v>0</v>
      </c>
      <c r="G66" s="191">
        <f t="shared" si="6"/>
        <v>0</v>
      </c>
      <c r="H66" s="191"/>
      <c r="I66" s="191"/>
      <c r="J66" s="191">
        <f t="shared" si="1"/>
        <v>0</v>
      </c>
      <c r="K66" s="196">
        <f t="shared" si="2"/>
        <v>0</v>
      </c>
      <c r="L66" s="191">
        <f t="shared" si="7"/>
        <v>0</v>
      </c>
      <c r="M66" s="191">
        <f t="shared" si="8"/>
        <v>0</v>
      </c>
      <c r="N66" s="191">
        <f t="shared" si="9"/>
        <v>0</v>
      </c>
      <c r="O66" s="191">
        <f t="shared" si="10"/>
        <v>0</v>
      </c>
    </row>
    <row r="67" spans="2:15" x14ac:dyDescent="0.25">
      <c r="B67" s="212">
        <v>3331</v>
      </c>
      <c r="C67" s="190" t="str">
        <f t="shared" si="0"/>
        <v>Maquinarias y Equipos de Explotación</v>
      </c>
      <c r="D67" s="191">
        <f>'Mayor - Nivel Divisionarias'!E496</f>
        <v>0</v>
      </c>
      <c r="E67" s="191">
        <f>'Mayor - Nivel Divisionarias'!F496</f>
        <v>0</v>
      </c>
      <c r="F67" s="191">
        <f t="shared" si="5"/>
        <v>0</v>
      </c>
      <c r="G67" s="191">
        <f t="shared" si="6"/>
        <v>0</v>
      </c>
      <c r="H67" s="191"/>
      <c r="I67" s="191"/>
      <c r="J67" s="191">
        <f t="shared" si="1"/>
        <v>0</v>
      </c>
      <c r="K67" s="196">
        <f t="shared" si="2"/>
        <v>0</v>
      </c>
      <c r="L67" s="191">
        <f t="shared" si="7"/>
        <v>0</v>
      </c>
      <c r="M67" s="191">
        <f t="shared" si="8"/>
        <v>0</v>
      </c>
      <c r="N67" s="191">
        <f t="shared" si="9"/>
        <v>0</v>
      </c>
      <c r="O67" s="191">
        <f t="shared" si="10"/>
        <v>0</v>
      </c>
    </row>
    <row r="68" spans="2:15" x14ac:dyDescent="0.25">
      <c r="B68" s="212">
        <v>3341</v>
      </c>
      <c r="C68" s="190" t="str">
        <f t="shared" si="0"/>
        <v>Equipo de Transporte - Vehículos Motorizados</v>
      </c>
      <c r="D68" s="191">
        <f>'Mayor - Nivel Divisionarias'!E510</f>
        <v>0</v>
      </c>
      <c r="E68" s="191">
        <f>'Mayor - Nivel Divisionarias'!F510</f>
        <v>0</v>
      </c>
      <c r="F68" s="191">
        <f t="shared" si="5"/>
        <v>0</v>
      </c>
      <c r="G68" s="191">
        <f t="shared" si="6"/>
        <v>0</v>
      </c>
      <c r="H68" s="191"/>
      <c r="I68" s="191"/>
      <c r="J68" s="191">
        <f t="shared" si="1"/>
        <v>0</v>
      </c>
      <c r="K68" s="196">
        <f t="shared" si="2"/>
        <v>0</v>
      </c>
      <c r="L68" s="191">
        <f t="shared" si="7"/>
        <v>0</v>
      </c>
      <c r="M68" s="191">
        <f t="shared" si="8"/>
        <v>0</v>
      </c>
      <c r="N68" s="191">
        <f t="shared" si="9"/>
        <v>0</v>
      </c>
      <c r="O68" s="191">
        <f t="shared" si="10"/>
        <v>0</v>
      </c>
    </row>
    <row r="69" spans="2:15" x14ac:dyDescent="0.25">
      <c r="B69" s="212">
        <v>3342</v>
      </c>
      <c r="C69" s="190" t="str">
        <f t="shared" si="0"/>
        <v>Equipo de Transporte - Vehículos No Motorizados</v>
      </c>
      <c r="D69" s="191">
        <f>'Mayor - Nivel Divisionarias'!K510</f>
        <v>0</v>
      </c>
      <c r="E69" s="191">
        <f>'Mayor - Nivel Divisionarias'!L510</f>
        <v>0</v>
      </c>
      <c r="F69" s="191">
        <f t="shared" si="5"/>
        <v>0</v>
      </c>
      <c r="G69" s="191">
        <f t="shared" si="6"/>
        <v>0</v>
      </c>
      <c r="H69" s="191"/>
      <c r="I69" s="191"/>
      <c r="J69" s="191">
        <f t="shared" si="1"/>
        <v>0</v>
      </c>
      <c r="K69" s="196">
        <f t="shared" si="2"/>
        <v>0</v>
      </c>
      <c r="L69" s="191">
        <f t="shared" si="7"/>
        <v>0</v>
      </c>
      <c r="M69" s="191">
        <f t="shared" si="8"/>
        <v>0</v>
      </c>
      <c r="N69" s="191">
        <f t="shared" si="9"/>
        <v>0</v>
      </c>
      <c r="O69" s="191">
        <f t="shared" si="10"/>
        <v>0</v>
      </c>
    </row>
    <row r="70" spans="2:15" x14ac:dyDescent="0.25">
      <c r="B70" s="212">
        <v>3351</v>
      </c>
      <c r="C70" s="190" t="str">
        <f t="shared" si="0"/>
        <v>Muebles y Enseres - Muebles</v>
      </c>
      <c r="D70" s="191">
        <f>'Mayor - Nivel Divisionarias'!E524</f>
        <v>103800</v>
      </c>
      <c r="E70" s="191">
        <f>'Mayor - Nivel Divisionarias'!F524</f>
        <v>0</v>
      </c>
      <c r="F70" s="191">
        <f t="shared" si="5"/>
        <v>103800</v>
      </c>
      <c r="G70" s="191">
        <f t="shared" si="6"/>
        <v>0</v>
      </c>
      <c r="H70" s="191"/>
      <c r="I70" s="191"/>
      <c r="J70" s="191">
        <f t="shared" si="1"/>
        <v>103800</v>
      </c>
      <c r="K70" s="196">
        <f t="shared" si="2"/>
        <v>0</v>
      </c>
      <c r="L70" s="191">
        <f t="shared" si="7"/>
        <v>0</v>
      </c>
      <c r="M70" s="191">
        <f t="shared" si="8"/>
        <v>0</v>
      </c>
      <c r="N70" s="191">
        <f t="shared" si="9"/>
        <v>0</v>
      </c>
      <c r="O70" s="191">
        <f t="shared" si="10"/>
        <v>0</v>
      </c>
    </row>
    <row r="71" spans="2:15" x14ac:dyDescent="0.25">
      <c r="B71" s="212">
        <v>3352</v>
      </c>
      <c r="C71" s="190" t="str">
        <f t="shared" si="0"/>
        <v>Muebles y Enseres - Enseres</v>
      </c>
      <c r="D71" s="191">
        <f>'Mayor - Nivel Divisionarias'!K524</f>
        <v>0</v>
      </c>
      <c r="E71" s="191">
        <f>'Mayor - Nivel Divisionarias'!L524</f>
        <v>0</v>
      </c>
      <c r="F71" s="191">
        <f t="shared" si="5"/>
        <v>0</v>
      </c>
      <c r="G71" s="191">
        <f t="shared" si="6"/>
        <v>0</v>
      </c>
      <c r="H71" s="191"/>
      <c r="I71" s="191"/>
      <c r="J71" s="191">
        <f t="shared" si="1"/>
        <v>0</v>
      </c>
      <c r="K71" s="196">
        <f t="shared" si="2"/>
        <v>0</v>
      </c>
      <c r="L71" s="191">
        <f t="shared" si="7"/>
        <v>0</v>
      </c>
      <c r="M71" s="191">
        <f t="shared" si="8"/>
        <v>0</v>
      </c>
      <c r="N71" s="191">
        <f t="shared" si="9"/>
        <v>0</v>
      </c>
      <c r="O71" s="191">
        <f t="shared" si="10"/>
        <v>0</v>
      </c>
    </row>
    <row r="72" spans="2:15" x14ac:dyDescent="0.25">
      <c r="B72" s="212">
        <v>3361</v>
      </c>
      <c r="C72" s="190" t="str">
        <f t="shared" si="0"/>
        <v>Equipo para Procesamiento de Información (de Cómputo)</v>
      </c>
      <c r="D72" s="191">
        <f>'Mayor - Nivel Divisionarias'!E538</f>
        <v>84650</v>
      </c>
      <c r="E72" s="191">
        <f>'Mayor - Nivel Divisionarias'!F538</f>
        <v>0</v>
      </c>
      <c r="F72" s="191">
        <f t="shared" si="5"/>
        <v>84650</v>
      </c>
      <c r="G72" s="191">
        <f t="shared" si="6"/>
        <v>0</v>
      </c>
      <c r="H72" s="191"/>
      <c r="I72" s="191"/>
      <c r="J72" s="191">
        <f t="shared" si="1"/>
        <v>84650</v>
      </c>
      <c r="K72" s="196">
        <f t="shared" si="2"/>
        <v>0</v>
      </c>
      <c r="L72" s="191">
        <f t="shared" si="7"/>
        <v>0</v>
      </c>
      <c r="M72" s="191">
        <f t="shared" si="8"/>
        <v>0</v>
      </c>
      <c r="N72" s="191">
        <f t="shared" si="9"/>
        <v>0</v>
      </c>
      <c r="O72" s="191">
        <f t="shared" si="10"/>
        <v>0</v>
      </c>
    </row>
    <row r="73" spans="2:15" x14ac:dyDescent="0.25">
      <c r="B73" s="212">
        <v>3362</v>
      </c>
      <c r="C73" s="190" t="str">
        <f t="shared" si="0"/>
        <v>Equipo de Comunicación</v>
      </c>
      <c r="D73" s="191">
        <f>'Mayor - Nivel Divisionarias'!K538</f>
        <v>0</v>
      </c>
      <c r="E73" s="191">
        <f>'Mayor - Nivel Divisionarias'!L538</f>
        <v>0</v>
      </c>
      <c r="F73" s="191">
        <f t="shared" si="5"/>
        <v>0</v>
      </c>
      <c r="G73" s="191">
        <f t="shared" si="6"/>
        <v>0</v>
      </c>
      <c r="H73" s="191"/>
      <c r="I73" s="191"/>
      <c r="J73" s="191">
        <f t="shared" si="1"/>
        <v>0</v>
      </c>
      <c r="K73" s="196">
        <f t="shared" si="2"/>
        <v>0</v>
      </c>
      <c r="L73" s="191">
        <f t="shared" si="7"/>
        <v>0</v>
      </c>
      <c r="M73" s="191">
        <f t="shared" si="8"/>
        <v>0</v>
      </c>
      <c r="N73" s="191">
        <f t="shared" si="9"/>
        <v>0</v>
      </c>
      <c r="O73" s="191">
        <f t="shared" si="10"/>
        <v>0</v>
      </c>
    </row>
    <row r="74" spans="2:15" x14ac:dyDescent="0.25">
      <c r="B74" s="212">
        <v>3363</v>
      </c>
      <c r="C74" s="190" t="str">
        <f t="shared" si="0"/>
        <v>Equipo de Seguridad</v>
      </c>
      <c r="D74" s="191">
        <f>'Mayor - Nivel Divisionarias'!Q538</f>
        <v>0</v>
      </c>
      <c r="E74" s="191">
        <f>'Mayor - Nivel Divisionarias'!R538</f>
        <v>0</v>
      </c>
      <c r="F74" s="191">
        <f t="shared" si="5"/>
        <v>0</v>
      </c>
      <c r="G74" s="191">
        <f t="shared" si="6"/>
        <v>0</v>
      </c>
      <c r="H74" s="191"/>
      <c r="I74" s="191"/>
      <c r="J74" s="191">
        <f t="shared" si="1"/>
        <v>0</v>
      </c>
      <c r="K74" s="196">
        <f t="shared" si="2"/>
        <v>0</v>
      </c>
      <c r="L74" s="191">
        <f t="shared" si="7"/>
        <v>0</v>
      </c>
      <c r="M74" s="191">
        <f t="shared" si="8"/>
        <v>0</v>
      </c>
      <c r="N74" s="191">
        <f t="shared" si="9"/>
        <v>0</v>
      </c>
      <c r="O74" s="191">
        <f t="shared" si="10"/>
        <v>0</v>
      </c>
    </row>
    <row r="75" spans="2:15" x14ac:dyDescent="0.25">
      <c r="B75" s="212">
        <v>3369</v>
      </c>
      <c r="C75" s="190" t="str">
        <f t="shared" si="0"/>
        <v>Otros Equipos</v>
      </c>
      <c r="D75" s="191">
        <f>'Mayor - Nivel Divisionarias'!W538</f>
        <v>0</v>
      </c>
      <c r="E75" s="191">
        <f>'Mayor - Nivel Divisionarias'!X538</f>
        <v>0</v>
      </c>
      <c r="F75" s="191">
        <f t="shared" si="5"/>
        <v>0</v>
      </c>
      <c r="G75" s="191">
        <f t="shared" si="6"/>
        <v>0</v>
      </c>
      <c r="H75" s="191"/>
      <c r="I75" s="191"/>
      <c r="J75" s="191">
        <f t="shared" si="1"/>
        <v>0</v>
      </c>
      <c r="K75" s="196">
        <f t="shared" si="2"/>
        <v>0</v>
      </c>
      <c r="L75" s="191">
        <f t="shared" si="7"/>
        <v>0</v>
      </c>
      <c r="M75" s="191">
        <f t="shared" si="8"/>
        <v>0</v>
      </c>
      <c r="N75" s="191">
        <f t="shared" si="9"/>
        <v>0</v>
      </c>
      <c r="O75" s="191">
        <f t="shared" si="10"/>
        <v>0</v>
      </c>
    </row>
    <row r="76" spans="2:15" x14ac:dyDescent="0.25">
      <c r="B76" s="212">
        <v>3371</v>
      </c>
      <c r="C76" s="190" t="str">
        <f t="shared" si="0"/>
        <v>Herramientas y Unidades de Reemplazo - Herramientas</v>
      </c>
      <c r="D76" s="191">
        <f>'Mayor - Nivel Divisionarias'!E552</f>
        <v>0</v>
      </c>
      <c r="E76" s="191">
        <f>'Mayor - Nivel Divisionarias'!F552</f>
        <v>0</v>
      </c>
      <c r="F76" s="191">
        <f t="shared" si="5"/>
        <v>0</v>
      </c>
      <c r="G76" s="191">
        <f t="shared" si="6"/>
        <v>0</v>
      </c>
      <c r="H76" s="191"/>
      <c r="I76" s="191"/>
      <c r="J76" s="191">
        <f t="shared" si="1"/>
        <v>0</v>
      </c>
      <c r="K76" s="196">
        <f t="shared" si="2"/>
        <v>0</v>
      </c>
      <c r="L76" s="191">
        <f t="shared" si="7"/>
        <v>0</v>
      </c>
      <c r="M76" s="191">
        <f t="shared" si="8"/>
        <v>0</v>
      </c>
      <c r="N76" s="191">
        <f t="shared" si="9"/>
        <v>0</v>
      </c>
      <c r="O76" s="191">
        <f t="shared" si="10"/>
        <v>0</v>
      </c>
    </row>
    <row r="77" spans="2:15" x14ac:dyDescent="0.25">
      <c r="B77" s="212">
        <v>3372</v>
      </c>
      <c r="C77" s="190" t="str">
        <f t="shared" si="0"/>
        <v>Herramientas y Unidades de Reemplazo - Unidades de Reemplazo</v>
      </c>
      <c r="D77" s="191">
        <f>'Mayor - Nivel Divisionarias'!K552</f>
        <v>0</v>
      </c>
      <c r="E77" s="191">
        <f>'Mayor - Nivel Divisionarias'!L552</f>
        <v>0</v>
      </c>
      <c r="F77" s="191">
        <f t="shared" si="5"/>
        <v>0</v>
      </c>
      <c r="G77" s="191">
        <f t="shared" si="6"/>
        <v>0</v>
      </c>
      <c r="H77" s="191"/>
      <c r="I77" s="191"/>
      <c r="J77" s="191">
        <f t="shared" si="1"/>
        <v>0</v>
      </c>
      <c r="K77" s="196">
        <f t="shared" si="2"/>
        <v>0</v>
      </c>
      <c r="L77" s="191">
        <f t="shared" si="7"/>
        <v>0</v>
      </c>
      <c r="M77" s="191">
        <f t="shared" si="8"/>
        <v>0</v>
      </c>
      <c r="N77" s="191">
        <f t="shared" si="9"/>
        <v>0</v>
      </c>
      <c r="O77" s="191">
        <f t="shared" si="10"/>
        <v>0</v>
      </c>
    </row>
    <row r="78" spans="2:15" x14ac:dyDescent="0.25">
      <c r="B78" s="212">
        <v>3381</v>
      </c>
      <c r="C78" s="190" t="str">
        <f t="shared" si="0"/>
        <v>Unidades por Recibir - Maquinaria y Equipos de Explotación</v>
      </c>
      <c r="D78" s="191">
        <f>'Mayor - Nivel Divisionarias'!E566</f>
        <v>0</v>
      </c>
      <c r="E78" s="191">
        <f>'Mayor - Nivel Divisionarias'!F566</f>
        <v>0</v>
      </c>
      <c r="F78" s="191">
        <f t="shared" si="5"/>
        <v>0</v>
      </c>
      <c r="G78" s="191">
        <f t="shared" si="6"/>
        <v>0</v>
      </c>
      <c r="H78" s="191"/>
      <c r="I78" s="191"/>
      <c r="J78" s="191">
        <f t="shared" si="1"/>
        <v>0</v>
      </c>
      <c r="K78" s="196">
        <f t="shared" si="2"/>
        <v>0</v>
      </c>
      <c r="L78" s="191">
        <f t="shared" si="7"/>
        <v>0</v>
      </c>
      <c r="M78" s="191">
        <f t="shared" si="8"/>
        <v>0</v>
      </c>
      <c r="N78" s="191">
        <f t="shared" si="9"/>
        <v>0</v>
      </c>
      <c r="O78" s="191">
        <f t="shared" si="10"/>
        <v>0</v>
      </c>
    </row>
    <row r="79" spans="2:15" x14ac:dyDescent="0.25">
      <c r="B79" s="212">
        <v>3382</v>
      </c>
      <c r="C79" s="190" t="str">
        <f t="shared" si="0"/>
        <v>Unidades por Recibir - Equipo de Transporte</v>
      </c>
      <c r="D79" s="191">
        <f>'Mayor - Nivel Divisionarias'!K566</f>
        <v>0</v>
      </c>
      <c r="E79" s="191">
        <f>'Mayor - Nivel Divisionarias'!L566</f>
        <v>0</v>
      </c>
      <c r="F79" s="191">
        <f t="shared" si="5"/>
        <v>0</v>
      </c>
      <c r="G79" s="191">
        <f t="shared" si="6"/>
        <v>0</v>
      </c>
      <c r="H79" s="191"/>
      <c r="I79" s="191"/>
      <c r="J79" s="191">
        <f t="shared" si="1"/>
        <v>0</v>
      </c>
      <c r="K79" s="196">
        <f t="shared" si="2"/>
        <v>0</v>
      </c>
      <c r="L79" s="191">
        <f t="shared" si="7"/>
        <v>0</v>
      </c>
      <c r="M79" s="191">
        <f t="shared" si="8"/>
        <v>0</v>
      </c>
      <c r="N79" s="191">
        <f t="shared" si="9"/>
        <v>0</v>
      </c>
      <c r="O79" s="191">
        <f t="shared" si="10"/>
        <v>0</v>
      </c>
    </row>
    <row r="80" spans="2:15" x14ac:dyDescent="0.25">
      <c r="B80" s="212">
        <v>3383</v>
      </c>
      <c r="C80" s="190" t="str">
        <f t="shared" si="0"/>
        <v>Unidades por Recibir - Muebles y Enseres</v>
      </c>
      <c r="D80" s="191">
        <f>'Mayor - Nivel Divisionarias'!Q566</f>
        <v>0</v>
      </c>
      <c r="E80" s="191">
        <f>'Mayor - Nivel Divisionarias'!R566</f>
        <v>0</v>
      </c>
      <c r="F80" s="191">
        <f t="shared" si="5"/>
        <v>0</v>
      </c>
      <c r="G80" s="191">
        <f t="shared" si="6"/>
        <v>0</v>
      </c>
      <c r="H80" s="191"/>
      <c r="I80" s="191"/>
      <c r="J80" s="191">
        <f t="shared" ref="J80:J143" si="11">IF(6000&gt;B80,F80,0)</f>
        <v>0</v>
      </c>
      <c r="K80" s="196">
        <f t="shared" ref="K80:K143" si="12">IF(6000&gt;B80,G80,0)</f>
        <v>0</v>
      </c>
      <c r="L80" s="191">
        <f t="shared" si="7"/>
        <v>0</v>
      </c>
      <c r="M80" s="191">
        <f t="shared" si="8"/>
        <v>0</v>
      </c>
      <c r="N80" s="191">
        <f t="shared" si="9"/>
        <v>0</v>
      </c>
      <c r="O80" s="191">
        <f t="shared" si="10"/>
        <v>0</v>
      </c>
    </row>
    <row r="81" spans="2:15" x14ac:dyDescent="0.25">
      <c r="B81" s="212">
        <v>3386</v>
      </c>
      <c r="C81" s="190" t="str">
        <f t="shared" ref="C81:C146" si="13">VLOOKUP(B81,DivisionariasContables,3,FALSE)</f>
        <v>Unidades por Recibir - Equipos Diversos</v>
      </c>
      <c r="D81" s="191">
        <f>'Mayor - Nivel Divisionarias'!W566</f>
        <v>0</v>
      </c>
      <c r="E81" s="191">
        <f>'Mayor - Nivel Divisionarias'!X566</f>
        <v>0</v>
      </c>
      <c r="F81" s="191">
        <f t="shared" ref="F81:F144" si="14">IF(D81&gt;E81,D81-E81,0)</f>
        <v>0</v>
      </c>
      <c r="G81" s="191">
        <f t="shared" ref="G81:G144" si="15">IF(D81&lt;E81,E81-D81,0)</f>
        <v>0</v>
      </c>
      <c r="H81" s="191"/>
      <c r="I81" s="191"/>
      <c r="J81" s="191">
        <f t="shared" si="11"/>
        <v>0</v>
      </c>
      <c r="K81" s="196">
        <f t="shared" si="12"/>
        <v>0</v>
      </c>
      <c r="L81" s="191">
        <f t="shared" ref="L81:L144" si="16">IF(AND(B81&gt;9200,B81&lt;9999),F81,IF(B81=7091,F81,IF(B81=7411,F81,IF(B81=6911,F81,IF(B81=6611,F81,0)))))</f>
        <v>0</v>
      </c>
      <c r="M81" s="191">
        <f t="shared" ref="M81:M144" si="17">IF(AND(B81&gt;6900,B81&lt;7900),G81,0)</f>
        <v>0</v>
      </c>
      <c r="N81" s="191">
        <f t="shared" ref="N81:N144" si="18">IF(AND(B81&gt;5900,B81&lt;6911),F81,IF(B81=7091,F81,IF(B81=7411,F81,0)))</f>
        <v>0</v>
      </c>
      <c r="O81" s="191">
        <f t="shared" ref="O81:O144" si="19">IF(AND(B81&gt;6900,B81&lt;7900),G81,IF(B81=6111,G81,0))</f>
        <v>0</v>
      </c>
    </row>
    <row r="82" spans="2:15" x14ac:dyDescent="0.25">
      <c r="B82" s="212">
        <v>3387</v>
      </c>
      <c r="C82" s="190" t="str">
        <f t="shared" si="13"/>
        <v>Unidades por Recibir - Herramientas y Unidades de Reemplazo</v>
      </c>
      <c r="D82" s="191">
        <f>'Mayor - Nivel Divisionarias'!AC566</f>
        <v>0</v>
      </c>
      <c r="E82" s="191">
        <f>'Mayor - Nivel Divisionarias'!AD566</f>
        <v>0</v>
      </c>
      <c r="F82" s="191">
        <f t="shared" si="14"/>
        <v>0</v>
      </c>
      <c r="G82" s="191">
        <f t="shared" si="15"/>
        <v>0</v>
      </c>
      <c r="H82" s="191"/>
      <c r="I82" s="191"/>
      <c r="J82" s="191">
        <f t="shared" si="11"/>
        <v>0</v>
      </c>
      <c r="K82" s="196">
        <f t="shared" si="12"/>
        <v>0</v>
      </c>
      <c r="L82" s="191">
        <f t="shared" si="16"/>
        <v>0</v>
      </c>
      <c r="M82" s="191">
        <f t="shared" si="17"/>
        <v>0</v>
      </c>
      <c r="N82" s="191">
        <f t="shared" si="18"/>
        <v>0</v>
      </c>
      <c r="O82" s="191">
        <f t="shared" si="19"/>
        <v>0</v>
      </c>
    </row>
    <row r="83" spans="2:15" x14ac:dyDescent="0.25">
      <c r="B83" s="212">
        <v>3391</v>
      </c>
      <c r="C83" s="190" t="str">
        <f t="shared" si="13"/>
        <v>Adaptación de Terrenos</v>
      </c>
      <c r="D83" s="191">
        <f>'Mayor - Nivel Divisionarias'!E580</f>
        <v>0</v>
      </c>
      <c r="E83" s="191">
        <f>'Mayor - Nivel Divisionarias'!F580</f>
        <v>0</v>
      </c>
      <c r="F83" s="191">
        <f t="shared" si="14"/>
        <v>0</v>
      </c>
      <c r="G83" s="191">
        <f t="shared" si="15"/>
        <v>0</v>
      </c>
      <c r="H83" s="191"/>
      <c r="I83" s="191"/>
      <c r="J83" s="191">
        <f t="shared" si="11"/>
        <v>0</v>
      </c>
      <c r="K83" s="196">
        <f t="shared" si="12"/>
        <v>0</v>
      </c>
      <c r="L83" s="191">
        <f t="shared" si="16"/>
        <v>0</v>
      </c>
      <c r="M83" s="191">
        <f t="shared" si="17"/>
        <v>0</v>
      </c>
      <c r="N83" s="191">
        <f t="shared" si="18"/>
        <v>0</v>
      </c>
      <c r="O83" s="191">
        <f t="shared" si="19"/>
        <v>0</v>
      </c>
    </row>
    <row r="84" spans="2:15" x14ac:dyDescent="0.25">
      <c r="B84" s="212">
        <v>3392</v>
      </c>
      <c r="C84" s="190" t="str">
        <f t="shared" si="13"/>
        <v>Construcciones en Curso</v>
      </c>
      <c r="D84" s="191">
        <f>'Mayor - Nivel Divisionarias'!K580</f>
        <v>0</v>
      </c>
      <c r="E84" s="191">
        <f>'Mayor - Nivel Divisionarias'!L580</f>
        <v>0</v>
      </c>
      <c r="F84" s="191">
        <f t="shared" si="14"/>
        <v>0</v>
      </c>
      <c r="G84" s="191">
        <f t="shared" si="15"/>
        <v>0</v>
      </c>
      <c r="H84" s="191"/>
      <c r="I84" s="191"/>
      <c r="J84" s="191">
        <f t="shared" si="11"/>
        <v>0</v>
      </c>
      <c r="K84" s="196">
        <f t="shared" si="12"/>
        <v>0</v>
      </c>
      <c r="L84" s="191">
        <f t="shared" si="16"/>
        <v>0</v>
      </c>
      <c r="M84" s="191">
        <f t="shared" si="17"/>
        <v>0</v>
      </c>
      <c r="N84" s="191">
        <f t="shared" si="18"/>
        <v>0</v>
      </c>
      <c r="O84" s="191">
        <f t="shared" si="19"/>
        <v>0</v>
      </c>
    </row>
    <row r="85" spans="2:15" x14ac:dyDescent="0.25">
      <c r="B85" s="212">
        <v>3393</v>
      </c>
      <c r="C85" s="190" t="str">
        <f t="shared" si="13"/>
        <v>Maquinaria en Montaje</v>
      </c>
      <c r="D85" s="191">
        <f>'Mayor - Nivel Divisionarias'!Q580</f>
        <v>0</v>
      </c>
      <c r="E85" s="191">
        <f>'Mayor - Nivel Divisionarias'!R580</f>
        <v>0</v>
      </c>
      <c r="F85" s="191">
        <f t="shared" si="14"/>
        <v>0</v>
      </c>
      <c r="G85" s="191">
        <f t="shared" si="15"/>
        <v>0</v>
      </c>
      <c r="H85" s="191"/>
      <c r="I85" s="191"/>
      <c r="J85" s="191">
        <f t="shared" si="11"/>
        <v>0</v>
      </c>
      <c r="K85" s="196">
        <f t="shared" si="12"/>
        <v>0</v>
      </c>
      <c r="L85" s="191">
        <f t="shared" si="16"/>
        <v>0</v>
      </c>
      <c r="M85" s="191">
        <f t="shared" si="17"/>
        <v>0</v>
      </c>
      <c r="N85" s="191">
        <f t="shared" si="18"/>
        <v>0</v>
      </c>
      <c r="O85" s="191">
        <f t="shared" si="19"/>
        <v>0</v>
      </c>
    </row>
    <row r="86" spans="2:15" x14ac:dyDescent="0.25">
      <c r="B86" s="212">
        <v>3394</v>
      </c>
      <c r="C86" s="190" t="str">
        <f t="shared" si="13"/>
        <v>Inversión Inmobiliaria en Curso</v>
      </c>
      <c r="D86" s="191">
        <f>'Mayor - Nivel Divisionarias'!W580</f>
        <v>0</v>
      </c>
      <c r="E86" s="191">
        <f>'Mayor - Nivel Divisionarias'!X580</f>
        <v>0</v>
      </c>
      <c r="F86" s="191">
        <f t="shared" si="14"/>
        <v>0</v>
      </c>
      <c r="G86" s="191">
        <f t="shared" si="15"/>
        <v>0</v>
      </c>
      <c r="H86" s="191"/>
      <c r="I86" s="191"/>
      <c r="J86" s="191">
        <f t="shared" si="11"/>
        <v>0</v>
      </c>
      <c r="K86" s="196">
        <f t="shared" si="12"/>
        <v>0</v>
      </c>
      <c r="L86" s="191">
        <f t="shared" si="16"/>
        <v>0</v>
      </c>
      <c r="M86" s="191">
        <f t="shared" si="17"/>
        <v>0</v>
      </c>
      <c r="N86" s="191">
        <f t="shared" si="18"/>
        <v>0</v>
      </c>
      <c r="O86" s="191">
        <f t="shared" si="19"/>
        <v>0</v>
      </c>
    </row>
    <row r="87" spans="2:15" x14ac:dyDescent="0.25">
      <c r="B87" s="212">
        <v>3397</v>
      </c>
      <c r="C87" s="190" t="str">
        <f t="shared" si="13"/>
        <v>Costo de Financiación - Inversiones Inmobiliarias</v>
      </c>
      <c r="D87" s="191">
        <f>'Mayor - Nivel Divisionarias'!AC580</f>
        <v>0</v>
      </c>
      <c r="E87" s="191">
        <f>'Mayor - Nivel Divisionarias'!AD580</f>
        <v>0</v>
      </c>
      <c r="F87" s="191">
        <f t="shared" si="14"/>
        <v>0</v>
      </c>
      <c r="G87" s="191">
        <f t="shared" si="15"/>
        <v>0</v>
      </c>
      <c r="H87" s="191"/>
      <c r="I87" s="191"/>
      <c r="J87" s="191">
        <f t="shared" si="11"/>
        <v>0</v>
      </c>
      <c r="K87" s="196">
        <f t="shared" si="12"/>
        <v>0</v>
      </c>
      <c r="L87" s="191">
        <f t="shared" si="16"/>
        <v>0</v>
      </c>
      <c r="M87" s="191">
        <f t="shared" si="17"/>
        <v>0</v>
      </c>
      <c r="N87" s="191">
        <f t="shared" si="18"/>
        <v>0</v>
      </c>
      <c r="O87" s="191">
        <f t="shared" si="19"/>
        <v>0</v>
      </c>
    </row>
    <row r="88" spans="2:15" x14ac:dyDescent="0.25">
      <c r="B88" s="212">
        <v>3398</v>
      </c>
      <c r="C88" s="190" t="str">
        <f t="shared" si="13"/>
        <v>Costo de Financiación - Inmuebles, Maquinaria y Equipo</v>
      </c>
      <c r="D88" s="191">
        <f>'Mayor - Nivel Divisionarias'!AI580</f>
        <v>0</v>
      </c>
      <c r="E88" s="191">
        <f>'Mayor - Nivel Divisionarias'!AJ580</f>
        <v>0</v>
      </c>
      <c r="F88" s="191">
        <f t="shared" si="14"/>
        <v>0</v>
      </c>
      <c r="G88" s="191">
        <f t="shared" si="15"/>
        <v>0</v>
      </c>
      <c r="H88" s="191"/>
      <c r="I88" s="191"/>
      <c r="J88" s="191">
        <f t="shared" si="11"/>
        <v>0</v>
      </c>
      <c r="K88" s="196">
        <f t="shared" si="12"/>
        <v>0</v>
      </c>
      <c r="L88" s="191">
        <f t="shared" si="16"/>
        <v>0</v>
      </c>
      <c r="M88" s="191">
        <f t="shared" si="17"/>
        <v>0</v>
      </c>
      <c r="N88" s="191">
        <f t="shared" si="18"/>
        <v>0</v>
      </c>
      <c r="O88" s="191">
        <f t="shared" si="19"/>
        <v>0</v>
      </c>
    </row>
    <row r="89" spans="2:15" x14ac:dyDescent="0.25">
      <c r="B89" s="212">
        <v>3399</v>
      </c>
      <c r="C89" s="190" t="str">
        <f t="shared" si="13"/>
        <v>Otros Activos en Curso - Reclasificación de IGV al Costo</v>
      </c>
      <c r="D89" s="191">
        <f>'Mayor - Nivel Divisionarias'!AO580</f>
        <v>0</v>
      </c>
      <c r="E89" s="191">
        <f>'Mayor - Nivel Divisionarias'!AP580</f>
        <v>0</v>
      </c>
      <c r="F89" s="191">
        <f t="shared" si="14"/>
        <v>0</v>
      </c>
      <c r="G89" s="191">
        <f t="shared" si="15"/>
        <v>0</v>
      </c>
      <c r="H89" s="191"/>
      <c r="I89" s="191"/>
      <c r="J89" s="191">
        <f t="shared" si="11"/>
        <v>0</v>
      </c>
      <c r="K89" s="196">
        <f t="shared" si="12"/>
        <v>0</v>
      </c>
      <c r="L89" s="191">
        <f t="shared" si="16"/>
        <v>0</v>
      </c>
      <c r="M89" s="191">
        <f t="shared" si="17"/>
        <v>0</v>
      </c>
      <c r="N89" s="191">
        <f t="shared" si="18"/>
        <v>0</v>
      </c>
      <c r="O89" s="191">
        <f t="shared" si="19"/>
        <v>0</v>
      </c>
    </row>
    <row r="90" spans="2:15" x14ac:dyDescent="0.25">
      <c r="B90" s="212">
        <v>3411</v>
      </c>
      <c r="C90" s="190" t="str">
        <f t="shared" si="13"/>
        <v>Concesiones</v>
      </c>
      <c r="D90" s="191">
        <f>'Mayor - Nivel Divisionarias'!E594</f>
        <v>0</v>
      </c>
      <c r="E90" s="191">
        <f>'Mayor - Nivel Divisionarias'!F594</f>
        <v>0</v>
      </c>
      <c r="F90" s="191">
        <f t="shared" si="14"/>
        <v>0</v>
      </c>
      <c r="G90" s="191">
        <f t="shared" si="15"/>
        <v>0</v>
      </c>
      <c r="H90" s="191"/>
      <c r="I90" s="191"/>
      <c r="J90" s="191">
        <f t="shared" si="11"/>
        <v>0</v>
      </c>
      <c r="K90" s="196">
        <f t="shared" si="12"/>
        <v>0</v>
      </c>
      <c r="L90" s="191">
        <f t="shared" si="16"/>
        <v>0</v>
      </c>
      <c r="M90" s="191">
        <f t="shared" si="17"/>
        <v>0</v>
      </c>
      <c r="N90" s="191">
        <f t="shared" si="18"/>
        <v>0</v>
      </c>
      <c r="O90" s="191">
        <f t="shared" si="19"/>
        <v>0</v>
      </c>
    </row>
    <row r="91" spans="2:15" x14ac:dyDescent="0.25">
      <c r="B91" s="212">
        <v>3412</v>
      </c>
      <c r="C91" s="190" t="str">
        <f t="shared" si="13"/>
        <v>Licencias</v>
      </c>
      <c r="D91" s="191">
        <f>'Mayor - Nivel Divisionarias'!K594</f>
        <v>0</v>
      </c>
      <c r="E91" s="191">
        <f>'Mayor - Nivel Divisionarias'!L594</f>
        <v>0</v>
      </c>
      <c r="F91" s="191">
        <f t="shared" si="14"/>
        <v>0</v>
      </c>
      <c r="G91" s="191">
        <f t="shared" si="15"/>
        <v>0</v>
      </c>
      <c r="H91" s="191"/>
      <c r="I91" s="191"/>
      <c r="J91" s="191">
        <f t="shared" si="11"/>
        <v>0</v>
      </c>
      <c r="K91" s="196">
        <f t="shared" si="12"/>
        <v>0</v>
      </c>
      <c r="L91" s="191">
        <f t="shared" si="16"/>
        <v>0</v>
      </c>
      <c r="M91" s="191">
        <f t="shared" si="17"/>
        <v>0</v>
      </c>
      <c r="N91" s="191">
        <f t="shared" si="18"/>
        <v>0</v>
      </c>
      <c r="O91" s="191">
        <f t="shared" si="19"/>
        <v>0</v>
      </c>
    </row>
    <row r="92" spans="2:15" x14ac:dyDescent="0.25">
      <c r="B92" s="212">
        <v>3419</v>
      </c>
      <c r="C92" s="190" t="str">
        <f t="shared" si="13"/>
        <v>Otros Derechos</v>
      </c>
      <c r="D92" s="191">
        <f>'Mayor - Nivel Divisionarias'!Q594</f>
        <v>0</v>
      </c>
      <c r="E92" s="191">
        <f>'Mayor - Nivel Divisionarias'!R594</f>
        <v>0</v>
      </c>
      <c r="F92" s="191">
        <f t="shared" si="14"/>
        <v>0</v>
      </c>
      <c r="G92" s="191">
        <f t="shared" si="15"/>
        <v>0</v>
      </c>
      <c r="H92" s="191"/>
      <c r="I92" s="191"/>
      <c r="J92" s="191">
        <f t="shared" si="11"/>
        <v>0</v>
      </c>
      <c r="K92" s="196">
        <f t="shared" si="12"/>
        <v>0</v>
      </c>
      <c r="L92" s="191">
        <f t="shared" si="16"/>
        <v>0</v>
      </c>
      <c r="M92" s="191">
        <f t="shared" si="17"/>
        <v>0</v>
      </c>
      <c r="N92" s="191">
        <f t="shared" si="18"/>
        <v>0</v>
      </c>
      <c r="O92" s="191">
        <f t="shared" si="19"/>
        <v>0</v>
      </c>
    </row>
    <row r="93" spans="2:15" x14ac:dyDescent="0.25">
      <c r="B93" s="212">
        <v>3421</v>
      </c>
      <c r="C93" s="190" t="str">
        <f t="shared" si="13"/>
        <v>Patentes</v>
      </c>
      <c r="D93" s="191">
        <f>'Mayor - Nivel Divisionarias'!E608</f>
        <v>0</v>
      </c>
      <c r="E93" s="191">
        <f>'Mayor - Nivel Divisionarias'!F608</f>
        <v>0</v>
      </c>
      <c r="F93" s="191">
        <f t="shared" si="14"/>
        <v>0</v>
      </c>
      <c r="G93" s="191">
        <f t="shared" si="15"/>
        <v>0</v>
      </c>
      <c r="H93" s="191"/>
      <c r="I93" s="191"/>
      <c r="J93" s="191">
        <f t="shared" si="11"/>
        <v>0</v>
      </c>
      <c r="K93" s="196">
        <f t="shared" si="12"/>
        <v>0</v>
      </c>
      <c r="L93" s="191">
        <f t="shared" si="16"/>
        <v>0</v>
      </c>
      <c r="M93" s="191">
        <f t="shared" si="17"/>
        <v>0</v>
      </c>
      <c r="N93" s="191">
        <f t="shared" si="18"/>
        <v>0</v>
      </c>
      <c r="O93" s="191">
        <f t="shared" si="19"/>
        <v>0</v>
      </c>
    </row>
    <row r="94" spans="2:15" x14ac:dyDescent="0.25">
      <c r="B94" s="212">
        <v>3422</v>
      </c>
      <c r="C94" s="190" t="str">
        <f t="shared" si="13"/>
        <v>Marcas</v>
      </c>
      <c r="D94" s="191">
        <f>'Mayor - Nivel Divisionarias'!K608</f>
        <v>0</v>
      </c>
      <c r="E94" s="191">
        <f>'Mayor - Nivel Divisionarias'!L608</f>
        <v>0</v>
      </c>
      <c r="F94" s="191">
        <f t="shared" si="14"/>
        <v>0</v>
      </c>
      <c r="G94" s="191">
        <f t="shared" si="15"/>
        <v>0</v>
      </c>
      <c r="H94" s="191"/>
      <c r="I94" s="191"/>
      <c r="J94" s="191">
        <f t="shared" si="11"/>
        <v>0</v>
      </c>
      <c r="K94" s="196">
        <f t="shared" si="12"/>
        <v>0</v>
      </c>
      <c r="L94" s="191">
        <f t="shared" si="16"/>
        <v>0</v>
      </c>
      <c r="M94" s="191">
        <f t="shared" si="17"/>
        <v>0</v>
      </c>
      <c r="N94" s="191">
        <f t="shared" si="18"/>
        <v>0</v>
      </c>
      <c r="O94" s="191">
        <f t="shared" si="19"/>
        <v>0</v>
      </c>
    </row>
    <row r="95" spans="2:15" x14ac:dyDescent="0.25">
      <c r="B95" s="212">
        <v>3431</v>
      </c>
      <c r="C95" s="190" t="str">
        <f t="shared" si="13"/>
        <v>Aplicaciones Informáticas</v>
      </c>
      <c r="D95" s="191">
        <f>'Mayor - Nivel Divisionarias'!E622</f>
        <v>0</v>
      </c>
      <c r="E95" s="191">
        <f>'Mayor - Nivel Divisionarias'!F622</f>
        <v>0</v>
      </c>
      <c r="F95" s="191">
        <f t="shared" si="14"/>
        <v>0</v>
      </c>
      <c r="G95" s="191">
        <f t="shared" si="15"/>
        <v>0</v>
      </c>
      <c r="H95" s="191"/>
      <c r="I95" s="191"/>
      <c r="J95" s="191">
        <f t="shared" si="11"/>
        <v>0</v>
      </c>
      <c r="K95" s="196">
        <f t="shared" si="12"/>
        <v>0</v>
      </c>
      <c r="L95" s="191">
        <f t="shared" si="16"/>
        <v>0</v>
      </c>
      <c r="M95" s="191">
        <f t="shared" si="17"/>
        <v>0</v>
      </c>
      <c r="N95" s="191">
        <f t="shared" si="18"/>
        <v>0</v>
      </c>
      <c r="O95" s="191">
        <f t="shared" si="19"/>
        <v>0</v>
      </c>
    </row>
    <row r="96" spans="2:15" x14ac:dyDescent="0.25">
      <c r="B96" s="212">
        <v>3441</v>
      </c>
      <c r="C96" s="190" t="str">
        <f t="shared" si="13"/>
        <v>Costos de Exploración</v>
      </c>
      <c r="D96" s="191">
        <f>'Mayor - Nivel Divisionarias'!E636</f>
        <v>0</v>
      </c>
      <c r="E96" s="191">
        <f>'Mayor - Nivel Divisionarias'!F636</f>
        <v>0</v>
      </c>
      <c r="F96" s="191">
        <f t="shared" si="14"/>
        <v>0</v>
      </c>
      <c r="G96" s="191">
        <f t="shared" si="15"/>
        <v>0</v>
      </c>
      <c r="H96" s="191"/>
      <c r="I96" s="191"/>
      <c r="J96" s="191">
        <f t="shared" si="11"/>
        <v>0</v>
      </c>
      <c r="K96" s="196">
        <f t="shared" si="12"/>
        <v>0</v>
      </c>
      <c r="L96" s="191">
        <f t="shared" si="16"/>
        <v>0</v>
      </c>
      <c r="M96" s="191">
        <f t="shared" si="17"/>
        <v>0</v>
      </c>
      <c r="N96" s="191">
        <f t="shared" si="18"/>
        <v>0</v>
      </c>
      <c r="O96" s="191">
        <f t="shared" si="19"/>
        <v>0</v>
      </c>
    </row>
    <row r="97" spans="2:15" x14ac:dyDescent="0.25">
      <c r="B97" s="212">
        <v>3442</v>
      </c>
      <c r="C97" s="190" t="str">
        <f t="shared" si="13"/>
        <v>Costos de Desarrollo</v>
      </c>
      <c r="D97" s="191">
        <f>'Mayor - Nivel Divisionarias'!K636</f>
        <v>0</v>
      </c>
      <c r="E97" s="191">
        <f>'Mayor - Nivel Divisionarias'!L636</f>
        <v>0</v>
      </c>
      <c r="F97" s="191">
        <f t="shared" si="14"/>
        <v>0</v>
      </c>
      <c r="G97" s="191">
        <f t="shared" si="15"/>
        <v>0</v>
      </c>
      <c r="H97" s="191"/>
      <c r="I97" s="191"/>
      <c r="J97" s="191">
        <f t="shared" si="11"/>
        <v>0</v>
      </c>
      <c r="K97" s="196">
        <f t="shared" si="12"/>
        <v>0</v>
      </c>
      <c r="L97" s="191">
        <f t="shared" si="16"/>
        <v>0</v>
      </c>
      <c r="M97" s="191">
        <f t="shared" si="17"/>
        <v>0</v>
      </c>
      <c r="N97" s="191">
        <f t="shared" si="18"/>
        <v>0</v>
      </c>
      <c r="O97" s="191">
        <f t="shared" si="19"/>
        <v>0</v>
      </c>
    </row>
    <row r="98" spans="2:15" x14ac:dyDescent="0.25">
      <c r="B98" s="212">
        <v>3451</v>
      </c>
      <c r="C98" s="190" t="str">
        <f t="shared" si="13"/>
        <v>Fórmulas</v>
      </c>
      <c r="D98" s="191">
        <f>'Mayor - Nivel Divisionarias'!E650</f>
        <v>0</v>
      </c>
      <c r="E98" s="191">
        <f>'Mayor - Nivel Divisionarias'!F650</f>
        <v>0</v>
      </c>
      <c r="F98" s="191">
        <f t="shared" si="14"/>
        <v>0</v>
      </c>
      <c r="G98" s="191">
        <f t="shared" si="15"/>
        <v>0</v>
      </c>
      <c r="H98" s="191"/>
      <c r="I98" s="191"/>
      <c r="J98" s="191">
        <f t="shared" si="11"/>
        <v>0</v>
      </c>
      <c r="K98" s="196">
        <f t="shared" si="12"/>
        <v>0</v>
      </c>
      <c r="L98" s="191">
        <f t="shared" si="16"/>
        <v>0</v>
      </c>
      <c r="M98" s="191">
        <f t="shared" si="17"/>
        <v>0</v>
      </c>
      <c r="N98" s="191">
        <f t="shared" si="18"/>
        <v>0</v>
      </c>
      <c r="O98" s="191">
        <f t="shared" si="19"/>
        <v>0</v>
      </c>
    </row>
    <row r="99" spans="2:15" x14ac:dyDescent="0.25">
      <c r="B99" s="212">
        <v>3452</v>
      </c>
      <c r="C99" s="190" t="str">
        <f t="shared" si="13"/>
        <v>Diseños y Prototipos</v>
      </c>
      <c r="D99" s="191">
        <f>'Mayor - Nivel Divisionarias'!K650</f>
        <v>0</v>
      </c>
      <c r="E99" s="191">
        <f>'Mayor - Nivel Divisionarias'!L650</f>
        <v>0</v>
      </c>
      <c r="F99" s="191">
        <f t="shared" si="14"/>
        <v>0</v>
      </c>
      <c r="G99" s="191">
        <f t="shared" si="15"/>
        <v>0</v>
      </c>
      <c r="H99" s="191"/>
      <c r="I99" s="191"/>
      <c r="J99" s="191">
        <f t="shared" si="11"/>
        <v>0</v>
      </c>
      <c r="K99" s="196">
        <f t="shared" si="12"/>
        <v>0</v>
      </c>
      <c r="L99" s="191">
        <f t="shared" si="16"/>
        <v>0</v>
      </c>
      <c r="M99" s="191">
        <f t="shared" si="17"/>
        <v>0</v>
      </c>
      <c r="N99" s="191">
        <f t="shared" si="18"/>
        <v>0</v>
      </c>
      <c r="O99" s="191">
        <f t="shared" si="19"/>
        <v>0</v>
      </c>
    </row>
    <row r="100" spans="2:15" x14ac:dyDescent="0.25">
      <c r="B100" s="212">
        <v>3461</v>
      </c>
      <c r="C100" s="190" t="str">
        <f t="shared" si="13"/>
        <v>Minerales</v>
      </c>
      <c r="D100" s="191">
        <f>'Mayor - Nivel Divisionarias'!E664</f>
        <v>0</v>
      </c>
      <c r="E100" s="191">
        <f>'Mayor - Nivel Divisionarias'!F664</f>
        <v>0</v>
      </c>
      <c r="F100" s="191">
        <f t="shared" si="14"/>
        <v>0</v>
      </c>
      <c r="G100" s="191">
        <f t="shared" si="15"/>
        <v>0</v>
      </c>
      <c r="H100" s="191"/>
      <c r="I100" s="191"/>
      <c r="J100" s="191">
        <f t="shared" si="11"/>
        <v>0</v>
      </c>
      <c r="K100" s="196">
        <f t="shared" si="12"/>
        <v>0</v>
      </c>
      <c r="L100" s="191">
        <f t="shared" si="16"/>
        <v>0</v>
      </c>
      <c r="M100" s="191">
        <f t="shared" si="17"/>
        <v>0</v>
      </c>
      <c r="N100" s="191">
        <f t="shared" si="18"/>
        <v>0</v>
      </c>
      <c r="O100" s="191">
        <f t="shared" si="19"/>
        <v>0</v>
      </c>
    </row>
    <row r="101" spans="2:15" x14ac:dyDescent="0.25">
      <c r="B101" s="212">
        <v>3462</v>
      </c>
      <c r="C101" s="190" t="str">
        <f t="shared" si="13"/>
        <v>Petróleo y Gas</v>
      </c>
      <c r="D101" s="191">
        <f>'Mayor - Nivel Divisionarias'!K664</f>
        <v>0</v>
      </c>
      <c r="E101" s="191">
        <f>'Mayor - Nivel Divisionarias'!L664</f>
        <v>0</v>
      </c>
      <c r="F101" s="191">
        <f t="shared" si="14"/>
        <v>0</v>
      </c>
      <c r="G101" s="191">
        <f t="shared" si="15"/>
        <v>0</v>
      </c>
      <c r="H101" s="191"/>
      <c r="I101" s="191"/>
      <c r="J101" s="191">
        <f t="shared" si="11"/>
        <v>0</v>
      </c>
      <c r="K101" s="196">
        <f t="shared" si="12"/>
        <v>0</v>
      </c>
      <c r="L101" s="191">
        <f t="shared" si="16"/>
        <v>0</v>
      </c>
      <c r="M101" s="191">
        <f t="shared" si="17"/>
        <v>0</v>
      </c>
      <c r="N101" s="191">
        <f t="shared" si="18"/>
        <v>0</v>
      </c>
      <c r="O101" s="191">
        <f t="shared" si="19"/>
        <v>0</v>
      </c>
    </row>
    <row r="102" spans="2:15" x14ac:dyDescent="0.25">
      <c r="B102" s="212">
        <v>3463</v>
      </c>
      <c r="C102" s="190" t="str">
        <f t="shared" si="13"/>
        <v>Madera</v>
      </c>
      <c r="D102" s="191">
        <f>'Mayor - Nivel Divisionarias'!Q664</f>
        <v>0</v>
      </c>
      <c r="E102" s="191">
        <f>'Mayor - Nivel Divisionarias'!R664</f>
        <v>0</v>
      </c>
      <c r="F102" s="191">
        <f t="shared" si="14"/>
        <v>0</v>
      </c>
      <c r="G102" s="191">
        <f t="shared" si="15"/>
        <v>0</v>
      </c>
      <c r="H102" s="191"/>
      <c r="I102" s="191"/>
      <c r="J102" s="191">
        <f t="shared" si="11"/>
        <v>0</v>
      </c>
      <c r="K102" s="196">
        <f t="shared" si="12"/>
        <v>0</v>
      </c>
      <c r="L102" s="191">
        <f t="shared" si="16"/>
        <v>0</v>
      </c>
      <c r="M102" s="191">
        <f t="shared" si="17"/>
        <v>0</v>
      </c>
      <c r="N102" s="191">
        <f t="shared" si="18"/>
        <v>0</v>
      </c>
      <c r="O102" s="191">
        <f t="shared" si="19"/>
        <v>0</v>
      </c>
    </row>
    <row r="103" spans="2:15" x14ac:dyDescent="0.25">
      <c r="B103" s="212">
        <v>3469</v>
      </c>
      <c r="C103" s="190" t="str">
        <f t="shared" si="13"/>
        <v>Otros Recursos Extraíbles</v>
      </c>
      <c r="D103" s="191">
        <f>'Mayor - Nivel Divisionarias'!W664</f>
        <v>0</v>
      </c>
      <c r="E103" s="191">
        <f>'Mayor - Nivel Divisionarias'!X664</f>
        <v>0</v>
      </c>
      <c r="F103" s="191">
        <f t="shared" si="14"/>
        <v>0</v>
      </c>
      <c r="G103" s="191">
        <f t="shared" si="15"/>
        <v>0</v>
      </c>
      <c r="H103" s="191"/>
      <c r="I103" s="191"/>
      <c r="J103" s="191">
        <f t="shared" si="11"/>
        <v>0</v>
      </c>
      <c r="K103" s="196">
        <f t="shared" si="12"/>
        <v>0</v>
      </c>
      <c r="L103" s="191">
        <f t="shared" si="16"/>
        <v>0</v>
      </c>
      <c r="M103" s="191">
        <f t="shared" si="17"/>
        <v>0</v>
      </c>
      <c r="N103" s="191">
        <f t="shared" si="18"/>
        <v>0</v>
      </c>
      <c r="O103" s="191">
        <f t="shared" si="19"/>
        <v>0</v>
      </c>
    </row>
    <row r="104" spans="2:15" x14ac:dyDescent="0.25">
      <c r="B104" s="212">
        <v>3471</v>
      </c>
      <c r="C104" s="190" t="str">
        <f t="shared" si="13"/>
        <v>Plusvalía Mercantil</v>
      </c>
      <c r="D104" s="191">
        <f>'Mayor - Nivel Divisionarias'!E678</f>
        <v>0</v>
      </c>
      <c r="E104" s="191">
        <f>'Mayor - Nivel Divisionarias'!F678</f>
        <v>0</v>
      </c>
      <c r="F104" s="191">
        <f t="shared" si="14"/>
        <v>0</v>
      </c>
      <c r="G104" s="191">
        <f t="shared" si="15"/>
        <v>0</v>
      </c>
      <c r="H104" s="191"/>
      <c r="I104" s="191"/>
      <c r="J104" s="191">
        <f t="shared" si="11"/>
        <v>0</v>
      </c>
      <c r="K104" s="196">
        <f t="shared" si="12"/>
        <v>0</v>
      </c>
      <c r="L104" s="191">
        <f t="shared" si="16"/>
        <v>0</v>
      </c>
      <c r="M104" s="191">
        <f t="shared" si="17"/>
        <v>0</v>
      </c>
      <c r="N104" s="191">
        <f t="shared" si="18"/>
        <v>0</v>
      </c>
      <c r="O104" s="191">
        <f t="shared" si="19"/>
        <v>0</v>
      </c>
    </row>
    <row r="105" spans="2:15" x14ac:dyDescent="0.25">
      <c r="B105" s="212">
        <v>3491</v>
      </c>
      <c r="C105" s="190" t="str">
        <f t="shared" si="13"/>
        <v>Otros Activos Intangibles</v>
      </c>
      <c r="D105" s="191">
        <f>'Mayor - Nivel Divisionarias'!E692</f>
        <v>0</v>
      </c>
      <c r="E105" s="191">
        <f>'Mayor - Nivel Divisionarias'!F692</f>
        <v>0</v>
      </c>
      <c r="F105" s="191">
        <f t="shared" si="14"/>
        <v>0</v>
      </c>
      <c r="G105" s="191">
        <f t="shared" si="15"/>
        <v>0</v>
      </c>
      <c r="H105" s="191"/>
      <c r="I105" s="191"/>
      <c r="J105" s="191">
        <f t="shared" si="11"/>
        <v>0</v>
      </c>
      <c r="K105" s="196">
        <f t="shared" si="12"/>
        <v>0</v>
      </c>
      <c r="L105" s="191">
        <f t="shared" si="16"/>
        <v>0</v>
      </c>
      <c r="M105" s="191">
        <f t="shared" si="17"/>
        <v>0</v>
      </c>
      <c r="N105" s="191">
        <f t="shared" si="18"/>
        <v>0</v>
      </c>
      <c r="O105" s="191">
        <f t="shared" si="19"/>
        <v>0</v>
      </c>
    </row>
    <row r="106" spans="2:15" x14ac:dyDescent="0.25">
      <c r="B106" s="212">
        <v>3499</v>
      </c>
      <c r="C106" s="190" t="str">
        <f t="shared" si="13"/>
        <v>Reclasificación de IGV al Costo</v>
      </c>
      <c r="D106" s="191">
        <f>'Mayor - Nivel Divisionarias'!K692</f>
        <v>0</v>
      </c>
      <c r="E106" s="191">
        <f>'Mayor - Nivel Divisionarias'!L692</f>
        <v>0</v>
      </c>
      <c r="F106" s="191">
        <f t="shared" si="14"/>
        <v>0</v>
      </c>
      <c r="G106" s="191">
        <f t="shared" si="15"/>
        <v>0</v>
      </c>
      <c r="H106" s="191"/>
      <c r="I106" s="191"/>
      <c r="J106" s="191">
        <f t="shared" si="11"/>
        <v>0</v>
      </c>
      <c r="K106" s="196">
        <f t="shared" si="12"/>
        <v>0</v>
      </c>
      <c r="L106" s="191">
        <f t="shared" si="16"/>
        <v>0</v>
      </c>
      <c r="M106" s="191">
        <f t="shared" si="17"/>
        <v>0</v>
      </c>
      <c r="N106" s="191">
        <f t="shared" si="18"/>
        <v>0</v>
      </c>
      <c r="O106" s="191">
        <f t="shared" si="19"/>
        <v>0</v>
      </c>
    </row>
    <row r="107" spans="2:15" x14ac:dyDescent="0.25">
      <c r="B107" s="212">
        <v>3511</v>
      </c>
      <c r="C107" s="190" t="str">
        <f t="shared" si="13"/>
        <v>Activos Biológicos en Producción - De Origen Animal</v>
      </c>
      <c r="D107" s="191">
        <f>'Mayor - Nivel Divisionarias'!E706</f>
        <v>0</v>
      </c>
      <c r="E107" s="191">
        <f>'Mayor - Nivel Divisionarias'!F706</f>
        <v>0</v>
      </c>
      <c r="F107" s="191">
        <f t="shared" si="14"/>
        <v>0</v>
      </c>
      <c r="G107" s="191">
        <f t="shared" si="15"/>
        <v>0</v>
      </c>
      <c r="H107" s="191"/>
      <c r="I107" s="191"/>
      <c r="J107" s="191">
        <f t="shared" si="11"/>
        <v>0</v>
      </c>
      <c r="K107" s="196">
        <f t="shared" si="12"/>
        <v>0</v>
      </c>
      <c r="L107" s="191">
        <f t="shared" si="16"/>
        <v>0</v>
      </c>
      <c r="M107" s="191">
        <f t="shared" si="17"/>
        <v>0</v>
      </c>
      <c r="N107" s="191">
        <f t="shared" si="18"/>
        <v>0</v>
      </c>
      <c r="O107" s="191">
        <f t="shared" si="19"/>
        <v>0</v>
      </c>
    </row>
    <row r="108" spans="2:15" x14ac:dyDescent="0.25">
      <c r="B108" s="212">
        <v>3512</v>
      </c>
      <c r="C108" s="190" t="str">
        <f t="shared" si="13"/>
        <v>Activos Biológicos en Producción - De Origen Vegetal</v>
      </c>
      <c r="D108" s="191">
        <f>'Mayor - Nivel Divisionarias'!K706</f>
        <v>0</v>
      </c>
      <c r="E108" s="191">
        <f>'Mayor - Nivel Divisionarias'!L706</f>
        <v>0</v>
      </c>
      <c r="F108" s="191">
        <f t="shared" si="14"/>
        <v>0</v>
      </c>
      <c r="G108" s="191">
        <f t="shared" si="15"/>
        <v>0</v>
      </c>
      <c r="H108" s="191"/>
      <c r="I108" s="191"/>
      <c r="J108" s="191">
        <f t="shared" si="11"/>
        <v>0</v>
      </c>
      <c r="K108" s="196">
        <f t="shared" si="12"/>
        <v>0</v>
      </c>
      <c r="L108" s="191">
        <f t="shared" si="16"/>
        <v>0</v>
      </c>
      <c r="M108" s="191">
        <f t="shared" si="17"/>
        <v>0</v>
      </c>
      <c r="N108" s="191">
        <f t="shared" si="18"/>
        <v>0</v>
      </c>
      <c r="O108" s="191">
        <f t="shared" si="19"/>
        <v>0</v>
      </c>
    </row>
    <row r="109" spans="2:15" x14ac:dyDescent="0.25">
      <c r="B109" s="212">
        <v>3521</v>
      </c>
      <c r="C109" s="190" t="str">
        <f t="shared" si="13"/>
        <v>Activos Biológicos en Desarrollo - De Origen Animal</v>
      </c>
      <c r="D109" s="191">
        <f>'Mayor - Nivel Divisionarias'!E720</f>
        <v>0</v>
      </c>
      <c r="E109" s="191">
        <f>'Mayor - Nivel Divisionarias'!F720</f>
        <v>0</v>
      </c>
      <c r="F109" s="191">
        <f t="shared" si="14"/>
        <v>0</v>
      </c>
      <c r="G109" s="191">
        <f t="shared" si="15"/>
        <v>0</v>
      </c>
      <c r="H109" s="191"/>
      <c r="I109" s="191"/>
      <c r="J109" s="191">
        <f t="shared" si="11"/>
        <v>0</v>
      </c>
      <c r="K109" s="196">
        <f t="shared" si="12"/>
        <v>0</v>
      </c>
      <c r="L109" s="191">
        <f t="shared" si="16"/>
        <v>0</v>
      </c>
      <c r="M109" s="191">
        <f t="shared" si="17"/>
        <v>0</v>
      </c>
      <c r="N109" s="191">
        <f t="shared" si="18"/>
        <v>0</v>
      </c>
      <c r="O109" s="191">
        <f t="shared" si="19"/>
        <v>0</v>
      </c>
    </row>
    <row r="110" spans="2:15" x14ac:dyDescent="0.25">
      <c r="B110" s="212">
        <v>3522</v>
      </c>
      <c r="C110" s="190" t="str">
        <f t="shared" si="13"/>
        <v>Activos Biológicos en Desarrollo - De Origen Vegetal</v>
      </c>
      <c r="D110" s="191">
        <f>'Mayor - Nivel Divisionarias'!K720</f>
        <v>0</v>
      </c>
      <c r="E110" s="191">
        <f>'Mayor - Nivel Divisionarias'!L720</f>
        <v>0</v>
      </c>
      <c r="F110" s="191">
        <f t="shared" si="14"/>
        <v>0</v>
      </c>
      <c r="G110" s="191">
        <f t="shared" si="15"/>
        <v>0</v>
      </c>
      <c r="H110" s="191"/>
      <c r="I110" s="191"/>
      <c r="J110" s="191">
        <f t="shared" si="11"/>
        <v>0</v>
      </c>
      <c r="K110" s="196">
        <f t="shared" si="12"/>
        <v>0</v>
      </c>
      <c r="L110" s="191">
        <f t="shared" si="16"/>
        <v>0</v>
      </c>
      <c r="M110" s="191">
        <f t="shared" si="17"/>
        <v>0</v>
      </c>
      <c r="N110" s="191">
        <f t="shared" si="18"/>
        <v>0</v>
      </c>
      <c r="O110" s="191">
        <f t="shared" si="19"/>
        <v>0</v>
      </c>
    </row>
    <row r="111" spans="2:15" x14ac:dyDescent="0.25">
      <c r="B111" s="212">
        <v>3599</v>
      </c>
      <c r="C111" s="190" t="str">
        <f t="shared" si="13"/>
        <v>Reclasificación de IGV al Costo</v>
      </c>
      <c r="D111" s="191">
        <f>'Mayor - Nivel Divisionarias'!E734</f>
        <v>0</v>
      </c>
      <c r="E111" s="191">
        <f>'Mayor - Nivel Divisionarias'!F734</f>
        <v>0</v>
      </c>
      <c r="F111" s="191">
        <f t="shared" si="14"/>
        <v>0</v>
      </c>
      <c r="G111" s="191">
        <f t="shared" si="15"/>
        <v>0</v>
      </c>
      <c r="H111" s="191"/>
      <c r="I111" s="191"/>
      <c r="J111" s="191">
        <f t="shared" si="11"/>
        <v>0</v>
      </c>
      <c r="K111" s="196">
        <f t="shared" si="12"/>
        <v>0</v>
      </c>
      <c r="L111" s="191">
        <f t="shared" si="16"/>
        <v>0</v>
      </c>
      <c r="M111" s="191">
        <f t="shared" si="17"/>
        <v>0</v>
      </c>
      <c r="N111" s="191">
        <f t="shared" si="18"/>
        <v>0</v>
      </c>
      <c r="O111" s="191">
        <f t="shared" si="19"/>
        <v>0</v>
      </c>
    </row>
    <row r="112" spans="2:15" x14ac:dyDescent="0.25">
      <c r="B112" s="212">
        <v>3711</v>
      </c>
      <c r="C112" s="190" t="str">
        <f t="shared" si="13"/>
        <v>Impuesto a la Renta Diferido – Patrimonio</v>
      </c>
      <c r="D112" s="191">
        <f>'Mayor - Nivel Divisionarias'!E748</f>
        <v>0</v>
      </c>
      <c r="E112" s="191">
        <f>'Mayor - Nivel Divisionarias'!F748</f>
        <v>0</v>
      </c>
      <c r="F112" s="191">
        <f t="shared" si="14"/>
        <v>0</v>
      </c>
      <c r="G112" s="191">
        <f t="shared" si="15"/>
        <v>0</v>
      </c>
      <c r="H112" s="191"/>
      <c r="I112" s="191"/>
      <c r="J112" s="191">
        <f t="shared" si="11"/>
        <v>0</v>
      </c>
      <c r="K112" s="196">
        <f t="shared" si="12"/>
        <v>0</v>
      </c>
      <c r="L112" s="191">
        <f t="shared" si="16"/>
        <v>0</v>
      </c>
      <c r="M112" s="191">
        <f t="shared" si="17"/>
        <v>0</v>
      </c>
      <c r="N112" s="191">
        <f t="shared" si="18"/>
        <v>0</v>
      </c>
      <c r="O112" s="191">
        <f t="shared" si="19"/>
        <v>0</v>
      </c>
    </row>
    <row r="113" spans="2:15" x14ac:dyDescent="0.25">
      <c r="B113" s="212">
        <v>3811</v>
      </c>
      <c r="C113" s="190" t="str">
        <f t="shared" si="13"/>
        <v>Bienes de Arte y Cultura - Obras de Arte</v>
      </c>
      <c r="D113" s="191">
        <f>'Mayor - Nivel Divisionarias'!E762</f>
        <v>0</v>
      </c>
      <c r="E113" s="191">
        <f>'Mayor - Nivel Divisionarias'!F762</f>
        <v>0</v>
      </c>
      <c r="F113" s="191">
        <f t="shared" si="14"/>
        <v>0</v>
      </c>
      <c r="G113" s="191">
        <f t="shared" si="15"/>
        <v>0</v>
      </c>
      <c r="H113" s="191"/>
      <c r="I113" s="191"/>
      <c r="J113" s="191">
        <f t="shared" si="11"/>
        <v>0</v>
      </c>
      <c r="K113" s="196">
        <f t="shared" si="12"/>
        <v>0</v>
      </c>
      <c r="L113" s="191">
        <f t="shared" si="16"/>
        <v>0</v>
      </c>
      <c r="M113" s="191">
        <f t="shared" si="17"/>
        <v>0</v>
      </c>
      <c r="N113" s="191">
        <f t="shared" si="18"/>
        <v>0</v>
      </c>
      <c r="O113" s="191">
        <f t="shared" si="19"/>
        <v>0</v>
      </c>
    </row>
    <row r="114" spans="2:15" x14ac:dyDescent="0.25">
      <c r="B114" s="212">
        <v>3812</v>
      </c>
      <c r="C114" s="190" t="str">
        <f t="shared" si="13"/>
        <v>Bienes de Arte y Cultura - Biblioteca</v>
      </c>
      <c r="D114" s="191">
        <f>'Mayor - Nivel Divisionarias'!K762</f>
        <v>0</v>
      </c>
      <c r="E114" s="191">
        <f>'Mayor - Nivel Divisionarias'!L762</f>
        <v>0</v>
      </c>
      <c r="F114" s="191">
        <f t="shared" si="14"/>
        <v>0</v>
      </c>
      <c r="G114" s="191">
        <f t="shared" si="15"/>
        <v>0</v>
      </c>
      <c r="H114" s="191"/>
      <c r="I114" s="191"/>
      <c r="J114" s="191">
        <f t="shared" si="11"/>
        <v>0</v>
      </c>
      <c r="K114" s="196">
        <f t="shared" si="12"/>
        <v>0</v>
      </c>
      <c r="L114" s="191">
        <f t="shared" si="16"/>
        <v>0</v>
      </c>
      <c r="M114" s="191">
        <f t="shared" si="17"/>
        <v>0</v>
      </c>
      <c r="N114" s="191">
        <f t="shared" si="18"/>
        <v>0</v>
      </c>
      <c r="O114" s="191">
        <f t="shared" si="19"/>
        <v>0</v>
      </c>
    </row>
    <row r="115" spans="2:15" x14ac:dyDescent="0.25">
      <c r="B115" s="212">
        <v>3813</v>
      </c>
      <c r="C115" s="190" t="str">
        <f t="shared" si="13"/>
        <v>Bienes de Arte y Cultura - Otros</v>
      </c>
      <c r="D115" s="191">
        <f>'Mayor - Nivel Divisionarias'!Q762</f>
        <v>0</v>
      </c>
      <c r="E115" s="191">
        <f>'Mayor - Nivel Divisionarias'!R762</f>
        <v>0</v>
      </c>
      <c r="F115" s="191">
        <f t="shared" si="14"/>
        <v>0</v>
      </c>
      <c r="G115" s="191">
        <f t="shared" si="15"/>
        <v>0</v>
      </c>
      <c r="H115" s="191"/>
      <c r="I115" s="191"/>
      <c r="J115" s="191">
        <f t="shared" si="11"/>
        <v>0</v>
      </c>
      <c r="K115" s="196">
        <f t="shared" si="12"/>
        <v>0</v>
      </c>
      <c r="L115" s="191">
        <f t="shared" si="16"/>
        <v>0</v>
      </c>
      <c r="M115" s="191">
        <f t="shared" si="17"/>
        <v>0</v>
      </c>
      <c r="N115" s="191">
        <f t="shared" si="18"/>
        <v>0</v>
      </c>
      <c r="O115" s="191">
        <f t="shared" si="19"/>
        <v>0</v>
      </c>
    </row>
    <row r="116" spans="2:15" x14ac:dyDescent="0.25">
      <c r="B116" s="212">
        <v>3821</v>
      </c>
      <c r="C116" s="190" t="str">
        <f t="shared" si="13"/>
        <v>Monedas y Joyas</v>
      </c>
      <c r="D116" s="191">
        <f>'Mayor - Nivel Divisionarias'!E776</f>
        <v>0</v>
      </c>
      <c r="E116" s="191">
        <f>'Mayor - Nivel Divisionarias'!F776</f>
        <v>0</v>
      </c>
      <c r="F116" s="191">
        <f t="shared" si="14"/>
        <v>0</v>
      </c>
      <c r="G116" s="191">
        <f t="shared" si="15"/>
        <v>0</v>
      </c>
      <c r="H116" s="191"/>
      <c r="I116" s="191"/>
      <c r="J116" s="191">
        <f t="shared" si="11"/>
        <v>0</v>
      </c>
      <c r="K116" s="196">
        <f t="shared" si="12"/>
        <v>0</v>
      </c>
      <c r="L116" s="191">
        <f t="shared" si="16"/>
        <v>0</v>
      </c>
      <c r="M116" s="191">
        <f t="shared" si="17"/>
        <v>0</v>
      </c>
      <c r="N116" s="191">
        <f t="shared" si="18"/>
        <v>0</v>
      </c>
      <c r="O116" s="191">
        <f t="shared" si="19"/>
        <v>0</v>
      </c>
    </row>
    <row r="117" spans="2:15" x14ac:dyDescent="0.25">
      <c r="B117" s="212">
        <v>3822</v>
      </c>
      <c r="C117" s="190" t="str">
        <f t="shared" si="13"/>
        <v>Bienes Entregados en Comodato</v>
      </c>
      <c r="D117" s="191">
        <f>'Mayor - Nivel Divisionarias'!K776</f>
        <v>0</v>
      </c>
      <c r="E117" s="191">
        <f>'Mayor - Nivel Divisionarias'!L776</f>
        <v>0</v>
      </c>
      <c r="F117" s="191">
        <f t="shared" si="14"/>
        <v>0</v>
      </c>
      <c r="G117" s="191">
        <f t="shared" si="15"/>
        <v>0</v>
      </c>
      <c r="H117" s="191"/>
      <c r="I117" s="191"/>
      <c r="J117" s="191">
        <f t="shared" si="11"/>
        <v>0</v>
      </c>
      <c r="K117" s="196">
        <f t="shared" si="12"/>
        <v>0</v>
      </c>
      <c r="L117" s="191">
        <f t="shared" si="16"/>
        <v>0</v>
      </c>
      <c r="M117" s="191">
        <f t="shared" si="17"/>
        <v>0</v>
      </c>
      <c r="N117" s="191">
        <f t="shared" si="18"/>
        <v>0</v>
      </c>
      <c r="O117" s="191">
        <f t="shared" si="19"/>
        <v>0</v>
      </c>
    </row>
    <row r="118" spans="2:15" x14ac:dyDescent="0.25">
      <c r="B118" s="212">
        <v>3823</v>
      </c>
      <c r="C118" s="190" t="str">
        <f t="shared" si="13"/>
        <v>Bienes Recibidos en Pago (Adjudicados y Realizables)</v>
      </c>
      <c r="D118" s="191">
        <f>'Mayor - Nivel Divisionarias'!Q776</f>
        <v>0</v>
      </c>
      <c r="E118" s="191">
        <f>'Mayor - Nivel Divisionarias'!R776</f>
        <v>0</v>
      </c>
      <c r="F118" s="191">
        <f t="shared" si="14"/>
        <v>0</v>
      </c>
      <c r="G118" s="191">
        <f t="shared" si="15"/>
        <v>0</v>
      </c>
      <c r="H118" s="191"/>
      <c r="I118" s="191"/>
      <c r="J118" s="191">
        <f t="shared" si="11"/>
        <v>0</v>
      </c>
      <c r="K118" s="196">
        <f t="shared" si="12"/>
        <v>0</v>
      </c>
      <c r="L118" s="191">
        <f t="shared" si="16"/>
        <v>0</v>
      </c>
      <c r="M118" s="191">
        <f t="shared" si="17"/>
        <v>0</v>
      </c>
      <c r="N118" s="191">
        <f t="shared" si="18"/>
        <v>0</v>
      </c>
      <c r="O118" s="191">
        <f t="shared" si="19"/>
        <v>0</v>
      </c>
    </row>
    <row r="119" spans="2:15" x14ac:dyDescent="0.25">
      <c r="B119" s="212">
        <v>3899</v>
      </c>
      <c r="C119" s="190" t="str">
        <f t="shared" si="13"/>
        <v>Reclasificación de IGV al Costo</v>
      </c>
      <c r="D119" s="191">
        <f>'Mayor - Nivel Divisionarias'!E790</f>
        <v>0</v>
      </c>
      <c r="E119" s="191">
        <f>'Mayor - Nivel Divisionarias'!F790</f>
        <v>0</v>
      </c>
      <c r="F119" s="191">
        <f t="shared" si="14"/>
        <v>0</v>
      </c>
      <c r="G119" s="191">
        <f t="shared" si="15"/>
        <v>0</v>
      </c>
      <c r="H119" s="191"/>
      <c r="I119" s="191"/>
      <c r="J119" s="191">
        <f t="shared" si="11"/>
        <v>0</v>
      </c>
      <c r="K119" s="196">
        <f t="shared" si="12"/>
        <v>0</v>
      </c>
      <c r="L119" s="191">
        <f t="shared" si="16"/>
        <v>0</v>
      </c>
      <c r="M119" s="191">
        <f t="shared" si="17"/>
        <v>0</v>
      </c>
      <c r="N119" s="191">
        <f t="shared" si="18"/>
        <v>0</v>
      </c>
      <c r="O119" s="191">
        <f t="shared" si="19"/>
        <v>0</v>
      </c>
    </row>
    <row r="120" spans="2:15" x14ac:dyDescent="0.25">
      <c r="B120" s="212">
        <v>3911</v>
      </c>
      <c r="C120" s="190" t="str">
        <f t="shared" si="13"/>
        <v>Inversiones Inmobiliarias</v>
      </c>
      <c r="D120" s="191">
        <f>'Mayor - Nivel Divisionarias'!E804</f>
        <v>0</v>
      </c>
      <c r="E120" s="191">
        <f>'Mayor - Nivel Divisionarias'!F804</f>
        <v>31542.5</v>
      </c>
      <c r="F120" s="191">
        <f t="shared" si="14"/>
        <v>0</v>
      </c>
      <c r="G120" s="191">
        <f t="shared" si="15"/>
        <v>31542.5</v>
      </c>
      <c r="H120" s="191"/>
      <c r="I120" s="191"/>
      <c r="J120" s="191">
        <f t="shared" si="11"/>
        <v>0</v>
      </c>
      <c r="K120" s="196">
        <f t="shared" si="12"/>
        <v>31542.5</v>
      </c>
      <c r="L120" s="191">
        <f t="shared" si="16"/>
        <v>0</v>
      </c>
      <c r="M120" s="191">
        <f t="shared" si="17"/>
        <v>0</v>
      </c>
      <c r="N120" s="191">
        <f t="shared" si="18"/>
        <v>0</v>
      </c>
      <c r="O120" s="191">
        <f t="shared" si="19"/>
        <v>0</v>
      </c>
    </row>
    <row r="121" spans="2:15" x14ac:dyDescent="0.25">
      <c r="B121" s="212">
        <v>3913</v>
      </c>
      <c r="C121" s="190" t="str">
        <f t="shared" si="13"/>
        <v>Inmuebles, Maquinaria y Equipo - Costo</v>
      </c>
      <c r="D121" s="191">
        <f>'Mayor - Nivel Divisionarias'!K804</f>
        <v>0</v>
      </c>
      <c r="E121" s="191">
        <f>'Mayor - Nivel Divisionarias'!L804</f>
        <v>0</v>
      </c>
      <c r="F121" s="191">
        <f t="shared" si="14"/>
        <v>0</v>
      </c>
      <c r="G121" s="191">
        <f t="shared" si="15"/>
        <v>0</v>
      </c>
      <c r="H121" s="191"/>
      <c r="I121" s="191"/>
      <c r="J121" s="191">
        <f t="shared" si="11"/>
        <v>0</v>
      </c>
      <c r="K121" s="196">
        <f t="shared" si="12"/>
        <v>0</v>
      </c>
      <c r="L121" s="191">
        <f t="shared" si="16"/>
        <v>0</v>
      </c>
      <c r="M121" s="191">
        <f t="shared" si="17"/>
        <v>0</v>
      </c>
      <c r="N121" s="191">
        <f t="shared" si="18"/>
        <v>0</v>
      </c>
      <c r="O121" s="191">
        <f t="shared" si="19"/>
        <v>0</v>
      </c>
    </row>
    <row r="122" spans="2:15" x14ac:dyDescent="0.25">
      <c r="B122" s="212">
        <v>4011</v>
      </c>
      <c r="C122" s="190" t="str">
        <f t="shared" si="13"/>
        <v>Impuesto General a las Ventas</v>
      </c>
      <c r="D122" s="191">
        <f>'Mayor - Nivel Divisionarias'!E818</f>
        <v>3058.6271186440677</v>
      </c>
      <c r="E122" s="191">
        <f>'Mayor - Nivel Divisionarias'!F818</f>
        <v>0</v>
      </c>
      <c r="F122" s="191">
        <f t="shared" si="14"/>
        <v>3058.6271186440677</v>
      </c>
      <c r="G122" s="191">
        <f t="shared" si="15"/>
        <v>0</v>
      </c>
      <c r="H122" s="191"/>
      <c r="I122" s="191"/>
      <c r="J122" s="191">
        <f t="shared" si="11"/>
        <v>3058.6271186440677</v>
      </c>
      <c r="K122" s="196">
        <f t="shared" si="12"/>
        <v>0</v>
      </c>
      <c r="L122" s="191">
        <f t="shared" si="16"/>
        <v>0</v>
      </c>
      <c r="M122" s="191">
        <f t="shared" si="17"/>
        <v>0</v>
      </c>
      <c r="N122" s="191">
        <f t="shared" si="18"/>
        <v>0</v>
      </c>
      <c r="O122" s="191">
        <f t="shared" si="19"/>
        <v>0</v>
      </c>
    </row>
    <row r="123" spans="2:15" x14ac:dyDescent="0.25">
      <c r="B123" s="212">
        <v>4012</v>
      </c>
      <c r="C123" s="190" t="str">
        <f t="shared" si="13"/>
        <v>Impuesto Selectivo al Consumo</v>
      </c>
      <c r="D123" s="191">
        <f>'Mayor - Nivel Divisionarias'!K818</f>
        <v>0</v>
      </c>
      <c r="E123" s="191">
        <f>'Mayor - Nivel Divisionarias'!L818</f>
        <v>0</v>
      </c>
      <c r="F123" s="191">
        <f t="shared" si="14"/>
        <v>0</v>
      </c>
      <c r="G123" s="191">
        <f t="shared" si="15"/>
        <v>0</v>
      </c>
      <c r="H123" s="191"/>
      <c r="I123" s="191"/>
      <c r="J123" s="191">
        <f t="shared" si="11"/>
        <v>0</v>
      </c>
      <c r="K123" s="196">
        <f t="shared" si="12"/>
        <v>0</v>
      </c>
      <c r="L123" s="191">
        <f t="shared" si="16"/>
        <v>0</v>
      </c>
      <c r="M123" s="191">
        <f t="shared" si="17"/>
        <v>0</v>
      </c>
      <c r="N123" s="191">
        <f t="shared" si="18"/>
        <v>0</v>
      </c>
      <c r="O123" s="191">
        <f t="shared" si="19"/>
        <v>0</v>
      </c>
    </row>
    <row r="124" spans="2:15" x14ac:dyDescent="0.25">
      <c r="B124" s="212">
        <v>4017</v>
      </c>
      <c r="C124" s="190" t="str">
        <f t="shared" si="13"/>
        <v>Impuesto a la Renta</v>
      </c>
      <c r="D124" s="191">
        <f>'Mayor - Nivel Divisionarias'!Q818</f>
        <v>0</v>
      </c>
      <c r="E124" s="191">
        <f>'Mayor - Nivel Divisionarias'!R818</f>
        <v>0</v>
      </c>
      <c r="F124" s="191">
        <f t="shared" si="14"/>
        <v>0</v>
      </c>
      <c r="G124" s="191">
        <f t="shared" si="15"/>
        <v>0</v>
      </c>
      <c r="H124" s="191"/>
      <c r="I124" s="191"/>
      <c r="J124" s="191">
        <f t="shared" si="11"/>
        <v>0</v>
      </c>
      <c r="K124" s="196">
        <f t="shared" si="12"/>
        <v>0</v>
      </c>
      <c r="L124" s="191">
        <f t="shared" si="16"/>
        <v>0</v>
      </c>
      <c r="M124" s="191">
        <f t="shared" si="17"/>
        <v>0</v>
      </c>
      <c r="N124" s="191">
        <f t="shared" si="18"/>
        <v>0</v>
      </c>
      <c r="O124" s="191">
        <f t="shared" si="19"/>
        <v>0</v>
      </c>
    </row>
    <row r="125" spans="2:15" x14ac:dyDescent="0.25">
      <c r="B125" s="212">
        <v>4018</v>
      </c>
      <c r="C125" s="190" t="str">
        <f t="shared" si="13"/>
        <v>Otros Impuestos y Contraprestaciones</v>
      </c>
      <c r="D125" s="191">
        <f>'Mayor - Nivel Divisionarias'!W818</f>
        <v>0</v>
      </c>
      <c r="E125" s="191">
        <f>'Mayor - Nivel Divisionarias'!X818</f>
        <v>0</v>
      </c>
      <c r="F125" s="191">
        <f t="shared" si="14"/>
        <v>0</v>
      </c>
      <c r="G125" s="191">
        <f t="shared" si="15"/>
        <v>0</v>
      </c>
      <c r="H125" s="191"/>
      <c r="I125" s="191"/>
      <c r="J125" s="191">
        <f t="shared" si="11"/>
        <v>0</v>
      </c>
      <c r="K125" s="196">
        <f t="shared" si="12"/>
        <v>0</v>
      </c>
      <c r="L125" s="191">
        <f t="shared" si="16"/>
        <v>0</v>
      </c>
      <c r="M125" s="191">
        <f t="shared" si="17"/>
        <v>0</v>
      </c>
      <c r="N125" s="191">
        <f t="shared" si="18"/>
        <v>0</v>
      </c>
      <c r="O125" s="191">
        <f t="shared" si="19"/>
        <v>0</v>
      </c>
    </row>
    <row r="126" spans="2:15" x14ac:dyDescent="0.25">
      <c r="B126" s="212">
        <v>4031</v>
      </c>
      <c r="C126" s="190" t="str">
        <f t="shared" si="13"/>
        <v>ESSALUD</v>
      </c>
      <c r="D126" s="191">
        <f>'Mayor - Nivel Divisionarias'!E832</f>
        <v>0</v>
      </c>
      <c r="E126" s="191">
        <f>'Mayor - Nivel Divisionarias'!F832</f>
        <v>27000</v>
      </c>
      <c r="F126" s="191">
        <f t="shared" si="14"/>
        <v>0</v>
      </c>
      <c r="G126" s="191">
        <f t="shared" si="15"/>
        <v>27000</v>
      </c>
      <c r="H126" s="191"/>
      <c r="I126" s="191"/>
      <c r="J126" s="191">
        <f t="shared" si="11"/>
        <v>0</v>
      </c>
      <c r="K126" s="196">
        <f t="shared" si="12"/>
        <v>27000</v>
      </c>
      <c r="L126" s="191">
        <f t="shared" si="16"/>
        <v>0</v>
      </c>
      <c r="M126" s="191">
        <f t="shared" si="17"/>
        <v>0</v>
      </c>
      <c r="N126" s="191">
        <f t="shared" si="18"/>
        <v>0</v>
      </c>
      <c r="O126" s="191">
        <f t="shared" si="19"/>
        <v>0</v>
      </c>
    </row>
    <row r="127" spans="2:15" x14ac:dyDescent="0.25">
      <c r="B127" s="212">
        <v>4032</v>
      </c>
      <c r="C127" s="190" t="str">
        <f t="shared" si="13"/>
        <v>ONP</v>
      </c>
      <c r="D127" s="191">
        <f>'Mayor - Nivel Divisionarias'!K832</f>
        <v>0</v>
      </c>
      <c r="E127" s="191">
        <f>'Mayor - Nivel Divisionarias'!L832</f>
        <v>12480</v>
      </c>
      <c r="F127" s="191">
        <f t="shared" si="14"/>
        <v>0</v>
      </c>
      <c r="G127" s="191">
        <f t="shared" si="15"/>
        <v>12480</v>
      </c>
      <c r="H127" s="191"/>
      <c r="I127" s="191"/>
      <c r="J127" s="191">
        <f t="shared" si="11"/>
        <v>0</v>
      </c>
      <c r="K127" s="196">
        <f t="shared" si="12"/>
        <v>12480</v>
      </c>
      <c r="L127" s="191">
        <f t="shared" si="16"/>
        <v>0</v>
      </c>
      <c r="M127" s="191">
        <f t="shared" si="17"/>
        <v>0</v>
      </c>
      <c r="N127" s="191">
        <f t="shared" si="18"/>
        <v>0</v>
      </c>
      <c r="O127" s="191">
        <f t="shared" si="19"/>
        <v>0</v>
      </c>
    </row>
    <row r="128" spans="2:15" x14ac:dyDescent="0.25">
      <c r="B128" s="212">
        <v>4041</v>
      </c>
      <c r="C128" s="190" t="str">
        <f t="shared" si="13"/>
        <v>Seguro Complementario de Trabajo de Riesgo</v>
      </c>
      <c r="D128" s="191">
        <f>'Mayor - Nivel Divisionarias'!E846</f>
        <v>0</v>
      </c>
      <c r="E128" s="191">
        <f>'Mayor - Nivel Divisionarias'!F846</f>
        <v>0</v>
      </c>
      <c r="F128" s="191">
        <f t="shared" si="14"/>
        <v>0</v>
      </c>
      <c r="G128" s="191">
        <f t="shared" si="15"/>
        <v>0</v>
      </c>
      <c r="H128" s="191"/>
      <c r="I128" s="191"/>
      <c r="J128" s="191">
        <f t="shared" si="11"/>
        <v>0</v>
      </c>
      <c r="K128" s="196">
        <f t="shared" si="12"/>
        <v>0</v>
      </c>
      <c r="L128" s="191">
        <f t="shared" si="16"/>
        <v>0</v>
      </c>
      <c r="M128" s="191">
        <f t="shared" si="17"/>
        <v>0</v>
      </c>
      <c r="N128" s="191">
        <f t="shared" si="18"/>
        <v>0</v>
      </c>
      <c r="O128" s="191">
        <f t="shared" si="19"/>
        <v>0</v>
      </c>
    </row>
    <row r="129" spans="2:15" x14ac:dyDescent="0.25">
      <c r="B129" s="212">
        <v>4071</v>
      </c>
      <c r="C129" s="190" t="str">
        <f t="shared" si="13"/>
        <v>Habitat</v>
      </c>
      <c r="D129" s="191">
        <f>'Mayor - Nivel Divisionarias'!E860</f>
        <v>0</v>
      </c>
      <c r="E129" s="191">
        <f>'Mayor - Nivel Divisionarias'!F860</f>
        <v>5664</v>
      </c>
      <c r="F129" s="191">
        <f t="shared" si="14"/>
        <v>0</v>
      </c>
      <c r="G129" s="191">
        <f t="shared" si="15"/>
        <v>5664</v>
      </c>
      <c r="H129" s="191"/>
      <c r="I129" s="191"/>
      <c r="J129" s="191">
        <f t="shared" si="11"/>
        <v>0</v>
      </c>
      <c r="K129" s="196">
        <f t="shared" si="12"/>
        <v>5664</v>
      </c>
      <c r="L129" s="191">
        <f t="shared" si="16"/>
        <v>0</v>
      </c>
      <c r="M129" s="191">
        <f t="shared" si="17"/>
        <v>0</v>
      </c>
      <c r="N129" s="191">
        <f t="shared" si="18"/>
        <v>0</v>
      </c>
      <c r="O129" s="191">
        <f t="shared" si="19"/>
        <v>0</v>
      </c>
    </row>
    <row r="130" spans="2:15" x14ac:dyDescent="0.25">
      <c r="B130" s="212">
        <v>4072</v>
      </c>
      <c r="C130" s="190" t="str">
        <f t="shared" si="13"/>
        <v>Integra</v>
      </c>
      <c r="D130" s="191">
        <f>'Mayor - Nivel Divisionarias'!K860</f>
        <v>0</v>
      </c>
      <c r="E130" s="191">
        <f>'Mayor - Nivel Divisionarias'!L860</f>
        <v>6901.2</v>
      </c>
      <c r="F130" s="191">
        <f t="shared" si="14"/>
        <v>0</v>
      </c>
      <c r="G130" s="191">
        <f t="shared" si="15"/>
        <v>6901.2</v>
      </c>
      <c r="H130" s="191"/>
      <c r="I130" s="191"/>
      <c r="J130" s="191">
        <f t="shared" si="11"/>
        <v>0</v>
      </c>
      <c r="K130" s="196">
        <f t="shared" si="12"/>
        <v>6901.2</v>
      </c>
      <c r="L130" s="191">
        <f t="shared" si="16"/>
        <v>0</v>
      </c>
      <c r="M130" s="191">
        <f t="shared" si="17"/>
        <v>0</v>
      </c>
      <c r="N130" s="191">
        <f t="shared" si="18"/>
        <v>0</v>
      </c>
      <c r="O130" s="191">
        <f t="shared" si="19"/>
        <v>0</v>
      </c>
    </row>
    <row r="131" spans="2:15" x14ac:dyDescent="0.25">
      <c r="B131" s="212">
        <v>4073</v>
      </c>
      <c r="C131" s="190" t="str">
        <f t="shared" si="13"/>
        <v>Prima</v>
      </c>
      <c r="D131" s="191">
        <f>'Mayor - Nivel Divisionarias'!Q860</f>
        <v>0</v>
      </c>
      <c r="E131" s="191">
        <f>'Mayor - Nivel Divisionarias'!R860</f>
        <v>13096.8</v>
      </c>
      <c r="F131" s="191">
        <f t="shared" si="14"/>
        <v>0</v>
      </c>
      <c r="G131" s="191">
        <f t="shared" si="15"/>
        <v>13096.8</v>
      </c>
      <c r="H131" s="192"/>
      <c r="I131" s="191"/>
      <c r="J131" s="191">
        <f t="shared" si="11"/>
        <v>0</v>
      </c>
      <c r="K131" s="196">
        <f t="shared" si="12"/>
        <v>13096.8</v>
      </c>
      <c r="L131" s="191">
        <f t="shared" si="16"/>
        <v>0</v>
      </c>
      <c r="M131" s="191">
        <f t="shared" si="17"/>
        <v>0</v>
      </c>
      <c r="N131" s="191">
        <f t="shared" si="18"/>
        <v>0</v>
      </c>
      <c r="O131" s="191">
        <f t="shared" si="19"/>
        <v>0</v>
      </c>
    </row>
    <row r="132" spans="2:15" x14ac:dyDescent="0.25">
      <c r="B132" s="212">
        <v>4074</v>
      </c>
      <c r="C132" s="190" t="str">
        <f t="shared" si="13"/>
        <v>Profuturo</v>
      </c>
      <c r="D132" s="191">
        <f>'Mayor - Nivel Divisionarias'!W860</f>
        <v>0</v>
      </c>
      <c r="E132" s="191">
        <f>'Mayor - Nivel Divisionarias'!X860</f>
        <v>0</v>
      </c>
      <c r="F132" s="191">
        <f t="shared" si="14"/>
        <v>0</v>
      </c>
      <c r="G132" s="191">
        <f t="shared" si="15"/>
        <v>0</v>
      </c>
      <c r="H132" s="191"/>
      <c r="I132" s="191"/>
      <c r="J132" s="191">
        <f t="shared" si="11"/>
        <v>0</v>
      </c>
      <c r="K132" s="196">
        <f t="shared" si="12"/>
        <v>0</v>
      </c>
      <c r="L132" s="191">
        <f t="shared" si="16"/>
        <v>0</v>
      </c>
      <c r="M132" s="191">
        <f t="shared" si="17"/>
        <v>0</v>
      </c>
      <c r="N132" s="191">
        <f t="shared" si="18"/>
        <v>0</v>
      </c>
      <c r="O132" s="191">
        <f t="shared" si="19"/>
        <v>0</v>
      </c>
    </row>
    <row r="133" spans="2:15" x14ac:dyDescent="0.25">
      <c r="B133" s="212">
        <v>4111</v>
      </c>
      <c r="C133" s="190" t="str">
        <f t="shared" si="13"/>
        <v>Sueldos y Salarios por Pagar</v>
      </c>
      <c r="D133" s="191">
        <f>'Mayor - Nivel Divisionarias'!E874</f>
        <v>0</v>
      </c>
      <c r="E133" s="191">
        <f>'Mayor - Nivel Divisionarias'!F874</f>
        <v>261858</v>
      </c>
      <c r="F133" s="191">
        <f t="shared" si="14"/>
        <v>0</v>
      </c>
      <c r="G133" s="191">
        <f t="shared" si="15"/>
        <v>261858</v>
      </c>
      <c r="H133" s="191"/>
      <c r="I133" s="191"/>
      <c r="J133" s="191">
        <f t="shared" si="11"/>
        <v>0</v>
      </c>
      <c r="K133" s="196">
        <f t="shared" si="12"/>
        <v>261858</v>
      </c>
      <c r="L133" s="191">
        <f t="shared" si="16"/>
        <v>0</v>
      </c>
      <c r="M133" s="191">
        <f t="shared" si="17"/>
        <v>0</v>
      </c>
      <c r="N133" s="191">
        <f t="shared" si="18"/>
        <v>0</v>
      </c>
      <c r="O133" s="191">
        <f t="shared" si="19"/>
        <v>0</v>
      </c>
    </row>
    <row r="134" spans="2:15" x14ac:dyDescent="0.25">
      <c r="B134" s="212">
        <v>4151</v>
      </c>
      <c r="C134" s="190" t="str">
        <f t="shared" si="13"/>
        <v>Compensación por Tiempo de Servicios</v>
      </c>
      <c r="D134" s="191">
        <f>'Mayor - Nivel Divisionarias'!E888</f>
        <v>0</v>
      </c>
      <c r="E134" s="191">
        <f>'Mayor - Nivel Divisionarias'!F888</f>
        <v>0</v>
      </c>
      <c r="F134" s="191">
        <f t="shared" si="14"/>
        <v>0</v>
      </c>
      <c r="G134" s="191">
        <f t="shared" si="15"/>
        <v>0</v>
      </c>
      <c r="H134" s="191"/>
      <c r="I134" s="191"/>
      <c r="J134" s="191">
        <f t="shared" si="11"/>
        <v>0</v>
      </c>
      <c r="K134" s="196">
        <f t="shared" si="12"/>
        <v>0</v>
      </c>
      <c r="L134" s="191">
        <f t="shared" si="16"/>
        <v>0</v>
      </c>
      <c r="M134" s="191">
        <f t="shared" si="17"/>
        <v>0</v>
      </c>
      <c r="N134" s="191">
        <f t="shared" si="18"/>
        <v>0</v>
      </c>
      <c r="O134" s="191">
        <f t="shared" si="19"/>
        <v>0</v>
      </c>
    </row>
    <row r="135" spans="2:15" x14ac:dyDescent="0.25">
      <c r="B135" s="212">
        <v>4212</v>
      </c>
      <c r="C135" s="190" t="str">
        <f t="shared" si="13"/>
        <v>Facturas, Boletas y Otros Comprobantes por Pagar - Emitidas</v>
      </c>
      <c r="D135" s="191">
        <f>'Mayor - Nivel Divisionarias'!E902</f>
        <v>181838</v>
      </c>
      <c r="E135" s="191">
        <f>'Mayor - Nivel Divisionarias'!F902</f>
        <v>0</v>
      </c>
      <c r="F135" s="191">
        <f t="shared" si="14"/>
        <v>181838</v>
      </c>
      <c r="G135" s="191">
        <f t="shared" si="15"/>
        <v>0</v>
      </c>
      <c r="H135" s="191"/>
      <c r="I135" s="191"/>
      <c r="J135" s="191">
        <f t="shared" si="11"/>
        <v>181838</v>
      </c>
      <c r="K135" s="196">
        <f t="shared" si="12"/>
        <v>0</v>
      </c>
      <c r="L135" s="191">
        <f t="shared" si="16"/>
        <v>0</v>
      </c>
      <c r="M135" s="191">
        <f t="shared" si="17"/>
        <v>0</v>
      </c>
      <c r="N135" s="191">
        <f t="shared" si="18"/>
        <v>0</v>
      </c>
      <c r="O135" s="191">
        <f t="shared" si="19"/>
        <v>0</v>
      </c>
    </row>
    <row r="136" spans="2:15" x14ac:dyDescent="0.25">
      <c r="B136" s="212">
        <v>4241</v>
      </c>
      <c r="C136" s="190" t="str">
        <f t="shared" si="13"/>
        <v>Honorarios por Pagar</v>
      </c>
      <c r="D136" s="191">
        <f>'Mayor - Nivel Divisionarias'!E916</f>
        <v>0</v>
      </c>
      <c r="E136" s="191">
        <f>'Mayor - Nivel Divisionarias'!F916</f>
        <v>11040</v>
      </c>
      <c r="F136" s="191">
        <f t="shared" si="14"/>
        <v>0</v>
      </c>
      <c r="G136" s="191">
        <f t="shared" si="15"/>
        <v>11040</v>
      </c>
      <c r="H136" s="191"/>
      <c r="I136" s="191"/>
      <c r="J136" s="191">
        <f t="shared" si="11"/>
        <v>0</v>
      </c>
      <c r="K136" s="196">
        <f t="shared" si="12"/>
        <v>11040</v>
      </c>
      <c r="L136" s="191">
        <f t="shared" si="16"/>
        <v>0</v>
      </c>
      <c r="M136" s="191">
        <f t="shared" si="17"/>
        <v>0</v>
      </c>
      <c r="N136" s="191">
        <f t="shared" si="18"/>
        <v>0</v>
      </c>
      <c r="O136" s="191">
        <f t="shared" si="19"/>
        <v>0</v>
      </c>
    </row>
    <row r="137" spans="2:15" x14ac:dyDescent="0.25">
      <c r="B137" s="212">
        <v>4699</v>
      </c>
      <c r="C137" s="190" t="str">
        <f t="shared" si="13"/>
        <v>Otras Cuentas por Pagar Diversas</v>
      </c>
      <c r="D137" s="191">
        <f>'Mayor - Nivel Divisionarias'!E930</f>
        <v>0</v>
      </c>
      <c r="E137" s="191">
        <f>'Mayor - Nivel Divisionarias'!F930</f>
        <v>9971</v>
      </c>
      <c r="F137" s="191">
        <f t="shared" si="14"/>
        <v>0</v>
      </c>
      <c r="G137" s="191">
        <f t="shared" si="15"/>
        <v>9971</v>
      </c>
      <c r="H137" s="191"/>
      <c r="I137" s="191"/>
      <c r="J137" s="191">
        <f t="shared" si="11"/>
        <v>0</v>
      </c>
      <c r="K137" s="196">
        <f t="shared" si="12"/>
        <v>9971</v>
      </c>
      <c r="L137" s="191">
        <f t="shared" si="16"/>
        <v>0</v>
      </c>
      <c r="M137" s="191">
        <f t="shared" si="17"/>
        <v>0</v>
      </c>
      <c r="N137" s="191">
        <f t="shared" si="18"/>
        <v>0</v>
      </c>
      <c r="O137" s="191">
        <f t="shared" si="19"/>
        <v>0</v>
      </c>
    </row>
    <row r="138" spans="2:15" x14ac:dyDescent="0.25">
      <c r="B138" s="212">
        <v>5011</v>
      </c>
      <c r="C138" s="190" t="str">
        <f t="shared" si="13"/>
        <v>Acciones</v>
      </c>
      <c r="D138" s="191">
        <f>'Mayor - Nivel Divisionarias'!E944</f>
        <v>0</v>
      </c>
      <c r="E138" s="191">
        <f>'Mayor - Nivel Divisionarias'!F944</f>
        <v>0</v>
      </c>
      <c r="F138" s="191">
        <f t="shared" si="14"/>
        <v>0</v>
      </c>
      <c r="G138" s="191">
        <f t="shared" si="15"/>
        <v>0</v>
      </c>
      <c r="H138" s="191"/>
      <c r="I138" s="191"/>
      <c r="J138" s="191">
        <f t="shared" si="11"/>
        <v>0</v>
      </c>
      <c r="K138" s="196">
        <f t="shared" si="12"/>
        <v>0</v>
      </c>
      <c r="L138" s="191">
        <f t="shared" si="16"/>
        <v>0</v>
      </c>
      <c r="M138" s="191">
        <f t="shared" si="17"/>
        <v>0</v>
      </c>
      <c r="N138" s="191">
        <f t="shared" si="18"/>
        <v>0</v>
      </c>
      <c r="O138" s="191">
        <f t="shared" si="19"/>
        <v>0</v>
      </c>
    </row>
    <row r="139" spans="2:15" x14ac:dyDescent="0.25">
      <c r="B139" s="212">
        <v>5012</v>
      </c>
      <c r="C139" s="190" t="str">
        <f t="shared" si="13"/>
        <v>Participaciones</v>
      </c>
      <c r="D139" s="191">
        <f>'Mayor - Nivel Divisionarias'!K944</f>
        <v>0</v>
      </c>
      <c r="E139" s="191">
        <f>'Mayor - Nivel Divisionarias'!L944</f>
        <v>0</v>
      </c>
      <c r="F139" s="191">
        <f t="shared" si="14"/>
        <v>0</v>
      </c>
      <c r="G139" s="191">
        <f t="shared" si="15"/>
        <v>0</v>
      </c>
      <c r="H139" s="191"/>
      <c r="I139" s="191"/>
      <c r="J139" s="191">
        <f t="shared" si="11"/>
        <v>0</v>
      </c>
      <c r="K139" s="196">
        <f t="shared" si="12"/>
        <v>0</v>
      </c>
      <c r="L139" s="191">
        <f t="shared" si="16"/>
        <v>0</v>
      </c>
      <c r="M139" s="191">
        <f t="shared" si="17"/>
        <v>0</v>
      </c>
      <c r="N139" s="191">
        <f t="shared" si="18"/>
        <v>0</v>
      </c>
      <c r="O139" s="191">
        <f t="shared" si="19"/>
        <v>0</v>
      </c>
    </row>
    <row r="140" spans="2:15" x14ac:dyDescent="0.25">
      <c r="B140" s="212">
        <v>5911</v>
      </c>
      <c r="C140" s="190" t="str">
        <f t="shared" si="13"/>
        <v>Utilidades Acumuladas</v>
      </c>
      <c r="D140" s="191">
        <f>'Mayor - Nivel Divisionarias'!E958</f>
        <v>0</v>
      </c>
      <c r="E140" s="191">
        <f>'Mayor - Nivel Divisionarias'!F958</f>
        <v>0</v>
      </c>
      <c r="F140" s="191">
        <f t="shared" si="14"/>
        <v>0</v>
      </c>
      <c r="G140" s="191">
        <f t="shared" si="15"/>
        <v>0</v>
      </c>
      <c r="H140" s="191"/>
      <c r="I140" s="192"/>
      <c r="J140" s="191">
        <f t="shared" si="11"/>
        <v>0</v>
      </c>
      <c r="K140" s="196">
        <f t="shared" si="12"/>
        <v>0</v>
      </c>
      <c r="L140" s="191">
        <f t="shared" si="16"/>
        <v>0</v>
      </c>
      <c r="M140" s="191">
        <f t="shared" si="17"/>
        <v>0</v>
      </c>
      <c r="N140" s="191">
        <f t="shared" si="18"/>
        <v>0</v>
      </c>
      <c r="O140" s="191">
        <f t="shared" si="19"/>
        <v>0</v>
      </c>
    </row>
    <row r="141" spans="2:15" x14ac:dyDescent="0.25">
      <c r="B141" s="212">
        <v>5921</v>
      </c>
      <c r="C141" s="190" t="str">
        <f t="shared" si="13"/>
        <v>Pérdidas Acumuladas</v>
      </c>
      <c r="D141" s="191">
        <f>'Mayor - Nivel Divisionarias'!E972</f>
        <v>0</v>
      </c>
      <c r="E141" s="191">
        <f>'Mayor - Nivel Divisionarias'!F972</f>
        <v>0</v>
      </c>
      <c r="F141" s="191">
        <f t="shared" si="14"/>
        <v>0</v>
      </c>
      <c r="G141" s="191">
        <f t="shared" si="15"/>
        <v>0</v>
      </c>
      <c r="H141" s="191"/>
      <c r="I141" s="191"/>
      <c r="J141" s="191">
        <f t="shared" si="11"/>
        <v>0</v>
      </c>
      <c r="K141" s="196">
        <f t="shared" si="12"/>
        <v>0</v>
      </c>
      <c r="L141" s="191">
        <f t="shared" si="16"/>
        <v>0</v>
      </c>
      <c r="M141" s="191">
        <f t="shared" si="17"/>
        <v>0</v>
      </c>
      <c r="N141" s="191">
        <f t="shared" si="18"/>
        <v>0</v>
      </c>
      <c r="O141" s="191">
        <f t="shared" si="19"/>
        <v>0</v>
      </c>
    </row>
    <row r="142" spans="2:15" x14ac:dyDescent="0.25">
      <c r="B142" s="212">
        <v>6011</v>
      </c>
      <c r="C142" s="190" t="str">
        <f t="shared" si="13"/>
        <v>Mercaderías - Mercaderías Manufacturadas</v>
      </c>
      <c r="D142" s="191">
        <f>'Mayor - Nivel Divisionarias'!E986</f>
        <v>0</v>
      </c>
      <c r="E142" s="191">
        <f>'Mayor - Nivel Divisionarias'!F986</f>
        <v>0</v>
      </c>
      <c r="F142" s="191">
        <f t="shared" si="14"/>
        <v>0</v>
      </c>
      <c r="G142" s="191">
        <f t="shared" si="15"/>
        <v>0</v>
      </c>
      <c r="H142" s="192"/>
      <c r="I142" s="191"/>
      <c r="J142" s="191">
        <f t="shared" si="11"/>
        <v>0</v>
      </c>
      <c r="K142" s="196">
        <f t="shared" si="12"/>
        <v>0</v>
      </c>
      <c r="L142" s="191">
        <f t="shared" si="16"/>
        <v>0</v>
      </c>
      <c r="M142" s="191">
        <f t="shared" si="17"/>
        <v>0</v>
      </c>
      <c r="N142" s="191">
        <f t="shared" si="18"/>
        <v>0</v>
      </c>
      <c r="O142" s="191">
        <f t="shared" si="19"/>
        <v>0</v>
      </c>
    </row>
    <row r="143" spans="2:15" x14ac:dyDescent="0.25">
      <c r="B143" s="212">
        <v>6012</v>
      </c>
      <c r="C143" s="190" t="str">
        <f t="shared" si="13"/>
        <v>Mercaderías - Mercaderías de Extracción</v>
      </c>
      <c r="D143" s="191">
        <f>'Mayor - Nivel Divisionarias'!K986</f>
        <v>0</v>
      </c>
      <c r="E143" s="191">
        <f>'Mayor - Nivel Divisionarias'!L986</f>
        <v>0</v>
      </c>
      <c r="F143" s="191">
        <f t="shared" si="14"/>
        <v>0</v>
      </c>
      <c r="G143" s="191">
        <f t="shared" si="15"/>
        <v>0</v>
      </c>
      <c r="H143" s="191"/>
      <c r="I143" s="191"/>
      <c r="J143" s="191">
        <f t="shared" si="11"/>
        <v>0</v>
      </c>
      <c r="K143" s="196">
        <f t="shared" si="12"/>
        <v>0</v>
      </c>
      <c r="L143" s="191">
        <f t="shared" si="16"/>
        <v>0</v>
      </c>
      <c r="M143" s="191">
        <f t="shared" si="17"/>
        <v>0</v>
      </c>
      <c r="N143" s="191">
        <f t="shared" si="18"/>
        <v>0</v>
      </c>
      <c r="O143" s="191">
        <f t="shared" si="19"/>
        <v>0</v>
      </c>
    </row>
    <row r="144" spans="2:15" x14ac:dyDescent="0.25">
      <c r="B144" s="212">
        <v>6013</v>
      </c>
      <c r="C144" s="190" t="str">
        <f t="shared" si="13"/>
        <v>Mercaderías - Mercaderías Agropecuarias y Piscícolas</v>
      </c>
      <c r="D144" s="191">
        <f>'Mayor - Nivel Divisionarias'!Q986</f>
        <v>0</v>
      </c>
      <c r="E144" s="191">
        <f>'Mayor - Nivel Divisionarias'!R986</f>
        <v>0</v>
      </c>
      <c r="F144" s="191">
        <f t="shared" si="14"/>
        <v>0</v>
      </c>
      <c r="G144" s="191">
        <f t="shared" si="15"/>
        <v>0</v>
      </c>
      <c r="H144" s="191"/>
      <c r="I144" s="191"/>
      <c r="J144" s="191">
        <f t="shared" ref="J144:J206" si="20">IF(6000&gt;B144,F144,0)</f>
        <v>0</v>
      </c>
      <c r="K144" s="196">
        <f t="shared" ref="K144:K206" si="21">IF(6000&gt;B144,G144,0)</f>
        <v>0</v>
      </c>
      <c r="L144" s="191">
        <f t="shared" si="16"/>
        <v>0</v>
      </c>
      <c r="M144" s="191">
        <f t="shared" si="17"/>
        <v>0</v>
      </c>
      <c r="N144" s="191">
        <f t="shared" si="18"/>
        <v>0</v>
      </c>
      <c r="O144" s="191">
        <f t="shared" si="19"/>
        <v>0</v>
      </c>
    </row>
    <row r="145" spans="2:15" x14ac:dyDescent="0.25">
      <c r="B145" s="212">
        <v>6014</v>
      </c>
      <c r="C145" s="190" t="str">
        <f t="shared" si="13"/>
        <v>Mercaderías - Mercaderías Inmuebles</v>
      </c>
      <c r="D145" s="191">
        <f>'Mayor - Nivel Divisionarias'!W986</f>
        <v>0</v>
      </c>
      <c r="E145" s="191">
        <f>'Mayor - Nivel Divisionarias'!X986</f>
        <v>0</v>
      </c>
      <c r="F145" s="191">
        <f t="shared" ref="F145:F207" si="22">IF(D145&gt;E145,D145-E145,0)</f>
        <v>0</v>
      </c>
      <c r="G145" s="191">
        <f t="shared" ref="G145:G207" si="23">IF(D145&lt;E145,E145-D145,0)</f>
        <v>0</v>
      </c>
      <c r="H145" s="191"/>
      <c r="I145" s="191"/>
      <c r="J145" s="191">
        <f t="shared" si="20"/>
        <v>0</v>
      </c>
      <c r="K145" s="196">
        <f t="shared" si="21"/>
        <v>0</v>
      </c>
      <c r="L145" s="191">
        <f t="shared" ref="L145:L207" si="24">IF(AND(B145&gt;9200,B145&lt;9999),F145,IF(B145=7091,F145,IF(B145=7411,F145,IF(B145=6911,F145,IF(B145=6611,F145,0)))))</f>
        <v>0</v>
      </c>
      <c r="M145" s="191">
        <f t="shared" ref="M145:M207" si="25">IF(AND(B145&gt;6900,B145&lt;7900),G145,0)</f>
        <v>0</v>
      </c>
      <c r="N145" s="191">
        <f t="shared" ref="N145:N158" si="26">IF(AND(B145&gt;5900,B145&lt;6911),F145,IF(B145=7091,F145,IF(B145=7411,F145,0)))</f>
        <v>0</v>
      </c>
      <c r="O145" s="191">
        <f t="shared" ref="O145:O158" si="27">IF(AND(B145&gt;6900,B145&lt;7900),G145,IF(B145=6111,G145,0))</f>
        <v>0</v>
      </c>
    </row>
    <row r="146" spans="2:15" x14ac:dyDescent="0.25">
      <c r="B146" s="212">
        <v>6018</v>
      </c>
      <c r="C146" s="190" t="str">
        <f t="shared" si="13"/>
        <v>Mercaderías - Otras Mercaderías</v>
      </c>
      <c r="D146" s="191">
        <f>'Mayor - Nivel Divisionarias'!AC986</f>
        <v>0</v>
      </c>
      <c r="E146" s="191">
        <f>'Mayor - Nivel Divisionarias'!AD986</f>
        <v>0</v>
      </c>
      <c r="F146" s="191">
        <f t="shared" si="22"/>
        <v>0</v>
      </c>
      <c r="G146" s="191">
        <f t="shared" si="23"/>
        <v>0</v>
      </c>
      <c r="H146" s="191"/>
      <c r="I146" s="191"/>
      <c r="J146" s="191">
        <f t="shared" si="20"/>
        <v>0</v>
      </c>
      <c r="K146" s="196">
        <f t="shared" si="21"/>
        <v>0</v>
      </c>
      <c r="L146" s="191">
        <f t="shared" si="24"/>
        <v>0</v>
      </c>
      <c r="M146" s="191">
        <f t="shared" si="25"/>
        <v>0</v>
      </c>
      <c r="N146" s="191">
        <f t="shared" si="26"/>
        <v>0</v>
      </c>
      <c r="O146" s="191">
        <f t="shared" si="27"/>
        <v>0</v>
      </c>
    </row>
    <row r="147" spans="2:15" x14ac:dyDescent="0.25">
      <c r="B147" s="212">
        <v>6021</v>
      </c>
      <c r="C147" s="190" t="str">
        <f t="shared" ref="C147:C209" si="28">VLOOKUP(B147,DivisionariasContables,3,FALSE)</f>
        <v>Materias Primas - Materias Primas para Productos Manufacturados</v>
      </c>
      <c r="D147" s="191">
        <f>'Mayor - Nivel Divisionarias'!E1000</f>
        <v>0</v>
      </c>
      <c r="E147" s="191">
        <f>'Mayor - Nivel Divisionarias'!F1000</f>
        <v>0</v>
      </c>
      <c r="F147" s="191">
        <f t="shared" si="22"/>
        <v>0</v>
      </c>
      <c r="G147" s="191">
        <f t="shared" si="23"/>
        <v>0</v>
      </c>
      <c r="H147" s="191"/>
      <c r="I147" s="191"/>
      <c r="J147" s="191">
        <f t="shared" si="20"/>
        <v>0</v>
      </c>
      <c r="K147" s="196">
        <f t="shared" si="21"/>
        <v>0</v>
      </c>
      <c r="L147" s="191">
        <f t="shared" si="24"/>
        <v>0</v>
      </c>
      <c r="M147" s="191">
        <f t="shared" si="25"/>
        <v>0</v>
      </c>
      <c r="N147" s="191">
        <f t="shared" si="26"/>
        <v>0</v>
      </c>
      <c r="O147" s="191">
        <f t="shared" si="27"/>
        <v>0</v>
      </c>
    </row>
    <row r="148" spans="2:15" x14ac:dyDescent="0.25">
      <c r="B148" s="212">
        <v>6022</v>
      </c>
      <c r="C148" s="190" t="str">
        <f t="shared" si="28"/>
        <v>Materias Primas - Materias Primas para Productos de Extracción</v>
      </c>
      <c r="D148" s="191">
        <f>'Mayor - Nivel Divisionarias'!K1000</f>
        <v>0</v>
      </c>
      <c r="E148" s="191">
        <f>'Mayor - Nivel Divisionarias'!L1000</f>
        <v>0</v>
      </c>
      <c r="F148" s="191">
        <f t="shared" si="22"/>
        <v>0</v>
      </c>
      <c r="G148" s="191">
        <f t="shared" si="23"/>
        <v>0</v>
      </c>
      <c r="H148" s="192"/>
      <c r="I148" s="191"/>
      <c r="J148" s="191">
        <f t="shared" si="20"/>
        <v>0</v>
      </c>
      <c r="K148" s="196">
        <f t="shared" si="21"/>
        <v>0</v>
      </c>
      <c r="L148" s="191">
        <f t="shared" si="24"/>
        <v>0</v>
      </c>
      <c r="M148" s="191">
        <f t="shared" si="25"/>
        <v>0</v>
      </c>
      <c r="N148" s="191">
        <f t="shared" si="26"/>
        <v>0</v>
      </c>
      <c r="O148" s="191">
        <f t="shared" si="27"/>
        <v>0</v>
      </c>
    </row>
    <row r="149" spans="2:15" x14ac:dyDescent="0.25">
      <c r="B149" s="212">
        <v>6023</v>
      </c>
      <c r="C149" s="190" t="str">
        <f t="shared" si="28"/>
        <v>Materias Primas - Materias Primas para Productos Agropecuarios y Piscícolas</v>
      </c>
      <c r="D149" s="191">
        <f>'Mayor - Nivel Divisionarias'!Q1000</f>
        <v>0</v>
      </c>
      <c r="E149" s="191">
        <f>'Mayor - Nivel Divisionarias'!R1000</f>
        <v>0</v>
      </c>
      <c r="F149" s="191">
        <f t="shared" si="22"/>
        <v>0</v>
      </c>
      <c r="G149" s="191">
        <f t="shared" si="23"/>
        <v>0</v>
      </c>
      <c r="H149" s="191"/>
      <c r="I149" s="192"/>
      <c r="J149" s="191">
        <f t="shared" si="20"/>
        <v>0</v>
      </c>
      <c r="K149" s="196">
        <f t="shared" si="21"/>
        <v>0</v>
      </c>
      <c r="L149" s="191">
        <f t="shared" si="24"/>
        <v>0</v>
      </c>
      <c r="M149" s="191">
        <f t="shared" si="25"/>
        <v>0</v>
      </c>
      <c r="N149" s="191">
        <f t="shared" si="26"/>
        <v>0</v>
      </c>
      <c r="O149" s="191">
        <f t="shared" si="27"/>
        <v>0</v>
      </c>
    </row>
    <row r="150" spans="2:15" x14ac:dyDescent="0.25">
      <c r="B150" s="212">
        <v>6024</v>
      </c>
      <c r="C150" s="190" t="str">
        <f t="shared" si="28"/>
        <v>Materias Primas - Materias Primas para Productos Inmuebles</v>
      </c>
      <c r="D150" s="191">
        <f>'Mayor - Nivel Divisionarias'!W1000</f>
        <v>0</v>
      </c>
      <c r="E150" s="191">
        <f>'Mayor - Nivel Divisionarias'!X1000</f>
        <v>0</v>
      </c>
      <c r="F150" s="191">
        <f t="shared" si="22"/>
        <v>0</v>
      </c>
      <c r="G150" s="191">
        <f t="shared" si="23"/>
        <v>0</v>
      </c>
      <c r="H150" s="191"/>
      <c r="I150" s="192"/>
      <c r="J150" s="191">
        <f t="shared" si="20"/>
        <v>0</v>
      </c>
      <c r="K150" s="196">
        <f t="shared" si="21"/>
        <v>0</v>
      </c>
      <c r="L150" s="191">
        <f t="shared" si="24"/>
        <v>0</v>
      </c>
      <c r="M150" s="191">
        <f t="shared" si="25"/>
        <v>0</v>
      </c>
      <c r="N150" s="191">
        <f t="shared" si="26"/>
        <v>0</v>
      </c>
      <c r="O150" s="191">
        <f t="shared" si="27"/>
        <v>0</v>
      </c>
    </row>
    <row r="151" spans="2:15" x14ac:dyDescent="0.25">
      <c r="B151" s="212">
        <v>6031</v>
      </c>
      <c r="C151" s="190" t="str">
        <f t="shared" si="28"/>
        <v>Materiales Auxiliares, Suministros y Repuestos - Materiales Auxiliares</v>
      </c>
      <c r="D151" s="191">
        <f>'Mayor - Nivel Divisionarias'!E1014</f>
        <v>0</v>
      </c>
      <c r="E151" s="191">
        <f>'Mayor - Nivel Divisionarias'!F1014</f>
        <v>0</v>
      </c>
      <c r="F151" s="191">
        <f t="shared" si="22"/>
        <v>0</v>
      </c>
      <c r="G151" s="191">
        <f t="shared" si="23"/>
        <v>0</v>
      </c>
      <c r="H151" s="191"/>
      <c r="I151" s="191"/>
      <c r="J151" s="191">
        <f t="shared" si="20"/>
        <v>0</v>
      </c>
      <c r="K151" s="196">
        <f t="shared" si="21"/>
        <v>0</v>
      </c>
      <c r="L151" s="191">
        <f t="shared" si="24"/>
        <v>0</v>
      </c>
      <c r="M151" s="191">
        <f t="shared" si="25"/>
        <v>0</v>
      </c>
      <c r="N151" s="191">
        <f t="shared" si="26"/>
        <v>0</v>
      </c>
      <c r="O151" s="191">
        <f t="shared" si="27"/>
        <v>0</v>
      </c>
    </row>
    <row r="152" spans="2:15" x14ac:dyDescent="0.25">
      <c r="B152" s="212">
        <v>6032</v>
      </c>
      <c r="C152" s="190" t="str">
        <f t="shared" si="28"/>
        <v>Materiales Auxiliares, Suministros y Repuestos - Suministros</v>
      </c>
      <c r="D152" s="191">
        <f>'Mayor - Nivel Divisionarias'!K1014</f>
        <v>0</v>
      </c>
      <c r="E152" s="191">
        <f>'Mayor - Nivel Divisionarias'!L1014</f>
        <v>0</v>
      </c>
      <c r="F152" s="191">
        <f t="shared" si="22"/>
        <v>0</v>
      </c>
      <c r="G152" s="191">
        <f t="shared" si="23"/>
        <v>0</v>
      </c>
      <c r="H152" s="191"/>
      <c r="I152" s="191"/>
      <c r="J152" s="191">
        <f t="shared" si="20"/>
        <v>0</v>
      </c>
      <c r="K152" s="196">
        <f t="shared" si="21"/>
        <v>0</v>
      </c>
      <c r="L152" s="191">
        <f t="shared" si="24"/>
        <v>0</v>
      </c>
      <c r="M152" s="191">
        <f t="shared" si="25"/>
        <v>0</v>
      </c>
      <c r="N152" s="191">
        <f t="shared" si="26"/>
        <v>0</v>
      </c>
      <c r="O152" s="191">
        <f t="shared" si="27"/>
        <v>0</v>
      </c>
    </row>
    <row r="153" spans="2:15" x14ac:dyDescent="0.25">
      <c r="B153" s="212">
        <v>6033</v>
      </c>
      <c r="C153" s="190" t="str">
        <f t="shared" si="28"/>
        <v>Materiales Auxiliares, Suministros y Repuestos - Repuestos</v>
      </c>
      <c r="D153" s="191">
        <f>'Mayor - Nivel Divisionarias'!Q1014</f>
        <v>0</v>
      </c>
      <c r="E153" s="191">
        <f>'Mayor - Nivel Divisionarias'!R1014</f>
        <v>0</v>
      </c>
      <c r="F153" s="191">
        <f t="shared" si="22"/>
        <v>0</v>
      </c>
      <c r="G153" s="191">
        <f t="shared" si="23"/>
        <v>0</v>
      </c>
      <c r="H153" s="191"/>
      <c r="I153" s="191"/>
      <c r="J153" s="191">
        <f t="shared" si="20"/>
        <v>0</v>
      </c>
      <c r="K153" s="196">
        <f t="shared" si="21"/>
        <v>0</v>
      </c>
      <c r="L153" s="191">
        <f t="shared" si="24"/>
        <v>0</v>
      </c>
      <c r="M153" s="191">
        <f t="shared" si="25"/>
        <v>0</v>
      </c>
      <c r="N153" s="191">
        <f t="shared" si="26"/>
        <v>0</v>
      </c>
      <c r="O153" s="191">
        <f t="shared" si="27"/>
        <v>0</v>
      </c>
    </row>
    <row r="154" spans="2:15" x14ac:dyDescent="0.25">
      <c r="B154" s="212">
        <v>6041</v>
      </c>
      <c r="C154" s="190" t="str">
        <f t="shared" si="28"/>
        <v>Envases y Embalajes - Envases</v>
      </c>
      <c r="D154" s="191">
        <f>'Mayor - Nivel Divisionarias'!E1028</f>
        <v>0</v>
      </c>
      <c r="E154" s="191">
        <f>'Mayor - Nivel Divisionarias'!F1028</f>
        <v>0</v>
      </c>
      <c r="F154" s="191">
        <f t="shared" si="22"/>
        <v>0</v>
      </c>
      <c r="G154" s="191">
        <f t="shared" si="23"/>
        <v>0</v>
      </c>
      <c r="H154" s="191"/>
      <c r="I154" s="191"/>
      <c r="J154" s="191">
        <f t="shared" si="20"/>
        <v>0</v>
      </c>
      <c r="K154" s="196">
        <f t="shared" si="21"/>
        <v>0</v>
      </c>
      <c r="L154" s="191">
        <f t="shared" si="24"/>
        <v>0</v>
      </c>
      <c r="M154" s="191">
        <f t="shared" si="25"/>
        <v>0</v>
      </c>
      <c r="N154" s="191">
        <f t="shared" si="26"/>
        <v>0</v>
      </c>
      <c r="O154" s="191">
        <f t="shared" si="27"/>
        <v>0</v>
      </c>
    </row>
    <row r="155" spans="2:15" x14ac:dyDescent="0.25">
      <c r="B155" s="212">
        <v>6042</v>
      </c>
      <c r="C155" s="190" t="str">
        <f t="shared" si="28"/>
        <v>Envases y Embalajes - Embalajes</v>
      </c>
      <c r="D155" s="191">
        <f>'Mayor - Nivel Divisionarias'!K1028</f>
        <v>0</v>
      </c>
      <c r="E155" s="191">
        <f>'Mayor - Nivel Divisionarias'!L1028</f>
        <v>0</v>
      </c>
      <c r="F155" s="191">
        <f t="shared" si="22"/>
        <v>0</v>
      </c>
      <c r="G155" s="191">
        <f t="shared" si="23"/>
        <v>0</v>
      </c>
      <c r="H155" s="191"/>
      <c r="I155" s="191"/>
      <c r="J155" s="191">
        <f t="shared" si="20"/>
        <v>0</v>
      </c>
      <c r="K155" s="196">
        <f t="shared" si="21"/>
        <v>0</v>
      </c>
      <c r="L155" s="191">
        <f t="shared" si="24"/>
        <v>0</v>
      </c>
      <c r="M155" s="191">
        <f t="shared" si="25"/>
        <v>0</v>
      </c>
      <c r="N155" s="191">
        <f t="shared" si="26"/>
        <v>0</v>
      </c>
      <c r="O155" s="191">
        <f t="shared" si="27"/>
        <v>0</v>
      </c>
    </row>
    <row r="156" spans="2:15" x14ac:dyDescent="0.25">
      <c r="B156" s="212">
        <v>6091</v>
      </c>
      <c r="C156" s="190" t="str">
        <f t="shared" si="28"/>
        <v>Costos Vinculados con las Compras de Mercaderías</v>
      </c>
      <c r="D156" s="191">
        <f>'Mayor - Nivel Divisionarias'!E1042</f>
        <v>0</v>
      </c>
      <c r="E156" s="191">
        <f>'Mayor - Nivel Divisionarias'!F1042</f>
        <v>0</v>
      </c>
      <c r="F156" s="191">
        <f t="shared" si="22"/>
        <v>0</v>
      </c>
      <c r="G156" s="191">
        <f t="shared" si="23"/>
        <v>0</v>
      </c>
      <c r="H156" s="191"/>
      <c r="I156" s="191"/>
      <c r="J156" s="191">
        <f t="shared" si="20"/>
        <v>0</v>
      </c>
      <c r="K156" s="196">
        <f t="shared" si="21"/>
        <v>0</v>
      </c>
      <c r="L156" s="191">
        <f t="shared" si="24"/>
        <v>0</v>
      </c>
      <c r="M156" s="191">
        <f t="shared" si="25"/>
        <v>0</v>
      </c>
      <c r="N156" s="191">
        <f t="shared" si="26"/>
        <v>0</v>
      </c>
      <c r="O156" s="191">
        <f t="shared" si="27"/>
        <v>0</v>
      </c>
    </row>
    <row r="157" spans="2:15" x14ac:dyDescent="0.25">
      <c r="B157" s="212">
        <v>6092</v>
      </c>
      <c r="C157" s="190" t="str">
        <f t="shared" si="28"/>
        <v>Costos Vinculados con las Compras de Materias Primas</v>
      </c>
      <c r="D157" s="191">
        <f>'Mayor - Nivel Divisionarias'!K1042</f>
        <v>0</v>
      </c>
      <c r="E157" s="191">
        <f>'Mayor - Nivel Divisionarias'!L1042</f>
        <v>0</v>
      </c>
      <c r="F157" s="191">
        <f t="shared" si="22"/>
        <v>0</v>
      </c>
      <c r="G157" s="191">
        <f t="shared" si="23"/>
        <v>0</v>
      </c>
      <c r="H157" s="191"/>
      <c r="I157" s="191"/>
      <c r="J157" s="191">
        <f t="shared" si="20"/>
        <v>0</v>
      </c>
      <c r="K157" s="196">
        <f t="shared" si="21"/>
        <v>0</v>
      </c>
      <c r="L157" s="191">
        <f t="shared" si="24"/>
        <v>0</v>
      </c>
      <c r="M157" s="191">
        <f t="shared" si="25"/>
        <v>0</v>
      </c>
      <c r="N157" s="191">
        <f t="shared" si="26"/>
        <v>0</v>
      </c>
      <c r="O157" s="191">
        <f t="shared" si="27"/>
        <v>0</v>
      </c>
    </row>
    <row r="158" spans="2:15" x14ac:dyDescent="0.25">
      <c r="B158" s="212">
        <v>6099</v>
      </c>
      <c r="C158" s="190" t="str">
        <f t="shared" si="28"/>
        <v>Costos Vinculados con las Compras - Reclasificación de IGV al Costo</v>
      </c>
      <c r="D158" s="191">
        <f>'Mayor - Nivel Divisionarias'!Q1042</f>
        <v>0</v>
      </c>
      <c r="E158" s="191">
        <f>'Mayor - Nivel Divisionarias'!R1042</f>
        <v>0</v>
      </c>
      <c r="F158" s="191">
        <f t="shared" si="22"/>
        <v>0</v>
      </c>
      <c r="G158" s="191">
        <f t="shared" si="23"/>
        <v>0</v>
      </c>
      <c r="H158" s="191"/>
      <c r="I158" s="191"/>
      <c r="J158" s="191">
        <f t="shared" si="20"/>
        <v>0</v>
      </c>
      <c r="K158" s="196">
        <f t="shared" si="21"/>
        <v>0</v>
      </c>
      <c r="L158" s="191">
        <f t="shared" si="24"/>
        <v>0</v>
      </c>
      <c r="M158" s="191">
        <f t="shared" si="25"/>
        <v>0</v>
      </c>
      <c r="N158" s="191">
        <f t="shared" si="26"/>
        <v>0</v>
      </c>
      <c r="O158" s="191">
        <f t="shared" si="27"/>
        <v>0</v>
      </c>
    </row>
    <row r="159" spans="2:15" x14ac:dyDescent="0.25">
      <c r="B159" s="212">
        <v>6111</v>
      </c>
      <c r="C159" s="190" t="str">
        <f t="shared" si="28"/>
        <v>Mercaderías Manufacturadas</v>
      </c>
      <c r="D159" s="191">
        <f>'Mayor - Nivel Divisionarias'!E1056</f>
        <v>0</v>
      </c>
      <c r="E159" s="191">
        <f>'Mayor - Nivel Divisionarias'!F1056</f>
        <v>154100</v>
      </c>
      <c r="F159" s="191">
        <f t="shared" si="22"/>
        <v>0</v>
      </c>
      <c r="G159" s="191">
        <f t="shared" si="23"/>
        <v>154100</v>
      </c>
      <c r="H159" s="193">
        <f>F238</f>
        <v>0</v>
      </c>
      <c r="I159" s="191"/>
      <c r="J159" s="191">
        <f t="shared" si="20"/>
        <v>0</v>
      </c>
      <c r="K159" s="196">
        <f t="shared" si="21"/>
        <v>0</v>
      </c>
      <c r="L159" s="191">
        <f t="shared" si="24"/>
        <v>0</v>
      </c>
      <c r="M159" s="191">
        <f t="shared" si="25"/>
        <v>0</v>
      </c>
      <c r="N159" s="191">
        <f>IF(H159&gt;G159,H159-G159,IF(OR(H159=0,G159=0),0,))</f>
        <v>0</v>
      </c>
      <c r="O159" s="191">
        <f>IF(H159=0,G159,IF(H159&lt;G159,G159-H159,0))</f>
        <v>154100</v>
      </c>
    </row>
    <row r="160" spans="2:15" x14ac:dyDescent="0.25">
      <c r="B160" s="212">
        <v>6121</v>
      </c>
      <c r="C160" s="190" t="str">
        <f t="shared" si="28"/>
        <v>Materias Primas para Productos Manufacturados</v>
      </c>
      <c r="D160" s="191">
        <f>'Mayor - Nivel Divisionarias'!E1070</f>
        <v>0</v>
      </c>
      <c r="E160" s="191">
        <f>'Mayor - Nivel Divisionarias'!F1070</f>
        <v>0</v>
      </c>
      <c r="F160" s="191">
        <f t="shared" si="22"/>
        <v>0</v>
      </c>
      <c r="G160" s="191">
        <f t="shared" si="23"/>
        <v>0</v>
      </c>
      <c r="H160" s="191"/>
      <c r="I160" s="191"/>
      <c r="J160" s="191">
        <f t="shared" si="20"/>
        <v>0</v>
      </c>
      <c r="K160" s="196">
        <f t="shared" si="21"/>
        <v>0</v>
      </c>
      <c r="L160" s="191">
        <f t="shared" si="24"/>
        <v>0</v>
      </c>
      <c r="M160" s="191">
        <f t="shared" si="25"/>
        <v>0</v>
      </c>
      <c r="N160" s="191">
        <f t="shared" ref="N160:N165" si="29">IF(H160&gt;G160,H160-G160,IF(OR(H160=0,G160=0),0,))</f>
        <v>0</v>
      </c>
      <c r="O160" s="191">
        <f t="shared" ref="O160:O165" si="30">IF(H160=0,G160,IF(H160&lt;G160,G160-H160,0))</f>
        <v>0</v>
      </c>
    </row>
    <row r="161" spans="2:15" x14ac:dyDescent="0.25">
      <c r="B161" s="212">
        <v>6131</v>
      </c>
      <c r="C161" s="190" t="str">
        <f t="shared" si="28"/>
        <v>Materiales Auxiliares</v>
      </c>
      <c r="D161" s="191">
        <f>'Mayor - Nivel Divisionarias'!E1084</f>
        <v>0</v>
      </c>
      <c r="E161" s="191">
        <f>'Mayor - Nivel Divisionarias'!F1084</f>
        <v>0</v>
      </c>
      <c r="F161" s="191">
        <f t="shared" si="22"/>
        <v>0</v>
      </c>
      <c r="G161" s="191">
        <f t="shared" si="23"/>
        <v>0</v>
      </c>
      <c r="H161" s="191"/>
      <c r="I161" s="191"/>
      <c r="J161" s="191">
        <f t="shared" si="20"/>
        <v>0</v>
      </c>
      <c r="K161" s="196">
        <f t="shared" si="21"/>
        <v>0</v>
      </c>
      <c r="L161" s="191">
        <f t="shared" si="24"/>
        <v>0</v>
      </c>
      <c r="M161" s="191">
        <f t="shared" si="25"/>
        <v>0</v>
      </c>
      <c r="N161" s="191">
        <f t="shared" si="29"/>
        <v>0</v>
      </c>
      <c r="O161" s="191">
        <f t="shared" si="30"/>
        <v>0</v>
      </c>
    </row>
    <row r="162" spans="2:15" x14ac:dyDescent="0.25">
      <c r="B162" s="212">
        <v>6132</v>
      </c>
      <c r="C162" s="190" t="str">
        <f t="shared" si="28"/>
        <v>Suministros</v>
      </c>
      <c r="D162" s="191">
        <f>'Mayor - Nivel Divisionarias'!K1084</f>
        <v>0</v>
      </c>
      <c r="E162" s="191">
        <f>'Mayor - Nivel Divisionarias'!L1084</f>
        <v>0</v>
      </c>
      <c r="F162" s="191">
        <f t="shared" si="22"/>
        <v>0</v>
      </c>
      <c r="G162" s="191">
        <f t="shared" si="23"/>
        <v>0</v>
      </c>
      <c r="H162" s="191"/>
      <c r="I162" s="191"/>
      <c r="J162" s="191">
        <f t="shared" si="20"/>
        <v>0</v>
      </c>
      <c r="K162" s="196">
        <f t="shared" si="21"/>
        <v>0</v>
      </c>
      <c r="L162" s="191">
        <f t="shared" si="24"/>
        <v>0</v>
      </c>
      <c r="M162" s="191">
        <f t="shared" si="25"/>
        <v>0</v>
      </c>
      <c r="N162" s="191">
        <f t="shared" si="29"/>
        <v>0</v>
      </c>
      <c r="O162" s="191">
        <f t="shared" si="30"/>
        <v>0</v>
      </c>
    </row>
    <row r="163" spans="2:15" x14ac:dyDescent="0.25">
      <c r="B163" s="212">
        <v>6133</v>
      </c>
      <c r="C163" s="190" t="str">
        <f t="shared" si="28"/>
        <v>Repuestos</v>
      </c>
      <c r="D163" s="191">
        <f>'Mayor - Nivel Divisionarias'!Q1084</f>
        <v>0</v>
      </c>
      <c r="E163" s="191">
        <f>'Mayor - Nivel Divisionarias'!R1084</f>
        <v>0</v>
      </c>
      <c r="F163" s="191">
        <f t="shared" si="22"/>
        <v>0</v>
      </c>
      <c r="G163" s="191">
        <f t="shared" si="23"/>
        <v>0</v>
      </c>
      <c r="H163" s="191"/>
      <c r="I163" s="191"/>
      <c r="J163" s="191">
        <f t="shared" si="20"/>
        <v>0</v>
      </c>
      <c r="K163" s="196">
        <f t="shared" si="21"/>
        <v>0</v>
      </c>
      <c r="L163" s="191">
        <f t="shared" si="24"/>
        <v>0</v>
      </c>
      <c r="M163" s="191">
        <f t="shared" si="25"/>
        <v>0</v>
      </c>
      <c r="N163" s="191">
        <f t="shared" si="29"/>
        <v>0</v>
      </c>
      <c r="O163" s="191">
        <f t="shared" si="30"/>
        <v>0</v>
      </c>
    </row>
    <row r="164" spans="2:15" x14ac:dyDescent="0.25">
      <c r="B164" s="212">
        <v>6141</v>
      </c>
      <c r="C164" s="190" t="str">
        <f t="shared" si="28"/>
        <v>Envases</v>
      </c>
      <c r="D164" s="191">
        <f>'Mayor - Nivel Divisionarias'!E1098</f>
        <v>0</v>
      </c>
      <c r="E164" s="191">
        <f>'Mayor - Nivel Divisionarias'!F1098</f>
        <v>0</v>
      </c>
      <c r="F164" s="191">
        <f t="shared" si="22"/>
        <v>0</v>
      </c>
      <c r="G164" s="191">
        <f t="shared" si="23"/>
        <v>0</v>
      </c>
      <c r="H164" s="191"/>
      <c r="I164" s="191"/>
      <c r="J164" s="191">
        <f t="shared" si="20"/>
        <v>0</v>
      </c>
      <c r="K164" s="196">
        <f t="shared" si="21"/>
        <v>0</v>
      </c>
      <c r="L164" s="191">
        <f t="shared" si="24"/>
        <v>0</v>
      </c>
      <c r="M164" s="191">
        <f t="shared" si="25"/>
        <v>0</v>
      </c>
      <c r="N164" s="191">
        <f t="shared" si="29"/>
        <v>0</v>
      </c>
      <c r="O164" s="191">
        <f t="shared" si="30"/>
        <v>0</v>
      </c>
    </row>
    <row r="165" spans="2:15" x14ac:dyDescent="0.25">
      <c r="B165" s="212">
        <v>6142</v>
      </c>
      <c r="C165" s="190" t="str">
        <f t="shared" si="28"/>
        <v>Embalajes</v>
      </c>
      <c r="D165" s="191">
        <f>'Mayor - Nivel Divisionarias'!K1098</f>
        <v>0</v>
      </c>
      <c r="E165" s="191">
        <f>'Mayor - Nivel Divisionarias'!L1098</f>
        <v>0</v>
      </c>
      <c r="F165" s="191">
        <f t="shared" si="22"/>
        <v>0</v>
      </c>
      <c r="G165" s="191">
        <f t="shared" si="23"/>
        <v>0</v>
      </c>
      <c r="H165" s="191"/>
      <c r="I165" s="191"/>
      <c r="J165" s="191">
        <f t="shared" si="20"/>
        <v>0</v>
      </c>
      <c r="K165" s="196">
        <f t="shared" si="21"/>
        <v>0</v>
      </c>
      <c r="L165" s="191">
        <f t="shared" si="24"/>
        <v>0</v>
      </c>
      <c r="M165" s="191">
        <f t="shared" si="25"/>
        <v>0</v>
      </c>
      <c r="N165" s="191">
        <f t="shared" si="29"/>
        <v>0</v>
      </c>
      <c r="O165" s="191">
        <f t="shared" si="30"/>
        <v>0</v>
      </c>
    </row>
    <row r="166" spans="2:15" x14ac:dyDescent="0.25">
      <c r="B166" s="212">
        <v>6211</v>
      </c>
      <c r="C166" s="190" t="str">
        <f t="shared" si="28"/>
        <v>Sueldos y Salarios</v>
      </c>
      <c r="D166" s="191">
        <f>'Mayor - Nivel Divisionarias'!E1112</f>
        <v>300000</v>
      </c>
      <c r="E166" s="191">
        <f>'Mayor - Nivel Divisionarias'!F1112</f>
        <v>0</v>
      </c>
      <c r="F166" s="191">
        <f t="shared" si="22"/>
        <v>300000</v>
      </c>
      <c r="G166" s="191">
        <f t="shared" si="23"/>
        <v>0</v>
      </c>
      <c r="H166" s="191"/>
      <c r="I166" s="192"/>
      <c r="J166" s="191">
        <f t="shared" si="20"/>
        <v>0</v>
      </c>
      <c r="K166" s="196">
        <f t="shared" si="21"/>
        <v>0</v>
      </c>
      <c r="L166" s="191">
        <f t="shared" si="24"/>
        <v>0</v>
      </c>
      <c r="M166" s="191">
        <f t="shared" si="25"/>
        <v>0</v>
      </c>
      <c r="N166" s="191">
        <f t="shared" ref="N166:N220" si="31">IF(AND(B166&gt;5900,B166&lt;6911),F166,IF(B166=7091,F166,IF(B166=7411,F166,0)))</f>
        <v>300000</v>
      </c>
      <c r="O166" s="191">
        <f t="shared" ref="O166:O176" si="32">IF(AND(B166&gt;6900,B166&lt;7900),G166,IF(B166=6111,G166,0))</f>
        <v>0</v>
      </c>
    </row>
    <row r="167" spans="2:15" x14ac:dyDescent="0.25">
      <c r="B167" s="212">
        <v>6214</v>
      </c>
      <c r="C167" s="190" t="str">
        <f t="shared" si="28"/>
        <v>Gratificaciones</v>
      </c>
      <c r="D167" s="191">
        <f>'Mayor - Nivel Divisionarias'!K1112</f>
        <v>0</v>
      </c>
      <c r="E167" s="191">
        <f>'Mayor - Nivel Divisionarias'!L1112</f>
        <v>0</v>
      </c>
      <c r="F167" s="191">
        <f t="shared" si="22"/>
        <v>0</v>
      </c>
      <c r="G167" s="191">
        <f t="shared" si="23"/>
        <v>0</v>
      </c>
      <c r="H167" s="191"/>
      <c r="I167" s="191"/>
      <c r="J167" s="191">
        <f t="shared" si="20"/>
        <v>0</v>
      </c>
      <c r="K167" s="196">
        <f t="shared" si="21"/>
        <v>0</v>
      </c>
      <c r="L167" s="191">
        <f t="shared" si="24"/>
        <v>0</v>
      </c>
      <c r="M167" s="191">
        <f t="shared" si="25"/>
        <v>0</v>
      </c>
      <c r="N167" s="191">
        <f t="shared" si="31"/>
        <v>0</v>
      </c>
      <c r="O167" s="191">
        <f t="shared" si="32"/>
        <v>0</v>
      </c>
    </row>
    <row r="168" spans="2:15" x14ac:dyDescent="0.25">
      <c r="B168" s="212">
        <v>6221</v>
      </c>
      <c r="C168" s="190" t="str">
        <f t="shared" si="28"/>
        <v>Otras Remuneraciones</v>
      </c>
      <c r="D168" s="191">
        <f>'Mayor - Nivel Divisionarias'!E1126</f>
        <v>0</v>
      </c>
      <c r="E168" s="191">
        <f>'Mayor - Nivel Divisionarias'!F1126</f>
        <v>0</v>
      </c>
      <c r="F168" s="191">
        <f t="shared" si="22"/>
        <v>0</v>
      </c>
      <c r="G168" s="191">
        <f t="shared" si="23"/>
        <v>0</v>
      </c>
      <c r="H168" s="192"/>
      <c r="I168" s="191"/>
      <c r="J168" s="191">
        <f t="shared" si="20"/>
        <v>0</v>
      </c>
      <c r="K168" s="196">
        <f t="shared" si="21"/>
        <v>0</v>
      </c>
      <c r="L168" s="191">
        <f t="shared" si="24"/>
        <v>0</v>
      </c>
      <c r="M168" s="191">
        <f t="shared" si="25"/>
        <v>0</v>
      </c>
      <c r="N168" s="191">
        <f t="shared" si="31"/>
        <v>0</v>
      </c>
      <c r="O168" s="191">
        <f t="shared" si="32"/>
        <v>0</v>
      </c>
    </row>
    <row r="169" spans="2:15" x14ac:dyDescent="0.25">
      <c r="B169" s="212">
        <v>6271</v>
      </c>
      <c r="C169" s="190" t="str">
        <f t="shared" si="28"/>
        <v>Régimen de Prestaciones de Salud</v>
      </c>
      <c r="D169" s="191">
        <f>'Mayor - Nivel Divisionarias'!E1140</f>
        <v>27000</v>
      </c>
      <c r="E169" s="191">
        <f>'Mayor - Nivel Divisionarias'!F1140</f>
        <v>0</v>
      </c>
      <c r="F169" s="191">
        <f t="shared" si="22"/>
        <v>27000</v>
      </c>
      <c r="G169" s="191">
        <f t="shared" si="23"/>
        <v>0</v>
      </c>
      <c r="H169" s="191"/>
      <c r="I169" s="191"/>
      <c r="J169" s="191">
        <f t="shared" si="20"/>
        <v>0</v>
      </c>
      <c r="K169" s="196">
        <f t="shared" si="21"/>
        <v>0</v>
      </c>
      <c r="L169" s="191">
        <f t="shared" si="24"/>
        <v>0</v>
      </c>
      <c r="M169" s="191">
        <f t="shared" si="25"/>
        <v>0</v>
      </c>
      <c r="N169" s="191">
        <f t="shared" si="31"/>
        <v>27000</v>
      </c>
      <c r="O169" s="191">
        <f t="shared" si="32"/>
        <v>0</v>
      </c>
    </row>
    <row r="170" spans="2:15" x14ac:dyDescent="0.25">
      <c r="B170" s="212">
        <v>6274</v>
      </c>
      <c r="C170" s="190" t="str">
        <f t="shared" si="28"/>
        <v>Seguro de Vida</v>
      </c>
      <c r="D170" s="191">
        <f>'Mayor - Nivel Divisionarias'!K1140</f>
        <v>0</v>
      </c>
      <c r="E170" s="191">
        <f>'Mayor - Nivel Divisionarias'!L1140</f>
        <v>0</v>
      </c>
      <c r="F170" s="191">
        <f t="shared" si="22"/>
        <v>0</v>
      </c>
      <c r="G170" s="191">
        <f t="shared" si="23"/>
        <v>0</v>
      </c>
      <c r="H170" s="191"/>
      <c r="I170" s="191"/>
      <c r="J170" s="191">
        <f t="shared" si="20"/>
        <v>0</v>
      </c>
      <c r="K170" s="196">
        <f t="shared" si="21"/>
        <v>0</v>
      </c>
      <c r="L170" s="191">
        <f t="shared" si="24"/>
        <v>0</v>
      </c>
      <c r="M170" s="191">
        <f t="shared" si="25"/>
        <v>0</v>
      </c>
      <c r="N170" s="191">
        <f t="shared" si="31"/>
        <v>0</v>
      </c>
      <c r="O170" s="191">
        <f t="shared" si="32"/>
        <v>0</v>
      </c>
    </row>
    <row r="171" spans="2:15" x14ac:dyDescent="0.25">
      <c r="B171" s="212">
        <v>6291</v>
      </c>
      <c r="C171" s="190" t="str">
        <f t="shared" si="28"/>
        <v>Compensación por Tiempo de Servicio</v>
      </c>
      <c r="D171" s="191">
        <f>'Mayor - Nivel Divisionarias'!E1154</f>
        <v>0</v>
      </c>
      <c r="E171" s="191">
        <f>'Mayor - Nivel Divisionarias'!F1154</f>
        <v>0</v>
      </c>
      <c r="F171" s="191">
        <f t="shared" si="22"/>
        <v>0</v>
      </c>
      <c r="G171" s="191">
        <f t="shared" si="23"/>
        <v>0</v>
      </c>
      <c r="H171" s="191"/>
      <c r="I171" s="191"/>
      <c r="J171" s="191">
        <f t="shared" si="20"/>
        <v>0</v>
      </c>
      <c r="K171" s="196">
        <f t="shared" si="21"/>
        <v>0</v>
      </c>
      <c r="L171" s="191">
        <f t="shared" si="24"/>
        <v>0</v>
      </c>
      <c r="M171" s="191">
        <f t="shared" si="25"/>
        <v>0</v>
      </c>
      <c r="N171" s="191">
        <f t="shared" si="31"/>
        <v>0</v>
      </c>
      <c r="O171" s="191">
        <f t="shared" si="32"/>
        <v>0</v>
      </c>
    </row>
    <row r="172" spans="2:15" x14ac:dyDescent="0.25">
      <c r="B172" s="212">
        <v>6311</v>
      </c>
      <c r="C172" s="190" t="str">
        <f t="shared" si="28"/>
        <v>Transporte, Correos y Gastos de Viaje - Transporte</v>
      </c>
      <c r="D172" s="191">
        <f>'Mayor - Nivel Divisionarias'!E1168</f>
        <v>0</v>
      </c>
      <c r="E172" s="191">
        <f>'Mayor - Nivel Divisionarias'!F1168</f>
        <v>0</v>
      </c>
      <c r="F172" s="191">
        <f t="shared" si="22"/>
        <v>0</v>
      </c>
      <c r="G172" s="191">
        <f t="shared" si="23"/>
        <v>0</v>
      </c>
      <c r="H172" s="191"/>
      <c r="I172" s="191"/>
      <c r="J172" s="191">
        <f t="shared" si="20"/>
        <v>0</v>
      </c>
      <c r="K172" s="196">
        <f t="shared" si="21"/>
        <v>0</v>
      </c>
      <c r="L172" s="191">
        <f t="shared" si="24"/>
        <v>0</v>
      </c>
      <c r="M172" s="191">
        <f t="shared" si="25"/>
        <v>0</v>
      </c>
      <c r="N172" s="191">
        <f t="shared" si="31"/>
        <v>0</v>
      </c>
      <c r="O172" s="191">
        <f t="shared" si="32"/>
        <v>0</v>
      </c>
    </row>
    <row r="173" spans="2:15" x14ac:dyDescent="0.25">
      <c r="B173" s="212">
        <v>6312</v>
      </c>
      <c r="C173" s="190" t="str">
        <f t="shared" si="28"/>
        <v>Transporte, Correos y Gastos de Viaje - Correos</v>
      </c>
      <c r="D173" s="191">
        <f>'Mayor - Nivel Divisionarias'!K1168</f>
        <v>0</v>
      </c>
      <c r="E173" s="191">
        <f>'Mayor - Nivel Divisionarias'!L1168</f>
        <v>0</v>
      </c>
      <c r="F173" s="191">
        <f t="shared" si="22"/>
        <v>0</v>
      </c>
      <c r="G173" s="191">
        <f t="shared" si="23"/>
        <v>0</v>
      </c>
      <c r="H173" s="191"/>
      <c r="I173" s="191"/>
      <c r="J173" s="191">
        <f t="shared" si="20"/>
        <v>0</v>
      </c>
      <c r="K173" s="196">
        <f t="shared" si="21"/>
        <v>0</v>
      </c>
      <c r="L173" s="191">
        <f t="shared" si="24"/>
        <v>0</v>
      </c>
      <c r="M173" s="191">
        <f t="shared" si="25"/>
        <v>0</v>
      </c>
      <c r="N173" s="191">
        <f t="shared" si="31"/>
        <v>0</v>
      </c>
      <c r="O173" s="191">
        <f t="shared" si="32"/>
        <v>0</v>
      </c>
    </row>
    <row r="174" spans="2:15" x14ac:dyDescent="0.25">
      <c r="B174" s="212">
        <v>6313</v>
      </c>
      <c r="C174" s="190" t="str">
        <f t="shared" si="28"/>
        <v>Transporte, Correos y Gastos de Viaje - Alojamiento</v>
      </c>
      <c r="D174" s="191">
        <f>'Mayor - Nivel Divisionarias'!Q1168</f>
        <v>0</v>
      </c>
      <c r="E174" s="191">
        <f>'Mayor - Nivel Divisionarias'!R1168</f>
        <v>0</v>
      </c>
      <c r="F174" s="191">
        <f t="shared" si="22"/>
        <v>0</v>
      </c>
      <c r="G174" s="191">
        <f t="shared" si="23"/>
        <v>0</v>
      </c>
      <c r="H174" s="191"/>
      <c r="I174" s="191"/>
      <c r="J174" s="191">
        <f t="shared" si="20"/>
        <v>0</v>
      </c>
      <c r="K174" s="196">
        <f t="shared" si="21"/>
        <v>0</v>
      </c>
      <c r="L174" s="191">
        <f t="shared" si="24"/>
        <v>0</v>
      </c>
      <c r="M174" s="191">
        <f t="shared" si="25"/>
        <v>0</v>
      </c>
      <c r="N174" s="191">
        <f t="shared" si="31"/>
        <v>0</v>
      </c>
      <c r="O174" s="191">
        <f t="shared" si="32"/>
        <v>0</v>
      </c>
    </row>
    <row r="175" spans="2:15" x14ac:dyDescent="0.25">
      <c r="B175" s="212">
        <v>6314</v>
      </c>
      <c r="C175" s="190" t="str">
        <f t="shared" si="28"/>
        <v>Transporte, Correos y Gastos de Viaje - Alimentación</v>
      </c>
      <c r="D175" s="191">
        <f>'Mayor - Nivel Divisionarias'!W1168</f>
        <v>0</v>
      </c>
      <c r="E175" s="191">
        <f>'Mayor - Nivel Divisionarias'!X1168</f>
        <v>0</v>
      </c>
      <c r="F175" s="191">
        <f t="shared" si="22"/>
        <v>0</v>
      </c>
      <c r="G175" s="191">
        <f t="shared" si="23"/>
        <v>0</v>
      </c>
      <c r="H175" s="192"/>
      <c r="I175" s="191"/>
      <c r="J175" s="191">
        <f t="shared" si="20"/>
        <v>0</v>
      </c>
      <c r="K175" s="196">
        <f t="shared" si="21"/>
        <v>0</v>
      </c>
      <c r="L175" s="191">
        <f t="shared" si="24"/>
        <v>0</v>
      </c>
      <c r="M175" s="191">
        <f t="shared" si="25"/>
        <v>0</v>
      </c>
      <c r="N175" s="191">
        <f t="shared" si="31"/>
        <v>0</v>
      </c>
      <c r="O175" s="191">
        <f t="shared" si="32"/>
        <v>0</v>
      </c>
    </row>
    <row r="176" spans="2:15" x14ac:dyDescent="0.25">
      <c r="B176" s="212">
        <v>6321</v>
      </c>
      <c r="C176" s="190" t="str">
        <f t="shared" si="28"/>
        <v>Asesoría y Consultoría - Administrativa</v>
      </c>
      <c r="D176" s="191">
        <f>'Mayor - Nivel Divisionarias'!E1182</f>
        <v>0</v>
      </c>
      <c r="E176" s="191">
        <f>'Mayor - Nivel Divisionarias'!F1182</f>
        <v>0</v>
      </c>
      <c r="F176" s="191">
        <f t="shared" si="22"/>
        <v>0</v>
      </c>
      <c r="G176" s="191">
        <f t="shared" si="23"/>
        <v>0</v>
      </c>
      <c r="H176" s="191"/>
      <c r="I176" s="192"/>
      <c r="J176" s="191">
        <f t="shared" si="20"/>
        <v>0</v>
      </c>
      <c r="K176" s="196">
        <f t="shared" si="21"/>
        <v>0</v>
      </c>
      <c r="L176" s="191">
        <f t="shared" si="24"/>
        <v>0</v>
      </c>
      <c r="M176" s="191">
        <f t="shared" si="25"/>
        <v>0</v>
      </c>
      <c r="N176" s="191">
        <f t="shared" si="31"/>
        <v>0</v>
      </c>
      <c r="O176" s="191">
        <f t="shared" si="32"/>
        <v>0</v>
      </c>
    </row>
    <row r="177" spans="2:15" x14ac:dyDescent="0.25">
      <c r="B177" s="212">
        <v>6322</v>
      </c>
      <c r="C177" s="190" t="str">
        <f t="shared" si="28"/>
        <v>Asesoría y Consultoría - Legal y Tributario</v>
      </c>
      <c r="D177" s="191">
        <f>'Mayor - Nivel Divisionarias'!K1182</f>
        <v>0</v>
      </c>
      <c r="E177" s="191">
        <f>'Mayor - Nivel Divisionarias'!L1182</f>
        <v>0</v>
      </c>
      <c r="F177" s="191">
        <f t="shared" si="22"/>
        <v>0</v>
      </c>
      <c r="G177" s="191">
        <f t="shared" si="23"/>
        <v>0</v>
      </c>
      <c r="H177" s="191"/>
      <c r="I177" s="192"/>
      <c r="J177" s="191">
        <f t="shared" si="20"/>
        <v>0</v>
      </c>
      <c r="K177" s="196">
        <f t="shared" si="21"/>
        <v>0</v>
      </c>
      <c r="L177" s="191">
        <f t="shared" si="24"/>
        <v>0</v>
      </c>
      <c r="M177" s="191">
        <f t="shared" si="25"/>
        <v>0</v>
      </c>
      <c r="N177" s="191">
        <f t="shared" si="31"/>
        <v>0</v>
      </c>
      <c r="O177" s="191">
        <f t="shared" ref="O177:O237" si="33">IF(AND(B177&gt;6900,B177&lt;7900),G177,IF(B177=6111,G177,0))</f>
        <v>0</v>
      </c>
    </row>
    <row r="178" spans="2:15" x14ac:dyDescent="0.25">
      <c r="B178" s="212">
        <v>6323</v>
      </c>
      <c r="C178" s="190" t="str">
        <f t="shared" si="28"/>
        <v>Asesoría y Consultoría - Auditoría y Contable</v>
      </c>
      <c r="D178" s="191">
        <f>'Mayor - Nivel Divisionarias'!Q1182</f>
        <v>12000</v>
      </c>
      <c r="E178" s="191">
        <f>'Mayor - Nivel Divisionarias'!R1182</f>
        <v>0</v>
      </c>
      <c r="F178" s="191">
        <f t="shared" si="22"/>
        <v>12000</v>
      </c>
      <c r="G178" s="191">
        <f t="shared" si="23"/>
        <v>0</v>
      </c>
      <c r="H178" s="191"/>
      <c r="I178" s="192"/>
      <c r="J178" s="191">
        <f t="shared" si="20"/>
        <v>0</v>
      </c>
      <c r="K178" s="196">
        <f t="shared" si="21"/>
        <v>0</v>
      </c>
      <c r="L178" s="191">
        <f t="shared" si="24"/>
        <v>0</v>
      </c>
      <c r="M178" s="191">
        <f t="shared" si="25"/>
        <v>0</v>
      </c>
      <c r="N178" s="191">
        <f t="shared" si="31"/>
        <v>12000</v>
      </c>
      <c r="O178" s="191">
        <f t="shared" si="33"/>
        <v>0</v>
      </c>
    </row>
    <row r="179" spans="2:15" x14ac:dyDescent="0.25">
      <c r="B179" s="212">
        <v>6331</v>
      </c>
      <c r="C179" s="190" t="str">
        <f t="shared" si="28"/>
        <v>Producción Encargada a Terceros</v>
      </c>
      <c r="D179" s="191">
        <f>'Mayor - Nivel Divisionarias'!E1196</f>
        <v>0</v>
      </c>
      <c r="E179" s="191">
        <f>'Mayor - Nivel Divisionarias'!F1196</f>
        <v>0</v>
      </c>
      <c r="F179" s="191">
        <f t="shared" si="22"/>
        <v>0</v>
      </c>
      <c r="G179" s="191">
        <f t="shared" si="23"/>
        <v>0</v>
      </c>
      <c r="H179" s="191"/>
      <c r="I179" s="192"/>
      <c r="J179" s="191">
        <f t="shared" si="20"/>
        <v>0</v>
      </c>
      <c r="K179" s="196">
        <f t="shared" si="21"/>
        <v>0</v>
      </c>
      <c r="L179" s="191">
        <f t="shared" si="24"/>
        <v>0</v>
      </c>
      <c r="M179" s="191">
        <f t="shared" si="25"/>
        <v>0</v>
      </c>
      <c r="N179" s="191">
        <f t="shared" si="31"/>
        <v>0</v>
      </c>
      <c r="O179" s="191">
        <f t="shared" si="33"/>
        <v>0</v>
      </c>
    </row>
    <row r="180" spans="2:15" x14ac:dyDescent="0.25">
      <c r="B180" s="212">
        <v>6341</v>
      </c>
      <c r="C180" s="190" t="str">
        <f t="shared" si="28"/>
        <v>Mantenimiento y Reparación - Inversión Inmobiliaria</v>
      </c>
      <c r="D180" s="191">
        <f>'Mayor - Nivel Divisionarias'!E1210</f>
        <v>0</v>
      </c>
      <c r="E180" s="191">
        <f>'Mayor - Nivel Divisionarias'!F1210</f>
        <v>0</v>
      </c>
      <c r="F180" s="191">
        <f t="shared" si="22"/>
        <v>0</v>
      </c>
      <c r="G180" s="191">
        <f t="shared" si="23"/>
        <v>0</v>
      </c>
      <c r="H180" s="191"/>
      <c r="I180" s="194"/>
      <c r="J180" s="191">
        <f t="shared" si="20"/>
        <v>0</v>
      </c>
      <c r="K180" s="196">
        <f t="shared" si="21"/>
        <v>0</v>
      </c>
      <c r="L180" s="191">
        <f t="shared" si="24"/>
        <v>0</v>
      </c>
      <c r="M180" s="191">
        <f t="shared" si="25"/>
        <v>0</v>
      </c>
      <c r="N180" s="191">
        <f t="shared" si="31"/>
        <v>0</v>
      </c>
      <c r="O180" s="191">
        <f t="shared" si="33"/>
        <v>0</v>
      </c>
    </row>
    <row r="181" spans="2:15" x14ac:dyDescent="0.25">
      <c r="B181" s="212">
        <v>6342</v>
      </c>
      <c r="C181" s="190" t="str">
        <f t="shared" si="28"/>
        <v>Mantenimiento y Reparación - Activos Adquiridos en Arrendamiento Financiero</v>
      </c>
      <c r="D181" s="191">
        <f>'Mayor - Nivel Divisionarias'!K1210</f>
        <v>0</v>
      </c>
      <c r="E181" s="191">
        <f>'Mayor - Nivel Divisionarias'!L1210</f>
        <v>0</v>
      </c>
      <c r="F181" s="191">
        <f t="shared" si="22"/>
        <v>0</v>
      </c>
      <c r="G181" s="191">
        <f t="shared" si="23"/>
        <v>0</v>
      </c>
      <c r="H181" s="191"/>
      <c r="I181" s="194"/>
      <c r="J181" s="191">
        <f t="shared" si="20"/>
        <v>0</v>
      </c>
      <c r="K181" s="196">
        <f t="shared" si="21"/>
        <v>0</v>
      </c>
      <c r="L181" s="191">
        <f t="shared" si="24"/>
        <v>0</v>
      </c>
      <c r="M181" s="191">
        <f t="shared" si="25"/>
        <v>0</v>
      </c>
      <c r="N181" s="191">
        <f t="shared" si="31"/>
        <v>0</v>
      </c>
      <c r="O181" s="191">
        <f t="shared" si="33"/>
        <v>0</v>
      </c>
    </row>
    <row r="182" spans="2:15" x14ac:dyDescent="0.25">
      <c r="B182" s="212">
        <v>6351</v>
      </c>
      <c r="C182" s="190" t="str">
        <f t="shared" si="28"/>
        <v>Alquileres - Terrenos</v>
      </c>
      <c r="D182" s="191">
        <f>'Mayor - Nivel Divisionarias'!E1224</f>
        <v>0</v>
      </c>
      <c r="E182" s="191">
        <f>'Mayor - Nivel Divisionarias'!F1224</f>
        <v>0</v>
      </c>
      <c r="F182" s="191">
        <f t="shared" si="22"/>
        <v>0</v>
      </c>
      <c r="G182" s="191">
        <f t="shared" si="23"/>
        <v>0</v>
      </c>
      <c r="H182" s="191"/>
      <c r="I182" s="194"/>
      <c r="J182" s="191">
        <f t="shared" si="20"/>
        <v>0</v>
      </c>
      <c r="K182" s="196">
        <f t="shared" si="21"/>
        <v>0</v>
      </c>
      <c r="L182" s="191">
        <f t="shared" si="24"/>
        <v>0</v>
      </c>
      <c r="M182" s="191">
        <f t="shared" si="25"/>
        <v>0</v>
      </c>
      <c r="N182" s="191">
        <f t="shared" si="31"/>
        <v>0</v>
      </c>
      <c r="O182" s="191">
        <f t="shared" si="33"/>
        <v>0</v>
      </c>
    </row>
    <row r="183" spans="2:15" x14ac:dyDescent="0.25">
      <c r="B183" s="212">
        <v>6352</v>
      </c>
      <c r="C183" s="190" t="str">
        <f t="shared" si="28"/>
        <v>Alquileres - Edificaciones</v>
      </c>
      <c r="D183" s="191">
        <f>'Mayor - Nivel Divisionarias'!K1224</f>
        <v>0</v>
      </c>
      <c r="E183" s="191">
        <f>'Mayor - Nivel Divisionarias'!L1224</f>
        <v>0</v>
      </c>
      <c r="F183" s="191">
        <f t="shared" si="22"/>
        <v>0</v>
      </c>
      <c r="G183" s="191">
        <f t="shared" si="23"/>
        <v>0</v>
      </c>
      <c r="H183" s="191"/>
      <c r="I183" s="194"/>
      <c r="J183" s="191">
        <f t="shared" si="20"/>
        <v>0</v>
      </c>
      <c r="K183" s="196">
        <f t="shared" si="21"/>
        <v>0</v>
      </c>
      <c r="L183" s="191">
        <f t="shared" si="24"/>
        <v>0</v>
      </c>
      <c r="M183" s="191">
        <f t="shared" si="25"/>
        <v>0</v>
      </c>
      <c r="N183" s="191">
        <f t="shared" si="31"/>
        <v>0</v>
      </c>
      <c r="O183" s="191">
        <f t="shared" si="33"/>
        <v>0</v>
      </c>
    </row>
    <row r="184" spans="2:15" x14ac:dyDescent="0.25">
      <c r="B184" s="212">
        <v>6353</v>
      </c>
      <c r="C184" s="190" t="str">
        <f t="shared" si="28"/>
        <v>Alquileres - Maquinarias y Equipos de Explotación</v>
      </c>
      <c r="D184" s="191">
        <f>'Mayor - Nivel Divisionarias'!Q1224</f>
        <v>0</v>
      </c>
      <c r="E184" s="191">
        <f>'Mayor - Nivel Divisionarias'!R1224</f>
        <v>0</v>
      </c>
      <c r="F184" s="191">
        <f t="shared" si="22"/>
        <v>0</v>
      </c>
      <c r="G184" s="191">
        <f t="shared" si="23"/>
        <v>0</v>
      </c>
      <c r="H184" s="191"/>
      <c r="I184" s="194"/>
      <c r="J184" s="191">
        <f t="shared" si="20"/>
        <v>0</v>
      </c>
      <c r="K184" s="196">
        <f t="shared" si="21"/>
        <v>0</v>
      </c>
      <c r="L184" s="191">
        <f t="shared" si="24"/>
        <v>0</v>
      </c>
      <c r="M184" s="191">
        <f t="shared" si="25"/>
        <v>0</v>
      </c>
      <c r="N184" s="191">
        <f t="shared" si="31"/>
        <v>0</v>
      </c>
      <c r="O184" s="191">
        <f t="shared" si="33"/>
        <v>0</v>
      </c>
    </row>
    <row r="185" spans="2:15" x14ac:dyDescent="0.25">
      <c r="B185" s="212">
        <v>6354</v>
      </c>
      <c r="C185" s="190" t="str">
        <f t="shared" si="28"/>
        <v>Alquileres - Equipos de Transporte</v>
      </c>
      <c r="D185" s="191">
        <f>'Mayor - Nivel Divisionarias'!W1224</f>
        <v>0</v>
      </c>
      <c r="E185" s="191">
        <f>'Mayor - Nivel Divisionarias'!X1224</f>
        <v>0</v>
      </c>
      <c r="F185" s="191">
        <f t="shared" si="22"/>
        <v>0</v>
      </c>
      <c r="G185" s="191">
        <f t="shared" si="23"/>
        <v>0</v>
      </c>
      <c r="H185" s="191"/>
      <c r="I185" s="194"/>
      <c r="J185" s="191">
        <f t="shared" si="20"/>
        <v>0</v>
      </c>
      <c r="K185" s="196">
        <f t="shared" si="21"/>
        <v>0</v>
      </c>
      <c r="L185" s="191">
        <f t="shared" si="24"/>
        <v>0</v>
      </c>
      <c r="M185" s="191">
        <f t="shared" si="25"/>
        <v>0</v>
      </c>
      <c r="N185" s="191">
        <f t="shared" si="31"/>
        <v>0</v>
      </c>
      <c r="O185" s="191">
        <f t="shared" si="33"/>
        <v>0</v>
      </c>
    </row>
    <row r="186" spans="2:15" x14ac:dyDescent="0.25">
      <c r="B186" s="212">
        <v>6356</v>
      </c>
      <c r="C186" s="190" t="str">
        <f t="shared" si="28"/>
        <v>Alquileres - Equipos Diversos</v>
      </c>
      <c r="D186" s="191">
        <f>'Mayor - Nivel Divisionarias'!AC1224</f>
        <v>0</v>
      </c>
      <c r="E186" s="191">
        <f>'Mayor - Nivel Divisionarias'!AD1224</f>
        <v>0</v>
      </c>
      <c r="F186" s="191">
        <f t="shared" si="22"/>
        <v>0</v>
      </c>
      <c r="G186" s="191">
        <f t="shared" si="23"/>
        <v>0</v>
      </c>
      <c r="H186" s="191"/>
      <c r="I186" s="194"/>
      <c r="J186" s="191">
        <f t="shared" si="20"/>
        <v>0</v>
      </c>
      <c r="K186" s="196">
        <f t="shared" si="21"/>
        <v>0</v>
      </c>
      <c r="L186" s="191">
        <f t="shared" si="24"/>
        <v>0</v>
      </c>
      <c r="M186" s="191">
        <f t="shared" si="25"/>
        <v>0</v>
      </c>
      <c r="N186" s="191">
        <f t="shared" si="31"/>
        <v>0</v>
      </c>
      <c r="O186" s="191">
        <f t="shared" si="33"/>
        <v>0</v>
      </c>
    </row>
    <row r="187" spans="2:15" x14ac:dyDescent="0.25">
      <c r="B187" s="212">
        <v>6361</v>
      </c>
      <c r="C187" s="190" t="str">
        <f t="shared" si="28"/>
        <v>Servicios Básicos - Energía Eléctrica</v>
      </c>
      <c r="D187" s="191">
        <f>'Mayor - Nivel Divisionarias'!E1238</f>
        <v>8542.3728813559319</v>
      </c>
      <c r="E187" s="191">
        <f>'Mayor - Nivel Divisionarias'!F1238</f>
        <v>0</v>
      </c>
      <c r="F187" s="191">
        <f t="shared" si="22"/>
        <v>8542.3728813559319</v>
      </c>
      <c r="G187" s="191">
        <f t="shared" si="23"/>
        <v>0</v>
      </c>
      <c r="H187" s="191"/>
      <c r="I187" s="194"/>
      <c r="J187" s="191">
        <f t="shared" si="20"/>
        <v>0</v>
      </c>
      <c r="K187" s="196">
        <f t="shared" si="21"/>
        <v>0</v>
      </c>
      <c r="L187" s="191">
        <f t="shared" si="24"/>
        <v>0</v>
      </c>
      <c r="M187" s="191">
        <f t="shared" si="25"/>
        <v>0</v>
      </c>
      <c r="N187" s="191">
        <f t="shared" si="31"/>
        <v>8542.3728813559319</v>
      </c>
      <c r="O187" s="191">
        <f t="shared" si="33"/>
        <v>0</v>
      </c>
    </row>
    <row r="188" spans="2:15" x14ac:dyDescent="0.25">
      <c r="B188" s="212">
        <v>6362</v>
      </c>
      <c r="C188" s="190" t="str">
        <f t="shared" si="28"/>
        <v>Servicios Básicos - Gas</v>
      </c>
      <c r="D188" s="191">
        <f>'Mayor - Nivel Divisionarias'!K1238</f>
        <v>0</v>
      </c>
      <c r="E188" s="191">
        <f>'Mayor - Nivel Divisionarias'!L1238</f>
        <v>0</v>
      </c>
      <c r="F188" s="191">
        <f t="shared" si="22"/>
        <v>0</v>
      </c>
      <c r="G188" s="191">
        <f t="shared" si="23"/>
        <v>0</v>
      </c>
      <c r="H188" s="191"/>
      <c r="I188" s="194"/>
      <c r="J188" s="191">
        <f t="shared" si="20"/>
        <v>0</v>
      </c>
      <c r="K188" s="196">
        <f t="shared" si="21"/>
        <v>0</v>
      </c>
      <c r="L188" s="191">
        <f t="shared" si="24"/>
        <v>0</v>
      </c>
      <c r="M188" s="191">
        <f t="shared" si="25"/>
        <v>0</v>
      </c>
      <c r="N188" s="191">
        <f t="shared" si="31"/>
        <v>0</v>
      </c>
      <c r="O188" s="191">
        <f t="shared" si="33"/>
        <v>0</v>
      </c>
    </row>
    <row r="189" spans="2:15" x14ac:dyDescent="0.25">
      <c r="B189" s="212">
        <v>6363</v>
      </c>
      <c r="C189" s="190" t="str">
        <f t="shared" si="28"/>
        <v>Servicios Básicos - Agua</v>
      </c>
      <c r="D189" s="191">
        <f>'Mayor - Nivel Divisionarias'!Q1238</f>
        <v>0</v>
      </c>
      <c r="E189" s="191">
        <f>'Mayor - Nivel Divisionarias'!R1238</f>
        <v>0</v>
      </c>
      <c r="F189" s="191">
        <f t="shared" si="22"/>
        <v>0</v>
      </c>
      <c r="G189" s="191">
        <f t="shared" si="23"/>
        <v>0</v>
      </c>
      <c r="H189" s="191"/>
      <c r="I189" s="194"/>
      <c r="J189" s="191">
        <f t="shared" si="20"/>
        <v>0</v>
      </c>
      <c r="K189" s="196">
        <f t="shared" si="21"/>
        <v>0</v>
      </c>
      <c r="L189" s="191">
        <f t="shared" si="24"/>
        <v>0</v>
      </c>
      <c r="M189" s="191">
        <f t="shared" si="25"/>
        <v>0</v>
      </c>
      <c r="N189" s="191">
        <f t="shared" si="31"/>
        <v>0</v>
      </c>
      <c r="O189" s="191">
        <f t="shared" si="33"/>
        <v>0</v>
      </c>
    </row>
    <row r="190" spans="2:15" x14ac:dyDescent="0.25">
      <c r="B190" s="212">
        <v>6364</v>
      </c>
      <c r="C190" s="190" t="str">
        <f t="shared" si="28"/>
        <v>Servicios Básicos - Teléfono</v>
      </c>
      <c r="D190" s="191">
        <f>'Mayor - Nivel Divisionarias'!W1238</f>
        <v>0</v>
      </c>
      <c r="E190" s="191">
        <f>'Mayor - Nivel Divisionarias'!X1238</f>
        <v>0</v>
      </c>
      <c r="F190" s="191">
        <f t="shared" si="22"/>
        <v>0</v>
      </c>
      <c r="G190" s="191">
        <f t="shared" si="23"/>
        <v>0</v>
      </c>
      <c r="H190" s="191"/>
      <c r="I190" s="194"/>
      <c r="J190" s="191">
        <f t="shared" si="20"/>
        <v>0</v>
      </c>
      <c r="K190" s="196">
        <f t="shared" si="21"/>
        <v>0</v>
      </c>
      <c r="L190" s="191">
        <f t="shared" si="24"/>
        <v>0</v>
      </c>
      <c r="M190" s="191">
        <f t="shared" si="25"/>
        <v>0</v>
      </c>
      <c r="N190" s="191">
        <f t="shared" si="31"/>
        <v>0</v>
      </c>
      <c r="O190" s="191">
        <f t="shared" si="33"/>
        <v>0</v>
      </c>
    </row>
    <row r="191" spans="2:15" x14ac:dyDescent="0.25">
      <c r="B191" s="212">
        <v>6365</v>
      </c>
      <c r="C191" s="190" t="str">
        <f t="shared" si="28"/>
        <v>Servicios Básicos - Internet</v>
      </c>
      <c r="D191" s="191">
        <f>'Mayor - Nivel Divisionarias'!AC1238</f>
        <v>0</v>
      </c>
      <c r="E191" s="191">
        <f>'Mayor - Nivel Divisionarias'!AD1238</f>
        <v>0</v>
      </c>
      <c r="F191" s="191">
        <f t="shared" si="22"/>
        <v>0</v>
      </c>
      <c r="G191" s="191">
        <f t="shared" si="23"/>
        <v>0</v>
      </c>
      <c r="H191" s="191"/>
      <c r="I191" s="194"/>
      <c r="J191" s="191">
        <f t="shared" si="20"/>
        <v>0</v>
      </c>
      <c r="K191" s="196">
        <f t="shared" si="21"/>
        <v>0</v>
      </c>
      <c r="L191" s="191">
        <f t="shared" si="24"/>
        <v>0</v>
      </c>
      <c r="M191" s="191">
        <f t="shared" si="25"/>
        <v>0</v>
      </c>
      <c r="N191" s="191">
        <f t="shared" si="31"/>
        <v>0</v>
      </c>
      <c r="O191" s="191">
        <f t="shared" si="33"/>
        <v>0</v>
      </c>
    </row>
    <row r="192" spans="2:15" x14ac:dyDescent="0.25">
      <c r="B192" s="212">
        <v>6366</v>
      </c>
      <c r="C192" s="190" t="str">
        <f t="shared" si="28"/>
        <v>Servicios Básicos - Radio</v>
      </c>
      <c r="D192" s="191">
        <f>'Mayor - Nivel Divisionarias'!AI1238</f>
        <v>0</v>
      </c>
      <c r="E192" s="191">
        <f>'Mayor - Nivel Divisionarias'!AJ1238</f>
        <v>0</v>
      </c>
      <c r="F192" s="191">
        <f t="shared" si="22"/>
        <v>0</v>
      </c>
      <c r="G192" s="191">
        <f t="shared" si="23"/>
        <v>0</v>
      </c>
      <c r="H192" s="191"/>
      <c r="I192" s="194"/>
      <c r="J192" s="191">
        <f t="shared" si="20"/>
        <v>0</v>
      </c>
      <c r="K192" s="196">
        <f t="shared" si="21"/>
        <v>0</v>
      </c>
      <c r="L192" s="191">
        <f t="shared" si="24"/>
        <v>0</v>
      </c>
      <c r="M192" s="191">
        <f t="shared" si="25"/>
        <v>0</v>
      </c>
      <c r="N192" s="191">
        <f t="shared" si="31"/>
        <v>0</v>
      </c>
      <c r="O192" s="191">
        <f t="shared" si="33"/>
        <v>0</v>
      </c>
    </row>
    <row r="193" spans="2:15" x14ac:dyDescent="0.25">
      <c r="B193" s="212">
        <v>6367</v>
      </c>
      <c r="C193" s="190" t="str">
        <f t="shared" si="28"/>
        <v>Servicios Básicos - Cable</v>
      </c>
      <c r="D193" s="191">
        <f>'Mayor - Nivel Divisionarias'!AO1238</f>
        <v>0</v>
      </c>
      <c r="E193" s="191">
        <f>'Mayor - Nivel Divisionarias'!AP1238</f>
        <v>0</v>
      </c>
      <c r="F193" s="191">
        <f t="shared" si="22"/>
        <v>0</v>
      </c>
      <c r="G193" s="191">
        <f t="shared" si="23"/>
        <v>0</v>
      </c>
      <c r="H193" s="191"/>
      <c r="I193" s="194"/>
      <c r="J193" s="191">
        <f t="shared" si="20"/>
        <v>0</v>
      </c>
      <c r="K193" s="196">
        <f t="shared" si="21"/>
        <v>0</v>
      </c>
      <c r="L193" s="191">
        <f t="shared" si="24"/>
        <v>0</v>
      </c>
      <c r="M193" s="191">
        <f t="shared" si="25"/>
        <v>0</v>
      </c>
      <c r="N193" s="191">
        <f t="shared" si="31"/>
        <v>0</v>
      </c>
      <c r="O193" s="191">
        <f t="shared" si="33"/>
        <v>0</v>
      </c>
    </row>
    <row r="194" spans="2:15" x14ac:dyDescent="0.25">
      <c r="B194" s="212">
        <v>6371</v>
      </c>
      <c r="C194" s="190" t="str">
        <f t="shared" si="28"/>
        <v>Publicidad</v>
      </c>
      <c r="D194" s="191">
        <f>'Mayor - Nivel Divisionarias'!E1252</f>
        <v>0</v>
      </c>
      <c r="E194" s="191">
        <f>'Mayor - Nivel Divisionarias'!F1252</f>
        <v>0</v>
      </c>
      <c r="F194" s="191">
        <f t="shared" si="22"/>
        <v>0</v>
      </c>
      <c r="G194" s="191">
        <f t="shared" si="23"/>
        <v>0</v>
      </c>
      <c r="H194" s="191"/>
      <c r="I194" s="194"/>
      <c r="J194" s="191">
        <f t="shared" si="20"/>
        <v>0</v>
      </c>
      <c r="K194" s="196">
        <f t="shared" si="21"/>
        <v>0</v>
      </c>
      <c r="L194" s="191">
        <f t="shared" si="24"/>
        <v>0</v>
      </c>
      <c r="M194" s="191">
        <f t="shared" si="25"/>
        <v>0</v>
      </c>
      <c r="N194" s="191">
        <f t="shared" si="31"/>
        <v>0</v>
      </c>
      <c r="O194" s="191">
        <f t="shared" si="33"/>
        <v>0</v>
      </c>
    </row>
    <row r="195" spans="2:15" x14ac:dyDescent="0.25">
      <c r="B195" s="212">
        <v>6372</v>
      </c>
      <c r="C195" s="190" t="str">
        <f t="shared" si="28"/>
        <v>Publicaciones</v>
      </c>
      <c r="D195" s="191">
        <f>'Mayor - Nivel Divisionarias'!K1252</f>
        <v>0</v>
      </c>
      <c r="E195" s="191">
        <f>'Mayor - Nivel Divisionarias'!L1252</f>
        <v>0</v>
      </c>
      <c r="F195" s="191">
        <f t="shared" si="22"/>
        <v>0</v>
      </c>
      <c r="G195" s="191">
        <f t="shared" si="23"/>
        <v>0</v>
      </c>
      <c r="H195" s="191"/>
      <c r="I195" s="194"/>
      <c r="J195" s="191">
        <f t="shared" si="20"/>
        <v>0</v>
      </c>
      <c r="K195" s="196">
        <f t="shared" si="21"/>
        <v>0</v>
      </c>
      <c r="L195" s="191">
        <f t="shared" si="24"/>
        <v>0</v>
      </c>
      <c r="M195" s="191">
        <f t="shared" si="25"/>
        <v>0</v>
      </c>
      <c r="N195" s="191">
        <f t="shared" si="31"/>
        <v>0</v>
      </c>
      <c r="O195" s="191">
        <f t="shared" si="33"/>
        <v>0</v>
      </c>
    </row>
    <row r="196" spans="2:15" x14ac:dyDescent="0.25">
      <c r="B196" s="212">
        <v>6373</v>
      </c>
      <c r="C196" s="190" t="str">
        <f t="shared" si="28"/>
        <v>Relaciones Públicas</v>
      </c>
      <c r="D196" s="191">
        <f>'Mayor - Nivel Divisionarias'!Q1252</f>
        <v>0</v>
      </c>
      <c r="E196" s="191">
        <f>'Mayor - Nivel Divisionarias'!R1252</f>
        <v>0</v>
      </c>
      <c r="F196" s="191">
        <f t="shared" si="22"/>
        <v>0</v>
      </c>
      <c r="G196" s="191">
        <f t="shared" si="23"/>
        <v>0</v>
      </c>
      <c r="H196" s="191"/>
      <c r="I196" s="194"/>
      <c r="J196" s="191">
        <f t="shared" si="20"/>
        <v>0</v>
      </c>
      <c r="K196" s="196">
        <f t="shared" si="21"/>
        <v>0</v>
      </c>
      <c r="L196" s="191">
        <f t="shared" si="24"/>
        <v>0</v>
      </c>
      <c r="M196" s="191">
        <f t="shared" si="25"/>
        <v>0</v>
      </c>
      <c r="N196" s="191">
        <f t="shared" si="31"/>
        <v>0</v>
      </c>
      <c r="O196" s="191">
        <f t="shared" si="33"/>
        <v>0</v>
      </c>
    </row>
    <row r="197" spans="2:15" x14ac:dyDescent="0.25">
      <c r="B197" s="212">
        <v>6391</v>
      </c>
      <c r="C197" s="190" t="str">
        <f t="shared" si="28"/>
        <v>Gastos Bancarios</v>
      </c>
      <c r="D197" s="191">
        <f>'Mayor - Nivel Divisionarias'!E1266</f>
        <v>0</v>
      </c>
      <c r="E197" s="191">
        <f>'Mayor - Nivel Divisionarias'!F1266</f>
        <v>0</v>
      </c>
      <c r="F197" s="191">
        <f t="shared" si="22"/>
        <v>0</v>
      </c>
      <c r="G197" s="191">
        <f t="shared" si="23"/>
        <v>0</v>
      </c>
      <c r="H197" s="191"/>
      <c r="I197" s="194"/>
      <c r="J197" s="191">
        <f t="shared" si="20"/>
        <v>0</v>
      </c>
      <c r="K197" s="196">
        <f t="shared" si="21"/>
        <v>0</v>
      </c>
      <c r="L197" s="191">
        <f t="shared" si="24"/>
        <v>0</v>
      </c>
      <c r="M197" s="191">
        <f t="shared" si="25"/>
        <v>0</v>
      </c>
      <c r="N197" s="191">
        <f t="shared" si="31"/>
        <v>0</v>
      </c>
      <c r="O197" s="191">
        <f t="shared" si="33"/>
        <v>0</v>
      </c>
    </row>
    <row r="198" spans="2:15" x14ac:dyDescent="0.25">
      <c r="B198" s="212">
        <v>6392</v>
      </c>
      <c r="C198" s="190" t="str">
        <f t="shared" si="28"/>
        <v>Gastos de Laboratorio</v>
      </c>
      <c r="D198" s="191">
        <f>'Mayor - Nivel Divisionarias'!K1266</f>
        <v>0</v>
      </c>
      <c r="E198" s="191">
        <f>'Mayor - Nivel Divisionarias'!L1266</f>
        <v>0</v>
      </c>
      <c r="F198" s="191">
        <f t="shared" si="22"/>
        <v>0</v>
      </c>
      <c r="G198" s="191">
        <f t="shared" si="23"/>
        <v>0</v>
      </c>
      <c r="H198" s="191"/>
      <c r="I198" s="194"/>
      <c r="J198" s="191">
        <f t="shared" si="20"/>
        <v>0</v>
      </c>
      <c r="K198" s="196">
        <f t="shared" si="21"/>
        <v>0</v>
      </c>
      <c r="L198" s="191">
        <f t="shared" si="24"/>
        <v>0</v>
      </c>
      <c r="M198" s="191">
        <f t="shared" si="25"/>
        <v>0</v>
      </c>
      <c r="N198" s="191">
        <f t="shared" si="31"/>
        <v>0</v>
      </c>
      <c r="O198" s="191">
        <f t="shared" si="33"/>
        <v>0</v>
      </c>
    </row>
    <row r="199" spans="2:15" x14ac:dyDescent="0.25">
      <c r="B199" s="212">
        <v>6398</v>
      </c>
      <c r="C199" s="190" t="str">
        <f t="shared" si="28"/>
        <v>Reclasificación de IGV al Gasto</v>
      </c>
      <c r="D199" s="191">
        <f>'Mayor - Nivel Divisionarias'!Q1266</f>
        <v>0</v>
      </c>
      <c r="E199" s="191">
        <f>'Mayor - Nivel Divisionarias'!R1266</f>
        <v>0</v>
      </c>
      <c r="F199" s="191">
        <f t="shared" si="22"/>
        <v>0</v>
      </c>
      <c r="G199" s="191">
        <f t="shared" si="23"/>
        <v>0</v>
      </c>
      <c r="H199" s="191"/>
      <c r="I199" s="194"/>
      <c r="J199" s="191">
        <f t="shared" si="20"/>
        <v>0</v>
      </c>
      <c r="K199" s="196">
        <f t="shared" si="21"/>
        <v>0</v>
      </c>
      <c r="L199" s="191">
        <f t="shared" si="24"/>
        <v>0</v>
      </c>
      <c r="M199" s="191">
        <f t="shared" si="25"/>
        <v>0</v>
      </c>
      <c r="N199" s="191">
        <f t="shared" si="31"/>
        <v>0</v>
      </c>
      <c r="O199" s="191">
        <f t="shared" si="33"/>
        <v>0</v>
      </c>
    </row>
    <row r="200" spans="2:15" x14ac:dyDescent="0.25">
      <c r="B200" s="212">
        <v>6399</v>
      </c>
      <c r="C200" s="190" t="str">
        <f t="shared" si="28"/>
        <v>Otros Gastos por Servicios Prestados por Terceros</v>
      </c>
      <c r="D200" s="191">
        <f>'Mayor - Nivel Divisionarias'!W1266</f>
        <v>0</v>
      </c>
      <c r="E200" s="191">
        <f>'Mayor - Nivel Divisionarias'!X1266</f>
        <v>0</v>
      </c>
      <c r="F200" s="191">
        <f t="shared" si="22"/>
        <v>0</v>
      </c>
      <c r="G200" s="191">
        <f t="shared" si="23"/>
        <v>0</v>
      </c>
      <c r="H200" s="191"/>
      <c r="I200" s="194"/>
      <c r="J200" s="191">
        <f t="shared" si="20"/>
        <v>0</v>
      </c>
      <c r="K200" s="196">
        <f t="shared" si="21"/>
        <v>0</v>
      </c>
      <c r="L200" s="191">
        <f t="shared" si="24"/>
        <v>0</v>
      </c>
      <c r="M200" s="191">
        <f t="shared" si="25"/>
        <v>0</v>
      </c>
      <c r="N200" s="191">
        <f t="shared" si="31"/>
        <v>0</v>
      </c>
      <c r="O200" s="191">
        <f t="shared" si="33"/>
        <v>0</v>
      </c>
    </row>
    <row r="201" spans="2:15" x14ac:dyDescent="0.25">
      <c r="B201" s="212">
        <v>6412</v>
      </c>
      <c r="C201" s="190" t="str">
        <f t="shared" si="28"/>
        <v>Impuesto a las Transacciones Financieras</v>
      </c>
      <c r="D201" s="191">
        <f>'Mayor - Nivel Divisionarias'!E1280</f>
        <v>0</v>
      </c>
      <c r="E201" s="191">
        <f>'Mayor - Nivel Divisionarias'!F1280</f>
        <v>0</v>
      </c>
      <c r="F201" s="191">
        <f t="shared" si="22"/>
        <v>0</v>
      </c>
      <c r="G201" s="191">
        <f t="shared" si="23"/>
        <v>0</v>
      </c>
      <c r="H201" s="191"/>
      <c r="I201" s="194"/>
      <c r="J201" s="191">
        <f t="shared" si="20"/>
        <v>0</v>
      </c>
      <c r="K201" s="196">
        <f t="shared" si="21"/>
        <v>0</v>
      </c>
      <c r="L201" s="191">
        <f t="shared" si="24"/>
        <v>0</v>
      </c>
      <c r="M201" s="191">
        <f t="shared" si="25"/>
        <v>0</v>
      </c>
      <c r="N201" s="191">
        <f t="shared" si="31"/>
        <v>0</v>
      </c>
      <c r="O201" s="191">
        <f t="shared" si="33"/>
        <v>0</v>
      </c>
    </row>
    <row r="202" spans="2:15" x14ac:dyDescent="0.25">
      <c r="B202" s="212">
        <v>6511</v>
      </c>
      <c r="C202" s="190" t="str">
        <f t="shared" si="28"/>
        <v>Seguros</v>
      </c>
      <c r="D202" s="191">
        <f>'Mayor - Nivel Divisionarias'!E1294</f>
        <v>0</v>
      </c>
      <c r="E202" s="191">
        <f>'Mayor - Nivel Divisionarias'!F1294</f>
        <v>0</v>
      </c>
      <c r="F202" s="191">
        <f t="shared" si="22"/>
        <v>0</v>
      </c>
      <c r="G202" s="191">
        <f t="shared" si="23"/>
        <v>0</v>
      </c>
      <c r="H202" s="191"/>
      <c r="I202" s="194"/>
      <c r="J202" s="191">
        <f t="shared" si="20"/>
        <v>0</v>
      </c>
      <c r="K202" s="196">
        <f t="shared" si="21"/>
        <v>0</v>
      </c>
      <c r="L202" s="191">
        <f t="shared" si="24"/>
        <v>0</v>
      </c>
      <c r="M202" s="191">
        <f t="shared" si="25"/>
        <v>0</v>
      </c>
      <c r="N202" s="191">
        <f t="shared" si="31"/>
        <v>0</v>
      </c>
      <c r="O202" s="191">
        <f t="shared" si="33"/>
        <v>0</v>
      </c>
    </row>
    <row r="203" spans="2:15" x14ac:dyDescent="0.25">
      <c r="B203" s="212">
        <v>6521</v>
      </c>
      <c r="C203" s="190" t="str">
        <f t="shared" si="28"/>
        <v>Regalías</v>
      </c>
      <c r="D203" s="191">
        <f>'Mayor - Nivel Divisionarias'!E1308</f>
        <v>0</v>
      </c>
      <c r="E203" s="191">
        <f>'Mayor - Nivel Divisionarias'!F1308</f>
        <v>0</v>
      </c>
      <c r="F203" s="191">
        <f t="shared" si="22"/>
        <v>0</v>
      </c>
      <c r="G203" s="191">
        <f t="shared" si="23"/>
        <v>0</v>
      </c>
      <c r="H203" s="191"/>
      <c r="I203" s="194"/>
      <c r="J203" s="191">
        <f t="shared" si="20"/>
        <v>0</v>
      </c>
      <c r="K203" s="196">
        <f t="shared" si="21"/>
        <v>0</v>
      </c>
      <c r="L203" s="191">
        <f t="shared" si="24"/>
        <v>0</v>
      </c>
      <c r="M203" s="191">
        <f t="shared" si="25"/>
        <v>0</v>
      </c>
      <c r="N203" s="191">
        <f t="shared" si="31"/>
        <v>0</v>
      </c>
      <c r="O203" s="191">
        <f t="shared" si="33"/>
        <v>0</v>
      </c>
    </row>
    <row r="204" spans="2:15" x14ac:dyDescent="0.25">
      <c r="B204" s="212">
        <v>6531</v>
      </c>
      <c r="C204" s="190" t="str">
        <f t="shared" si="28"/>
        <v>Suscripciones</v>
      </c>
      <c r="D204" s="191">
        <f>'Mayor - Nivel Divisionarias'!E1322</f>
        <v>0</v>
      </c>
      <c r="E204" s="191">
        <f>'Mayor - Nivel Divisionarias'!F1322</f>
        <v>0</v>
      </c>
      <c r="F204" s="191">
        <f t="shared" si="22"/>
        <v>0</v>
      </c>
      <c r="G204" s="191">
        <f t="shared" si="23"/>
        <v>0</v>
      </c>
      <c r="H204" s="191"/>
      <c r="I204" s="194"/>
      <c r="J204" s="191">
        <f t="shared" si="20"/>
        <v>0</v>
      </c>
      <c r="K204" s="196">
        <f t="shared" si="21"/>
        <v>0</v>
      </c>
      <c r="L204" s="191">
        <f t="shared" si="24"/>
        <v>0</v>
      </c>
      <c r="M204" s="191">
        <f t="shared" si="25"/>
        <v>0</v>
      </c>
      <c r="N204" s="191">
        <f t="shared" si="31"/>
        <v>0</v>
      </c>
      <c r="O204" s="191">
        <f t="shared" si="33"/>
        <v>0</v>
      </c>
    </row>
    <row r="205" spans="2:15" x14ac:dyDescent="0.25">
      <c r="B205" s="212">
        <v>6541</v>
      </c>
      <c r="C205" s="190" t="str">
        <f t="shared" si="28"/>
        <v>Licencias</v>
      </c>
      <c r="D205" s="191">
        <f>'Mayor - Nivel Divisionarias'!E1336</f>
        <v>0</v>
      </c>
      <c r="E205" s="191">
        <f>'Mayor - Nivel Divisionarias'!F1336</f>
        <v>0</v>
      </c>
      <c r="F205" s="191">
        <f t="shared" si="22"/>
        <v>0</v>
      </c>
      <c r="G205" s="191">
        <f t="shared" si="23"/>
        <v>0</v>
      </c>
      <c r="H205" s="191"/>
      <c r="I205" s="194"/>
      <c r="J205" s="191">
        <f t="shared" si="20"/>
        <v>0</v>
      </c>
      <c r="K205" s="196">
        <f t="shared" si="21"/>
        <v>0</v>
      </c>
      <c r="L205" s="191">
        <f t="shared" si="24"/>
        <v>0</v>
      </c>
      <c r="M205" s="191">
        <f t="shared" si="25"/>
        <v>0</v>
      </c>
      <c r="N205" s="191">
        <f t="shared" si="31"/>
        <v>0</v>
      </c>
      <c r="O205" s="191">
        <f t="shared" si="33"/>
        <v>0</v>
      </c>
    </row>
    <row r="206" spans="2:15" x14ac:dyDescent="0.25">
      <c r="B206" s="212">
        <v>6542</v>
      </c>
      <c r="C206" s="190" t="str">
        <f t="shared" si="28"/>
        <v>Derechos de Vigencia</v>
      </c>
      <c r="D206" s="191">
        <f>'Mayor - Nivel Divisionarias'!K1336</f>
        <v>0</v>
      </c>
      <c r="E206" s="191">
        <f>'Mayor - Nivel Divisionarias'!L1336</f>
        <v>0</v>
      </c>
      <c r="F206" s="191">
        <f t="shared" si="22"/>
        <v>0</v>
      </c>
      <c r="G206" s="191">
        <f t="shared" si="23"/>
        <v>0</v>
      </c>
      <c r="H206" s="191"/>
      <c r="I206" s="194"/>
      <c r="J206" s="191">
        <f t="shared" si="20"/>
        <v>0</v>
      </c>
      <c r="K206" s="196">
        <f t="shared" si="21"/>
        <v>0</v>
      </c>
      <c r="L206" s="191">
        <f t="shared" si="24"/>
        <v>0</v>
      </c>
      <c r="M206" s="191">
        <f t="shared" si="25"/>
        <v>0</v>
      </c>
      <c r="N206" s="191">
        <f t="shared" si="31"/>
        <v>0</v>
      </c>
      <c r="O206" s="191">
        <f t="shared" si="33"/>
        <v>0</v>
      </c>
    </row>
    <row r="207" spans="2:15" x14ac:dyDescent="0.25">
      <c r="B207" s="212">
        <v>6551</v>
      </c>
      <c r="C207" s="190" t="str">
        <f t="shared" si="28"/>
        <v>Costo Neto de Enajenación de Activos Inmovilizados</v>
      </c>
      <c r="D207" s="191">
        <f>'Mayor - Nivel Divisionarias'!E1350</f>
        <v>0</v>
      </c>
      <c r="E207" s="191">
        <f>'Mayor - Nivel Divisionarias'!F1350</f>
        <v>0</v>
      </c>
      <c r="F207" s="191">
        <f t="shared" si="22"/>
        <v>0</v>
      </c>
      <c r="G207" s="191">
        <f t="shared" si="23"/>
        <v>0</v>
      </c>
      <c r="H207" s="191"/>
      <c r="I207" s="194"/>
      <c r="J207" s="191">
        <f t="shared" ref="J207:J267" si="34">IF(6000&gt;B207,F207,0)</f>
        <v>0</v>
      </c>
      <c r="K207" s="196">
        <f t="shared" ref="K207:K267" si="35">IF(6000&gt;B207,G207,0)</f>
        <v>0</v>
      </c>
      <c r="L207" s="191">
        <f t="shared" si="24"/>
        <v>0</v>
      </c>
      <c r="M207" s="191">
        <f t="shared" si="25"/>
        <v>0</v>
      </c>
      <c r="N207" s="191">
        <f t="shared" si="31"/>
        <v>0</v>
      </c>
      <c r="O207" s="191">
        <f t="shared" si="33"/>
        <v>0</v>
      </c>
    </row>
    <row r="208" spans="2:15" x14ac:dyDescent="0.25">
      <c r="B208" s="212">
        <v>6552</v>
      </c>
      <c r="C208" s="190" t="str">
        <f t="shared" si="28"/>
        <v>Operaciones Discontinuadas – Abandono de Activos</v>
      </c>
      <c r="D208" s="191">
        <f>'Mayor - Nivel Divisionarias'!K1350</f>
        <v>0</v>
      </c>
      <c r="E208" s="191">
        <f>'Mayor - Nivel Divisionarias'!L1350</f>
        <v>0</v>
      </c>
      <c r="F208" s="191">
        <f t="shared" ref="F208:F268" si="36">IF(D208&gt;E208,D208-E208,0)</f>
        <v>0</v>
      </c>
      <c r="G208" s="191">
        <f t="shared" ref="G208:G268" si="37">IF(D208&lt;E208,E208-D208,0)</f>
        <v>0</v>
      </c>
      <c r="H208" s="191"/>
      <c r="I208" s="194"/>
      <c r="J208" s="191">
        <f t="shared" si="34"/>
        <v>0</v>
      </c>
      <c r="K208" s="196">
        <f t="shared" si="35"/>
        <v>0</v>
      </c>
      <c r="L208" s="191">
        <f t="shared" ref="L208:L268" si="38">IF(AND(B208&gt;9200,B208&lt;9999),F208,IF(B208=7091,F208,IF(B208=7411,F208,IF(B208=6911,F208,IF(B208=6611,F208,0)))))</f>
        <v>0</v>
      </c>
      <c r="M208" s="191">
        <f t="shared" ref="M208:M268" si="39">IF(AND(B208&gt;6900,B208&lt;7900),G208,0)</f>
        <v>0</v>
      </c>
      <c r="N208" s="191">
        <f t="shared" si="31"/>
        <v>0</v>
      </c>
      <c r="O208" s="191">
        <f t="shared" si="33"/>
        <v>0</v>
      </c>
    </row>
    <row r="209" spans="2:15" x14ac:dyDescent="0.25">
      <c r="B209" s="212">
        <v>6561</v>
      </c>
      <c r="C209" s="190" t="str">
        <f t="shared" si="28"/>
        <v>Suministros</v>
      </c>
      <c r="D209" s="191">
        <f>'Mayor - Nivel Divisionarias'!E1364</f>
        <v>0</v>
      </c>
      <c r="E209" s="191">
        <f>'Mayor - Nivel Divisionarias'!F1364</f>
        <v>0</v>
      </c>
      <c r="F209" s="191">
        <f t="shared" si="36"/>
        <v>0</v>
      </c>
      <c r="G209" s="191">
        <f t="shared" si="37"/>
        <v>0</v>
      </c>
      <c r="H209" s="191"/>
      <c r="I209" s="194"/>
      <c r="J209" s="191">
        <f t="shared" si="34"/>
        <v>0</v>
      </c>
      <c r="K209" s="196">
        <f t="shared" si="35"/>
        <v>0</v>
      </c>
      <c r="L209" s="191">
        <f t="shared" si="38"/>
        <v>0</v>
      </c>
      <c r="M209" s="191">
        <f t="shared" si="39"/>
        <v>0</v>
      </c>
      <c r="N209" s="191">
        <f t="shared" si="31"/>
        <v>0</v>
      </c>
      <c r="O209" s="191">
        <f t="shared" si="33"/>
        <v>0</v>
      </c>
    </row>
    <row r="210" spans="2:15" x14ac:dyDescent="0.25">
      <c r="B210" s="212">
        <v>6581</v>
      </c>
      <c r="C210" s="190" t="str">
        <f t="shared" ref="C210:C274" si="40">VLOOKUP(B210,DivisionariasContables,3,FALSE)</f>
        <v>Gestión Medioambiental</v>
      </c>
      <c r="D210" s="191">
        <f>'Mayor - Nivel Divisionarias'!E1378</f>
        <v>0</v>
      </c>
      <c r="E210" s="191">
        <f>'Mayor - Nivel Divisionarias'!F1378</f>
        <v>0</v>
      </c>
      <c r="F210" s="191">
        <f t="shared" si="36"/>
        <v>0</v>
      </c>
      <c r="G210" s="191">
        <f t="shared" si="37"/>
        <v>0</v>
      </c>
      <c r="H210" s="192"/>
      <c r="I210" s="194"/>
      <c r="J210" s="191">
        <f t="shared" si="34"/>
        <v>0</v>
      </c>
      <c r="K210" s="196">
        <f t="shared" si="35"/>
        <v>0</v>
      </c>
      <c r="L210" s="191">
        <f t="shared" si="38"/>
        <v>0</v>
      </c>
      <c r="M210" s="191">
        <f t="shared" si="39"/>
        <v>0</v>
      </c>
      <c r="N210" s="191">
        <f t="shared" si="31"/>
        <v>0</v>
      </c>
      <c r="O210" s="191">
        <f t="shared" si="33"/>
        <v>0</v>
      </c>
    </row>
    <row r="211" spans="2:15" x14ac:dyDescent="0.25">
      <c r="B211" s="212">
        <v>6591</v>
      </c>
      <c r="C211" s="190" t="str">
        <f t="shared" si="40"/>
        <v>Donaciones</v>
      </c>
      <c r="D211" s="191">
        <f>'Mayor - Nivel Divisionarias'!E1392</f>
        <v>0</v>
      </c>
      <c r="E211" s="191">
        <f>'Mayor - Nivel Divisionarias'!F1392</f>
        <v>0</v>
      </c>
      <c r="F211" s="191">
        <f t="shared" si="36"/>
        <v>0</v>
      </c>
      <c r="G211" s="191">
        <f t="shared" si="37"/>
        <v>0</v>
      </c>
      <c r="H211" s="191"/>
      <c r="I211" s="194"/>
      <c r="J211" s="191">
        <f t="shared" si="34"/>
        <v>0</v>
      </c>
      <c r="K211" s="196">
        <f t="shared" si="35"/>
        <v>0</v>
      </c>
      <c r="L211" s="191">
        <f t="shared" si="38"/>
        <v>0</v>
      </c>
      <c r="M211" s="191">
        <f t="shared" si="39"/>
        <v>0</v>
      </c>
      <c r="N211" s="191">
        <f t="shared" si="31"/>
        <v>0</v>
      </c>
      <c r="O211" s="191">
        <f t="shared" si="33"/>
        <v>0</v>
      </c>
    </row>
    <row r="212" spans="2:15" x14ac:dyDescent="0.25">
      <c r="B212" s="212">
        <v>6592</v>
      </c>
      <c r="C212" s="190" t="str">
        <f t="shared" si="40"/>
        <v>Sanciones Administrativas</v>
      </c>
      <c r="D212" s="191">
        <f>'Mayor - Nivel Divisionarias'!K1392</f>
        <v>0</v>
      </c>
      <c r="E212" s="191">
        <f>'Mayor - Nivel Divisionarias'!L1392</f>
        <v>0</v>
      </c>
      <c r="F212" s="191">
        <f t="shared" si="36"/>
        <v>0</v>
      </c>
      <c r="G212" s="191">
        <f t="shared" si="37"/>
        <v>0</v>
      </c>
      <c r="H212" s="191"/>
      <c r="I212" s="194"/>
      <c r="J212" s="191">
        <f t="shared" si="34"/>
        <v>0</v>
      </c>
      <c r="K212" s="196">
        <f t="shared" si="35"/>
        <v>0</v>
      </c>
      <c r="L212" s="191">
        <f t="shared" si="38"/>
        <v>0</v>
      </c>
      <c r="M212" s="191">
        <f t="shared" si="39"/>
        <v>0</v>
      </c>
      <c r="N212" s="191">
        <f t="shared" si="31"/>
        <v>0</v>
      </c>
      <c r="O212" s="191">
        <f t="shared" si="33"/>
        <v>0</v>
      </c>
    </row>
    <row r="213" spans="2:15" x14ac:dyDescent="0.25">
      <c r="B213" s="212">
        <v>6592</v>
      </c>
      <c r="C213" s="190" t="str">
        <f t="shared" si="40"/>
        <v>Sanciones Administrativas</v>
      </c>
      <c r="D213" s="191">
        <f>'Mayor - Nivel Divisionarias'!Q1392</f>
        <v>0</v>
      </c>
      <c r="E213" s="191">
        <f>'Mayor - Nivel Divisionarias'!R1392</f>
        <v>0</v>
      </c>
      <c r="F213" s="191">
        <f t="shared" si="36"/>
        <v>0</v>
      </c>
      <c r="G213" s="191">
        <f t="shared" si="37"/>
        <v>0</v>
      </c>
      <c r="H213" s="191"/>
      <c r="I213" s="194"/>
      <c r="J213" s="191">
        <f t="shared" si="34"/>
        <v>0</v>
      </c>
      <c r="K213" s="196">
        <f t="shared" si="35"/>
        <v>0</v>
      </c>
      <c r="L213" s="191">
        <f t="shared" si="38"/>
        <v>0</v>
      </c>
      <c r="M213" s="191">
        <f t="shared" si="39"/>
        <v>0</v>
      </c>
      <c r="N213" s="191">
        <f t="shared" si="31"/>
        <v>0</v>
      </c>
      <c r="O213" s="191">
        <f t="shared" si="33"/>
        <v>0</v>
      </c>
    </row>
    <row r="214" spans="2:15" x14ac:dyDescent="0.25">
      <c r="B214" s="212">
        <v>6598</v>
      </c>
      <c r="C214" s="190" t="str">
        <f t="shared" si="40"/>
        <v>Reclasificación de IGV al Gasto</v>
      </c>
      <c r="D214" s="191">
        <f>'Mayor - Nivel Divisionarias'!W1392</f>
        <v>8450</v>
      </c>
      <c r="E214" s="191">
        <f>'Mayor - Nivel Divisionarias'!X1392</f>
        <v>0</v>
      </c>
      <c r="F214" s="191">
        <f t="shared" si="36"/>
        <v>8450</v>
      </c>
      <c r="G214" s="191">
        <f t="shared" si="37"/>
        <v>0</v>
      </c>
      <c r="H214" s="191"/>
      <c r="I214" s="194"/>
      <c r="J214" s="191">
        <f t="shared" si="34"/>
        <v>0</v>
      </c>
      <c r="K214" s="196">
        <f t="shared" si="35"/>
        <v>0</v>
      </c>
      <c r="L214" s="191">
        <f t="shared" si="38"/>
        <v>0</v>
      </c>
      <c r="M214" s="191">
        <f t="shared" si="39"/>
        <v>0</v>
      </c>
      <c r="N214" s="191">
        <f t="shared" si="31"/>
        <v>8450</v>
      </c>
      <c r="O214" s="191">
        <f t="shared" si="33"/>
        <v>0</v>
      </c>
    </row>
    <row r="215" spans="2:15" x14ac:dyDescent="0.25">
      <c r="B215" s="212">
        <v>6599</v>
      </c>
      <c r="C215" s="190" t="str">
        <f t="shared" si="40"/>
        <v>Varios Gastos de Gestión</v>
      </c>
      <c r="D215" s="191">
        <f>'Mayor - Nivel Divisionarias'!AC1392</f>
        <v>0</v>
      </c>
      <c r="E215" s="191">
        <f>'Mayor - Nivel Divisionarias'!AD1392</f>
        <v>0</v>
      </c>
      <c r="F215" s="191">
        <f t="shared" si="36"/>
        <v>0</v>
      </c>
      <c r="G215" s="191">
        <f t="shared" si="37"/>
        <v>0</v>
      </c>
      <c r="H215" s="191"/>
      <c r="I215" s="194"/>
      <c r="J215" s="191">
        <f t="shared" si="34"/>
        <v>0</v>
      </c>
      <c r="K215" s="196">
        <f t="shared" si="35"/>
        <v>0</v>
      </c>
      <c r="L215" s="191">
        <f t="shared" si="38"/>
        <v>0</v>
      </c>
      <c r="M215" s="191">
        <f t="shared" si="39"/>
        <v>0</v>
      </c>
      <c r="N215" s="191">
        <f t="shared" si="31"/>
        <v>0</v>
      </c>
      <c r="O215" s="191">
        <f t="shared" si="33"/>
        <v>0</v>
      </c>
    </row>
    <row r="216" spans="2:15" x14ac:dyDescent="0.25">
      <c r="B216" s="212">
        <v>6711</v>
      </c>
      <c r="C216" s="190" t="str">
        <f t="shared" si="40"/>
        <v>Préstamos de Instituciones Financieras y Otras Entidades</v>
      </c>
      <c r="D216" s="191">
        <f>'Mayor - Nivel Divisionarias'!E1406</f>
        <v>0</v>
      </c>
      <c r="E216" s="191">
        <f>'Mayor - Nivel Divisionarias'!F1406</f>
        <v>0</v>
      </c>
      <c r="F216" s="191">
        <f t="shared" si="36"/>
        <v>0</v>
      </c>
      <c r="G216" s="191">
        <f t="shared" si="37"/>
        <v>0</v>
      </c>
      <c r="H216" s="191"/>
      <c r="I216" s="194"/>
      <c r="J216" s="191">
        <f t="shared" si="34"/>
        <v>0</v>
      </c>
      <c r="K216" s="196">
        <f t="shared" si="35"/>
        <v>0</v>
      </c>
      <c r="L216" s="191">
        <f t="shared" si="38"/>
        <v>0</v>
      </c>
      <c r="M216" s="191">
        <f t="shared" si="39"/>
        <v>0</v>
      </c>
      <c r="N216" s="191">
        <f t="shared" si="31"/>
        <v>0</v>
      </c>
      <c r="O216" s="191">
        <f t="shared" si="33"/>
        <v>0</v>
      </c>
    </row>
    <row r="217" spans="2:15" x14ac:dyDescent="0.25">
      <c r="B217" s="212">
        <v>6712</v>
      </c>
      <c r="C217" s="190" t="str">
        <f t="shared" si="40"/>
        <v>Contratos de Arrendamiento Financiero</v>
      </c>
      <c r="D217" s="191">
        <f>'Mayor - Nivel Divisionarias'!K1406</f>
        <v>0</v>
      </c>
      <c r="E217" s="191">
        <f>'Mayor - Nivel Divisionarias'!L1406</f>
        <v>0</v>
      </c>
      <c r="F217" s="191">
        <f t="shared" si="36"/>
        <v>0</v>
      </c>
      <c r="G217" s="191">
        <f t="shared" si="37"/>
        <v>0</v>
      </c>
      <c r="H217" s="191"/>
      <c r="I217" s="194"/>
      <c r="J217" s="191">
        <f t="shared" si="34"/>
        <v>0</v>
      </c>
      <c r="K217" s="196">
        <f t="shared" si="35"/>
        <v>0</v>
      </c>
      <c r="L217" s="191">
        <f t="shared" si="38"/>
        <v>0</v>
      </c>
      <c r="M217" s="191">
        <f t="shared" si="39"/>
        <v>0</v>
      </c>
      <c r="N217" s="191">
        <f t="shared" si="31"/>
        <v>0</v>
      </c>
      <c r="O217" s="191">
        <f t="shared" si="33"/>
        <v>0</v>
      </c>
    </row>
    <row r="218" spans="2:15" x14ac:dyDescent="0.25">
      <c r="B218" s="212">
        <v>6713</v>
      </c>
      <c r="C218" s="190" t="str">
        <f t="shared" si="40"/>
        <v>Emisión y Colocación de Instrumentos Representativos de Deuda y Patrimonio</v>
      </c>
      <c r="D218" s="191">
        <f>'Mayor - Nivel Divisionarias'!Q1406</f>
        <v>0</v>
      </c>
      <c r="E218" s="191">
        <f>'Mayor - Nivel Divisionarias'!R1406</f>
        <v>0</v>
      </c>
      <c r="F218" s="191">
        <f t="shared" si="36"/>
        <v>0</v>
      </c>
      <c r="G218" s="191">
        <f t="shared" si="37"/>
        <v>0</v>
      </c>
      <c r="H218" s="191"/>
      <c r="I218" s="194"/>
      <c r="J218" s="191">
        <f t="shared" si="34"/>
        <v>0</v>
      </c>
      <c r="K218" s="196">
        <f t="shared" si="35"/>
        <v>0</v>
      </c>
      <c r="L218" s="191">
        <f t="shared" si="38"/>
        <v>0</v>
      </c>
      <c r="M218" s="191">
        <f t="shared" si="39"/>
        <v>0</v>
      </c>
      <c r="N218" s="191">
        <f t="shared" si="31"/>
        <v>0</v>
      </c>
      <c r="O218" s="191">
        <f t="shared" si="33"/>
        <v>0</v>
      </c>
    </row>
    <row r="219" spans="2:15" x14ac:dyDescent="0.25">
      <c r="B219" s="212">
        <v>6714</v>
      </c>
      <c r="C219" s="190" t="str">
        <f t="shared" si="40"/>
        <v>Documentos Vendidos o Descontados</v>
      </c>
      <c r="D219" s="191">
        <f>'Mayor - Nivel Divisionarias'!W1406</f>
        <v>0</v>
      </c>
      <c r="E219" s="191">
        <f>'Mayor - Nivel Divisionarias'!X1406</f>
        <v>0</v>
      </c>
      <c r="F219" s="191">
        <f t="shared" si="36"/>
        <v>0</v>
      </c>
      <c r="G219" s="191">
        <f t="shared" si="37"/>
        <v>0</v>
      </c>
      <c r="H219" s="191"/>
      <c r="I219" s="194"/>
      <c r="J219" s="191">
        <f t="shared" si="34"/>
        <v>0</v>
      </c>
      <c r="K219" s="196">
        <f t="shared" si="35"/>
        <v>0</v>
      </c>
      <c r="L219" s="191">
        <f t="shared" si="38"/>
        <v>0</v>
      </c>
      <c r="M219" s="191">
        <f t="shared" si="39"/>
        <v>0</v>
      </c>
      <c r="N219" s="191">
        <f t="shared" si="31"/>
        <v>0</v>
      </c>
      <c r="O219" s="191">
        <f t="shared" si="33"/>
        <v>0</v>
      </c>
    </row>
    <row r="220" spans="2:15" x14ac:dyDescent="0.25">
      <c r="B220" s="212">
        <v>6721</v>
      </c>
      <c r="C220" s="190" t="str">
        <f t="shared" si="40"/>
        <v>Pérdida por Instrumentos Financieros Derivados</v>
      </c>
      <c r="D220" s="191">
        <f>'Mayor - Nivel Divisionarias'!E1420</f>
        <v>0</v>
      </c>
      <c r="E220" s="191">
        <f>'Mayor - Nivel Divisionarias'!F1420</f>
        <v>0</v>
      </c>
      <c r="F220" s="191">
        <f t="shared" si="36"/>
        <v>0</v>
      </c>
      <c r="G220" s="191">
        <f t="shared" si="37"/>
        <v>0</v>
      </c>
      <c r="H220" s="191"/>
      <c r="I220" s="194"/>
      <c r="J220" s="191">
        <f t="shared" si="34"/>
        <v>0</v>
      </c>
      <c r="K220" s="196">
        <f t="shared" si="35"/>
        <v>0</v>
      </c>
      <c r="L220" s="191">
        <f t="shared" si="38"/>
        <v>0</v>
      </c>
      <c r="M220" s="191">
        <f t="shared" si="39"/>
        <v>0</v>
      </c>
      <c r="N220" s="191">
        <f t="shared" si="31"/>
        <v>0</v>
      </c>
      <c r="O220" s="191">
        <f t="shared" si="33"/>
        <v>0</v>
      </c>
    </row>
    <row r="221" spans="2:15" x14ac:dyDescent="0.25">
      <c r="B221" s="212">
        <v>6731</v>
      </c>
      <c r="C221" s="190" t="str">
        <f t="shared" si="40"/>
        <v>Préstamos de Instituciones Financieras y Otras Entidades</v>
      </c>
      <c r="D221" s="191">
        <f>'Mayor - Nivel Divisionarias'!E1434</f>
        <v>0</v>
      </c>
      <c r="E221" s="191">
        <f>'Mayor - Nivel Divisionarias'!F1434</f>
        <v>0</v>
      </c>
      <c r="F221" s="191">
        <f t="shared" si="36"/>
        <v>0</v>
      </c>
      <c r="G221" s="191">
        <f t="shared" si="37"/>
        <v>0</v>
      </c>
      <c r="H221" s="191"/>
      <c r="I221" s="194"/>
      <c r="J221" s="191">
        <f t="shared" si="34"/>
        <v>0</v>
      </c>
      <c r="K221" s="196">
        <f t="shared" si="35"/>
        <v>0</v>
      </c>
      <c r="L221" s="191">
        <f t="shared" si="38"/>
        <v>0</v>
      </c>
      <c r="M221" s="191">
        <f t="shared" si="39"/>
        <v>0</v>
      </c>
      <c r="N221" s="191">
        <f t="shared" ref="N221:N283" si="41">IF(AND(B221&gt;5900,B221&lt;6911),F221,IF(B221=7091,F221,IF(B221=7411,F221,0)))</f>
        <v>0</v>
      </c>
      <c r="O221" s="191">
        <f t="shared" si="33"/>
        <v>0</v>
      </c>
    </row>
    <row r="222" spans="2:15" x14ac:dyDescent="0.25">
      <c r="B222" s="212">
        <v>6732</v>
      </c>
      <c r="C222" s="190" t="str">
        <f t="shared" si="40"/>
        <v>Contratos de Arrendamiento Financiero</v>
      </c>
      <c r="D222" s="191">
        <f>'Mayor - Nivel Divisionarias'!K1434</f>
        <v>0</v>
      </c>
      <c r="E222" s="191">
        <f>'Mayor - Nivel Divisionarias'!L1434</f>
        <v>0</v>
      </c>
      <c r="F222" s="191">
        <f t="shared" si="36"/>
        <v>0</v>
      </c>
      <c r="G222" s="191">
        <f t="shared" si="37"/>
        <v>0</v>
      </c>
      <c r="H222" s="191"/>
      <c r="I222" s="194"/>
      <c r="J222" s="191">
        <f t="shared" si="34"/>
        <v>0</v>
      </c>
      <c r="K222" s="196">
        <f t="shared" si="35"/>
        <v>0</v>
      </c>
      <c r="L222" s="191">
        <f t="shared" si="38"/>
        <v>0</v>
      </c>
      <c r="M222" s="191">
        <f t="shared" si="39"/>
        <v>0</v>
      </c>
      <c r="N222" s="191">
        <f t="shared" si="41"/>
        <v>0</v>
      </c>
      <c r="O222" s="191">
        <f t="shared" si="33"/>
        <v>0</v>
      </c>
    </row>
    <row r="223" spans="2:15" x14ac:dyDescent="0.25">
      <c r="B223" s="212">
        <v>6733</v>
      </c>
      <c r="C223" s="190" t="str">
        <f t="shared" si="40"/>
        <v>Otros Instrumentos Financieros por Pagar</v>
      </c>
      <c r="D223" s="191">
        <f>'Mayor - Nivel Divisionarias'!Q1434</f>
        <v>0</v>
      </c>
      <c r="E223" s="191">
        <f>'Mayor - Nivel Divisionarias'!R1434</f>
        <v>0</v>
      </c>
      <c r="F223" s="191">
        <f t="shared" si="36"/>
        <v>0</v>
      </c>
      <c r="G223" s="191">
        <f t="shared" si="37"/>
        <v>0</v>
      </c>
      <c r="H223" s="191"/>
      <c r="I223" s="194"/>
      <c r="J223" s="191">
        <f t="shared" si="34"/>
        <v>0</v>
      </c>
      <c r="K223" s="196">
        <f t="shared" si="35"/>
        <v>0</v>
      </c>
      <c r="L223" s="191">
        <f t="shared" si="38"/>
        <v>0</v>
      </c>
      <c r="M223" s="191">
        <f t="shared" si="39"/>
        <v>0</v>
      </c>
      <c r="N223" s="191">
        <f t="shared" si="41"/>
        <v>0</v>
      </c>
      <c r="O223" s="191">
        <f t="shared" si="33"/>
        <v>0</v>
      </c>
    </row>
    <row r="224" spans="2:15" x14ac:dyDescent="0.25">
      <c r="B224" s="212">
        <v>6734</v>
      </c>
      <c r="C224" s="190" t="str">
        <f t="shared" si="40"/>
        <v>Documentos Vendidos o Descontados</v>
      </c>
      <c r="D224" s="191">
        <f>'Mayor - Nivel Divisionarias'!W1434</f>
        <v>0</v>
      </c>
      <c r="E224" s="191">
        <f>'Mayor - Nivel Divisionarias'!X1434</f>
        <v>0</v>
      </c>
      <c r="F224" s="191">
        <f t="shared" si="36"/>
        <v>0</v>
      </c>
      <c r="G224" s="191">
        <f t="shared" si="37"/>
        <v>0</v>
      </c>
      <c r="H224" s="191"/>
      <c r="I224" s="194"/>
      <c r="J224" s="191">
        <f t="shared" si="34"/>
        <v>0</v>
      </c>
      <c r="K224" s="196">
        <f t="shared" si="35"/>
        <v>0</v>
      </c>
      <c r="L224" s="191">
        <f t="shared" si="38"/>
        <v>0</v>
      </c>
      <c r="M224" s="191">
        <f t="shared" si="39"/>
        <v>0</v>
      </c>
      <c r="N224" s="191">
        <f t="shared" si="41"/>
        <v>0</v>
      </c>
      <c r="O224" s="191">
        <f t="shared" si="33"/>
        <v>0</v>
      </c>
    </row>
    <row r="225" spans="2:15" x14ac:dyDescent="0.25">
      <c r="B225" s="212">
        <v>6735</v>
      </c>
      <c r="C225" s="190" t="str">
        <f t="shared" si="40"/>
        <v>Obligaciones Emitidas</v>
      </c>
      <c r="D225" s="191">
        <f>'Mayor - Nivel Divisionarias'!AC1434</f>
        <v>0</v>
      </c>
      <c r="E225" s="191">
        <f>'Mayor - Nivel Divisionarias'!AD1434</f>
        <v>0</v>
      </c>
      <c r="F225" s="191">
        <f t="shared" si="36"/>
        <v>0</v>
      </c>
      <c r="G225" s="191">
        <f t="shared" si="37"/>
        <v>0</v>
      </c>
      <c r="H225" s="191"/>
      <c r="I225" s="194"/>
      <c r="J225" s="191">
        <f t="shared" si="34"/>
        <v>0</v>
      </c>
      <c r="K225" s="196">
        <f t="shared" si="35"/>
        <v>0</v>
      </c>
      <c r="L225" s="191">
        <f t="shared" si="38"/>
        <v>0</v>
      </c>
      <c r="M225" s="191">
        <f t="shared" si="39"/>
        <v>0</v>
      </c>
      <c r="N225" s="191">
        <f t="shared" si="41"/>
        <v>0</v>
      </c>
      <c r="O225" s="191">
        <f t="shared" si="33"/>
        <v>0</v>
      </c>
    </row>
    <row r="226" spans="2:15" x14ac:dyDescent="0.25">
      <c r="B226" s="212">
        <v>6736</v>
      </c>
      <c r="C226" s="190" t="str">
        <f t="shared" si="40"/>
        <v>Obligaciones Comerciales</v>
      </c>
      <c r="D226" s="191">
        <f>'Mayor - Nivel Divisionarias'!AI1434</f>
        <v>0</v>
      </c>
      <c r="E226" s="191">
        <f>'Mayor - Nivel Divisionarias'!AJ1434</f>
        <v>0</v>
      </c>
      <c r="F226" s="191">
        <f t="shared" si="36"/>
        <v>0</v>
      </c>
      <c r="G226" s="191">
        <f t="shared" si="37"/>
        <v>0</v>
      </c>
      <c r="H226" s="191"/>
      <c r="I226" s="194"/>
      <c r="J226" s="191">
        <f t="shared" si="34"/>
        <v>0</v>
      </c>
      <c r="K226" s="196">
        <f t="shared" si="35"/>
        <v>0</v>
      </c>
      <c r="L226" s="191">
        <f t="shared" si="38"/>
        <v>0</v>
      </c>
      <c r="M226" s="191">
        <f t="shared" si="39"/>
        <v>0</v>
      </c>
      <c r="N226" s="191">
        <f t="shared" si="41"/>
        <v>0</v>
      </c>
      <c r="O226" s="191">
        <f t="shared" si="33"/>
        <v>0</v>
      </c>
    </row>
    <row r="227" spans="2:15" x14ac:dyDescent="0.25">
      <c r="B227" s="212">
        <v>6737</v>
      </c>
      <c r="C227" s="190" t="str">
        <f t="shared" si="40"/>
        <v>Obligaciones Tributarias</v>
      </c>
      <c r="D227" s="191">
        <f>'Mayor - Nivel Divisionarias'!AO1434</f>
        <v>0</v>
      </c>
      <c r="E227" s="191">
        <f>'Mayor - Nivel Divisionarias'!AP1434</f>
        <v>0</v>
      </c>
      <c r="F227" s="191">
        <f t="shared" si="36"/>
        <v>0</v>
      </c>
      <c r="G227" s="191">
        <f t="shared" si="37"/>
        <v>0</v>
      </c>
      <c r="H227" s="191"/>
      <c r="I227" s="194"/>
      <c r="J227" s="191">
        <f t="shared" si="34"/>
        <v>0</v>
      </c>
      <c r="K227" s="196">
        <f t="shared" si="35"/>
        <v>0</v>
      </c>
      <c r="L227" s="191">
        <f t="shared" si="38"/>
        <v>0</v>
      </c>
      <c r="M227" s="191">
        <f t="shared" si="39"/>
        <v>0</v>
      </c>
      <c r="N227" s="191">
        <f t="shared" si="41"/>
        <v>0</v>
      </c>
      <c r="O227" s="191">
        <f t="shared" si="33"/>
        <v>0</v>
      </c>
    </row>
    <row r="228" spans="2:15" x14ac:dyDescent="0.25">
      <c r="B228" s="212">
        <v>6741</v>
      </c>
      <c r="C228" s="190" t="str">
        <f t="shared" si="40"/>
        <v>Gastos por Menor Valor</v>
      </c>
      <c r="D228" s="191">
        <f>'Mayor - Nivel Divisionarias'!E1448</f>
        <v>0</v>
      </c>
      <c r="E228" s="191">
        <f>'Mayor - Nivel Divisionarias'!F1448</f>
        <v>0</v>
      </c>
      <c r="F228" s="191">
        <f t="shared" si="36"/>
        <v>0</v>
      </c>
      <c r="G228" s="191">
        <f t="shared" si="37"/>
        <v>0</v>
      </c>
      <c r="H228" s="191"/>
      <c r="I228" s="194"/>
      <c r="J228" s="191">
        <f t="shared" si="34"/>
        <v>0</v>
      </c>
      <c r="K228" s="196">
        <f t="shared" si="35"/>
        <v>0</v>
      </c>
      <c r="L228" s="191">
        <f t="shared" si="38"/>
        <v>0</v>
      </c>
      <c r="M228" s="191">
        <f t="shared" si="39"/>
        <v>0</v>
      </c>
      <c r="N228" s="191">
        <f t="shared" si="41"/>
        <v>0</v>
      </c>
      <c r="O228" s="191">
        <f t="shared" si="33"/>
        <v>0</v>
      </c>
    </row>
    <row r="229" spans="2:15" x14ac:dyDescent="0.25">
      <c r="B229" s="212">
        <v>6751</v>
      </c>
      <c r="C229" s="190" t="str">
        <f t="shared" si="40"/>
        <v>Descuentos Concedidos por Pronto Pago</v>
      </c>
      <c r="D229" s="191">
        <f>'Mayor - Nivel Divisionarias'!E1462</f>
        <v>0</v>
      </c>
      <c r="E229" s="191">
        <f>'Mayor - Nivel Divisionarias'!F1462</f>
        <v>0</v>
      </c>
      <c r="F229" s="191">
        <f t="shared" si="36"/>
        <v>0</v>
      </c>
      <c r="G229" s="191">
        <f t="shared" si="37"/>
        <v>0</v>
      </c>
      <c r="H229" s="191"/>
      <c r="I229" s="194"/>
      <c r="J229" s="191">
        <f t="shared" si="34"/>
        <v>0</v>
      </c>
      <c r="K229" s="196">
        <f t="shared" si="35"/>
        <v>0</v>
      </c>
      <c r="L229" s="191">
        <f t="shared" si="38"/>
        <v>0</v>
      </c>
      <c r="M229" s="191">
        <f t="shared" si="39"/>
        <v>0</v>
      </c>
      <c r="N229" s="191">
        <f t="shared" si="41"/>
        <v>0</v>
      </c>
      <c r="O229" s="191">
        <f t="shared" si="33"/>
        <v>0</v>
      </c>
    </row>
    <row r="230" spans="2:15" x14ac:dyDescent="0.25">
      <c r="B230" s="212">
        <v>6761</v>
      </c>
      <c r="C230" s="190" t="str">
        <f t="shared" si="40"/>
        <v>Diferencia de Cambio</v>
      </c>
      <c r="D230" s="191">
        <f>'Mayor - Nivel Divisionarias'!E1476</f>
        <v>0</v>
      </c>
      <c r="E230" s="191">
        <f>'Mayor - Nivel Divisionarias'!F1476</f>
        <v>0</v>
      </c>
      <c r="F230" s="191">
        <f t="shared" si="36"/>
        <v>0</v>
      </c>
      <c r="G230" s="191">
        <f t="shared" si="37"/>
        <v>0</v>
      </c>
      <c r="H230" s="191"/>
      <c r="I230" s="194"/>
      <c r="J230" s="191">
        <f t="shared" si="34"/>
        <v>0</v>
      </c>
      <c r="K230" s="196">
        <f t="shared" si="35"/>
        <v>0</v>
      </c>
      <c r="L230" s="191">
        <f t="shared" si="38"/>
        <v>0</v>
      </c>
      <c r="M230" s="191">
        <f t="shared" si="39"/>
        <v>0</v>
      </c>
      <c r="N230" s="191">
        <f t="shared" si="41"/>
        <v>0</v>
      </c>
      <c r="O230" s="191">
        <f t="shared" si="33"/>
        <v>0</v>
      </c>
    </row>
    <row r="231" spans="2:15" x14ac:dyDescent="0.25">
      <c r="B231" s="212">
        <v>6771</v>
      </c>
      <c r="C231" s="190" t="str">
        <f t="shared" si="40"/>
        <v>Inversiones para Negociación</v>
      </c>
      <c r="D231" s="191">
        <f>'Mayor - Nivel Divisionarias'!E1490</f>
        <v>0</v>
      </c>
      <c r="E231" s="191">
        <f>'Mayor - Nivel Divisionarias'!F1490</f>
        <v>0</v>
      </c>
      <c r="F231" s="191">
        <f t="shared" si="36"/>
        <v>0</v>
      </c>
      <c r="G231" s="191">
        <f t="shared" si="37"/>
        <v>0</v>
      </c>
      <c r="H231" s="191"/>
      <c r="I231" s="194"/>
      <c r="J231" s="191">
        <f t="shared" si="34"/>
        <v>0</v>
      </c>
      <c r="K231" s="196">
        <f t="shared" si="35"/>
        <v>0</v>
      </c>
      <c r="L231" s="191">
        <f t="shared" si="38"/>
        <v>0</v>
      </c>
      <c r="M231" s="191">
        <f t="shared" si="39"/>
        <v>0</v>
      </c>
      <c r="N231" s="191">
        <f t="shared" si="41"/>
        <v>0</v>
      </c>
      <c r="O231" s="191">
        <f t="shared" si="33"/>
        <v>0</v>
      </c>
    </row>
    <row r="232" spans="2:15" x14ac:dyDescent="0.25">
      <c r="B232" s="212">
        <v>6791</v>
      </c>
      <c r="C232" s="190" t="str">
        <f t="shared" si="40"/>
        <v>Primas por Opciones</v>
      </c>
      <c r="D232" s="191">
        <f>'Mayor - Nivel Divisionarias'!E1504</f>
        <v>0</v>
      </c>
      <c r="E232" s="191">
        <f>'Mayor - Nivel Divisionarias'!F1504</f>
        <v>0</v>
      </c>
      <c r="F232" s="191">
        <f t="shared" si="36"/>
        <v>0</v>
      </c>
      <c r="G232" s="191">
        <f t="shared" si="37"/>
        <v>0</v>
      </c>
      <c r="H232" s="191"/>
      <c r="I232" s="194"/>
      <c r="J232" s="191">
        <f t="shared" si="34"/>
        <v>0</v>
      </c>
      <c r="K232" s="196">
        <f t="shared" si="35"/>
        <v>0</v>
      </c>
      <c r="L232" s="191">
        <f t="shared" si="38"/>
        <v>0</v>
      </c>
      <c r="M232" s="191">
        <f t="shared" si="39"/>
        <v>0</v>
      </c>
      <c r="N232" s="191">
        <f t="shared" si="41"/>
        <v>0</v>
      </c>
      <c r="O232" s="191">
        <f t="shared" si="33"/>
        <v>0</v>
      </c>
    </row>
    <row r="233" spans="2:15" x14ac:dyDescent="0.25">
      <c r="B233" s="212">
        <v>6792</v>
      </c>
      <c r="C233" s="190" t="str">
        <f t="shared" si="40"/>
        <v>Gastos Financieros en Medición a Valor Descontado</v>
      </c>
      <c r="D233" s="191">
        <f>'Mayor - Nivel Divisionarias'!K1504</f>
        <v>0</v>
      </c>
      <c r="E233" s="191">
        <f>'Mayor - Nivel Divisionarias'!L1504</f>
        <v>0</v>
      </c>
      <c r="F233" s="191">
        <f t="shared" si="36"/>
        <v>0</v>
      </c>
      <c r="G233" s="191">
        <f t="shared" si="37"/>
        <v>0</v>
      </c>
      <c r="H233" s="191"/>
      <c r="I233" s="194"/>
      <c r="J233" s="191">
        <f t="shared" si="34"/>
        <v>0</v>
      </c>
      <c r="K233" s="196">
        <f t="shared" si="35"/>
        <v>0</v>
      </c>
      <c r="L233" s="191">
        <f t="shared" si="38"/>
        <v>0</v>
      </c>
      <c r="M233" s="191">
        <f t="shared" si="39"/>
        <v>0</v>
      </c>
      <c r="N233" s="191">
        <f t="shared" si="41"/>
        <v>0</v>
      </c>
      <c r="O233" s="191">
        <f t="shared" si="33"/>
        <v>0</v>
      </c>
    </row>
    <row r="234" spans="2:15" x14ac:dyDescent="0.25">
      <c r="B234" s="212">
        <v>6793</v>
      </c>
      <c r="C234" s="190" t="str">
        <f t="shared" si="40"/>
        <v>Intereses por Demora con las AFP's</v>
      </c>
      <c r="D234" s="191">
        <f>'Mayor - Nivel Divisionarias'!Q1504</f>
        <v>0</v>
      </c>
      <c r="E234" s="191">
        <f>'Mayor - Nivel Divisionarias'!R1504</f>
        <v>0</v>
      </c>
      <c r="F234" s="191">
        <f t="shared" si="36"/>
        <v>0</v>
      </c>
      <c r="G234" s="191">
        <f t="shared" si="37"/>
        <v>0</v>
      </c>
      <c r="H234" s="191"/>
      <c r="I234" s="194"/>
      <c r="J234" s="191">
        <f t="shared" si="34"/>
        <v>0</v>
      </c>
      <c r="K234" s="196">
        <f t="shared" si="35"/>
        <v>0</v>
      </c>
      <c r="L234" s="191">
        <f t="shared" si="38"/>
        <v>0</v>
      </c>
      <c r="M234" s="191">
        <f t="shared" si="39"/>
        <v>0</v>
      </c>
      <c r="N234" s="191">
        <f t="shared" si="41"/>
        <v>0</v>
      </c>
      <c r="O234" s="191">
        <f t="shared" si="33"/>
        <v>0</v>
      </c>
    </row>
    <row r="235" spans="2:15" x14ac:dyDescent="0.25">
      <c r="B235" s="212">
        <v>6794</v>
      </c>
      <c r="C235" s="190" t="str">
        <f t="shared" si="40"/>
        <v>Intereses por Demora en el Pago de Tributos</v>
      </c>
      <c r="D235" s="191">
        <f>'Mayor - Nivel Divisionarias'!W1504</f>
        <v>0</v>
      </c>
      <c r="E235" s="191">
        <f>'Mayor - Nivel Divisionarias'!X1504</f>
        <v>0</v>
      </c>
      <c r="F235" s="191">
        <f t="shared" si="36"/>
        <v>0</v>
      </c>
      <c r="G235" s="191">
        <f t="shared" si="37"/>
        <v>0</v>
      </c>
      <c r="H235" s="191"/>
      <c r="I235" s="194"/>
      <c r="J235" s="191">
        <f t="shared" si="34"/>
        <v>0</v>
      </c>
      <c r="K235" s="196">
        <f t="shared" si="35"/>
        <v>0</v>
      </c>
      <c r="L235" s="191">
        <f t="shared" si="38"/>
        <v>0</v>
      </c>
      <c r="M235" s="191">
        <f t="shared" si="39"/>
        <v>0</v>
      </c>
      <c r="N235" s="191">
        <f t="shared" si="41"/>
        <v>0</v>
      </c>
      <c r="O235" s="191">
        <f t="shared" si="33"/>
        <v>0</v>
      </c>
    </row>
    <row r="236" spans="2:15" x14ac:dyDescent="0.25">
      <c r="B236" s="212">
        <v>6799</v>
      </c>
      <c r="C236" s="190" t="str">
        <f t="shared" si="40"/>
        <v>Reclasificación de IGV al Gasto</v>
      </c>
      <c r="D236" s="191">
        <f>'Mayor - Nivel Divisionarias'!AC1504</f>
        <v>0</v>
      </c>
      <c r="E236" s="191">
        <f>'Mayor - Nivel Divisionarias'!AD1504</f>
        <v>0</v>
      </c>
      <c r="F236" s="191">
        <f t="shared" si="36"/>
        <v>0</v>
      </c>
      <c r="G236" s="191">
        <f t="shared" si="37"/>
        <v>0</v>
      </c>
      <c r="H236" s="191"/>
      <c r="I236" s="194"/>
      <c r="J236" s="191">
        <f t="shared" si="34"/>
        <v>0</v>
      </c>
      <c r="K236" s="196">
        <f t="shared" si="35"/>
        <v>0</v>
      </c>
      <c r="L236" s="191">
        <f t="shared" si="38"/>
        <v>0</v>
      </c>
      <c r="M236" s="191">
        <f t="shared" si="39"/>
        <v>0</v>
      </c>
      <c r="N236" s="191">
        <f t="shared" si="41"/>
        <v>0</v>
      </c>
      <c r="O236" s="191">
        <f t="shared" si="33"/>
        <v>0</v>
      </c>
    </row>
    <row r="237" spans="2:15" x14ac:dyDescent="0.25">
      <c r="B237" s="212">
        <v>6814</v>
      </c>
      <c r="C237" s="190" t="str">
        <f t="shared" si="40"/>
        <v>Depreciación de Inmuebles, Maquinaria y Equipo - Costo</v>
      </c>
      <c r="D237" s="191">
        <f>'Mayor - Nivel Divisionarias'!E1518</f>
        <v>0</v>
      </c>
      <c r="E237" s="191">
        <f>'Mayor - Nivel Divisionarias'!F1518</f>
        <v>0</v>
      </c>
      <c r="F237" s="191">
        <f t="shared" si="36"/>
        <v>0</v>
      </c>
      <c r="G237" s="191">
        <f t="shared" si="37"/>
        <v>0</v>
      </c>
      <c r="H237" s="191"/>
      <c r="I237" s="194"/>
      <c r="J237" s="191">
        <f t="shared" si="34"/>
        <v>0</v>
      </c>
      <c r="K237" s="196">
        <f t="shared" si="35"/>
        <v>0</v>
      </c>
      <c r="L237" s="191">
        <f t="shared" si="38"/>
        <v>0</v>
      </c>
      <c r="M237" s="191">
        <f t="shared" si="39"/>
        <v>0</v>
      </c>
      <c r="N237" s="191">
        <f t="shared" si="41"/>
        <v>0</v>
      </c>
      <c r="O237" s="191">
        <f t="shared" si="33"/>
        <v>0</v>
      </c>
    </row>
    <row r="238" spans="2:15" x14ac:dyDescent="0.25">
      <c r="B238" s="212">
        <v>6911</v>
      </c>
      <c r="C238" s="190" t="str">
        <f t="shared" si="40"/>
        <v>Mercaderías Manufacturadas</v>
      </c>
      <c r="D238" s="191">
        <f>'Mayor - Nivel Divisionarias'!E1532</f>
        <v>0</v>
      </c>
      <c r="E238" s="191">
        <f>'Mayor - Nivel Divisionarias'!F1532</f>
        <v>0</v>
      </c>
      <c r="F238" s="191">
        <f t="shared" si="36"/>
        <v>0</v>
      </c>
      <c r="G238" s="191">
        <f t="shared" si="37"/>
        <v>0</v>
      </c>
      <c r="H238" s="191"/>
      <c r="I238" s="193">
        <f>F238</f>
        <v>0</v>
      </c>
      <c r="J238" s="191">
        <f t="shared" si="34"/>
        <v>0</v>
      </c>
      <c r="K238" s="196">
        <f t="shared" si="35"/>
        <v>0</v>
      </c>
      <c r="L238" s="191">
        <f t="shared" si="38"/>
        <v>0</v>
      </c>
      <c r="M238" s="191">
        <f t="shared" si="39"/>
        <v>0</v>
      </c>
      <c r="N238" s="191">
        <f t="shared" si="41"/>
        <v>0</v>
      </c>
      <c r="O238" s="191">
        <f t="shared" ref="O238:O300" si="42">IF(AND(B238&gt;6900,B238&lt;7900),G238,IF(B238=6111,G238,0))</f>
        <v>0</v>
      </c>
    </row>
    <row r="239" spans="2:15" x14ac:dyDescent="0.25">
      <c r="B239" s="212">
        <v>6921</v>
      </c>
      <c r="C239" s="190" t="str">
        <f t="shared" si="40"/>
        <v>Productos Manufacturados</v>
      </c>
      <c r="D239" s="191">
        <f>'Mayor - Nivel Divisionarias'!E1546</f>
        <v>0</v>
      </c>
      <c r="E239" s="191">
        <f>'Mayor - Nivel Divisionarias'!F1546</f>
        <v>0</v>
      </c>
      <c r="F239" s="191">
        <f t="shared" si="36"/>
        <v>0</v>
      </c>
      <c r="G239" s="191">
        <f t="shared" si="37"/>
        <v>0</v>
      </c>
      <c r="H239" s="191"/>
      <c r="I239" s="194"/>
      <c r="J239" s="191">
        <f t="shared" si="34"/>
        <v>0</v>
      </c>
      <c r="K239" s="196">
        <f t="shared" si="35"/>
        <v>0</v>
      </c>
      <c r="L239" s="191">
        <f t="shared" si="38"/>
        <v>0</v>
      </c>
      <c r="M239" s="191">
        <f t="shared" si="39"/>
        <v>0</v>
      </c>
      <c r="N239" s="191">
        <f t="shared" si="41"/>
        <v>0</v>
      </c>
      <c r="O239" s="191">
        <f t="shared" si="42"/>
        <v>0</v>
      </c>
    </row>
    <row r="240" spans="2:15" x14ac:dyDescent="0.25">
      <c r="B240" s="212">
        <v>7011</v>
      </c>
      <c r="C240" s="190" t="str">
        <f t="shared" si="40"/>
        <v>Mercaderías - Mercaderías Manufacturadas</v>
      </c>
      <c r="D240" s="191">
        <f>'Mayor - Nivel Divisionarias'!E1560</f>
        <v>0</v>
      </c>
      <c r="E240" s="191">
        <f>'Mayor - Nivel Divisionarias'!F1560</f>
        <v>0</v>
      </c>
      <c r="F240" s="191">
        <f t="shared" si="36"/>
        <v>0</v>
      </c>
      <c r="G240" s="191">
        <f t="shared" si="37"/>
        <v>0</v>
      </c>
      <c r="H240" s="191"/>
      <c r="I240" s="194"/>
      <c r="J240" s="191">
        <f t="shared" si="34"/>
        <v>0</v>
      </c>
      <c r="K240" s="196">
        <f t="shared" si="35"/>
        <v>0</v>
      </c>
      <c r="L240" s="191">
        <f t="shared" si="38"/>
        <v>0</v>
      </c>
      <c r="M240" s="191">
        <f t="shared" si="39"/>
        <v>0</v>
      </c>
      <c r="N240" s="191">
        <f t="shared" si="41"/>
        <v>0</v>
      </c>
      <c r="O240" s="191">
        <f t="shared" si="42"/>
        <v>0</v>
      </c>
    </row>
    <row r="241" spans="2:15" x14ac:dyDescent="0.25">
      <c r="B241" s="212">
        <v>7012</v>
      </c>
      <c r="C241" s="190" t="str">
        <f t="shared" si="40"/>
        <v>Mercaderías - Mercaderías de Extracción</v>
      </c>
      <c r="D241" s="191">
        <f>'Mayor - Nivel Divisionarias'!K1560</f>
        <v>0</v>
      </c>
      <c r="E241" s="191">
        <f>'Mayor - Nivel Divisionarias'!L1560</f>
        <v>0</v>
      </c>
      <c r="F241" s="191">
        <f t="shared" si="36"/>
        <v>0</v>
      </c>
      <c r="G241" s="191">
        <f t="shared" si="37"/>
        <v>0</v>
      </c>
      <c r="H241" s="191"/>
      <c r="I241" s="194"/>
      <c r="J241" s="191">
        <f t="shared" si="34"/>
        <v>0</v>
      </c>
      <c r="K241" s="196">
        <f t="shared" si="35"/>
        <v>0</v>
      </c>
      <c r="L241" s="191">
        <f t="shared" si="38"/>
        <v>0</v>
      </c>
      <c r="M241" s="191">
        <f t="shared" si="39"/>
        <v>0</v>
      </c>
      <c r="N241" s="191">
        <f t="shared" si="41"/>
        <v>0</v>
      </c>
      <c r="O241" s="191">
        <f t="shared" si="42"/>
        <v>0</v>
      </c>
    </row>
    <row r="242" spans="2:15" x14ac:dyDescent="0.25">
      <c r="B242" s="212">
        <v>7013</v>
      </c>
      <c r="C242" s="190" t="str">
        <f t="shared" si="40"/>
        <v>Mercaderías - Mercaderías Agropecuarias y Piscícolas</v>
      </c>
      <c r="D242" s="191">
        <f>'Mayor - Nivel Divisionarias'!Q1560</f>
        <v>0</v>
      </c>
      <c r="E242" s="191">
        <f>'Mayor - Nivel Divisionarias'!R1560</f>
        <v>0</v>
      </c>
      <c r="F242" s="191">
        <f t="shared" si="36"/>
        <v>0</v>
      </c>
      <c r="G242" s="191">
        <f t="shared" si="37"/>
        <v>0</v>
      </c>
      <c r="H242" s="191"/>
      <c r="I242" s="194"/>
      <c r="J242" s="191">
        <f t="shared" si="34"/>
        <v>0</v>
      </c>
      <c r="K242" s="196">
        <f t="shared" si="35"/>
        <v>0</v>
      </c>
      <c r="L242" s="191">
        <f t="shared" si="38"/>
        <v>0</v>
      </c>
      <c r="M242" s="191">
        <f t="shared" si="39"/>
        <v>0</v>
      </c>
      <c r="N242" s="191">
        <f t="shared" si="41"/>
        <v>0</v>
      </c>
      <c r="O242" s="191">
        <f t="shared" si="42"/>
        <v>0</v>
      </c>
    </row>
    <row r="243" spans="2:15" x14ac:dyDescent="0.25">
      <c r="B243" s="212">
        <v>7014</v>
      </c>
      <c r="C243" s="190" t="str">
        <f t="shared" si="40"/>
        <v>Mercaderías - Mercaderías Inmuebles</v>
      </c>
      <c r="D243" s="191">
        <f>'Mayor - Nivel Divisionarias'!W1560</f>
        <v>0</v>
      </c>
      <c r="E243" s="191">
        <f>'Mayor - Nivel Divisionarias'!X1560</f>
        <v>0</v>
      </c>
      <c r="F243" s="191">
        <f t="shared" si="36"/>
        <v>0</v>
      </c>
      <c r="G243" s="191">
        <f t="shared" si="37"/>
        <v>0</v>
      </c>
      <c r="H243" s="191"/>
      <c r="I243" s="194"/>
      <c r="J243" s="191">
        <f t="shared" si="34"/>
        <v>0</v>
      </c>
      <c r="K243" s="196">
        <f t="shared" si="35"/>
        <v>0</v>
      </c>
      <c r="L243" s="191">
        <f t="shared" si="38"/>
        <v>0</v>
      </c>
      <c r="M243" s="191">
        <f t="shared" si="39"/>
        <v>0</v>
      </c>
      <c r="N243" s="191">
        <f t="shared" si="41"/>
        <v>0</v>
      </c>
      <c r="O243" s="191">
        <f t="shared" si="42"/>
        <v>0</v>
      </c>
    </row>
    <row r="244" spans="2:15" x14ac:dyDescent="0.25">
      <c r="B244" s="212">
        <v>7015</v>
      </c>
      <c r="C244" s="190" t="str">
        <f t="shared" si="40"/>
        <v>Mercaderías - Otras</v>
      </c>
      <c r="D244" s="191">
        <f>'Mayor - Nivel Divisionarias'!AC1560</f>
        <v>0</v>
      </c>
      <c r="E244" s="191">
        <f>'Mayor - Nivel Divisionarias'!AD1560</f>
        <v>0</v>
      </c>
      <c r="F244" s="191">
        <f t="shared" si="36"/>
        <v>0</v>
      </c>
      <c r="G244" s="191">
        <f t="shared" si="37"/>
        <v>0</v>
      </c>
      <c r="H244" s="191"/>
      <c r="I244" s="194"/>
      <c r="J244" s="191">
        <f t="shared" si="34"/>
        <v>0</v>
      </c>
      <c r="K244" s="196">
        <f t="shared" si="35"/>
        <v>0</v>
      </c>
      <c r="L244" s="191">
        <f t="shared" si="38"/>
        <v>0</v>
      </c>
      <c r="M244" s="191">
        <f t="shared" si="39"/>
        <v>0</v>
      </c>
      <c r="N244" s="191">
        <f t="shared" si="41"/>
        <v>0</v>
      </c>
      <c r="O244" s="191">
        <f t="shared" si="42"/>
        <v>0</v>
      </c>
    </row>
    <row r="245" spans="2:15" x14ac:dyDescent="0.25">
      <c r="B245" s="212">
        <v>7021</v>
      </c>
      <c r="C245" s="190" t="str">
        <f t="shared" si="40"/>
        <v>Productos Terminados - Productos Manufacturados</v>
      </c>
      <c r="D245" s="191">
        <f>'Mayor - Nivel Divisionarias'!E1574</f>
        <v>0</v>
      </c>
      <c r="E245" s="191">
        <f>'Mayor - Nivel Divisionarias'!F1574</f>
        <v>0</v>
      </c>
      <c r="F245" s="191">
        <f t="shared" si="36"/>
        <v>0</v>
      </c>
      <c r="G245" s="191">
        <f t="shared" si="37"/>
        <v>0</v>
      </c>
      <c r="H245" s="191"/>
      <c r="I245" s="194"/>
      <c r="J245" s="191">
        <f t="shared" si="34"/>
        <v>0</v>
      </c>
      <c r="K245" s="196">
        <f t="shared" si="35"/>
        <v>0</v>
      </c>
      <c r="L245" s="191">
        <f t="shared" si="38"/>
        <v>0</v>
      </c>
      <c r="M245" s="191">
        <f t="shared" si="39"/>
        <v>0</v>
      </c>
      <c r="N245" s="191">
        <f t="shared" si="41"/>
        <v>0</v>
      </c>
      <c r="O245" s="191">
        <f t="shared" si="42"/>
        <v>0</v>
      </c>
    </row>
    <row r="246" spans="2:15" x14ac:dyDescent="0.25">
      <c r="B246" s="212">
        <v>7022</v>
      </c>
      <c r="C246" s="190" t="str">
        <f t="shared" si="40"/>
        <v>Productos Terminados - Productos de Extracción Terminados</v>
      </c>
      <c r="D246" s="191">
        <f>'Mayor - Nivel Divisionarias'!K1574</f>
        <v>0</v>
      </c>
      <c r="E246" s="191">
        <f>'Mayor - Nivel Divisionarias'!L1574</f>
        <v>0</v>
      </c>
      <c r="F246" s="191">
        <f t="shared" si="36"/>
        <v>0</v>
      </c>
      <c r="G246" s="191">
        <f t="shared" si="37"/>
        <v>0</v>
      </c>
      <c r="H246" s="191"/>
      <c r="I246" s="194"/>
      <c r="J246" s="191">
        <f t="shared" si="34"/>
        <v>0</v>
      </c>
      <c r="K246" s="196">
        <f t="shared" si="35"/>
        <v>0</v>
      </c>
      <c r="L246" s="191">
        <f t="shared" si="38"/>
        <v>0</v>
      </c>
      <c r="M246" s="191">
        <f t="shared" si="39"/>
        <v>0</v>
      </c>
      <c r="N246" s="191">
        <f t="shared" si="41"/>
        <v>0</v>
      </c>
      <c r="O246" s="191">
        <f t="shared" si="42"/>
        <v>0</v>
      </c>
    </row>
    <row r="247" spans="2:15" x14ac:dyDescent="0.25">
      <c r="B247" s="212">
        <v>7023</v>
      </c>
      <c r="C247" s="190" t="str">
        <f t="shared" si="40"/>
        <v>Productos Terminados - Productos Agropecuarios y Piscícolas Terminados</v>
      </c>
      <c r="D247" s="191">
        <f>'Mayor - Nivel Divisionarias'!Q1574</f>
        <v>0</v>
      </c>
      <c r="E247" s="191">
        <f>'Mayor - Nivel Divisionarias'!R1574</f>
        <v>0</v>
      </c>
      <c r="F247" s="191">
        <f t="shared" si="36"/>
        <v>0</v>
      </c>
      <c r="G247" s="191">
        <f t="shared" si="37"/>
        <v>0</v>
      </c>
      <c r="H247" s="191"/>
      <c r="I247" s="194"/>
      <c r="J247" s="191">
        <f t="shared" si="34"/>
        <v>0</v>
      </c>
      <c r="K247" s="196">
        <f t="shared" si="35"/>
        <v>0</v>
      </c>
      <c r="L247" s="191">
        <f t="shared" si="38"/>
        <v>0</v>
      </c>
      <c r="M247" s="191">
        <f t="shared" si="39"/>
        <v>0</v>
      </c>
      <c r="N247" s="191">
        <f t="shared" si="41"/>
        <v>0</v>
      </c>
      <c r="O247" s="191">
        <f t="shared" si="42"/>
        <v>0</v>
      </c>
    </row>
    <row r="248" spans="2:15" x14ac:dyDescent="0.25">
      <c r="B248" s="212">
        <v>7024</v>
      </c>
      <c r="C248" s="190" t="str">
        <f t="shared" si="40"/>
        <v>Productos Terminados - Productos Inmuebles Terminados</v>
      </c>
      <c r="D248" s="191">
        <f>'Mayor - Nivel Divisionarias'!W1574</f>
        <v>0</v>
      </c>
      <c r="E248" s="191">
        <f>'Mayor - Nivel Divisionarias'!X1574</f>
        <v>0</v>
      </c>
      <c r="F248" s="191">
        <f t="shared" si="36"/>
        <v>0</v>
      </c>
      <c r="G248" s="191">
        <f t="shared" si="37"/>
        <v>0</v>
      </c>
      <c r="H248" s="191"/>
      <c r="I248" s="194"/>
      <c r="J248" s="191">
        <f t="shared" si="34"/>
        <v>0</v>
      </c>
      <c r="K248" s="196">
        <f t="shared" si="35"/>
        <v>0</v>
      </c>
      <c r="L248" s="191">
        <f t="shared" si="38"/>
        <v>0</v>
      </c>
      <c r="M248" s="191">
        <f t="shared" si="39"/>
        <v>0</v>
      </c>
      <c r="N248" s="191">
        <f t="shared" si="41"/>
        <v>0</v>
      </c>
      <c r="O248" s="191">
        <f t="shared" si="42"/>
        <v>0</v>
      </c>
    </row>
    <row r="249" spans="2:15" x14ac:dyDescent="0.25">
      <c r="B249" s="212">
        <v>7025</v>
      </c>
      <c r="C249" s="190" t="str">
        <f t="shared" si="40"/>
        <v>Productos Terminados - Existencias de Servicios Terminados</v>
      </c>
      <c r="D249" s="191">
        <f>'Mayor - Nivel Divisionarias'!AC1574</f>
        <v>0</v>
      </c>
      <c r="E249" s="191">
        <f>'Mayor - Nivel Divisionarias'!AD1574</f>
        <v>0</v>
      </c>
      <c r="F249" s="191">
        <f t="shared" si="36"/>
        <v>0</v>
      </c>
      <c r="G249" s="191">
        <f t="shared" si="37"/>
        <v>0</v>
      </c>
      <c r="H249" s="191"/>
      <c r="I249" s="194"/>
      <c r="J249" s="191">
        <f t="shared" si="34"/>
        <v>0</v>
      </c>
      <c r="K249" s="196">
        <f t="shared" si="35"/>
        <v>0</v>
      </c>
      <c r="L249" s="191">
        <f t="shared" si="38"/>
        <v>0</v>
      </c>
      <c r="M249" s="191">
        <f t="shared" si="39"/>
        <v>0</v>
      </c>
      <c r="N249" s="191">
        <f t="shared" si="41"/>
        <v>0</v>
      </c>
      <c r="O249" s="191">
        <f t="shared" si="42"/>
        <v>0</v>
      </c>
    </row>
    <row r="250" spans="2:15" x14ac:dyDescent="0.25">
      <c r="B250" s="212">
        <v>7031</v>
      </c>
      <c r="C250" s="190" t="str">
        <f t="shared" si="40"/>
        <v>Subproductos, Desechos y Desperdicios - Subproductos</v>
      </c>
      <c r="D250" s="191">
        <f>'Mayor - Nivel Divisionarias'!E1588</f>
        <v>0</v>
      </c>
      <c r="E250" s="191">
        <f>'Mayor - Nivel Divisionarias'!F1588</f>
        <v>0</v>
      </c>
      <c r="F250" s="191">
        <f t="shared" si="36"/>
        <v>0</v>
      </c>
      <c r="G250" s="191">
        <f t="shared" si="37"/>
        <v>0</v>
      </c>
      <c r="H250" s="191"/>
      <c r="I250" s="194"/>
      <c r="J250" s="191">
        <f t="shared" si="34"/>
        <v>0</v>
      </c>
      <c r="K250" s="196">
        <f t="shared" si="35"/>
        <v>0</v>
      </c>
      <c r="L250" s="191">
        <f t="shared" si="38"/>
        <v>0</v>
      </c>
      <c r="M250" s="191">
        <f t="shared" si="39"/>
        <v>0</v>
      </c>
      <c r="N250" s="191">
        <f t="shared" si="41"/>
        <v>0</v>
      </c>
      <c r="O250" s="191">
        <f t="shared" si="42"/>
        <v>0</v>
      </c>
    </row>
    <row r="251" spans="2:15" x14ac:dyDescent="0.25">
      <c r="B251" s="212">
        <v>7032</v>
      </c>
      <c r="C251" s="190" t="str">
        <f t="shared" si="40"/>
        <v>Subproductos, Desechos y Desperdicios - Desechos y Desperdicios</v>
      </c>
      <c r="D251" s="191">
        <f>'Mayor - Nivel Divisionarias'!K1588</f>
        <v>0</v>
      </c>
      <c r="E251" s="191">
        <f>'Mayor - Nivel Divisionarias'!L1588</f>
        <v>0</v>
      </c>
      <c r="F251" s="191">
        <f t="shared" si="36"/>
        <v>0</v>
      </c>
      <c r="G251" s="191">
        <f t="shared" si="37"/>
        <v>0</v>
      </c>
      <c r="H251" s="191"/>
      <c r="I251" s="194"/>
      <c r="J251" s="191">
        <f t="shared" si="34"/>
        <v>0</v>
      </c>
      <c r="K251" s="196">
        <f t="shared" si="35"/>
        <v>0</v>
      </c>
      <c r="L251" s="191">
        <f t="shared" si="38"/>
        <v>0</v>
      </c>
      <c r="M251" s="191">
        <f t="shared" si="39"/>
        <v>0</v>
      </c>
      <c r="N251" s="191">
        <f t="shared" si="41"/>
        <v>0</v>
      </c>
      <c r="O251" s="191">
        <f t="shared" si="42"/>
        <v>0</v>
      </c>
    </row>
    <row r="252" spans="2:15" x14ac:dyDescent="0.25">
      <c r="B252" s="212">
        <v>7041</v>
      </c>
      <c r="C252" s="190" t="str">
        <f t="shared" si="40"/>
        <v>Prestación de Servicios - Terceros</v>
      </c>
      <c r="D252" s="191">
        <f>'Mayor - Nivel Divisionarias'!E1602</f>
        <v>0</v>
      </c>
      <c r="E252" s="191">
        <f>'Mayor - Nivel Divisionarias'!F1602</f>
        <v>0</v>
      </c>
      <c r="F252" s="191">
        <f t="shared" si="36"/>
        <v>0</v>
      </c>
      <c r="G252" s="191">
        <f t="shared" si="37"/>
        <v>0</v>
      </c>
      <c r="H252" s="191"/>
      <c r="I252" s="194"/>
      <c r="J252" s="191">
        <f t="shared" si="34"/>
        <v>0</v>
      </c>
      <c r="K252" s="196">
        <f t="shared" si="35"/>
        <v>0</v>
      </c>
      <c r="L252" s="191">
        <f t="shared" si="38"/>
        <v>0</v>
      </c>
      <c r="M252" s="191">
        <f t="shared" si="39"/>
        <v>0</v>
      </c>
      <c r="N252" s="191">
        <f t="shared" si="41"/>
        <v>0</v>
      </c>
      <c r="O252" s="191">
        <f t="shared" si="42"/>
        <v>0</v>
      </c>
    </row>
    <row r="253" spans="2:15" x14ac:dyDescent="0.25">
      <c r="B253" s="212">
        <v>7042</v>
      </c>
      <c r="C253" s="190" t="str">
        <f t="shared" si="40"/>
        <v>Prestación de Servicios - Relacionadas</v>
      </c>
      <c r="D253" s="191">
        <f>'Mayor - Nivel Divisionarias'!K1602</f>
        <v>0</v>
      </c>
      <c r="E253" s="191">
        <f>'Mayor - Nivel Divisionarias'!L1602</f>
        <v>0</v>
      </c>
      <c r="F253" s="191">
        <f t="shared" si="36"/>
        <v>0</v>
      </c>
      <c r="G253" s="191">
        <f t="shared" si="37"/>
        <v>0</v>
      </c>
      <c r="H253" s="191"/>
      <c r="I253" s="194"/>
      <c r="J253" s="191">
        <f t="shared" si="34"/>
        <v>0</v>
      </c>
      <c r="K253" s="196">
        <f t="shared" si="35"/>
        <v>0</v>
      </c>
      <c r="L253" s="191">
        <f t="shared" si="38"/>
        <v>0</v>
      </c>
      <c r="M253" s="191">
        <f t="shared" si="39"/>
        <v>0</v>
      </c>
      <c r="N253" s="191">
        <f t="shared" si="41"/>
        <v>0</v>
      </c>
      <c r="O253" s="191">
        <f t="shared" si="42"/>
        <v>0</v>
      </c>
    </row>
    <row r="254" spans="2:15" x14ac:dyDescent="0.25">
      <c r="B254" s="212">
        <v>7091</v>
      </c>
      <c r="C254" s="190" t="str">
        <f t="shared" si="40"/>
        <v>Devoluciones sobre Ventas - Mercaderías - Terceros</v>
      </c>
      <c r="D254" s="191">
        <f>'Mayor - Nivel Divisionarias'!E1616</f>
        <v>0</v>
      </c>
      <c r="E254" s="191">
        <f>'Mayor - Nivel Divisionarias'!F1616</f>
        <v>0</v>
      </c>
      <c r="F254" s="191">
        <f t="shared" si="36"/>
        <v>0</v>
      </c>
      <c r="G254" s="191">
        <f t="shared" si="37"/>
        <v>0</v>
      </c>
      <c r="H254" s="191"/>
      <c r="I254" s="194"/>
      <c r="J254" s="191">
        <f t="shared" si="34"/>
        <v>0</v>
      </c>
      <c r="K254" s="196">
        <f t="shared" si="35"/>
        <v>0</v>
      </c>
      <c r="L254" s="191">
        <f t="shared" si="38"/>
        <v>0</v>
      </c>
      <c r="M254" s="191">
        <f t="shared" si="39"/>
        <v>0</v>
      </c>
      <c r="N254" s="191">
        <f t="shared" si="41"/>
        <v>0</v>
      </c>
      <c r="O254" s="191">
        <f t="shared" si="42"/>
        <v>0</v>
      </c>
    </row>
    <row r="255" spans="2:15" x14ac:dyDescent="0.25">
      <c r="B255" s="212">
        <v>7092</v>
      </c>
      <c r="C255" s="190" t="str">
        <f t="shared" si="40"/>
        <v>Devoluciones sobre Ventas - Mercaderías - Relacionadas</v>
      </c>
      <c r="D255" s="191">
        <f>'Mayor - Nivel Divisionarias'!K1616</f>
        <v>0</v>
      </c>
      <c r="E255" s="191">
        <f>'Mayor - Nivel Divisionarias'!L1616</f>
        <v>0</v>
      </c>
      <c r="F255" s="191">
        <f t="shared" si="36"/>
        <v>0</v>
      </c>
      <c r="G255" s="191">
        <f t="shared" si="37"/>
        <v>0</v>
      </c>
      <c r="H255" s="191"/>
      <c r="I255" s="194"/>
      <c r="J255" s="191">
        <f t="shared" si="34"/>
        <v>0</v>
      </c>
      <c r="K255" s="196">
        <f t="shared" si="35"/>
        <v>0</v>
      </c>
      <c r="L255" s="191">
        <f t="shared" si="38"/>
        <v>0</v>
      </c>
      <c r="M255" s="191">
        <f t="shared" si="39"/>
        <v>0</v>
      </c>
      <c r="N255" s="191">
        <f t="shared" si="41"/>
        <v>0</v>
      </c>
      <c r="O255" s="191">
        <f t="shared" si="42"/>
        <v>0</v>
      </c>
    </row>
    <row r="256" spans="2:15" x14ac:dyDescent="0.25">
      <c r="B256" s="212">
        <v>7093</v>
      </c>
      <c r="C256" s="190" t="str">
        <f t="shared" si="40"/>
        <v>Devoluciones sobre Ventas - Productos Terminados - Terceros</v>
      </c>
      <c r="D256" s="191">
        <f>'Mayor - Nivel Divisionarias'!Q1616</f>
        <v>0</v>
      </c>
      <c r="E256" s="191">
        <f>'Mayor - Nivel Divisionarias'!R1616</f>
        <v>0</v>
      </c>
      <c r="F256" s="191">
        <f t="shared" si="36"/>
        <v>0</v>
      </c>
      <c r="G256" s="191">
        <f t="shared" si="37"/>
        <v>0</v>
      </c>
      <c r="H256" s="191"/>
      <c r="I256" s="194"/>
      <c r="J256" s="191">
        <f t="shared" si="34"/>
        <v>0</v>
      </c>
      <c r="K256" s="196">
        <f t="shared" si="35"/>
        <v>0</v>
      </c>
      <c r="L256" s="191">
        <f t="shared" si="38"/>
        <v>0</v>
      </c>
      <c r="M256" s="191">
        <f t="shared" si="39"/>
        <v>0</v>
      </c>
      <c r="N256" s="191">
        <f t="shared" si="41"/>
        <v>0</v>
      </c>
      <c r="O256" s="191">
        <f t="shared" si="42"/>
        <v>0</v>
      </c>
    </row>
    <row r="257" spans="2:15" x14ac:dyDescent="0.25">
      <c r="B257" s="212">
        <v>7094</v>
      </c>
      <c r="C257" s="190" t="str">
        <f t="shared" si="40"/>
        <v>Devoluciones sobre Ventas - Productos Terminados - Relacionadas</v>
      </c>
      <c r="D257" s="191">
        <f>'Mayor - Nivel Divisionarias'!W1616</f>
        <v>0</v>
      </c>
      <c r="E257" s="191">
        <f>'Mayor - Nivel Divisionarias'!X1616</f>
        <v>0</v>
      </c>
      <c r="F257" s="191">
        <f t="shared" si="36"/>
        <v>0</v>
      </c>
      <c r="G257" s="191">
        <f t="shared" si="37"/>
        <v>0</v>
      </c>
      <c r="H257" s="191"/>
      <c r="I257" s="194"/>
      <c r="J257" s="191">
        <f t="shared" si="34"/>
        <v>0</v>
      </c>
      <c r="K257" s="196">
        <f t="shared" si="35"/>
        <v>0</v>
      </c>
      <c r="L257" s="191">
        <f t="shared" si="38"/>
        <v>0</v>
      </c>
      <c r="M257" s="191">
        <f t="shared" si="39"/>
        <v>0</v>
      </c>
      <c r="N257" s="191">
        <f t="shared" si="41"/>
        <v>0</v>
      </c>
      <c r="O257" s="191">
        <f t="shared" si="42"/>
        <v>0</v>
      </c>
    </row>
    <row r="258" spans="2:15" x14ac:dyDescent="0.25">
      <c r="B258" s="212">
        <v>7095</v>
      </c>
      <c r="C258" s="190" t="str">
        <f t="shared" si="40"/>
        <v>Devoluciones sobre Ventas - Subproductos, Desechos y Desperdicios - Terceros</v>
      </c>
      <c r="D258" s="191">
        <f>'Mayor - Nivel Divisionarias'!AC1616</f>
        <v>0</v>
      </c>
      <c r="E258" s="191">
        <f>'Mayor - Nivel Divisionarias'!AD1616</f>
        <v>0</v>
      </c>
      <c r="F258" s="191">
        <f t="shared" si="36"/>
        <v>0</v>
      </c>
      <c r="G258" s="191">
        <f t="shared" si="37"/>
        <v>0</v>
      </c>
      <c r="H258" s="191"/>
      <c r="I258" s="194"/>
      <c r="J258" s="191">
        <f t="shared" si="34"/>
        <v>0</v>
      </c>
      <c r="K258" s="196">
        <f t="shared" si="35"/>
        <v>0</v>
      </c>
      <c r="L258" s="191">
        <f t="shared" si="38"/>
        <v>0</v>
      </c>
      <c r="M258" s="191">
        <f t="shared" si="39"/>
        <v>0</v>
      </c>
      <c r="N258" s="191">
        <f t="shared" si="41"/>
        <v>0</v>
      </c>
      <c r="O258" s="191">
        <f t="shared" si="42"/>
        <v>0</v>
      </c>
    </row>
    <row r="259" spans="2:15" x14ac:dyDescent="0.25">
      <c r="B259" s="212">
        <v>7096</v>
      </c>
      <c r="C259" s="190" t="str">
        <f t="shared" si="40"/>
        <v>Devoluciones sobre Ventas - Subproductos, Desechos y Desperdicios - Relacionadas</v>
      </c>
      <c r="D259" s="191">
        <f>'Mayor - Nivel Divisionarias'!AI1616</f>
        <v>0</v>
      </c>
      <c r="E259" s="191">
        <f>'Mayor - Nivel Divisionarias'!AJ1616</f>
        <v>0</v>
      </c>
      <c r="F259" s="191">
        <f t="shared" si="36"/>
        <v>0</v>
      </c>
      <c r="G259" s="191">
        <f t="shared" si="37"/>
        <v>0</v>
      </c>
      <c r="H259" s="191"/>
      <c r="I259" s="194"/>
      <c r="J259" s="191">
        <f t="shared" si="34"/>
        <v>0</v>
      </c>
      <c r="K259" s="196">
        <f t="shared" si="35"/>
        <v>0</v>
      </c>
      <c r="L259" s="191">
        <f t="shared" si="38"/>
        <v>0</v>
      </c>
      <c r="M259" s="191">
        <f t="shared" si="39"/>
        <v>0</v>
      </c>
      <c r="N259" s="191">
        <f t="shared" si="41"/>
        <v>0</v>
      </c>
      <c r="O259" s="191">
        <f t="shared" si="42"/>
        <v>0</v>
      </c>
    </row>
    <row r="260" spans="2:15" x14ac:dyDescent="0.25">
      <c r="B260" s="212">
        <v>7111</v>
      </c>
      <c r="C260" s="190" t="str">
        <f t="shared" si="40"/>
        <v>Productos Manufacturados</v>
      </c>
      <c r="D260" s="191">
        <f>'Mayor - Nivel Divisionarias'!E1630</f>
        <v>0</v>
      </c>
      <c r="E260" s="191">
        <f>'Mayor - Nivel Divisionarias'!F1630</f>
        <v>0</v>
      </c>
      <c r="F260" s="191">
        <f t="shared" si="36"/>
        <v>0</v>
      </c>
      <c r="G260" s="191">
        <f t="shared" si="37"/>
        <v>0</v>
      </c>
      <c r="H260" s="191"/>
      <c r="I260" s="194"/>
      <c r="J260" s="191">
        <f t="shared" si="34"/>
        <v>0</v>
      </c>
      <c r="K260" s="196">
        <f t="shared" si="35"/>
        <v>0</v>
      </c>
      <c r="L260" s="191">
        <f t="shared" si="38"/>
        <v>0</v>
      </c>
      <c r="M260" s="191">
        <f t="shared" si="39"/>
        <v>0</v>
      </c>
      <c r="N260" s="191">
        <f t="shared" si="41"/>
        <v>0</v>
      </c>
      <c r="O260" s="191">
        <f t="shared" si="42"/>
        <v>0</v>
      </c>
    </row>
    <row r="261" spans="2:15" x14ac:dyDescent="0.25">
      <c r="B261" s="212">
        <v>7311</v>
      </c>
      <c r="C261" s="190" t="str">
        <f t="shared" si="40"/>
        <v>Descuentos, Rebajas y Bonificaciones Obtenidos - Terceros</v>
      </c>
      <c r="D261" s="191">
        <f>'Mayor - Nivel Divisionarias'!E1644</f>
        <v>0</v>
      </c>
      <c r="E261" s="191">
        <f>'Mayor - Nivel Divisionarias'!F1644</f>
        <v>0</v>
      </c>
      <c r="F261" s="191">
        <f t="shared" si="36"/>
        <v>0</v>
      </c>
      <c r="G261" s="191">
        <f t="shared" si="37"/>
        <v>0</v>
      </c>
      <c r="H261" s="191"/>
      <c r="I261" s="194"/>
      <c r="J261" s="191">
        <f t="shared" si="34"/>
        <v>0</v>
      </c>
      <c r="K261" s="196">
        <f t="shared" si="35"/>
        <v>0</v>
      </c>
      <c r="L261" s="191">
        <f t="shared" si="38"/>
        <v>0</v>
      </c>
      <c r="M261" s="191">
        <f t="shared" si="39"/>
        <v>0</v>
      </c>
      <c r="N261" s="191">
        <f t="shared" si="41"/>
        <v>0</v>
      </c>
      <c r="O261" s="191">
        <f t="shared" si="42"/>
        <v>0</v>
      </c>
    </row>
    <row r="262" spans="2:15" x14ac:dyDescent="0.25">
      <c r="B262" s="212">
        <v>7411</v>
      </c>
      <c r="C262" s="190" t="str">
        <f t="shared" si="40"/>
        <v>Descuentos, Rebajas y Bonificaciones Concedidos - Terceros</v>
      </c>
      <c r="D262" s="191">
        <f>'Mayor - Nivel Divisionarias'!E1658</f>
        <v>0</v>
      </c>
      <c r="E262" s="191">
        <f>'Mayor - Nivel Divisionarias'!F1658</f>
        <v>0</v>
      </c>
      <c r="F262" s="191">
        <f t="shared" si="36"/>
        <v>0</v>
      </c>
      <c r="G262" s="191">
        <f t="shared" si="37"/>
        <v>0</v>
      </c>
      <c r="H262" s="191"/>
      <c r="I262" s="194"/>
      <c r="J262" s="191">
        <f t="shared" si="34"/>
        <v>0</v>
      </c>
      <c r="K262" s="196">
        <f t="shared" si="35"/>
        <v>0</v>
      </c>
      <c r="L262" s="191">
        <f t="shared" si="38"/>
        <v>0</v>
      </c>
      <c r="M262" s="191">
        <f t="shared" si="39"/>
        <v>0</v>
      </c>
      <c r="N262" s="191">
        <f t="shared" si="41"/>
        <v>0</v>
      </c>
      <c r="O262" s="191">
        <f t="shared" si="42"/>
        <v>0</v>
      </c>
    </row>
    <row r="263" spans="2:15" x14ac:dyDescent="0.25">
      <c r="B263" s="212">
        <v>7412</v>
      </c>
      <c r="C263" s="190" t="str">
        <f t="shared" si="40"/>
        <v>Descuentos, Rebajas y Bonificaciones Concedidos - Relacionadas</v>
      </c>
      <c r="D263" s="191">
        <f>'Mayor - Nivel Divisionarias'!K1658</f>
        <v>0</v>
      </c>
      <c r="E263" s="191">
        <f>'Mayor - Nivel Divisionarias'!L1658</f>
        <v>0</v>
      </c>
      <c r="F263" s="191">
        <f t="shared" si="36"/>
        <v>0</v>
      </c>
      <c r="G263" s="191">
        <f t="shared" si="37"/>
        <v>0</v>
      </c>
      <c r="H263" s="191"/>
      <c r="I263" s="194"/>
      <c r="J263" s="191">
        <f t="shared" si="34"/>
        <v>0</v>
      </c>
      <c r="K263" s="196">
        <f t="shared" si="35"/>
        <v>0</v>
      </c>
      <c r="L263" s="191">
        <f t="shared" si="38"/>
        <v>0</v>
      </c>
      <c r="M263" s="191">
        <f t="shared" si="39"/>
        <v>0</v>
      </c>
      <c r="N263" s="191">
        <f t="shared" si="41"/>
        <v>0</v>
      </c>
      <c r="O263" s="191">
        <f t="shared" si="42"/>
        <v>0</v>
      </c>
    </row>
    <row r="264" spans="2:15" x14ac:dyDescent="0.25">
      <c r="B264" s="212">
        <v>7511</v>
      </c>
      <c r="C264" s="190" t="str">
        <f t="shared" si="40"/>
        <v>Servicios en Beneficio del Personal</v>
      </c>
      <c r="D264" s="191">
        <f>'Mayor - Nivel Divisionarias'!E1672</f>
        <v>0</v>
      </c>
      <c r="E264" s="191">
        <f>'Mayor - Nivel Divisionarias'!F1672</f>
        <v>0</v>
      </c>
      <c r="F264" s="191">
        <f t="shared" si="36"/>
        <v>0</v>
      </c>
      <c r="G264" s="191">
        <f t="shared" si="37"/>
        <v>0</v>
      </c>
      <c r="H264" s="191"/>
      <c r="I264" s="194"/>
      <c r="J264" s="191">
        <f t="shared" si="34"/>
        <v>0</v>
      </c>
      <c r="K264" s="196">
        <f t="shared" si="35"/>
        <v>0</v>
      </c>
      <c r="L264" s="191">
        <f t="shared" si="38"/>
        <v>0</v>
      </c>
      <c r="M264" s="191">
        <f t="shared" si="39"/>
        <v>0</v>
      </c>
      <c r="N264" s="191">
        <f t="shared" si="41"/>
        <v>0</v>
      </c>
      <c r="O264" s="191">
        <f t="shared" si="42"/>
        <v>0</v>
      </c>
    </row>
    <row r="265" spans="2:15" x14ac:dyDescent="0.25">
      <c r="B265" s="212">
        <v>7521</v>
      </c>
      <c r="C265" s="190" t="str">
        <f t="shared" si="40"/>
        <v>Comisiones</v>
      </c>
      <c r="D265" s="191">
        <f>'Mayor - Nivel Divisionarias'!E1686</f>
        <v>0</v>
      </c>
      <c r="E265" s="191">
        <f>'Mayor - Nivel Divisionarias'!F1686</f>
        <v>0</v>
      </c>
      <c r="F265" s="191">
        <f t="shared" si="36"/>
        <v>0</v>
      </c>
      <c r="G265" s="191">
        <f t="shared" si="37"/>
        <v>0</v>
      </c>
      <c r="H265" s="191"/>
      <c r="I265" s="194"/>
      <c r="J265" s="191">
        <f t="shared" si="34"/>
        <v>0</v>
      </c>
      <c r="K265" s="196">
        <f t="shared" si="35"/>
        <v>0</v>
      </c>
      <c r="L265" s="191">
        <f t="shared" si="38"/>
        <v>0</v>
      </c>
      <c r="M265" s="191">
        <f t="shared" si="39"/>
        <v>0</v>
      </c>
      <c r="N265" s="191">
        <f t="shared" si="41"/>
        <v>0</v>
      </c>
      <c r="O265" s="191">
        <f t="shared" si="42"/>
        <v>0</v>
      </c>
    </row>
    <row r="266" spans="2:15" x14ac:dyDescent="0.25">
      <c r="B266" s="212">
        <v>7522</v>
      </c>
      <c r="C266" s="190" t="str">
        <f t="shared" si="40"/>
        <v>Corretajes</v>
      </c>
      <c r="D266" s="191">
        <f>'Mayor - Nivel Divisionarias'!K1686</f>
        <v>0</v>
      </c>
      <c r="E266" s="191">
        <f>'Mayor - Nivel Divisionarias'!L1686</f>
        <v>0</v>
      </c>
      <c r="F266" s="191">
        <f t="shared" si="36"/>
        <v>0</v>
      </c>
      <c r="G266" s="191">
        <f t="shared" si="37"/>
        <v>0</v>
      </c>
      <c r="H266" s="191"/>
      <c r="I266" s="194"/>
      <c r="J266" s="191">
        <f t="shared" si="34"/>
        <v>0</v>
      </c>
      <c r="K266" s="196">
        <f t="shared" si="35"/>
        <v>0</v>
      </c>
      <c r="L266" s="191">
        <f t="shared" si="38"/>
        <v>0</v>
      </c>
      <c r="M266" s="191">
        <f t="shared" si="39"/>
        <v>0</v>
      </c>
      <c r="N266" s="191">
        <f t="shared" si="41"/>
        <v>0</v>
      </c>
      <c r="O266" s="191">
        <f t="shared" si="42"/>
        <v>0</v>
      </c>
    </row>
    <row r="267" spans="2:15" x14ac:dyDescent="0.25">
      <c r="B267" s="212">
        <v>7531</v>
      </c>
      <c r="C267" s="190" t="str">
        <f t="shared" si="40"/>
        <v>Regalías</v>
      </c>
      <c r="D267" s="191">
        <f>'Mayor - Nivel Divisionarias'!E1700</f>
        <v>0</v>
      </c>
      <c r="E267" s="191">
        <f>'Mayor - Nivel Divisionarias'!F1700</f>
        <v>0</v>
      </c>
      <c r="F267" s="191">
        <f t="shared" si="36"/>
        <v>0</v>
      </c>
      <c r="G267" s="191">
        <f t="shared" si="37"/>
        <v>0</v>
      </c>
      <c r="H267" s="191"/>
      <c r="I267" s="194"/>
      <c r="J267" s="191">
        <f t="shared" si="34"/>
        <v>0</v>
      </c>
      <c r="K267" s="196">
        <f t="shared" si="35"/>
        <v>0</v>
      </c>
      <c r="L267" s="191">
        <f t="shared" si="38"/>
        <v>0</v>
      </c>
      <c r="M267" s="191">
        <f t="shared" si="39"/>
        <v>0</v>
      </c>
      <c r="N267" s="191">
        <f t="shared" si="41"/>
        <v>0</v>
      </c>
      <c r="O267" s="191">
        <f t="shared" si="42"/>
        <v>0</v>
      </c>
    </row>
    <row r="268" spans="2:15" x14ac:dyDescent="0.25">
      <c r="B268" s="212">
        <v>7541</v>
      </c>
      <c r="C268" s="190" t="str">
        <f t="shared" si="40"/>
        <v>Terrenos</v>
      </c>
      <c r="D268" s="191">
        <f>'Mayor - Nivel Divisionarias'!E1714</f>
        <v>0</v>
      </c>
      <c r="E268" s="191">
        <f>'Mayor - Nivel Divisionarias'!F1714</f>
        <v>0</v>
      </c>
      <c r="F268" s="191">
        <f t="shared" si="36"/>
        <v>0</v>
      </c>
      <c r="G268" s="191">
        <f t="shared" si="37"/>
        <v>0</v>
      </c>
      <c r="H268" s="191"/>
      <c r="I268" s="194"/>
      <c r="J268" s="191">
        <f t="shared" ref="J268:J305" si="43">IF(6000&gt;B268,F268,0)</f>
        <v>0</v>
      </c>
      <c r="K268" s="196">
        <f t="shared" ref="K268:K305" si="44">IF(6000&gt;B268,G268,0)</f>
        <v>0</v>
      </c>
      <c r="L268" s="191">
        <f t="shared" si="38"/>
        <v>0</v>
      </c>
      <c r="M268" s="191">
        <f t="shared" si="39"/>
        <v>0</v>
      </c>
      <c r="N268" s="191">
        <f t="shared" si="41"/>
        <v>0</v>
      </c>
      <c r="O268" s="191">
        <f t="shared" si="42"/>
        <v>0</v>
      </c>
    </row>
    <row r="269" spans="2:15" x14ac:dyDescent="0.25">
      <c r="B269" s="212">
        <v>7542</v>
      </c>
      <c r="C269" s="190" t="str">
        <f t="shared" si="40"/>
        <v>Edificaciones</v>
      </c>
      <c r="D269" s="191">
        <f>'Mayor - Nivel Divisionarias'!K1714</f>
        <v>0</v>
      </c>
      <c r="E269" s="191">
        <f>'Mayor - Nivel Divisionarias'!L1714</f>
        <v>0</v>
      </c>
      <c r="F269" s="191">
        <f t="shared" ref="F269:F305" si="45">IF(D269&gt;E269,D269-E269,0)</f>
        <v>0</v>
      </c>
      <c r="G269" s="191">
        <f t="shared" ref="G269:G305" si="46">IF(D269&lt;E269,E269-D269,0)</f>
        <v>0</v>
      </c>
      <c r="H269" s="191"/>
      <c r="I269" s="194"/>
      <c r="J269" s="191">
        <f t="shared" si="43"/>
        <v>0</v>
      </c>
      <c r="K269" s="196">
        <f t="shared" si="44"/>
        <v>0</v>
      </c>
      <c r="L269" s="191">
        <f t="shared" ref="L269:L305" si="47">IF(AND(B269&gt;9200,B269&lt;9999),F269,IF(B269=7091,F269,IF(B269=7411,F269,IF(B269=6911,F269,IF(B269=6611,F269,0)))))</f>
        <v>0</v>
      </c>
      <c r="M269" s="191">
        <f t="shared" ref="M269:M305" si="48">IF(AND(B269&gt;6900,B269&lt;7900),G269,0)</f>
        <v>0</v>
      </c>
      <c r="N269" s="191">
        <f t="shared" si="41"/>
        <v>0</v>
      </c>
      <c r="O269" s="191">
        <f t="shared" si="42"/>
        <v>0</v>
      </c>
    </row>
    <row r="270" spans="2:15" x14ac:dyDescent="0.25">
      <c r="B270" s="212">
        <v>7543</v>
      </c>
      <c r="C270" s="190" t="str">
        <f t="shared" si="40"/>
        <v>Maquinarias y Equipos de Explotación</v>
      </c>
      <c r="D270" s="191">
        <f>'Mayor - Nivel Divisionarias'!Q1714</f>
        <v>0</v>
      </c>
      <c r="E270" s="191">
        <f>'Mayor - Nivel Divisionarias'!R1714</f>
        <v>0</v>
      </c>
      <c r="F270" s="191">
        <f t="shared" si="45"/>
        <v>0</v>
      </c>
      <c r="G270" s="191">
        <f t="shared" si="46"/>
        <v>0</v>
      </c>
      <c r="H270" s="191"/>
      <c r="I270" s="194"/>
      <c r="J270" s="191">
        <f t="shared" si="43"/>
        <v>0</v>
      </c>
      <c r="K270" s="196">
        <f t="shared" si="44"/>
        <v>0</v>
      </c>
      <c r="L270" s="191">
        <f t="shared" si="47"/>
        <v>0</v>
      </c>
      <c r="M270" s="191">
        <f t="shared" si="48"/>
        <v>0</v>
      </c>
      <c r="N270" s="191">
        <f t="shared" si="41"/>
        <v>0</v>
      </c>
      <c r="O270" s="191">
        <f t="shared" si="42"/>
        <v>0</v>
      </c>
    </row>
    <row r="271" spans="2:15" x14ac:dyDescent="0.25">
      <c r="B271" s="212">
        <v>7544</v>
      </c>
      <c r="C271" s="190" t="str">
        <f t="shared" si="40"/>
        <v>Equipos de Transporte</v>
      </c>
      <c r="D271" s="191">
        <f>'Mayor - Nivel Divisionarias'!W1714</f>
        <v>0</v>
      </c>
      <c r="E271" s="191">
        <f>'Mayor - Nivel Divisionarias'!X1714</f>
        <v>0</v>
      </c>
      <c r="F271" s="191">
        <f t="shared" si="45"/>
        <v>0</v>
      </c>
      <c r="G271" s="191">
        <f t="shared" si="46"/>
        <v>0</v>
      </c>
      <c r="H271" s="191"/>
      <c r="I271" s="194"/>
      <c r="J271" s="191">
        <f t="shared" si="43"/>
        <v>0</v>
      </c>
      <c r="K271" s="196">
        <f t="shared" si="44"/>
        <v>0</v>
      </c>
      <c r="L271" s="191">
        <f t="shared" si="47"/>
        <v>0</v>
      </c>
      <c r="M271" s="191">
        <f t="shared" si="48"/>
        <v>0</v>
      </c>
      <c r="N271" s="191">
        <f t="shared" si="41"/>
        <v>0</v>
      </c>
      <c r="O271" s="191">
        <f t="shared" si="42"/>
        <v>0</v>
      </c>
    </row>
    <row r="272" spans="2:15" x14ac:dyDescent="0.25">
      <c r="B272" s="212">
        <v>7545</v>
      </c>
      <c r="C272" s="190" t="str">
        <f t="shared" si="40"/>
        <v>Equipos Diversos</v>
      </c>
      <c r="D272" s="191">
        <f>'Mayor - Nivel Divisionarias'!AC1714</f>
        <v>0</v>
      </c>
      <c r="E272" s="191">
        <f>'Mayor - Nivel Divisionarias'!AD1714</f>
        <v>0</v>
      </c>
      <c r="F272" s="191">
        <f t="shared" si="45"/>
        <v>0</v>
      </c>
      <c r="G272" s="191">
        <f t="shared" si="46"/>
        <v>0</v>
      </c>
      <c r="H272" s="191"/>
      <c r="I272" s="194"/>
      <c r="J272" s="191">
        <f t="shared" si="43"/>
        <v>0</v>
      </c>
      <c r="K272" s="196">
        <f t="shared" si="44"/>
        <v>0</v>
      </c>
      <c r="L272" s="191">
        <f t="shared" si="47"/>
        <v>0</v>
      </c>
      <c r="M272" s="191">
        <f t="shared" si="48"/>
        <v>0</v>
      </c>
      <c r="N272" s="191">
        <f t="shared" si="41"/>
        <v>0</v>
      </c>
      <c r="O272" s="191">
        <f t="shared" si="42"/>
        <v>0</v>
      </c>
    </row>
    <row r="273" spans="2:15" x14ac:dyDescent="0.25">
      <c r="B273" s="212">
        <v>7551</v>
      </c>
      <c r="C273" s="190" t="str">
        <f t="shared" si="40"/>
        <v>Recuperación - Cuentas de Cobranza Dudosa</v>
      </c>
      <c r="D273" s="191">
        <f>'Mayor - Nivel Divisionarias'!E1728</f>
        <v>0</v>
      </c>
      <c r="E273" s="191">
        <f>'Mayor - Nivel Divisionarias'!F1728</f>
        <v>0</v>
      </c>
      <c r="F273" s="191">
        <f t="shared" si="45"/>
        <v>0</v>
      </c>
      <c r="G273" s="191">
        <f t="shared" si="46"/>
        <v>0</v>
      </c>
      <c r="H273" s="191"/>
      <c r="I273" s="194"/>
      <c r="J273" s="191">
        <f t="shared" si="43"/>
        <v>0</v>
      </c>
      <c r="K273" s="196">
        <f t="shared" si="44"/>
        <v>0</v>
      </c>
      <c r="L273" s="191">
        <f t="shared" si="47"/>
        <v>0</v>
      </c>
      <c r="M273" s="191">
        <f t="shared" si="48"/>
        <v>0</v>
      </c>
      <c r="N273" s="191">
        <f t="shared" si="41"/>
        <v>0</v>
      </c>
      <c r="O273" s="191">
        <f t="shared" si="42"/>
        <v>0</v>
      </c>
    </row>
    <row r="274" spans="2:15" x14ac:dyDescent="0.25">
      <c r="B274" s="212">
        <v>7552</v>
      </c>
      <c r="C274" s="190" t="str">
        <f t="shared" si="40"/>
        <v>Recuperación - Desvalorización de Existencias</v>
      </c>
      <c r="D274" s="191">
        <f>'Mayor - Nivel Divisionarias'!K1728</f>
        <v>0</v>
      </c>
      <c r="E274" s="191">
        <f>'Mayor - Nivel Divisionarias'!L1728</f>
        <v>0</v>
      </c>
      <c r="F274" s="191">
        <f t="shared" si="45"/>
        <v>0</v>
      </c>
      <c r="G274" s="191">
        <f t="shared" si="46"/>
        <v>0</v>
      </c>
      <c r="H274" s="191"/>
      <c r="I274" s="194"/>
      <c r="J274" s="191">
        <f t="shared" si="43"/>
        <v>0</v>
      </c>
      <c r="K274" s="196">
        <f t="shared" si="44"/>
        <v>0</v>
      </c>
      <c r="L274" s="191">
        <f t="shared" si="47"/>
        <v>0</v>
      </c>
      <c r="M274" s="191">
        <f t="shared" si="48"/>
        <v>0</v>
      </c>
      <c r="N274" s="191">
        <f t="shared" si="41"/>
        <v>0</v>
      </c>
      <c r="O274" s="191">
        <f t="shared" si="42"/>
        <v>0</v>
      </c>
    </row>
    <row r="275" spans="2:15" x14ac:dyDescent="0.25">
      <c r="B275" s="212">
        <v>7553</v>
      </c>
      <c r="C275" s="190" t="str">
        <f t="shared" ref="C275:C305" si="49">VLOOKUP(B275,DivisionariasContables,3,FALSE)</f>
        <v>Recuperación - Desvalorización de Inversiones Inmobiliarias</v>
      </c>
      <c r="D275" s="191">
        <f>'Mayor - Nivel Divisionarias'!Q1728</f>
        <v>0</v>
      </c>
      <c r="E275" s="191">
        <f>'Mayor - Nivel Divisionarias'!R1728</f>
        <v>0</v>
      </c>
      <c r="F275" s="191">
        <f t="shared" si="45"/>
        <v>0</v>
      </c>
      <c r="G275" s="191">
        <f t="shared" si="46"/>
        <v>0</v>
      </c>
      <c r="H275" s="191"/>
      <c r="I275" s="194"/>
      <c r="J275" s="191">
        <f t="shared" si="43"/>
        <v>0</v>
      </c>
      <c r="K275" s="196">
        <f t="shared" si="44"/>
        <v>0</v>
      </c>
      <c r="L275" s="191">
        <f t="shared" si="47"/>
        <v>0</v>
      </c>
      <c r="M275" s="191">
        <f t="shared" si="48"/>
        <v>0</v>
      </c>
      <c r="N275" s="191">
        <f t="shared" si="41"/>
        <v>0</v>
      </c>
      <c r="O275" s="191">
        <f t="shared" si="42"/>
        <v>0</v>
      </c>
    </row>
    <row r="276" spans="2:15" x14ac:dyDescent="0.25">
      <c r="B276" s="212">
        <v>7561</v>
      </c>
      <c r="C276" s="190" t="str">
        <f t="shared" si="49"/>
        <v>Inversiones Mobiliarias</v>
      </c>
      <c r="D276" s="191">
        <f>'Mayor - Nivel Divisionarias'!E1742</f>
        <v>0</v>
      </c>
      <c r="E276" s="191">
        <f>'Mayor - Nivel Divisionarias'!F1742</f>
        <v>0</v>
      </c>
      <c r="F276" s="191">
        <f t="shared" si="45"/>
        <v>0</v>
      </c>
      <c r="G276" s="191">
        <f t="shared" si="46"/>
        <v>0</v>
      </c>
      <c r="H276" s="191"/>
      <c r="I276" s="194"/>
      <c r="J276" s="191">
        <f t="shared" si="43"/>
        <v>0</v>
      </c>
      <c r="K276" s="196">
        <f t="shared" si="44"/>
        <v>0</v>
      </c>
      <c r="L276" s="191">
        <f t="shared" si="47"/>
        <v>0</v>
      </c>
      <c r="M276" s="191">
        <f t="shared" si="48"/>
        <v>0</v>
      </c>
      <c r="N276" s="191">
        <f t="shared" si="41"/>
        <v>0</v>
      </c>
      <c r="O276" s="191">
        <f t="shared" si="42"/>
        <v>0</v>
      </c>
    </row>
    <row r="277" spans="2:15" x14ac:dyDescent="0.25">
      <c r="B277" s="212">
        <v>7562</v>
      </c>
      <c r="C277" s="190" t="str">
        <f t="shared" si="49"/>
        <v>Inversiones Inmobiliarias</v>
      </c>
      <c r="D277" s="191">
        <f>'Mayor - Nivel Divisionarias'!K1742</f>
        <v>0</v>
      </c>
      <c r="E277" s="191">
        <f>'Mayor - Nivel Divisionarias'!L1742</f>
        <v>0</v>
      </c>
      <c r="F277" s="191">
        <f t="shared" si="45"/>
        <v>0</v>
      </c>
      <c r="G277" s="191">
        <f t="shared" si="46"/>
        <v>0</v>
      </c>
      <c r="H277" s="191"/>
      <c r="I277" s="194"/>
      <c r="J277" s="191">
        <f t="shared" si="43"/>
        <v>0</v>
      </c>
      <c r="K277" s="196">
        <f t="shared" si="44"/>
        <v>0</v>
      </c>
      <c r="L277" s="191">
        <f t="shared" si="47"/>
        <v>0</v>
      </c>
      <c r="M277" s="191">
        <f t="shared" si="48"/>
        <v>0</v>
      </c>
      <c r="N277" s="191">
        <f t="shared" si="41"/>
        <v>0</v>
      </c>
      <c r="O277" s="191">
        <f t="shared" si="42"/>
        <v>0</v>
      </c>
    </row>
    <row r="278" spans="2:15" x14ac:dyDescent="0.25">
      <c r="B278" s="212">
        <v>7563</v>
      </c>
      <c r="C278" s="190" t="str">
        <f t="shared" si="49"/>
        <v>Activos Adquiridos en Arrendamiento Financiero</v>
      </c>
      <c r="D278" s="191">
        <f>'Mayor - Nivel Divisionarias'!Q1742</f>
        <v>0</v>
      </c>
      <c r="E278" s="191">
        <f>'Mayor - Nivel Divisionarias'!R1742</f>
        <v>0</v>
      </c>
      <c r="F278" s="191">
        <f t="shared" si="45"/>
        <v>0</v>
      </c>
      <c r="G278" s="191">
        <f t="shared" si="46"/>
        <v>0</v>
      </c>
      <c r="H278" s="191"/>
      <c r="I278" s="194"/>
      <c r="J278" s="191">
        <f t="shared" si="43"/>
        <v>0</v>
      </c>
      <c r="K278" s="196">
        <f t="shared" si="44"/>
        <v>0</v>
      </c>
      <c r="L278" s="191">
        <f t="shared" si="47"/>
        <v>0</v>
      </c>
      <c r="M278" s="191">
        <f t="shared" si="48"/>
        <v>0</v>
      </c>
      <c r="N278" s="191">
        <f t="shared" si="41"/>
        <v>0</v>
      </c>
      <c r="O278" s="191">
        <f t="shared" si="42"/>
        <v>0</v>
      </c>
    </row>
    <row r="279" spans="2:15" x14ac:dyDescent="0.25">
      <c r="B279" s="212">
        <v>7564</v>
      </c>
      <c r="C279" s="190" t="str">
        <f t="shared" si="49"/>
        <v>Inmuebles, Maquinaria y Equipo</v>
      </c>
      <c r="D279" s="191">
        <f>'Mayor - Nivel Divisionarias'!W1742</f>
        <v>0</v>
      </c>
      <c r="E279" s="191">
        <f>'Mayor - Nivel Divisionarias'!X1742</f>
        <v>0</v>
      </c>
      <c r="F279" s="191">
        <f t="shared" si="45"/>
        <v>0</v>
      </c>
      <c r="G279" s="191">
        <f t="shared" si="46"/>
        <v>0</v>
      </c>
      <c r="H279" s="191"/>
      <c r="I279" s="194"/>
      <c r="J279" s="191">
        <f t="shared" si="43"/>
        <v>0</v>
      </c>
      <c r="K279" s="196">
        <f t="shared" si="44"/>
        <v>0</v>
      </c>
      <c r="L279" s="191">
        <f t="shared" si="47"/>
        <v>0</v>
      </c>
      <c r="M279" s="191">
        <f t="shared" si="48"/>
        <v>0</v>
      </c>
      <c r="N279" s="191">
        <f t="shared" si="41"/>
        <v>0</v>
      </c>
      <c r="O279" s="191">
        <f t="shared" si="42"/>
        <v>0</v>
      </c>
    </row>
    <row r="280" spans="2:15" x14ac:dyDescent="0.25">
      <c r="B280" s="212">
        <v>7565</v>
      </c>
      <c r="C280" s="190" t="str">
        <f t="shared" si="49"/>
        <v>Intangibles</v>
      </c>
      <c r="D280" s="191">
        <f>'Mayor - Nivel Divisionarias'!AC1742</f>
        <v>0</v>
      </c>
      <c r="E280" s="191">
        <f>'Mayor - Nivel Divisionarias'!AD1742</f>
        <v>0</v>
      </c>
      <c r="F280" s="191">
        <f t="shared" si="45"/>
        <v>0</v>
      </c>
      <c r="G280" s="191">
        <f t="shared" si="46"/>
        <v>0</v>
      </c>
      <c r="H280" s="191"/>
      <c r="I280" s="194"/>
      <c r="J280" s="191">
        <f t="shared" si="43"/>
        <v>0</v>
      </c>
      <c r="K280" s="196">
        <f t="shared" si="44"/>
        <v>0</v>
      </c>
      <c r="L280" s="191">
        <f t="shared" si="47"/>
        <v>0</v>
      </c>
      <c r="M280" s="191">
        <f t="shared" si="48"/>
        <v>0</v>
      </c>
      <c r="N280" s="191">
        <f t="shared" si="41"/>
        <v>0</v>
      </c>
      <c r="O280" s="191">
        <f t="shared" si="42"/>
        <v>0</v>
      </c>
    </row>
    <row r="281" spans="2:15" x14ac:dyDescent="0.25">
      <c r="B281" s="212">
        <v>7571</v>
      </c>
      <c r="C281" s="190" t="str">
        <f t="shared" si="49"/>
        <v>Recuperación de Deterioro de Inversiones Inmobiliarias</v>
      </c>
      <c r="D281" s="191">
        <f>'Mayor - Nivel Divisionarias'!E1756</f>
        <v>0</v>
      </c>
      <c r="E281" s="191">
        <f>'Mayor - Nivel Divisionarias'!F1756</f>
        <v>0</v>
      </c>
      <c r="F281" s="191">
        <f t="shared" si="45"/>
        <v>0</v>
      </c>
      <c r="G281" s="191">
        <f t="shared" si="46"/>
        <v>0</v>
      </c>
      <c r="H281" s="191"/>
      <c r="I281" s="194"/>
      <c r="J281" s="191">
        <f t="shared" si="43"/>
        <v>0</v>
      </c>
      <c r="K281" s="196">
        <f t="shared" si="44"/>
        <v>0</v>
      </c>
      <c r="L281" s="191">
        <f t="shared" si="47"/>
        <v>0</v>
      </c>
      <c r="M281" s="191">
        <f t="shared" si="48"/>
        <v>0</v>
      </c>
      <c r="N281" s="191">
        <f t="shared" si="41"/>
        <v>0</v>
      </c>
      <c r="O281" s="191">
        <f t="shared" si="42"/>
        <v>0</v>
      </c>
    </row>
    <row r="282" spans="2:15" x14ac:dyDescent="0.25">
      <c r="B282" s="212">
        <v>7591</v>
      </c>
      <c r="C282" s="190" t="str">
        <f t="shared" si="49"/>
        <v>Subsidios Gubernamentales</v>
      </c>
      <c r="D282" s="191">
        <f>'Mayor - Nivel Divisionarias'!E1770</f>
        <v>0</v>
      </c>
      <c r="E282" s="191">
        <f>'Mayor - Nivel Divisionarias'!F1770</f>
        <v>0</v>
      </c>
      <c r="F282" s="191">
        <f t="shared" si="45"/>
        <v>0</v>
      </c>
      <c r="G282" s="191">
        <f t="shared" si="46"/>
        <v>0</v>
      </c>
      <c r="H282" s="191"/>
      <c r="I282" s="194"/>
      <c r="J282" s="191">
        <f t="shared" si="43"/>
        <v>0</v>
      </c>
      <c r="K282" s="196">
        <f t="shared" si="44"/>
        <v>0</v>
      </c>
      <c r="L282" s="191">
        <f t="shared" si="47"/>
        <v>0</v>
      </c>
      <c r="M282" s="191">
        <f t="shared" si="48"/>
        <v>0</v>
      </c>
      <c r="N282" s="191">
        <f t="shared" si="41"/>
        <v>0</v>
      </c>
      <c r="O282" s="191">
        <f t="shared" si="42"/>
        <v>0</v>
      </c>
    </row>
    <row r="283" spans="2:15" x14ac:dyDescent="0.25">
      <c r="B283" s="212">
        <v>7599</v>
      </c>
      <c r="C283" s="190" t="str">
        <f t="shared" si="49"/>
        <v>Otros Ingresos de Gestión</v>
      </c>
      <c r="D283" s="191">
        <f>'Mayor - Nivel Divisionarias'!K1770</f>
        <v>0</v>
      </c>
      <c r="E283" s="191">
        <f>'Mayor - Nivel Divisionarias'!L1770</f>
        <v>0</v>
      </c>
      <c r="F283" s="191">
        <f t="shared" si="45"/>
        <v>0</v>
      </c>
      <c r="G283" s="191">
        <f t="shared" si="46"/>
        <v>0</v>
      </c>
      <c r="H283" s="191"/>
      <c r="I283" s="194"/>
      <c r="J283" s="191">
        <f t="shared" si="43"/>
        <v>0</v>
      </c>
      <c r="K283" s="196">
        <f t="shared" si="44"/>
        <v>0</v>
      </c>
      <c r="L283" s="191">
        <f t="shared" si="47"/>
        <v>0</v>
      </c>
      <c r="M283" s="191">
        <f t="shared" si="48"/>
        <v>0</v>
      </c>
      <c r="N283" s="191">
        <f t="shared" si="41"/>
        <v>0</v>
      </c>
      <c r="O283" s="191">
        <f t="shared" si="42"/>
        <v>0</v>
      </c>
    </row>
    <row r="284" spans="2:15" x14ac:dyDescent="0.25">
      <c r="B284" s="212">
        <v>7711</v>
      </c>
      <c r="C284" s="190" t="str">
        <f t="shared" si="49"/>
        <v>Ganancia por Instrumento Financiero Derivado</v>
      </c>
      <c r="D284" s="191">
        <f>'Mayor - Nivel Divisionarias'!E1784</f>
        <v>0</v>
      </c>
      <c r="E284" s="191">
        <f>'Mayor - Nivel Divisionarias'!F1784</f>
        <v>0</v>
      </c>
      <c r="F284" s="191">
        <f t="shared" si="45"/>
        <v>0</v>
      </c>
      <c r="G284" s="191">
        <f t="shared" si="46"/>
        <v>0</v>
      </c>
      <c r="H284" s="191"/>
      <c r="I284" s="194"/>
      <c r="J284" s="191">
        <f t="shared" si="43"/>
        <v>0</v>
      </c>
      <c r="K284" s="196">
        <f t="shared" si="44"/>
        <v>0</v>
      </c>
      <c r="L284" s="191">
        <f t="shared" si="47"/>
        <v>0</v>
      </c>
      <c r="M284" s="191">
        <f t="shared" si="48"/>
        <v>0</v>
      </c>
      <c r="N284" s="191">
        <f t="shared" ref="N284:N305" si="50">IF(AND(B284&gt;5900,B284&lt;6911),F284,IF(B284=7091,F284,IF(B284=7411,F284,0)))</f>
        <v>0</v>
      </c>
      <c r="O284" s="191">
        <f t="shared" si="42"/>
        <v>0</v>
      </c>
    </row>
    <row r="285" spans="2:15" x14ac:dyDescent="0.25">
      <c r="B285" s="212">
        <v>7721</v>
      </c>
      <c r="C285" s="190" t="str">
        <f t="shared" si="49"/>
        <v>Depósitos en Instituciones Financieras</v>
      </c>
      <c r="D285" s="191">
        <f>'Mayor - Nivel Divisionarias'!E1798</f>
        <v>0</v>
      </c>
      <c r="E285" s="191">
        <f>'Mayor - Nivel Divisionarias'!F1798</f>
        <v>0</v>
      </c>
      <c r="F285" s="191">
        <f t="shared" si="45"/>
        <v>0</v>
      </c>
      <c r="G285" s="191">
        <f t="shared" si="46"/>
        <v>0</v>
      </c>
      <c r="H285" s="191"/>
      <c r="I285" s="194"/>
      <c r="J285" s="191">
        <f t="shared" si="43"/>
        <v>0</v>
      </c>
      <c r="K285" s="196">
        <f t="shared" si="44"/>
        <v>0</v>
      </c>
      <c r="L285" s="191">
        <f t="shared" si="47"/>
        <v>0</v>
      </c>
      <c r="M285" s="191">
        <f t="shared" si="48"/>
        <v>0</v>
      </c>
      <c r="N285" s="191">
        <f t="shared" si="50"/>
        <v>0</v>
      </c>
      <c r="O285" s="191">
        <f t="shared" si="42"/>
        <v>0</v>
      </c>
    </row>
    <row r="286" spans="2:15" x14ac:dyDescent="0.25">
      <c r="B286" s="212">
        <v>7722</v>
      </c>
      <c r="C286" s="190" t="str">
        <f t="shared" si="49"/>
        <v>Cuentas por Cobrar Comerciales</v>
      </c>
      <c r="D286" s="191">
        <f>'Mayor - Nivel Divisionarias'!K1798</f>
        <v>0</v>
      </c>
      <c r="E286" s="191">
        <f>'Mayor - Nivel Divisionarias'!L1798</f>
        <v>0</v>
      </c>
      <c r="F286" s="191">
        <f t="shared" si="45"/>
        <v>0</v>
      </c>
      <c r="G286" s="191">
        <f t="shared" si="46"/>
        <v>0</v>
      </c>
      <c r="H286" s="191"/>
      <c r="I286" s="194"/>
      <c r="J286" s="191">
        <f t="shared" si="43"/>
        <v>0</v>
      </c>
      <c r="K286" s="196">
        <f t="shared" si="44"/>
        <v>0</v>
      </c>
      <c r="L286" s="191">
        <f t="shared" si="47"/>
        <v>0</v>
      </c>
      <c r="M286" s="191">
        <f t="shared" si="48"/>
        <v>0</v>
      </c>
      <c r="N286" s="191">
        <f t="shared" si="50"/>
        <v>0</v>
      </c>
      <c r="O286" s="191">
        <f t="shared" si="42"/>
        <v>0</v>
      </c>
    </row>
    <row r="287" spans="2:15" x14ac:dyDescent="0.25">
      <c r="B287" s="212">
        <v>7723</v>
      </c>
      <c r="C287" s="190" t="str">
        <f t="shared" si="49"/>
        <v>Préstamos Otorgados</v>
      </c>
      <c r="D287" s="191">
        <f>'Mayor - Nivel Divisionarias'!Q1798</f>
        <v>0</v>
      </c>
      <c r="E287" s="191">
        <f>'Mayor - Nivel Divisionarias'!R1798</f>
        <v>0</v>
      </c>
      <c r="F287" s="191">
        <f t="shared" si="45"/>
        <v>0</v>
      </c>
      <c r="G287" s="191">
        <f t="shared" si="46"/>
        <v>0</v>
      </c>
      <c r="H287" s="191"/>
      <c r="I287" s="194"/>
      <c r="J287" s="191">
        <f t="shared" si="43"/>
        <v>0</v>
      </c>
      <c r="K287" s="196">
        <f t="shared" si="44"/>
        <v>0</v>
      </c>
      <c r="L287" s="191">
        <f t="shared" si="47"/>
        <v>0</v>
      </c>
      <c r="M287" s="191">
        <f t="shared" si="48"/>
        <v>0</v>
      </c>
      <c r="N287" s="191">
        <f t="shared" si="50"/>
        <v>0</v>
      </c>
      <c r="O287" s="191">
        <f t="shared" si="42"/>
        <v>0</v>
      </c>
    </row>
    <row r="288" spans="2:15" x14ac:dyDescent="0.25">
      <c r="B288" s="212">
        <v>7724</v>
      </c>
      <c r="C288" s="190" t="str">
        <f t="shared" si="49"/>
        <v>Inversiones a ser Mantenidas hasta el Vencimiento</v>
      </c>
      <c r="D288" s="191">
        <f>'Mayor - Nivel Divisionarias'!W1798</f>
        <v>0</v>
      </c>
      <c r="E288" s="191">
        <f>'Mayor - Nivel Divisionarias'!X1798</f>
        <v>0</v>
      </c>
      <c r="F288" s="191">
        <f t="shared" si="45"/>
        <v>0</v>
      </c>
      <c r="G288" s="191">
        <f t="shared" si="46"/>
        <v>0</v>
      </c>
      <c r="H288" s="191"/>
      <c r="I288" s="194"/>
      <c r="J288" s="191">
        <f t="shared" si="43"/>
        <v>0</v>
      </c>
      <c r="K288" s="196">
        <f t="shared" si="44"/>
        <v>0</v>
      </c>
      <c r="L288" s="191">
        <f t="shared" si="47"/>
        <v>0</v>
      </c>
      <c r="M288" s="191">
        <f t="shared" si="48"/>
        <v>0</v>
      </c>
      <c r="N288" s="191">
        <f t="shared" si="50"/>
        <v>0</v>
      </c>
      <c r="O288" s="191">
        <f t="shared" si="42"/>
        <v>0</v>
      </c>
    </row>
    <row r="289" spans="2:15" x14ac:dyDescent="0.25">
      <c r="B289" s="212">
        <v>7725</v>
      </c>
      <c r="C289" s="190" t="str">
        <f t="shared" si="49"/>
        <v>Instrumentos Financieros Representativos de Derecho Patrimonial</v>
      </c>
      <c r="D289" s="191">
        <f>'Mayor - Nivel Divisionarias'!AC1798</f>
        <v>0</v>
      </c>
      <c r="E289" s="191">
        <f>'Mayor - Nivel Divisionarias'!AD1798</f>
        <v>0</v>
      </c>
      <c r="F289" s="191">
        <f t="shared" si="45"/>
        <v>0</v>
      </c>
      <c r="G289" s="191">
        <f t="shared" si="46"/>
        <v>0</v>
      </c>
      <c r="H289" s="191"/>
      <c r="I289" s="194"/>
      <c r="J289" s="191">
        <f t="shared" si="43"/>
        <v>0</v>
      </c>
      <c r="K289" s="196">
        <f t="shared" si="44"/>
        <v>0</v>
      </c>
      <c r="L289" s="191">
        <f t="shared" si="47"/>
        <v>0</v>
      </c>
      <c r="M289" s="191">
        <f t="shared" si="48"/>
        <v>0</v>
      </c>
      <c r="N289" s="191">
        <f t="shared" si="50"/>
        <v>0</v>
      </c>
      <c r="O289" s="191">
        <f t="shared" si="42"/>
        <v>0</v>
      </c>
    </row>
    <row r="290" spans="2:15" x14ac:dyDescent="0.25">
      <c r="B290" s="212">
        <v>7731</v>
      </c>
      <c r="C290" s="190" t="str">
        <f t="shared" si="49"/>
        <v>Dividendos</v>
      </c>
      <c r="D290" s="191">
        <f>'Mayor - Nivel Divisionarias'!E1812</f>
        <v>0</v>
      </c>
      <c r="E290" s="191">
        <f>'Mayor - Nivel Divisionarias'!F1812</f>
        <v>0</v>
      </c>
      <c r="F290" s="191">
        <f t="shared" si="45"/>
        <v>0</v>
      </c>
      <c r="G290" s="191">
        <f t="shared" si="46"/>
        <v>0</v>
      </c>
      <c r="H290" s="191"/>
      <c r="I290" s="194"/>
      <c r="J290" s="191">
        <f t="shared" si="43"/>
        <v>0</v>
      </c>
      <c r="K290" s="196">
        <f t="shared" si="44"/>
        <v>0</v>
      </c>
      <c r="L290" s="191">
        <f t="shared" si="47"/>
        <v>0</v>
      </c>
      <c r="M290" s="191">
        <f t="shared" si="48"/>
        <v>0</v>
      </c>
      <c r="N290" s="191">
        <f t="shared" si="50"/>
        <v>0</v>
      </c>
      <c r="O290" s="191">
        <f t="shared" si="42"/>
        <v>0</v>
      </c>
    </row>
    <row r="291" spans="2:15" x14ac:dyDescent="0.25">
      <c r="B291" s="212">
        <v>7751</v>
      </c>
      <c r="C291" s="190" t="str">
        <f t="shared" si="49"/>
        <v>Descuentos Obtenidos por Pronto Pago</v>
      </c>
      <c r="D291" s="191">
        <f>'Mayor - Nivel Divisionarias'!E1826</f>
        <v>0</v>
      </c>
      <c r="E291" s="191">
        <f>'Mayor - Nivel Divisionarias'!F1826</f>
        <v>0</v>
      </c>
      <c r="F291" s="191">
        <f t="shared" si="45"/>
        <v>0</v>
      </c>
      <c r="G291" s="191">
        <f t="shared" si="46"/>
        <v>0</v>
      </c>
      <c r="H291" s="191"/>
      <c r="I291" s="194"/>
      <c r="J291" s="191">
        <f t="shared" si="43"/>
        <v>0</v>
      </c>
      <c r="K291" s="196">
        <f t="shared" si="44"/>
        <v>0</v>
      </c>
      <c r="L291" s="191">
        <f t="shared" si="47"/>
        <v>0</v>
      </c>
      <c r="M291" s="191">
        <f t="shared" si="48"/>
        <v>0</v>
      </c>
      <c r="N291" s="191">
        <f t="shared" si="50"/>
        <v>0</v>
      </c>
      <c r="O291" s="191">
        <f t="shared" si="42"/>
        <v>0</v>
      </c>
    </row>
    <row r="292" spans="2:15" x14ac:dyDescent="0.25">
      <c r="B292" s="212">
        <v>7761</v>
      </c>
      <c r="C292" s="190" t="str">
        <f t="shared" si="49"/>
        <v>Diferencia en Cambio</v>
      </c>
      <c r="D292" s="191">
        <f>'Mayor - Nivel Divisionarias'!E1840</f>
        <v>0</v>
      </c>
      <c r="E292" s="191">
        <f>'Mayor - Nivel Divisionarias'!F1840</f>
        <v>0</v>
      </c>
      <c r="F292" s="191">
        <f t="shared" si="45"/>
        <v>0</v>
      </c>
      <c r="G292" s="191">
        <f t="shared" si="46"/>
        <v>0</v>
      </c>
      <c r="H292" s="191"/>
      <c r="I292" s="194"/>
      <c r="J292" s="191">
        <f t="shared" si="43"/>
        <v>0</v>
      </c>
      <c r="K292" s="196">
        <f t="shared" si="44"/>
        <v>0</v>
      </c>
      <c r="L292" s="191">
        <f t="shared" si="47"/>
        <v>0</v>
      </c>
      <c r="M292" s="191">
        <f t="shared" si="48"/>
        <v>0</v>
      </c>
      <c r="N292" s="191">
        <f t="shared" si="50"/>
        <v>0</v>
      </c>
      <c r="O292" s="191">
        <f t="shared" si="42"/>
        <v>0</v>
      </c>
    </row>
    <row r="293" spans="2:15" x14ac:dyDescent="0.25">
      <c r="B293" s="212">
        <v>7771</v>
      </c>
      <c r="C293" s="190" t="str">
        <f t="shared" si="49"/>
        <v>Inversiones Mantenidas para Negociación</v>
      </c>
      <c r="D293" s="191">
        <f>'Mayor - Nivel Divisionarias'!E1854</f>
        <v>0</v>
      </c>
      <c r="E293" s="191">
        <f>'Mayor - Nivel Divisionarias'!F1854</f>
        <v>0</v>
      </c>
      <c r="F293" s="191">
        <f t="shared" si="45"/>
        <v>0</v>
      </c>
      <c r="G293" s="191">
        <f t="shared" si="46"/>
        <v>0</v>
      </c>
      <c r="H293" s="191"/>
      <c r="I293" s="194"/>
      <c r="J293" s="191">
        <f t="shared" si="43"/>
        <v>0</v>
      </c>
      <c r="K293" s="196">
        <f t="shared" si="44"/>
        <v>0</v>
      </c>
      <c r="L293" s="191">
        <f t="shared" si="47"/>
        <v>0</v>
      </c>
      <c r="M293" s="191">
        <f t="shared" si="48"/>
        <v>0</v>
      </c>
      <c r="N293" s="191">
        <f t="shared" si="50"/>
        <v>0</v>
      </c>
      <c r="O293" s="191">
        <f t="shared" si="42"/>
        <v>0</v>
      </c>
    </row>
    <row r="294" spans="2:15" x14ac:dyDescent="0.25">
      <c r="B294" s="212">
        <v>7791</v>
      </c>
      <c r="C294" s="190" t="str">
        <f t="shared" si="49"/>
        <v>Ingresos Financieros en Medición al Valor Descontado</v>
      </c>
      <c r="D294" s="191">
        <f>'Mayor - Nivel Divisionarias'!E1868</f>
        <v>0</v>
      </c>
      <c r="E294" s="191">
        <f>'Mayor - Nivel Divisionarias'!F1868</f>
        <v>0</v>
      </c>
      <c r="F294" s="191">
        <f t="shared" si="45"/>
        <v>0</v>
      </c>
      <c r="G294" s="191">
        <f t="shared" si="46"/>
        <v>0</v>
      </c>
      <c r="H294" s="191"/>
      <c r="I294" s="194"/>
      <c r="J294" s="191">
        <f t="shared" si="43"/>
        <v>0</v>
      </c>
      <c r="K294" s="196">
        <f t="shared" si="44"/>
        <v>0</v>
      </c>
      <c r="L294" s="191">
        <f t="shared" si="47"/>
        <v>0</v>
      </c>
      <c r="M294" s="191">
        <f t="shared" si="48"/>
        <v>0</v>
      </c>
      <c r="N294" s="191">
        <f t="shared" si="50"/>
        <v>0</v>
      </c>
      <c r="O294" s="191">
        <f t="shared" si="42"/>
        <v>0</v>
      </c>
    </row>
    <row r="295" spans="2:15" x14ac:dyDescent="0.25">
      <c r="B295" s="212">
        <v>7911</v>
      </c>
      <c r="C295" s="190" t="str">
        <f t="shared" si="49"/>
        <v>Cargas Imputables a Cuentas de Costos y Gastos</v>
      </c>
      <c r="D295" s="191">
        <f>'Mayor - Nivel Divisionarias'!E1882</f>
        <v>0</v>
      </c>
      <c r="E295" s="191">
        <f>'Mayor - Nivel Divisionarias'!F1882</f>
        <v>366992.5</v>
      </c>
      <c r="F295" s="191">
        <f t="shared" si="45"/>
        <v>0</v>
      </c>
      <c r="G295" s="191">
        <f t="shared" si="46"/>
        <v>366992.5</v>
      </c>
      <c r="H295" s="194">
        <f>G295</f>
        <v>366992.5</v>
      </c>
      <c r="I295" s="194"/>
      <c r="J295" s="191">
        <f t="shared" si="43"/>
        <v>0</v>
      </c>
      <c r="K295" s="196">
        <f t="shared" si="44"/>
        <v>0</v>
      </c>
      <c r="L295" s="191">
        <f t="shared" si="47"/>
        <v>0</v>
      </c>
      <c r="M295" s="191">
        <f t="shared" si="48"/>
        <v>0</v>
      </c>
      <c r="N295" s="191">
        <f t="shared" si="50"/>
        <v>0</v>
      </c>
      <c r="O295" s="191">
        <f t="shared" si="42"/>
        <v>0</v>
      </c>
    </row>
    <row r="296" spans="2:15" x14ac:dyDescent="0.25">
      <c r="B296" s="212">
        <v>9311</v>
      </c>
      <c r="C296" s="190" t="str">
        <f t="shared" si="49"/>
        <v>Materias Primas</v>
      </c>
      <c r="D296" s="191">
        <f>'Mayor - Nivel Divisionarias'!E1896</f>
        <v>0</v>
      </c>
      <c r="E296" s="191">
        <f>'Mayor - Nivel Divisionarias'!F1896</f>
        <v>0</v>
      </c>
      <c r="F296" s="191">
        <f t="shared" si="45"/>
        <v>0</v>
      </c>
      <c r="G296" s="191">
        <f t="shared" si="46"/>
        <v>0</v>
      </c>
      <c r="H296" s="194"/>
      <c r="I296" s="194">
        <f t="shared" ref="I296:I303" si="51">F296</f>
        <v>0</v>
      </c>
      <c r="J296" s="191">
        <f t="shared" si="43"/>
        <v>0</v>
      </c>
      <c r="K296" s="196">
        <f t="shared" si="44"/>
        <v>0</v>
      </c>
      <c r="L296" s="191">
        <f t="shared" si="47"/>
        <v>0</v>
      </c>
      <c r="M296" s="191">
        <f t="shared" si="48"/>
        <v>0</v>
      </c>
      <c r="N296" s="191">
        <f t="shared" si="50"/>
        <v>0</v>
      </c>
      <c r="O296" s="191">
        <f t="shared" si="42"/>
        <v>0</v>
      </c>
    </row>
    <row r="297" spans="2:15" x14ac:dyDescent="0.25">
      <c r="B297" s="212">
        <v>9312</v>
      </c>
      <c r="C297" s="190" t="str">
        <f t="shared" si="49"/>
        <v>Materiales Auxiliares</v>
      </c>
      <c r="D297" s="191">
        <f>'Mayor - Nivel Divisionarias'!K1896</f>
        <v>0</v>
      </c>
      <c r="E297" s="191">
        <f>'Mayor - Nivel Divisionarias'!L1896</f>
        <v>0</v>
      </c>
      <c r="F297" s="191">
        <f t="shared" si="45"/>
        <v>0</v>
      </c>
      <c r="G297" s="191">
        <f t="shared" si="46"/>
        <v>0</v>
      </c>
      <c r="H297" s="194"/>
      <c r="I297" s="194">
        <f t="shared" si="51"/>
        <v>0</v>
      </c>
      <c r="J297" s="191">
        <f t="shared" si="43"/>
        <v>0</v>
      </c>
      <c r="K297" s="196">
        <f t="shared" si="44"/>
        <v>0</v>
      </c>
      <c r="L297" s="191">
        <f t="shared" si="47"/>
        <v>0</v>
      </c>
      <c r="M297" s="191">
        <f t="shared" si="48"/>
        <v>0</v>
      </c>
      <c r="N297" s="191">
        <f t="shared" si="50"/>
        <v>0</v>
      </c>
      <c r="O297" s="191">
        <f t="shared" si="42"/>
        <v>0</v>
      </c>
    </row>
    <row r="298" spans="2:15" x14ac:dyDescent="0.25">
      <c r="B298" s="212">
        <v>9313</v>
      </c>
      <c r="C298" s="190" t="str">
        <f t="shared" si="49"/>
        <v>Suministros</v>
      </c>
      <c r="D298" s="191">
        <f>'Mayor - Nivel Divisionarias'!Q1896</f>
        <v>0</v>
      </c>
      <c r="E298" s="191">
        <f>'Mayor - Nivel Divisionarias'!R1896</f>
        <v>0</v>
      </c>
      <c r="F298" s="191">
        <f t="shared" si="45"/>
        <v>0</v>
      </c>
      <c r="G298" s="191">
        <f t="shared" si="46"/>
        <v>0</v>
      </c>
      <c r="H298" s="194"/>
      <c r="I298" s="194">
        <f t="shared" si="51"/>
        <v>0</v>
      </c>
      <c r="J298" s="191">
        <f t="shared" si="43"/>
        <v>0</v>
      </c>
      <c r="K298" s="196">
        <f t="shared" si="44"/>
        <v>0</v>
      </c>
      <c r="L298" s="191">
        <f t="shared" si="47"/>
        <v>0</v>
      </c>
      <c r="M298" s="191">
        <f t="shared" si="48"/>
        <v>0</v>
      </c>
      <c r="N298" s="191">
        <f t="shared" si="50"/>
        <v>0</v>
      </c>
      <c r="O298" s="191">
        <f t="shared" si="42"/>
        <v>0</v>
      </c>
    </row>
    <row r="299" spans="2:15" x14ac:dyDescent="0.25">
      <c r="B299" s="212">
        <v>9314</v>
      </c>
      <c r="C299" s="190" t="str">
        <f t="shared" si="49"/>
        <v>Envases</v>
      </c>
      <c r="D299" s="191">
        <f>'Mayor - Nivel Divisionarias'!W1896</f>
        <v>0</v>
      </c>
      <c r="E299" s="191">
        <f>'Mayor - Nivel Divisionarias'!X1896</f>
        <v>0</v>
      </c>
      <c r="F299" s="191">
        <f t="shared" si="45"/>
        <v>0</v>
      </c>
      <c r="G299" s="191">
        <f t="shared" si="46"/>
        <v>0</v>
      </c>
      <c r="H299" s="194"/>
      <c r="I299" s="194">
        <f t="shared" si="51"/>
        <v>0</v>
      </c>
      <c r="J299" s="191">
        <f t="shared" si="43"/>
        <v>0</v>
      </c>
      <c r="K299" s="196">
        <f t="shared" si="44"/>
        <v>0</v>
      </c>
      <c r="L299" s="191">
        <f t="shared" si="47"/>
        <v>0</v>
      </c>
      <c r="M299" s="191">
        <f t="shared" si="48"/>
        <v>0</v>
      </c>
      <c r="N299" s="191">
        <f t="shared" si="50"/>
        <v>0</v>
      </c>
      <c r="O299" s="191">
        <f t="shared" si="42"/>
        <v>0</v>
      </c>
    </row>
    <row r="300" spans="2:15" x14ac:dyDescent="0.25">
      <c r="B300" s="212">
        <v>9315</v>
      </c>
      <c r="C300" s="190" t="str">
        <f t="shared" si="49"/>
        <v>Embalajes</v>
      </c>
      <c r="D300" s="191">
        <f>'Mayor - Nivel Divisionarias'!AC1896</f>
        <v>0</v>
      </c>
      <c r="E300" s="191">
        <f>'Mayor - Nivel Divisionarias'!AD1896</f>
        <v>0</v>
      </c>
      <c r="F300" s="191">
        <f t="shared" si="45"/>
        <v>0</v>
      </c>
      <c r="G300" s="191">
        <f t="shared" si="46"/>
        <v>0</v>
      </c>
      <c r="H300" s="194"/>
      <c r="I300" s="194">
        <f t="shared" si="51"/>
        <v>0</v>
      </c>
      <c r="J300" s="191">
        <f t="shared" si="43"/>
        <v>0</v>
      </c>
      <c r="K300" s="196">
        <f t="shared" si="44"/>
        <v>0</v>
      </c>
      <c r="L300" s="191">
        <f t="shared" si="47"/>
        <v>0</v>
      </c>
      <c r="M300" s="191">
        <f t="shared" si="48"/>
        <v>0</v>
      </c>
      <c r="N300" s="191">
        <f t="shared" si="50"/>
        <v>0</v>
      </c>
      <c r="O300" s="191">
        <f t="shared" si="42"/>
        <v>0</v>
      </c>
    </row>
    <row r="301" spans="2:15" x14ac:dyDescent="0.25">
      <c r="B301" s="212">
        <v>9316</v>
      </c>
      <c r="C301" s="190" t="str">
        <f t="shared" si="49"/>
        <v>Costos Indirectos de Fabricación</v>
      </c>
      <c r="D301" s="191">
        <f>'Mayor - Nivel Divisionarias'!AI1896</f>
        <v>0</v>
      </c>
      <c r="E301" s="191">
        <f>'Mayor - Nivel Divisionarias'!AJ1896</f>
        <v>0</v>
      </c>
      <c r="F301" s="191">
        <f t="shared" si="45"/>
        <v>0</v>
      </c>
      <c r="G301" s="191">
        <f t="shared" si="46"/>
        <v>0</v>
      </c>
      <c r="H301" s="194"/>
      <c r="I301" s="194">
        <f t="shared" si="51"/>
        <v>0</v>
      </c>
      <c r="J301" s="191">
        <f t="shared" si="43"/>
        <v>0</v>
      </c>
      <c r="K301" s="196">
        <f t="shared" si="44"/>
        <v>0</v>
      </c>
      <c r="L301" s="191">
        <f t="shared" si="47"/>
        <v>0</v>
      </c>
      <c r="M301" s="191">
        <f t="shared" si="48"/>
        <v>0</v>
      </c>
      <c r="N301" s="191">
        <f t="shared" si="50"/>
        <v>0</v>
      </c>
      <c r="O301" s="191">
        <f t="shared" ref="O301:O305" si="52">IF(AND(B301&gt;6900,B301&lt;7900),G301,IF(B301=6111,G301,0))</f>
        <v>0</v>
      </c>
    </row>
    <row r="302" spans="2:15" x14ac:dyDescent="0.25">
      <c r="B302" s="212">
        <v>9321</v>
      </c>
      <c r="C302" s="190" t="str">
        <f t="shared" si="49"/>
        <v>Materiales Directos</v>
      </c>
      <c r="D302" s="191">
        <f>'Mayor - Nivel Divisionarias'!E1910</f>
        <v>0</v>
      </c>
      <c r="E302" s="191">
        <f>'Mayor - Nivel Divisionarias'!F1910</f>
        <v>0</v>
      </c>
      <c r="F302" s="191">
        <f t="shared" si="45"/>
        <v>0</v>
      </c>
      <c r="G302" s="191">
        <f t="shared" si="46"/>
        <v>0</v>
      </c>
      <c r="H302" s="194"/>
      <c r="I302" s="194">
        <f t="shared" si="51"/>
        <v>0</v>
      </c>
      <c r="J302" s="191">
        <f t="shared" si="43"/>
        <v>0</v>
      </c>
      <c r="K302" s="196">
        <f t="shared" si="44"/>
        <v>0</v>
      </c>
      <c r="L302" s="191">
        <f t="shared" si="47"/>
        <v>0</v>
      </c>
      <c r="M302" s="191">
        <f t="shared" si="48"/>
        <v>0</v>
      </c>
      <c r="N302" s="191">
        <f t="shared" si="50"/>
        <v>0</v>
      </c>
      <c r="O302" s="191">
        <f t="shared" si="52"/>
        <v>0</v>
      </c>
    </row>
    <row r="303" spans="2:15" x14ac:dyDescent="0.25">
      <c r="B303" s="212">
        <v>9322</v>
      </c>
      <c r="C303" s="190" t="str">
        <f t="shared" si="49"/>
        <v>Costos Indirectos de Fabricación</v>
      </c>
      <c r="D303" s="191">
        <f>'Mayor - Nivel Divisionarias'!K1910</f>
        <v>0</v>
      </c>
      <c r="E303" s="191">
        <f>'Mayor - Nivel Divisionarias'!L1910</f>
        <v>0</v>
      </c>
      <c r="F303" s="191">
        <f t="shared" si="45"/>
        <v>0</v>
      </c>
      <c r="G303" s="191">
        <f t="shared" si="46"/>
        <v>0</v>
      </c>
      <c r="H303" s="194"/>
      <c r="I303" s="194">
        <f t="shared" si="51"/>
        <v>0</v>
      </c>
      <c r="J303" s="191">
        <f t="shared" si="43"/>
        <v>0</v>
      </c>
      <c r="K303" s="196">
        <f t="shared" si="44"/>
        <v>0</v>
      </c>
      <c r="L303" s="191">
        <f t="shared" si="47"/>
        <v>0</v>
      </c>
      <c r="M303" s="191">
        <f t="shared" si="48"/>
        <v>0</v>
      </c>
      <c r="N303" s="191">
        <f t="shared" si="50"/>
        <v>0</v>
      </c>
      <c r="O303" s="191">
        <f t="shared" si="52"/>
        <v>0</v>
      </c>
    </row>
    <row r="304" spans="2:15" x14ac:dyDescent="0.25">
      <c r="B304" s="212">
        <v>9491</v>
      </c>
      <c r="C304" s="190" t="str">
        <f t="shared" si="49"/>
        <v>Otros Gastos Administrativos</v>
      </c>
      <c r="D304" s="191">
        <f>'Mayor - Nivel Divisionarias'!E1924</f>
        <v>366992.5</v>
      </c>
      <c r="E304" s="191">
        <f>'Mayor - Nivel Divisionarias'!F1924</f>
        <v>0</v>
      </c>
      <c r="F304" s="191">
        <f t="shared" si="45"/>
        <v>366992.5</v>
      </c>
      <c r="G304" s="191">
        <f t="shared" si="46"/>
        <v>0</v>
      </c>
      <c r="H304" s="191"/>
      <c r="I304" s="194">
        <f>F304</f>
        <v>366992.5</v>
      </c>
      <c r="J304" s="191">
        <f t="shared" si="43"/>
        <v>0</v>
      </c>
      <c r="K304" s="196">
        <f t="shared" si="44"/>
        <v>0</v>
      </c>
      <c r="L304" s="191">
        <f t="shared" si="47"/>
        <v>366992.5</v>
      </c>
      <c r="M304" s="191">
        <f t="shared" si="48"/>
        <v>0</v>
      </c>
      <c r="N304" s="191">
        <f t="shared" si="50"/>
        <v>0</v>
      </c>
      <c r="O304" s="191">
        <f t="shared" si="52"/>
        <v>0</v>
      </c>
    </row>
    <row r="305" spans="2:15" x14ac:dyDescent="0.25">
      <c r="B305" s="212">
        <v>9791</v>
      </c>
      <c r="C305" s="190" t="str">
        <f t="shared" si="49"/>
        <v>Impuesto a las Transacciones Financieras</v>
      </c>
      <c r="D305" s="191">
        <f>'Mayor - Nivel Divisionarias'!E1938</f>
        <v>0</v>
      </c>
      <c r="E305" s="191">
        <f>'Mayor - Nivel Divisionarias'!F1938</f>
        <v>0</v>
      </c>
      <c r="F305" s="191">
        <f t="shared" si="45"/>
        <v>0</v>
      </c>
      <c r="G305" s="191">
        <f t="shared" si="46"/>
        <v>0</v>
      </c>
      <c r="H305" s="191"/>
      <c r="I305" s="194">
        <f t="shared" ref="I305" si="53">F305</f>
        <v>0</v>
      </c>
      <c r="J305" s="191">
        <f t="shared" si="43"/>
        <v>0</v>
      </c>
      <c r="K305" s="196">
        <f t="shared" si="44"/>
        <v>0</v>
      </c>
      <c r="L305" s="191">
        <f t="shared" si="47"/>
        <v>0</v>
      </c>
      <c r="M305" s="191">
        <f t="shared" si="48"/>
        <v>0</v>
      </c>
      <c r="N305" s="191">
        <f t="shared" si="50"/>
        <v>0</v>
      </c>
      <c r="O305" s="191">
        <f t="shared" si="52"/>
        <v>0</v>
      </c>
    </row>
    <row r="306" spans="2:15" x14ac:dyDescent="0.25">
      <c r="B306" s="212"/>
      <c r="C306" s="190"/>
      <c r="D306" s="191"/>
      <c r="E306" s="191"/>
      <c r="F306" s="191"/>
      <c r="G306" s="191"/>
      <c r="H306" s="191"/>
      <c r="I306" s="191"/>
      <c r="J306" s="191"/>
      <c r="K306" s="196"/>
      <c r="L306" s="191"/>
      <c r="M306" s="191"/>
      <c r="N306" s="191"/>
      <c r="O306" s="191"/>
    </row>
    <row r="307" spans="2:15" ht="15" thickBot="1" x14ac:dyDescent="0.3">
      <c r="B307" s="212"/>
      <c r="C307" s="190"/>
      <c r="D307" s="191"/>
      <c r="E307" s="191"/>
      <c r="F307" s="191"/>
      <c r="G307" s="191"/>
      <c r="H307" s="191"/>
      <c r="I307" s="191"/>
      <c r="J307" s="191"/>
      <c r="K307" s="196"/>
      <c r="L307" s="191"/>
      <c r="M307" s="191"/>
      <c r="N307" s="191"/>
      <c r="O307" s="191"/>
    </row>
    <row r="308" spans="2:15" ht="15.6" thickTop="1" thickBot="1" x14ac:dyDescent="0.3">
      <c r="B308" s="212"/>
      <c r="C308" s="190"/>
      <c r="D308" s="195"/>
      <c r="E308" s="195"/>
      <c r="F308" s="195"/>
      <c r="G308" s="195"/>
      <c r="H308" s="190"/>
      <c r="I308" s="190"/>
      <c r="J308" s="214">
        <f t="shared" ref="J308:O308" si="54">SUM(J16:J307)</f>
        <v>373346.62711864407</v>
      </c>
      <c r="K308" s="214">
        <f t="shared" si="54"/>
        <v>571362.5</v>
      </c>
      <c r="L308" s="214">
        <f t="shared" si="54"/>
        <v>366992.5</v>
      </c>
      <c r="M308" s="214">
        <f t="shared" si="54"/>
        <v>0</v>
      </c>
      <c r="N308" s="214">
        <f t="shared" si="54"/>
        <v>355992.37288135593</v>
      </c>
      <c r="O308" s="215">
        <f t="shared" si="54"/>
        <v>154100</v>
      </c>
    </row>
    <row r="309" spans="2:15" ht="15.6" thickTop="1" thickBot="1" x14ac:dyDescent="0.3">
      <c r="B309" s="213"/>
      <c r="C309" s="198"/>
      <c r="D309" s="340" t="str">
        <f>IF(AND(N309=0,O309=0),"",IF(N309=0,"P É R D I D A   D E L   E J E R C I C I O  :","G A N A N C I A   D E L  E J E R C I C I O  :"))</f>
        <v>P É R D I D A   D E L   E J E R C I C I O  :</v>
      </c>
      <c r="E309" s="340"/>
      <c r="F309" s="340"/>
      <c r="G309" s="340"/>
      <c r="H309" s="201"/>
      <c r="I309" s="201"/>
      <c r="J309" s="202">
        <f>IF(K308&gt;J308,K308-J308,0)</f>
        <v>198015.87288135593</v>
      </c>
      <c r="K309" s="203">
        <f>IF(J308&gt;K308,J308-K308,0)</f>
        <v>0</v>
      </c>
      <c r="L309" s="203">
        <f>IF(M308&gt;L308,M308-L308,0)</f>
        <v>0</v>
      </c>
      <c r="M309" s="202">
        <f>IF(L308&gt;M308,L308-M308,0)</f>
        <v>366992.5</v>
      </c>
      <c r="N309" s="203">
        <f>IF(O308&gt;N308,O308-N308,0)</f>
        <v>0</v>
      </c>
      <c r="O309" s="204">
        <f>IF(N308&gt;O308,N308-O308,0)</f>
        <v>201892.37288135593</v>
      </c>
    </row>
    <row r="310" spans="2:15" ht="15" thickBot="1" x14ac:dyDescent="0.3">
      <c r="B310" s="197"/>
      <c r="C310" s="198"/>
      <c r="D310" s="199">
        <f t="shared" ref="D310:I310" si="55">SUM(D16:D308)</f>
        <v>1096331.5</v>
      </c>
      <c r="E310" s="199">
        <f t="shared" si="55"/>
        <v>1092455</v>
      </c>
      <c r="F310" s="199">
        <f t="shared" si="55"/>
        <v>1096331.5</v>
      </c>
      <c r="G310" s="199">
        <f t="shared" si="55"/>
        <v>1092455</v>
      </c>
      <c r="H310" s="199">
        <f t="shared" si="55"/>
        <v>366992.5</v>
      </c>
      <c r="I310" s="199">
        <f t="shared" si="55"/>
        <v>366992.5</v>
      </c>
      <c r="J310" s="199">
        <f>SUM(J308:J309)</f>
        <v>571362.5</v>
      </c>
      <c r="K310" s="199">
        <f>SUM(K308:K309)</f>
        <v>571362.5</v>
      </c>
      <c r="L310" s="199">
        <f t="shared" ref="L310:O310" si="56">SUM(L308:L309)</f>
        <v>366992.5</v>
      </c>
      <c r="M310" s="199">
        <f t="shared" si="56"/>
        <v>366992.5</v>
      </c>
      <c r="N310" s="199">
        <f t="shared" si="56"/>
        <v>355992.37288135593</v>
      </c>
      <c r="O310" s="200">
        <f t="shared" si="56"/>
        <v>355992.37288135593</v>
      </c>
    </row>
    <row r="311" spans="2:15" x14ac:dyDescent="0.25">
      <c r="D311" s="6">
        <f>IF(D310&lt;E310,E310-D310,0)</f>
        <v>0</v>
      </c>
      <c r="E311" s="6">
        <f>IF(D310&gt;E310,D310-E310,0)</f>
        <v>3876.5</v>
      </c>
    </row>
    <row r="313" spans="2:15" x14ac:dyDescent="0.25">
      <c r="D313" s="159" t="s">
        <v>408</v>
      </c>
      <c r="E313" s="12">
        <f>SUM(E240:E259)</f>
        <v>0</v>
      </c>
      <c r="G313" s="159" t="s">
        <v>409</v>
      </c>
    </row>
    <row r="314" spans="2:15" x14ac:dyDescent="0.25">
      <c r="D314" s="159" t="s">
        <v>410</v>
      </c>
      <c r="E314" s="12">
        <f>SUM(D238:D239)</f>
        <v>0</v>
      </c>
      <c r="G314" s="159" t="s">
        <v>411</v>
      </c>
      <c r="H314" s="13" t="e">
        <f>E315/E314</f>
        <v>#DIV/0!</v>
      </c>
      <c r="I314" s="14" t="e">
        <f>H314</f>
        <v>#DIV/0!</v>
      </c>
      <c r="J314" s="14"/>
      <c r="K314" s="14"/>
    </row>
    <row r="315" spans="2:15" x14ac:dyDescent="0.25">
      <c r="D315" s="159" t="s">
        <v>411</v>
      </c>
      <c r="E315" s="15">
        <f>E313-E314</f>
        <v>0</v>
      </c>
      <c r="G315" s="159" t="s">
        <v>412</v>
      </c>
      <c r="H315" s="13" t="e">
        <f>E321/(E313)</f>
        <v>#DIV/0!</v>
      </c>
    </row>
    <row r="317" spans="2:15" x14ac:dyDescent="0.25">
      <c r="D317" s="159" t="s">
        <v>1594</v>
      </c>
    </row>
    <row r="318" spans="2:15" x14ac:dyDescent="0.25">
      <c r="D318" s="159" t="s">
        <v>1595</v>
      </c>
      <c r="E318" s="12">
        <f>IF(L309="","",'Distribución de Utilidades'!D5)</f>
        <v>0</v>
      </c>
    </row>
    <row r="320" spans="2:15" x14ac:dyDescent="0.25">
      <c r="D320" s="159" t="s">
        <v>413</v>
      </c>
    </row>
    <row r="321" spans="4:5" x14ac:dyDescent="0.25">
      <c r="D321" s="159" t="s">
        <v>414</v>
      </c>
      <c r="E321" s="15">
        <f>IF(L309="","",(L309-E318)*30%)</f>
        <v>0</v>
      </c>
    </row>
    <row r="322" spans="4:5" x14ac:dyDescent="0.25">
      <c r="E322" s="15"/>
    </row>
    <row r="323" spans="4:5" x14ac:dyDescent="0.25">
      <c r="D323" s="159" t="s">
        <v>415</v>
      </c>
      <c r="E323" s="12"/>
    </row>
    <row r="324" spans="4:5" x14ac:dyDescent="0.25">
      <c r="D324" s="159" t="s">
        <v>416</v>
      </c>
      <c r="E324" s="12">
        <f>'Mayor - Nivel Divisionarias'!E748</f>
        <v>0</v>
      </c>
    </row>
    <row r="326" spans="4:5" x14ac:dyDescent="0.25">
      <c r="D326" s="159" t="s">
        <v>417</v>
      </c>
    </row>
    <row r="327" spans="4:5" x14ac:dyDescent="0.25">
      <c r="D327" s="159" t="s">
        <v>418</v>
      </c>
      <c r="E327" s="15">
        <f>E321-E324</f>
        <v>0</v>
      </c>
    </row>
    <row r="329" spans="4:5" x14ac:dyDescent="0.25">
      <c r="D329" s="159" t="s">
        <v>1597</v>
      </c>
      <c r="E329" s="15">
        <f>K309-E318-E321</f>
        <v>0</v>
      </c>
    </row>
  </sheetData>
  <mergeCells count="8">
    <mergeCell ref="J14:K14"/>
    <mergeCell ref="L14:M14"/>
    <mergeCell ref="N14:O14"/>
    <mergeCell ref="B14:C14"/>
    <mergeCell ref="D309:G309"/>
    <mergeCell ref="H14:I14"/>
    <mergeCell ref="D14:E14"/>
    <mergeCell ref="F14:G14"/>
  </mergeCells>
  <phoneticPr fontId="0" type="noConversion"/>
  <conditionalFormatting sqref="L310 N310 J310 D310 F310 H310">
    <cfRule type="cellIs" dxfId="146" priority="20" stopIfTrue="1" operator="notEqual">
      <formula>E310</formula>
    </cfRule>
    <cfRule type="cellIs" dxfId="145" priority="21" stopIfTrue="1" operator="greaterThan">
      <formula>0</formula>
    </cfRule>
  </conditionalFormatting>
  <conditionalFormatting sqref="M310 O310 K310 E310 G310 I310">
    <cfRule type="cellIs" dxfId="144" priority="22" stopIfTrue="1" operator="notEqual">
      <formula>D310</formula>
    </cfRule>
    <cfRule type="cellIs" dxfId="143" priority="23" stopIfTrue="1" operator="greaterThan">
      <formula>0</formula>
    </cfRule>
  </conditionalFormatting>
  <conditionalFormatting sqref="D309:G309">
    <cfRule type="cellIs" dxfId="142" priority="24" stopIfTrue="1" operator="equal">
      <formula>"P É R D I D A   D E L   E J E R C I C I O  :"</formula>
    </cfRule>
    <cfRule type="cellIs" dxfId="141" priority="25" stopIfTrue="1" operator="equal">
      <formula>"G A N A N C I A   D E L  E J E R C I C I O  :"</formula>
    </cfRule>
  </conditionalFormatting>
  <conditionalFormatting sqref="E315 H314:H315 E321:E322 E327 I314:K314">
    <cfRule type="cellIs" dxfId="140" priority="26" stopIfTrue="1" operator="greaterThan">
      <formula>0</formula>
    </cfRule>
  </conditionalFormatting>
  <conditionalFormatting sqref="D311:E311">
    <cfRule type="cellIs" dxfId="139" priority="27" stopIfTrue="1" operator="greaterThan">
      <formula>0</formula>
    </cfRule>
  </conditionalFormatting>
  <conditionalFormatting sqref="H132:H141 H143:H147 I151:I165 H149:H167 H169:H174 I167:I175 I16:I139 H16:H130 I141:I148 H176:H209 H211:H307 I180:I307 D16:G307 J16:O309">
    <cfRule type="cellIs" dxfId="138" priority="28" stopIfTrue="1" operator="equal">
      <formula>0</formula>
    </cfRule>
  </conditionalFormatting>
  <conditionalFormatting sqref="N310 J310 L310 D310 F310 H310">
    <cfRule type="cellIs" dxfId="137" priority="14" stopIfTrue="1" operator="notEqual">
      <formula>E310</formula>
    </cfRule>
    <cfRule type="cellIs" dxfId="136" priority="15" stopIfTrue="1" operator="greaterThan">
      <formula>0</formula>
    </cfRule>
  </conditionalFormatting>
  <conditionalFormatting sqref="O310 K310 M310 E310 G310 I310">
    <cfRule type="cellIs" dxfId="135" priority="12" stopIfTrue="1" operator="notEqual">
      <formula>D310</formula>
    </cfRule>
    <cfRule type="cellIs" dxfId="134" priority="13" stopIfTrue="1" operator="greaterThan">
      <formula>0</formula>
    </cfRule>
  </conditionalFormatting>
  <conditionalFormatting sqref="L310 N310 J310 D310 F310 H310">
    <cfRule type="cellIs" dxfId="133" priority="7" stopIfTrue="1" operator="notEqual">
      <formula>E310</formula>
    </cfRule>
    <cfRule type="cellIs" dxfId="132" priority="8" stopIfTrue="1" operator="greaterThan">
      <formula>0</formula>
    </cfRule>
  </conditionalFormatting>
  <conditionalFormatting sqref="M310 O310 K310 E310 G310 I310">
    <cfRule type="cellIs" dxfId="131" priority="5" stopIfTrue="1" operator="notEqual">
      <formula>D310</formula>
    </cfRule>
    <cfRule type="cellIs" dxfId="130" priority="6" stopIfTrue="1" operator="greaterThan">
      <formula>0</formula>
    </cfRule>
  </conditionalFormatting>
  <conditionalFormatting sqref="E329">
    <cfRule type="cellIs" dxfId="129" priority="1" stopIfTrue="1" operator="greaterThan">
      <formula>0</formula>
    </cfRule>
  </conditionalFormatting>
  <printOptions horizontalCentered="1"/>
  <pageMargins left="0.19685039370078741" right="0.19685039370078741" top="0.39370078740157483" bottom="0.19685039370078741" header="0" footer="0"/>
  <pageSetup paperSize="9" scale="50" fitToHeight="10" orientation="landscape" verticalDpi="72" r:id="rId1"/>
  <headerFooter alignWithMargins="0"/>
  <ignoredErrors>
    <ignoredError sqref="M309:N309 O30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E64"/>
  <sheetViews>
    <sheetView showGridLines="0" zoomScale="110" zoomScaleNormal="110" workbookViewId="0"/>
  </sheetViews>
  <sheetFormatPr baseColWidth="10" defaultColWidth="11.44140625" defaultRowHeight="14.4" x14ac:dyDescent="0.25"/>
  <cols>
    <col min="1" max="1" width="3.6640625" style="260" customWidth="1"/>
    <col min="2" max="5" width="18.6640625" style="260" customWidth="1"/>
    <col min="6" max="6" width="3.6640625" style="260" customWidth="1"/>
    <col min="7" max="16384" width="11.44140625" style="260"/>
  </cols>
  <sheetData>
    <row r="2" spans="2:5" x14ac:dyDescent="0.25">
      <c r="C2" s="281" t="s">
        <v>1593</v>
      </c>
      <c r="D2" s="280">
        <f>'Hoja Trabajo - Cuentas Balance'!K89</f>
        <v>99665.127118644072</v>
      </c>
    </row>
    <row r="3" spans="2:5" x14ac:dyDescent="0.25">
      <c r="C3" s="260" t="s">
        <v>1592</v>
      </c>
      <c r="D3" s="278">
        <f>D2</f>
        <v>99665.127118644072</v>
      </c>
    </row>
    <row r="4" spans="2:5" x14ac:dyDescent="0.25">
      <c r="C4" s="260" t="s">
        <v>1591</v>
      </c>
      <c r="D4" s="282"/>
    </row>
    <row r="5" spans="2:5" x14ac:dyDescent="0.25">
      <c r="C5" s="281" t="s">
        <v>1590</v>
      </c>
      <c r="D5" s="280">
        <f>D3*D4</f>
        <v>0</v>
      </c>
    </row>
    <row r="6" spans="2:5" x14ac:dyDescent="0.25">
      <c r="C6" s="279" t="s">
        <v>1589</v>
      </c>
      <c r="D6" s="278">
        <f>D5*50%</f>
        <v>0</v>
      </c>
    </row>
    <row r="7" spans="2:5" x14ac:dyDescent="0.25">
      <c r="C7" s="279" t="s">
        <v>1588</v>
      </c>
      <c r="D7" s="278">
        <f>D5*50%</f>
        <v>0</v>
      </c>
    </row>
    <row r="9" spans="2:5" x14ac:dyDescent="0.25">
      <c r="B9" s="274" t="s">
        <v>1586</v>
      </c>
      <c r="C9" s="272" t="s">
        <v>1587</v>
      </c>
      <c r="D9" s="272" t="s">
        <v>1584</v>
      </c>
      <c r="E9" s="271" t="s">
        <v>1583</v>
      </c>
    </row>
    <row r="10" spans="2:5" x14ac:dyDescent="0.25">
      <c r="B10" s="270">
        <v>1</v>
      </c>
      <c r="C10" s="277"/>
      <c r="D10" s="266" t="e">
        <f t="shared" ref="D10:D34" si="0">C10/$C$35</f>
        <v>#DIV/0!</v>
      </c>
      <c r="E10" s="265" t="e">
        <f t="shared" ref="E10:E34" si="1">D10*$D$6</f>
        <v>#DIV/0!</v>
      </c>
    </row>
    <row r="11" spans="2:5" x14ac:dyDescent="0.25">
      <c r="B11" s="270">
        <v>2</v>
      </c>
      <c r="C11" s="277"/>
      <c r="D11" s="266" t="e">
        <f t="shared" si="0"/>
        <v>#DIV/0!</v>
      </c>
      <c r="E11" s="265" t="e">
        <f t="shared" si="1"/>
        <v>#DIV/0!</v>
      </c>
    </row>
    <row r="12" spans="2:5" x14ac:dyDescent="0.25">
      <c r="B12" s="270">
        <v>3</v>
      </c>
      <c r="C12" s="277"/>
      <c r="D12" s="266" t="e">
        <f t="shared" si="0"/>
        <v>#DIV/0!</v>
      </c>
      <c r="E12" s="265" t="e">
        <f t="shared" si="1"/>
        <v>#DIV/0!</v>
      </c>
    </row>
    <row r="13" spans="2:5" x14ac:dyDescent="0.25">
      <c r="B13" s="270">
        <v>4</v>
      </c>
      <c r="C13" s="277"/>
      <c r="D13" s="266" t="e">
        <f t="shared" si="0"/>
        <v>#DIV/0!</v>
      </c>
      <c r="E13" s="265" t="e">
        <f t="shared" si="1"/>
        <v>#DIV/0!</v>
      </c>
    </row>
    <row r="14" spans="2:5" x14ac:dyDescent="0.25">
      <c r="B14" s="270">
        <v>5</v>
      </c>
      <c r="C14" s="277"/>
      <c r="D14" s="266" t="e">
        <f t="shared" si="0"/>
        <v>#DIV/0!</v>
      </c>
      <c r="E14" s="265" t="e">
        <f t="shared" si="1"/>
        <v>#DIV/0!</v>
      </c>
    </row>
    <row r="15" spans="2:5" x14ac:dyDescent="0.25">
      <c r="B15" s="270">
        <v>6</v>
      </c>
      <c r="C15" s="277"/>
      <c r="D15" s="266" t="e">
        <f t="shared" si="0"/>
        <v>#DIV/0!</v>
      </c>
      <c r="E15" s="265" t="e">
        <f t="shared" si="1"/>
        <v>#DIV/0!</v>
      </c>
    </row>
    <row r="16" spans="2:5" x14ac:dyDescent="0.25">
      <c r="B16" s="270">
        <v>7</v>
      </c>
      <c r="C16" s="277"/>
      <c r="D16" s="266" t="e">
        <f t="shared" si="0"/>
        <v>#DIV/0!</v>
      </c>
      <c r="E16" s="265" t="e">
        <f t="shared" si="1"/>
        <v>#DIV/0!</v>
      </c>
    </row>
    <row r="17" spans="2:5" x14ac:dyDescent="0.25">
      <c r="B17" s="270">
        <v>8</v>
      </c>
      <c r="C17" s="277"/>
      <c r="D17" s="266" t="e">
        <f t="shared" si="0"/>
        <v>#DIV/0!</v>
      </c>
      <c r="E17" s="265" t="e">
        <f t="shared" si="1"/>
        <v>#DIV/0!</v>
      </c>
    </row>
    <row r="18" spans="2:5" x14ac:dyDescent="0.25">
      <c r="B18" s="270">
        <v>9</v>
      </c>
      <c r="C18" s="277"/>
      <c r="D18" s="266" t="e">
        <f t="shared" si="0"/>
        <v>#DIV/0!</v>
      </c>
      <c r="E18" s="265" t="e">
        <f t="shared" si="1"/>
        <v>#DIV/0!</v>
      </c>
    </row>
    <row r="19" spans="2:5" x14ac:dyDescent="0.25">
      <c r="B19" s="270">
        <v>10</v>
      </c>
      <c r="C19" s="277"/>
      <c r="D19" s="266" t="e">
        <f t="shared" si="0"/>
        <v>#DIV/0!</v>
      </c>
      <c r="E19" s="265" t="e">
        <f t="shared" si="1"/>
        <v>#DIV/0!</v>
      </c>
    </row>
    <row r="20" spans="2:5" x14ac:dyDescent="0.25">
      <c r="B20" s="270">
        <v>11</v>
      </c>
      <c r="C20" s="277"/>
      <c r="D20" s="266" t="e">
        <f t="shared" si="0"/>
        <v>#DIV/0!</v>
      </c>
      <c r="E20" s="265" t="e">
        <f t="shared" si="1"/>
        <v>#DIV/0!</v>
      </c>
    </row>
    <row r="21" spans="2:5" x14ac:dyDescent="0.25">
      <c r="B21" s="270">
        <v>12</v>
      </c>
      <c r="C21" s="277"/>
      <c r="D21" s="266" t="e">
        <f t="shared" si="0"/>
        <v>#DIV/0!</v>
      </c>
      <c r="E21" s="265" t="e">
        <f t="shared" si="1"/>
        <v>#DIV/0!</v>
      </c>
    </row>
    <row r="22" spans="2:5" x14ac:dyDescent="0.25">
      <c r="B22" s="270">
        <v>13</v>
      </c>
      <c r="C22" s="277"/>
      <c r="D22" s="266" t="e">
        <f t="shared" si="0"/>
        <v>#DIV/0!</v>
      </c>
      <c r="E22" s="265" t="e">
        <f t="shared" si="1"/>
        <v>#DIV/0!</v>
      </c>
    </row>
    <row r="23" spans="2:5" x14ac:dyDescent="0.25">
      <c r="B23" s="270">
        <v>14</v>
      </c>
      <c r="C23" s="277"/>
      <c r="D23" s="266" t="e">
        <f t="shared" si="0"/>
        <v>#DIV/0!</v>
      </c>
      <c r="E23" s="265" t="e">
        <f t="shared" si="1"/>
        <v>#DIV/0!</v>
      </c>
    </row>
    <row r="24" spans="2:5" x14ac:dyDescent="0.25">
      <c r="B24" s="270">
        <v>15</v>
      </c>
      <c r="C24" s="277"/>
      <c r="D24" s="266" t="e">
        <f t="shared" si="0"/>
        <v>#DIV/0!</v>
      </c>
      <c r="E24" s="265" t="e">
        <f t="shared" si="1"/>
        <v>#DIV/0!</v>
      </c>
    </row>
    <row r="25" spans="2:5" x14ac:dyDescent="0.25">
      <c r="B25" s="270">
        <v>16</v>
      </c>
      <c r="C25" s="277"/>
      <c r="D25" s="266" t="e">
        <f t="shared" si="0"/>
        <v>#DIV/0!</v>
      </c>
      <c r="E25" s="265" t="e">
        <f t="shared" si="1"/>
        <v>#DIV/0!</v>
      </c>
    </row>
    <row r="26" spans="2:5" x14ac:dyDescent="0.25">
      <c r="B26" s="270">
        <v>17</v>
      </c>
      <c r="C26" s="277"/>
      <c r="D26" s="266" t="e">
        <f t="shared" si="0"/>
        <v>#DIV/0!</v>
      </c>
      <c r="E26" s="265" t="e">
        <f t="shared" si="1"/>
        <v>#DIV/0!</v>
      </c>
    </row>
    <row r="27" spans="2:5" x14ac:dyDescent="0.25">
      <c r="B27" s="270">
        <v>18</v>
      </c>
      <c r="C27" s="277"/>
      <c r="D27" s="266" t="e">
        <f t="shared" si="0"/>
        <v>#DIV/0!</v>
      </c>
      <c r="E27" s="265" t="e">
        <f t="shared" si="1"/>
        <v>#DIV/0!</v>
      </c>
    </row>
    <row r="28" spans="2:5" x14ac:dyDescent="0.25">
      <c r="B28" s="270">
        <v>19</v>
      </c>
      <c r="C28" s="277"/>
      <c r="D28" s="266" t="e">
        <f t="shared" si="0"/>
        <v>#DIV/0!</v>
      </c>
      <c r="E28" s="265" t="e">
        <f t="shared" si="1"/>
        <v>#DIV/0!</v>
      </c>
    </row>
    <row r="29" spans="2:5" x14ac:dyDescent="0.25">
      <c r="B29" s="270">
        <v>20</v>
      </c>
      <c r="C29" s="277"/>
      <c r="D29" s="266" t="e">
        <f t="shared" si="0"/>
        <v>#DIV/0!</v>
      </c>
      <c r="E29" s="265" t="e">
        <f t="shared" si="1"/>
        <v>#DIV/0!</v>
      </c>
    </row>
    <row r="30" spans="2:5" x14ac:dyDescent="0.25">
      <c r="B30" s="270">
        <v>21</v>
      </c>
      <c r="C30" s="277"/>
      <c r="D30" s="266" t="e">
        <f t="shared" si="0"/>
        <v>#DIV/0!</v>
      </c>
      <c r="E30" s="265" t="e">
        <f t="shared" si="1"/>
        <v>#DIV/0!</v>
      </c>
    </row>
    <row r="31" spans="2:5" x14ac:dyDescent="0.25">
      <c r="B31" s="270">
        <v>22</v>
      </c>
      <c r="C31" s="277"/>
      <c r="D31" s="266" t="e">
        <f t="shared" si="0"/>
        <v>#DIV/0!</v>
      </c>
      <c r="E31" s="265" t="e">
        <f t="shared" si="1"/>
        <v>#DIV/0!</v>
      </c>
    </row>
    <row r="32" spans="2:5" x14ac:dyDescent="0.25">
      <c r="B32" s="270">
        <v>23</v>
      </c>
      <c r="C32" s="277"/>
      <c r="D32" s="266" t="e">
        <f t="shared" si="0"/>
        <v>#DIV/0!</v>
      </c>
      <c r="E32" s="265" t="e">
        <f t="shared" si="1"/>
        <v>#DIV/0!</v>
      </c>
    </row>
    <row r="33" spans="2:5" x14ac:dyDescent="0.25">
      <c r="B33" s="270">
        <v>24</v>
      </c>
      <c r="C33" s="277"/>
      <c r="D33" s="266" t="e">
        <f t="shared" si="0"/>
        <v>#DIV/0!</v>
      </c>
      <c r="E33" s="265" t="e">
        <f t="shared" si="1"/>
        <v>#DIV/0!</v>
      </c>
    </row>
    <row r="34" spans="2:5" x14ac:dyDescent="0.25">
      <c r="B34" s="268">
        <v>25</v>
      </c>
      <c r="C34" s="276"/>
      <c r="D34" s="266" t="e">
        <f t="shared" si="0"/>
        <v>#DIV/0!</v>
      </c>
      <c r="E34" s="265" t="e">
        <f t="shared" si="1"/>
        <v>#DIV/0!</v>
      </c>
    </row>
    <row r="35" spans="2:5" x14ac:dyDescent="0.25">
      <c r="B35" s="264"/>
      <c r="C35" s="275">
        <f>SUM(C10:C34)</f>
        <v>0</v>
      </c>
      <c r="D35" s="262" t="e">
        <f>SUM(D10:D34)</f>
        <v>#DIV/0!</v>
      </c>
      <c r="E35" s="261" t="e">
        <f>SUM(E10:E34)</f>
        <v>#DIV/0!</v>
      </c>
    </row>
    <row r="38" spans="2:5" x14ac:dyDescent="0.25">
      <c r="B38" s="274" t="s">
        <v>1586</v>
      </c>
      <c r="C38" s="273" t="s">
        <v>1585</v>
      </c>
      <c r="D38" s="272" t="s">
        <v>1584</v>
      </c>
      <c r="E38" s="271" t="s">
        <v>1583</v>
      </c>
    </row>
    <row r="39" spans="2:5" x14ac:dyDescent="0.25">
      <c r="B39" s="270">
        <v>1</v>
      </c>
      <c r="C39" s="269"/>
      <c r="D39" s="266" t="e">
        <f t="shared" ref="D39:D63" si="2">C39/$C$64</f>
        <v>#DIV/0!</v>
      </c>
      <c r="E39" s="265" t="e">
        <f t="shared" ref="E39:E63" si="3">D39*$D$7</f>
        <v>#DIV/0!</v>
      </c>
    </row>
    <row r="40" spans="2:5" x14ac:dyDescent="0.25">
      <c r="B40" s="270">
        <v>2</v>
      </c>
      <c r="C40" s="269"/>
      <c r="D40" s="266" t="e">
        <f t="shared" si="2"/>
        <v>#DIV/0!</v>
      </c>
      <c r="E40" s="265" t="e">
        <f t="shared" si="3"/>
        <v>#DIV/0!</v>
      </c>
    </row>
    <row r="41" spans="2:5" x14ac:dyDescent="0.25">
      <c r="B41" s="270">
        <v>3</v>
      </c>
      <c r="C41" s="269"/>
      <c r="D41" s="266" t="e">
        <f t="shared" si="2"/>
        <v>#DIV/0!</v>
      </c>
      <c r="E41" s="265" t="e">
        <f t="shared" si="3"/>
        <v>#DIV/0!</v>
      </c>
    </row>
    <row r="42" spans="2:5" x14ac:dyDescent="0.25">
      <c r="B42" s="270">
        <v>4</v>
      </c>
      <c r="C42" s="269"/>
      <c r="D42" s="266" t="e">
        <f t="shared" si="2"/>
        <v>#DIV/0!</v>
      </c>
      <c r="E42" s="265" t="e">
        <f t="shared" si="3"/>
        <v>#DIV/0!</v>
      </c>
    </row>
    <row r="43" spans="2:5" x14ac:dyDescent="0.25">
      <c r="B43" s="270">
        <v>5</v>
      </c>
      <c r="C43" s="269"/>
      <c r="D43" s="266" t="e">
        <f t="shared" si="2"/>
        <v>#DIV/0!</v>
      </c>
      <c r="E43" s="265" t="e">
        <f t="shared" si="3"/>
        <v>#DIV/0!</v>
      </c>
    </row>
    <row r="44" spans="2:5" x14ac:dyDescent="0.25">
      <c r="B44" s="270">
        <v>6</v>
      </c>
      <c r="C44" s="269"/>
      <c r="D44" s="266" t="e">
        <f t="shared" si="2"/>
        <v>#DIV/0!</v>
      </c>
      <c r="E44" s="265" t="e">
        <f t="shared" si="3"/>
        <v>#DIV/0!</v>
      </c>
    </row>
    <row r="45" spans="2:5" x14ac:dyDescent="0.25">
      <c r="B45" s="270">
        <v>7</v>
      </c>
      <c r="C45" s="269"/>
      <c r="D45" s="266" t="e">
        <f t="shared" si="2"/>
        <v>#DIV/0!</v>
      </c>
      <c r="E45" s="265" t="e">
        <f t="shared" si="3"/>
        <v>#DIV/0!</v>
      </c>
    </row>
    <row r="46" spans="2:5" x14ac:dyDescent="0.25">
      <c r="B46" s="270">
        <v>8</v>
      </c>
      <c r="C46" s="269"/>
      <c r="D46" s="266" t="e">
        <f t="shared" si="2"/>
        <v>#DIV/0!</v>
      </c>
      <c r="E46" s="265" t="e">
        <f t="shared" si="3"/>
        <v>#DIV/0!</v>
      </c>
    </row>
    <row r="47" spans="2:5" x14ac:dyDescent="0.25">
      <c r="B47" s="270">
        <v>9</v>
      </c>
      <c r="C47" s="269"/>
      <c r="D47" s="266" t="e">
        <f t="shared" si="2"/>
        <v>#DIV/0!</v>
      </c>
      <c r="E47" s="265" t="e">
        <f t="shared" si="3"/>
        <v>#DIV/0!</v>
      </c>
    </row>
    <row r="48" spans="2:5" x14ac:dyDescent="0.25">
      <c r="B48" s="270">
        <v>10</v>
      </c>
      <c r="C48" s="269"/>
      <c r="D48" s="266" t="e">
        <f t="shared" si="2"/>
        <v>#DIV/0!</v>
      </c>
      <c r="E48" s="265" t="e">
        <f t="shared" si="3"/>
        <v>#DIV/0!</v>
      </c>
    </row>
    <row r="49" spans="2:5" x14ac:dyDescent="0.25">
      <c r="B49" s="270">
        <v>11</v>
      </c>
      <c r="C49" s="269"/>
      <c r="D49" s="266" t="e">
        <f t="shared" si="2"/>
        <v>#DIV/0!</v>
      </c>
      <c r="E49" s="265" t="e">
        <f t="shared" si="3"/>
        <v>#DIV/0!</v>
      </c>
    </row>
    <row r="50" spans="2:5" x14ac:dyDescent="0.25">
      <c r="B50" s="270">
        <v>12</v>
      </c>
      <c r="C50" s="269"/>
      <c r="D50" s="266" t="e">
        <f t="shared" si="2"/>
        <v>#DIV/0!</v>
      </c>
      <c r="E50" s="265" t="e">
        <f t="shared" si="3"/>
        <v>#DIV/0!</v>
      </c>
    </row>
    <row r="51" spans="2:5" x14ac:dyDescent="0.25">
      <c r="B51" s="270">
        <v>13</v>
      </c>
      <c r="C51" s="269"/>
      <c r="D51" s="266" t="e">
        <f t="shared" si="2"/>
        <v>#DIV/0!</v>
      </c>
      <c r="E51" s="265" t="e">
        <f t="shared" si="3"/>
        <v>#DIV/0!</v>
      </c>
    </row>
    <row r="52" spans="2:5" x14ac:dyDescent="0.25">
      <c r="B52" s="270">
        <v>14</v>
      </c>
      <c r="C52" s="269"/>
      <c r="D52" s="266" t="e">
        <f t="shared" si="2"/>
        <v>#DIV/0!</v>
      </c>
      <c r="E52" s="265" t="e">
        <f t="shared" si="3"/>
        <v>#DIV/0!</v>
      </c>
    </row>
    <row r="53" spans="2:5" x14ac:dyDescent="0.25">
      <c r="B53" s="270">
        <v>15</v>
      </c>
      <c r="C53" s="269"/>
      <c r="D53" s="266" t="e">
        <f t="shared" si="2"/>
        <v>#DIV/0!</v>
      </c>
      <c r="E53" s="265" t="e">
        <f t="shared" si="3"/>
        <v>#DIV/0!</v>
      </c>
    </row>
    <row r="54" spans="2:5" x14ac:dyDescent="0.25">
      <c r="B54" s="270">
        <v>16</v>
      </c>
      <c r="C54" s="269"/>
      <c r="D54" s="266" t="e">
        <f t="shared" si="2"/>
        <v>#DIV/0!</v>
      </c>
      <c r="E54" s="265" t="e">
        <f t="shared" si="3"/>
        <v>#DIV/0!</v>
      </c>
    </row>
    <row r="55" spans="2:5" x14ac:dyDescent="0.25">
      <c r="B55" s="270">
        <v>17</v>
      </c>
      <c r="C55" s="269"/>
      <c r="D55" s="266" t="e">
        <f t="shared" si="2"/>
        <v>#DIV/0!</v>
      </c>
      <c r="E55" s="265" t="e">
        <f t="shared" si="3"/>
        <v>#DIV/0!</v>
      </c>
    </row>
    <row r="56" spans="2:5" x14ac:dyDescent="0.25">
      <c r="B56" s="270">
        <v>18</v>
      </c>
      <c r="C56" s="269"/>
      <c r="D56" s="266" t="e">
        <f t="shared" si="2"/>
        <v>#DIV/0!</v>
      </c>
      <c r="E56" s="265" t="e">
        <f t="shared" si="3"/>
        <v>#DIV/0!</v>
      </c>
    </row>
    <row r="57" spans="2:5" x14ac:dyDescent="0.25">
      <c r="B57" s="270">
        <v>19</v>
      </c>
      <c r="C57" s="269"/>
      <c r="D57" s="266" t="e">
        <f t="shared" si="2"/>
        <v>#DIV/0!</v>
      </c>
      <c r="E57" s="265" t="e">
        <f t="shared" si="3"/>
        <v>#DIV/0!</v>
      </c>
    </row>
    <row r="58" spans="2:5" x14ac:dyDescent="0.25">
      <c r="B58" s="270">
        <v>20</v>
      </c>
      <c r="C58" s="269"/>
      <c r="D58" s="266" t="e">
        <f t="shared" si="2"/>
        <v>#DIV/0!</v>
      </c>
      <c r="E58" s="265" t="e">
        <f t="shared" si="3"/>
        <v>#DIV/0!</v>
      </c>
    </row>
    <row r="59" spans="2:5" x14ac:dyDescent="0.25">
      <c r="B59" s="270">
        <v>21</v>
      </c>
      <c r="C59" s="269"/>
      <c r="D59" s="266" t="e">
        <f t="shared" si="2"/>
        <v>#DIV/0!</v>
      </c>
      <c r="E59" s="265" t="e">
        <f t="shared" si="3"/>
        <v>#DIV/0!</v>
      </c>
    </row>
    <row r="60" spans="2:5" x14ac:dyDescent="0.25">
      <c r="B60" s="270">
        <v>22</v>
      </c>
      <c r="C60" s="269"/>
      <c r="D60" s="266" t="e">
        <f t="shared" si="2"/>
        <v>#DIV/0!</v>
      </c>
      <c r="E60" s="265" t="e">
        <f t="shared" si="3"/>
        <v>#DIV/0!</v>
      </c>
    </row>
    <row r="61" spans="2:5" x14ac:dyDescent="0.25">
      <c r="B61" s="270">
        <v>23</v>
      </c>
      <c r="C61" s="269"/>
      <c r="D61" s="266" t="e">
        <f t="shared" si="2"/>
        <v>#DIV/0!</v>
      </c>
      <c r="E61" s="265" t="e">
        <f t="shared" si="3"/>
        <v>#DIV/0!</v>
      </c>
    </row>
    <row r="62" spans="2:5" x14ac:dyDescent="0.25">
      <c r="B62" s="270">
        <v>24</v>
      </c>
      <c r="C62" s="269"/>
      <c r="D62" s="266" t="e">
        <f t="shared" si="2"/>
        <v>#DIV/0!</v>
      </c>
      <c r="E62" s="265" t="e">
        <f t="shared" si="3"/>
        <v>#DIV/0!</v>
      </c>
    </row>
    <row r="63" spans="2:5" x14ac:dyDescent="0.25">
      <c r="B63" s="268">
        <v>25</v>
      </c>
      <c r="C63" s="267"/>
      <c r="D63" s="266" t="e">
        <f t="shared" si="2"/>
        <v>#DIV/0!</v>
      </c>
      <c r="E63" s="265" t="e">
        <f t="shared" si="3"/>
        <v>#DIV/0!</v>
      </c>
    </row>
    <row r="64" spans="2:5" x14ac:dyDescent="0.25">
      <c r="B64" s="264"/>
      <c r="C64" s="263">
        <f>SUM(C39:C63)</f>
        <v>0</v>
      </c>
      <c r="D64" s="262" t="e">
        <f>SUM(D39:D63)</f>
        <v>#DIV/0!</v>
      </c>
      <c r="E64" s="261" t="e">
        <f>SUM(E39:E63)</f>
        <v>#DIV/0!</v>
      </c>
    </row>
  </sheetData>
  <printOptions horizontalCentered="1"/>
  <pageMargins left="0.19685039370078741" right="0.19685039370078741" top="0.19685039370078741" bottom="0.19685039370078741" header="0" footer="0"/>
  <pageSetup paperSize="9" scale="85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38</vt:i4>
      </vt:variant>
    </vt:vector>
  </HeadingPairs>
  <TitlesOfParts>
    <vt:vector size="54" baseType="lpstr">
      <vt:lpstr>Base de Datos</vt:lpstr>
      <vt:lpstr>Plan de Cuentas</vt:lpstr>
      <vt:lpstr>Libro Diario Convencional</vt:lpstr>
      <vt:lpstr>Hoja1</vt:lpstr>
      <vt:lpstr>Libro Mayor - Nivel Cuentas</vt:lpstr>
      <vt:lpstr>Mayor - Nivel Divisionarias</vt:lpstr>
      <vt:lpstr>Hoja Trabajo - Cuentas Balance</vt:lpstr>
      <vt:lpstr>Hoja Trabajo - Divisionarias</vt:lpstr>
      <vt:lpstr>Distribución de Utilidades</vt:lpstr>
      <vt:lpstr>Balance General - NIC 1</vt:lpstr>
      <vt:lpstr>Resultados por Función - NIC 1</vt:lpstr>
      <vt:lpstr>Resultados x Naturaleza - NIC 1</vt:lpstr>
      <vt:lpstr>Est. de Cambios en Patri. Neto</vt:lpstr>
      <vt:lpstr>Asientos de Cierre</vt:lpstr>
      <vt:lpstr>Cierre - Nivel Cuentas</vt:lpstr>
      <vt:lpstr>Cierre - Nivel Divisionarias</vt:lpstr>
      <vt:lpstr>ActivosArrendFinan</vt:lpstr>
      <vt:lpstr>ActivosBiológicos</vt:lpstr>
      <vt:lpstr>ActivosIntangibles</vt:lpstr>
      <vt:lpstr>'Base de Datos'!Área_de_impresión</vt:lpstr>
      <vt:lpstr>'Libro Diario Convencional'!Área_de_impresión</vt:lpstr>
      <vt:lpstr>CódigosEFE</vt:lpstr>
      <vt:lpstr>Compras</vt:lpstr>
      <vt:lpstr>CtasIngresosEgresos</vt:lpstr>
      <vt:lpstr>CuentasContables</vt:lpstr>
      <vt:lpstr>DivisionariasContables</vt:lpstr>
      <vt:lpstr>DsctosConcedidos</vt:lpstr>
      <vt:lpstr>DsctosObtenidos</vt:lpstr>
      <vt:lpstr>GanaValorRazonable</vt:lpstr>
      <vt:lpstr>GastosFinancieros</vt:lpstr>
      <vt:lpstr>GastosGestión</vt:lpstr>
      <vt:lpstr>IngresosFinancieros</vt:lpstr>
      <vt:lpstr>IngresosGestión</vt:lpstr>
      <vt:lpstr>InmuMaquiEquipo</vt:lpstr>
      <vt:lpstr>MovimientosCaja</vt:lpstr>
      <vt:lpstr>OtrosActivos</vt:lpstr>
      <vt:lpstr>RUCsClientes</vt:lpstr>
      <vt:lpstr>RUCsProveedores</vt:lpstr>
      <vt:lpstr>ServiciosAnticipado</vt:lpstr>
      <vt:lpstr>ServPrestTerceros</vt:lpstr>
      <vt:lpstr>SubCuentasContables</vt:lpstr>
      <vt:lpstr>SubDivisionariasContables</vt:lpstr>
      <vt:lpstr>Tabla01</vt:lpstr>
      <vt:lpstr>Tabla02</vt:lpstr>
      <vt:lpstr>Tabla03</vt:lpstr>
      <vt:lpstr>Tabla04</vt:lpstr>
      <vt:lpstr>Tabla05</vt:lpstr>
      <vt:lpstr>Tabla06</vt:lpstr>
      <vt:lpstr>Tabla07</vt:lpstr>
      <vt:lpstr>Tabla08</vt:lpstr>
      <vt:lpstr>Tabla10</vt:lpstr>
      <vt:lpstr>Tabla11</vt:lpstr>
      <vt:lpstr>Tabla12</vt:lpstr>
      <vt:lpstr>Ventas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Alejandro Tejada Carrera</dc:creator>
  <cp:lastModifiedBy>USER</cp:lastModifiedBy>
  <cp:lastPrinted>2015-06-22T14:49:41Z</cp:lastPrinted>
  <dcterms:created xsi:type="dcterms:W3CDTF">2003-07-05T16:24:17Z</dcterms:created>
  <dcterms:modified xsi:type="dcterms:W3CDTF">2015-06-30T05:14:49Z</dcterms:modified>
</cp:coreProperties>
</file>