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1260" windowWidth="15300" windowHeight="6705" tabRatio="489" firstSheet="7" activeTab="7"/>
  </bookViews>
  <sheets>
    <sheet name="0" sheetId="33" state="hidden" r:id="rId1"/>
    <sheet name="JAN'16" sheetId="69" state="hidden" r:id="rId2"/>
    <sheet name="JAN'16REVISED" sheetId="70" state="hidden" r:id="rId3"/>
    <sheet name="FEB'16" sheetId="55" state="hidden" r:id="rId4"/>
    <sheet name="MAR'16" sheetId="71" state="hidden" r:id="rId5"/>
    <sheet name="APR'16" sheetId="72" state="hidden" r:id="rId6"/>
    <sheet name="MAY'16" sheetId="73" state="hidden" r:id="rId7"/>
    <sheet name="JUN'16" sheetId="74" r:id="rId8"/>
    <sheet name="JUL'16" sheetId="75" state="hidden" r:id="rId9"/>
    <sheet name="misc monthly" sheetId="37" state="hidden" r:id="rId10"/>
    <sheet name="EV &amp; RPT" sheetId="63" state="hidden" r:id="rId11"/>
  </sheets>
  <definedNames>
    <definedName name="_xlnm.Print_Area" localSheetId="0">'0'!$A$1:$F$243</definedName>
    <definedName name="_xlnm.Print_Area" localSheetId="5">'APR''16'!$A$1:$F$250</definedName>
    <definedName name="_xlnm.Print_Area" localSheetId="10">'EV &amp; RPT'!$A$1:$P$32</definedName>
    <definedName name="_xlnm.Print_Area" localSheetId="3">'FEB''16'!$A$1:$F$251</definedName>
    <definedName name="_xlnm.Print_Area" localSheetId="1">'JAN''16'!$A$1:$F$238</definedName>
    <definedName name="_xlnm.Print_Area" localSheetId="2">'JAN''16REVISED'!$A$1:$F$241</definedName>
    <definedName name="_xlnm.Print_Area" localSheetId="8">'JUL''16'!$A$1:$F$253</definedName>
    <definedName name="_xlnm.Print_Area" localSheetId="7">'JUN''16'!$A$1:$F$253</definedName>
    <definedName name="_xlnm.Print_Area" localSheetId="4">'MAR''16'!$A$1:$F$250</definedName>
    <definedName name="_xlnm.Print_Area" localSheetId="6">'MAY''16'!$A$1:$F$251</definedName>
    <definedName name="_xlnm.Print_Area" localSheetId="9">'misc monthly'!$A$1:$AM$60</definedName>
    <definedName name="_xlnm.Print_Titles" localSheetId="0">'0'!$1:$8</definedName>
    <definedName name="_xlnm.Print_Titles" localSheetId="5">'APR''16'!$1:$8</definedName>
    <definedName name="_xlnm.Print_Titles" localSheetId="3">'FEB''16'!$1:$8</definedName>
    <definedName name="_xlnm.Print_Titles" localSheetId="1">'JAN''16'!$1:$8</definedName>
    <definedName name="_xlnm.Print_Titles" localSheetId="2">'JAN''16REVISED'!$1:$8</definedName>
    <definedName name="_xlnm.Print_Titles" localSheetId="8">'JUL''16'!$1:$8</definedName>
    <definedName name="_xlnm.Print_Titles" localSheetId="7">'JUN''16'!$1:$8</definedName>
    <definedName name="_xlnm.Print_Titles" localSheetId="4">'MAR''16'!$1:$8</definedName>
    <definedName name="_xlnm.Print_Titles" localSheetId="6">'MAY''16'!$1:$8</definedName>
  </definedNames>
  <calcPr calcId="144525"/>
</workbook>
</file>

<file path=xl/calcChain.xml><?xml version="1.0" encoding="utf-8"?>
<calcChain xmlns="http://schemas.openxmlformats.org/spreadsheetml/2006/main">
  <c r="D16" i="75"/>
  <c r="I5" i="63" l="1"/>
  <c r="I4"/>
  <c r="I94" i="75"/>
  <c r="I25" i="63" l="1"/>
  <c r="I19"/>
  <c r="D125" i="75"/>
  <c r="D108"/>
  <c r="I245"/>
  <c r="I243"/>
  <c r="D165" l="1"/>
  <c r="W50" i="37" l="1"/>
  <c r="W49"/>
  <c r="C125" i="75" l="1"/>
  <c r="D230"/>
  <c r="C230"/>
  <c r="C231" s="1"/>
  <c r="I229"/>
  <c r="F229"/>
  <c r="E229"/>
  <c r="I228"/>
  <c r="F228"/>
  <c r="E228"/>
  <c r="I227"/>
  <c r="F227"/>
  <c r="E227"/>
  <c r="F226"/>
  <c r="E226"/>
  <c r="H225"/>
  <c r="H230" s="1"/>
  <c r="F225"/>
  <c r="F230" s="1"/>
  <c r="E225"/>
  <c r="D223"/>
  <c r="C223"/>
  <c r="I222"/>
  <c r="F222"/>
  <c r="E222"/>
  <c r="I221"/>
  <c r="F221"/>
  <c r="E221"/>
  <c r="I220"/>
  <c r="F220"/>
  <c r="E220"/>
  <c r="F219"/>
  <c r="E219"/>
  <c r="I218"/>
  <c r="F218"/>
  <c r="E218"/>
  <c r="I217"/>
  <c r="F217"/>
  <c r="E217"/>
  <c r="I216"/>
  <c r="F216"/>
  <c r="E216"/>
  <c r="I215"/>
  <c r="F215"/>
  <c r="E215"/>
  <c r="I214"/>
  <c r="F214"/>
  <c r="E214"/>
  <c r="F213"/>
  <c r="E213"/>
  <c r="I212"/>
  <c r="H212"/>
  <c r="H223" s="1"/>
  <c r="F212"/>
  <c r="E212"/>
  <c r="I211"/>
  <c r="F211"/>
  <c r="E211"/>
  <c r="I210"/>
  <c r="F210"/>
  <c r="E210"/>
  <c r="I209"/>
  <c r="F209"/>
  <c r="E209"/>
  <c r="I208"/>
  <c r="F208"/>
  <c r="E208"/>
  <c r="I207"/>
  <c r="I223" s="1"/>
  <c r="F207"/>
  <c r="E207"/>
  <c r="E223" s="1"/>
  <c r="I206"/>
  <c r="I205"/>
  <c r="D204"/>
  <c r="C204"/>
  <c r="I203"/>
  <c r="J203" s="1"/>
  <c r="F203"/>
  <c r="E203"/>
  <c r="I202"/>
  <c r="J202" s="1"/>
  <c r="F202"/>
  <c r="E202"/>
  <c r="I201"/>
  <c r="J201" s="1"/>
  <c r="F201"/>
  <c r="E201"/>
  <c r="I200"/>
  <c r="J200" s="1"/>
  <c r="F200"/>
  <c r="E200"/>
  <c r="I199"/>
  <c r="J199" s="1"/>
  <c r="F199"/>
  <c r="E199"/>
  <c r="F198"/>
  <c r="E198"/>
  <c r="I197"/>
  <c r="F197"/>
  <c r="E197"/>
  <c r="I196"/>
  <c r="H196"/>
  <c r="H204" s="1"/>
  <c r="I204" s="1"/>
  <c r="F196"/>
  <c r="E196"/>
  <c r="I195"/>
  <c r="F195"/>
  <c r="E195"/>
  <c r="I194"/>
  <c r="F194"/>
  <c r="E194"/>
  <c r="I193"/>
  <c r="F193"/>
  <c r="E193"/>
  <c r="I192"/>
  <c r="F192"/>
  <c r="E192"/>
  <c r="I191"/>
  <c r="F191"/>
  <c r="E191"/>
  <c r="I190"/>
  <c r="F190"/>
  <c r="E190"/>
  <c r="E204" s="1"/>
  <c r="H186"/>
  <c r="D186"/>
  <c r="C186"/>
  <c r="I185"/>
  <c r="F185"/>
  <c r="E185"/>
  <c r="I184"/>
  <c r="F184"/>
  <c r="E184"/>
  <c r="I183"/>
  <c r="F183"/>
  <c r="E183"/>
  <c r="I182"/>
  <c r="F182"/>
  <c r="E182"/>
  <c r="I181"/>
  <c r="F181"/>
  <c r="E181"/>
  <c r="F180"/>
  <c r="E180"/>
  <c r="I179"/>
  <c r="F179"/>
  <c r="E179"/>
  <c r="I178"/>
  <c r="F178"/>
  <c r="E178"/>
  <c r="I177"/>
  <c r="F177"/>
  <c r="E177"/>
  <c r="I176"/>
  <c r="F176"/>
  <c r="E176"/>
  <c r="I175"/>
  <c r="F175"/>
  <c r="E175"/>
  <c r="I174"/>
  <c r="F174"/>
  <c r="E174"/>
  <c r="I173"/>
  <c r="F173"/>
  <c r="E173"/>
  <c r="I172"/>
  <c r="I186" s="1"/>
  <c r="F172"/>
  <c r="E172"/>
  <c r="E186" s="1"/>
  <c r="C169"/>
  <c r="I168"/>
  <c r="F168"/>
  <c r="E168"/>
  <c r="I167"/>
  <c r="F167"/>
  <c r="E167"/>
  <c r="I166"/>
  <c r="F166"/>
  <c r="E166"/>
  <c r="I165"/>
  <c r="E165"/>
  <c r="D169"/>
  <c r="I164"/>
  <c r="F164"/>
  <c r="E164"/>
  <c r="I163"/>
  <c r="F163"/>
  <c r="E163"/>
  <c r="F162"/>
  <c r="E162"/>
  <c r="I161"/>
  <c r="F161"/>
  <c r="E161"/>
  <c r="I160"/>
  <c r="F160"/>
  <c r="E160"/>
  <c r="I159"/>
  <c r="F159"/>
  <c r="E159"/>
  <c r="I158"/>
  <c r="F158"/>
  <c r="E158"/>
  <c r="I157"/>
  <c r="H157"/>
  <c r="H169" s="1"/>
  <c r="F157"/>
  <c r="E157"/>
  <c r="I156"/>
  <c r="F156"/>
  <c r="E156"/>
  <c r="I155"/>
  <c r="I169" s="1"/>
  <c r="F155"/>
  <c r="E155"/>
  <c r="E169" s="1"/>
  <c r="D153"/>
  <c r="C153"/>
  <c r="I152"/>
  <c r="F152"/>
  <c r="E152"/>
  <c r="I151"/>
  <c r="F151"/>
  <c r="E151"/>
  <c r="I150"/>
  <c r="F150"/>
  <c r="E150"/>
  <c r="I149"/>
  <c r="F149"/>
  <c r="E149"/>
  <c r="I148"/>
  <c r="F148"/>
  <c r="E148"/>
  <c r="F147"/>
  <c r="E147"/>
  <c r="I146"/>
  <c r="F146"/>
  <c r="E146"/>
  <c r="I145"/>
  <c r="F145"/>
  <c r="E145"/>
  <c r="I144"/>
  <c r="F144"/>
  <c r="E144"/>
  <c r="I143"/>
  <c r="F143"/>
  <c r="E143"/>
  <c r="I142"/>
  <c r="F142"/>
  <c r="E142"/>
  <c r="I141"/>
  <c r="H141"/>
  <c r="H153" s="1"/>
  <c r="F141"/>
  <c r="E141"/>
  <c r="I140"/>
  <c r="F140"/>
  <c r="E140"/>
  <c r="I139"/>
  <c r="F139"/>
  <c r="E139"/>
  <c r="I138"/>
  <c r="F138"/>
  <c r="E138"/>
  <c r="I137"/>
  <c r="F137"/>
  <c r="F153" s="1"/>
  <c r="E137"/>
  <c r="F136"/>
  <c r="E136"/>
  <c r="I134"/>
  <c r="F134"/>
  <c r="C127"/>
  <c r="I126"/>
  <c r="F126"/>
  <c r="E126"/>
  <c r="E125"/>
  <c r="I125"/>
  <c r="I124"/>
  <c r="F124"/>
  <c r="E124"/>
  <c r="I123"/>
  <c r="F123"/>
  <c r="E123"/>
  <c r="I122"/>
  <c r="F122"/>
  <c r="E122"/>
  <c r="I121"/>
  <c r="F121"/>
  <c r="E121"/>
  <c r="I120"/>
  <c r="F120"/>
  <c r="E120"/>
  <c r="I119"/>
  <c r="F119"/>
  <c r="E119"/>
  <c r="I118"/>
  <c r="F118"/>
  <c r="E118"/>
  <c r="I117"/>
  <c r="F117"/>
  <c r="E117"/>
  <c r="H115"/>
  <c r="D115"/>
  <c r="C115"/>
  <c r="I114"/>
  <c r="I115" s="1"/>
  <c r="F114"/>
  <c r="E114"/>
  <c r="I113"/>
  <c r="F113"/>
  <c r="F115" s="1"/>
  <c r="E113"/>
  <c r="E115" s="1"/>
  <c r="H111"/>
  <c r="C111"/>
  <c r="I110"/>
  <c r="F110"/>
  <c r="E110"/>
  <c r="I109"/>
  <c r="F109"/>
  <c r="E109"/>
  <c r="E108"/>
  <c r="D111"/>
  <c r="I107"/>
  <c r="F107"/>
  <c r="E107"/>
  <c r="I106"/>
  <c r="F106"/>
  <c r="E106"/>
  <c r="I105"/>
  <c r="F105"/>
  <c r="E105"/>
  <c r="I104"/>
  <c r="F104"/>
  <c r="E104"/>
  <c r="I103"/>
  <c r="F103"/>
  <c r="E103"/>
  <c r="I102"/>
  <c r="F102"/>
  <c r="E102"/>
  <c r="I101"/>
  <c r="F101"/>
  <c r="E101"/>
  <c r="I100"/>
  <c r="F100"/>
  <c r="E100"/>
  <c r="I99"/>
  <c r="F99"/>
  <c r="E99"/>
  <c r="I98"/>
  <c r="F98"/>
  <c r="E98"/>
  <c r="I97"/>
  <c r="F97"/>
  <c r="E97"/>
  <c r="I96"/>
  <c r="F96"/>
  <c r="E96"/>
  <c r="I95"/>
  <c r="F95"/>
  <c r="E95"/>
  <c r="F94"/>
  <c r="E94"/>
  <c r="I93"/>
  <c r="F93"/>
  <c r="E93"/>
  <c r="I92"/>
  <c r="F92"/>
  <c r="E92"/>
  <c r="I91"/>
  <c r="F91"/>
  <c r="E91"/>
  <c r="I90"/>
  <c r="F90"/>
  <c r="E90"/>
  <c r="I89"/>
  <c r="F89"/>
  <c r="E89"/>
  <c r="I88"/>
  <c r="F88"/>
  <c r="E88"/>
  <c r="I87"/>
  <c r="F87"/>
  <c r="E87"/>
  <c r="I86"/>
  <c r="F86"/>
  <c r="E86"/>
  <c r="I85"/>
  <c r="F85"/>
  <c r="E85"/>
  <c r="I84"/>
  <c r="F84"/>
  <c r="E84"/>
  <c r="I83"/>
  <c r="F83"/>
  <c r="E83"/>
  <c r="F82"/>
  <c r="E82"/>
  <c r="I81"/>
  <c r="F81"/>
  <c r="E81"/>
  <c r="I80"/>
  <c r="F80"/>
  <c r="E80"/>
  <c r="I79"/>
  <c r="F79"/>
  <c r="E79"/>
  <c r="I78"/>
  <c r="F78"/>
  <c r="E78"/>
  <c r="I77"/>
  <c r="F77"/>
  <c r="E77"/>
  <c r="I76"/>
  <c r="F76"/>
  <c r="E76"/>
  <c r="I75"/>
  <c r="F75"/>
  <c r="E75"/>
  <c r="I74"/>
  <c r="F74"/>
  <c r="E74"/>
  <c r="I73"/>
  <c r="F73"/>
  <c r="E73"/>
  <c r="I72"/>
  <c r="F72"/>
  <c r="E72"/>
  <c r="I71"/>
  <c r="F71"/>
  <c r="E71"/>
  <c r="I70"/>
  <c r="F70"/>
  <c r="E70"/>
  <c r="I69"/>
  <c r="F69"/>
  <c r="E69"/>
  <c r="F68"/>
  <c r="E68"/>
  <c r="I67"/>
  <c r="F67"/>
  <c r="E67"/>
  <c r="I66"/>
  <c r="F66"/>
  <c r="E66"/>
  <c r="I65"/>
  <c r="F65"/>
  <c r="E65"/>
  <c r="I64"/>
  <c r="F64"/>
  <c r="E64"/>
  <c r="I63"/>
  <c r="F63"/>
  <c r="E63"/>
  <c r="I62"/>
  <c r="F62"/>
  <c r="E62"/>
  <c r="I61"/>
  <c r="F61"/>
  <c r="E61"/>
  <c r="I60"/>
  <c r="F60"/>
  <c r="E60"/>
  <c r="I59"/>
  <c r="F59"/>
  <c r="E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52"/>
  <c r="F52"/>
  <c r="E52"/>
  <c r="I51"/>
  <c r="F51"/>
  <c r="E51"/>
  <c r="I50"/>
  <c r="F50"/>
  <c r="E50"/>
  <c r="I49"/>
  <c r="F49"/>
  <c r="E49"/>
  <c r="I48"/>
  <c r="F48"/>
  <c r="E48"/>
  <c r="I47"/>
  <c r="F47"/>
  <c r="E47"/>
  <c r="I46"/>
  <c r="F46"/>
  <c r="E46"/>
  <c r="I45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F36"/>
  <c r="E36"/>
  <c r="H34"/>
  <c r="I33"/>
  <c r="F33"/>
  <c r="E33"/>
  <c r="I32"/>
  <c r="C32"/>
  <c r="C34" s="1"/>
  <c r="I31"/>
  <c r="F31"/>
  <c r="E31"/>
  <c r="I30"/>
  <c r="F30"/>
  <c r="E30"/>
  <c r="I29"/>
  <c r="F29"/>
  <c r="E29"/>
  <c r="I28"/>
  <c r="F28"/>
  <c r="E28"/>
  <c r="I27"/>
  <c r="F27"/>
  <c r="E27"/>
  <c r="I26"/>
  <c r="F26"/>
  <c r="E26"/>
  <c r="I25"/>
  <c r="F25"/>
  <c r="E25"/>
  <c r="I24"/>
  <c r="F24"/>
  <c r="E24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I16"/>
  <c r="E16"/>
  <c r="F16"/>
  <c r="I15"/>
  <c r="F15"/>
  <c r="E15"/>
  <c r="I14"/>
  <c r="F14"/>
  <c r="E14"/>
  <c r="I13"/>
  <c r="F13"/>
  <c r="E13"/>
  <c r="I12"/>
  <c r="F12"/>
  <c r="E12"/>
  <c r="I11"/>
  <c r="I34" s="1"/>
  <c r="F11"/>
  <c r="E11"/>
  <c r="J220" l="1"/>
  <c r="J222"/>
  <c r="E230"/>
  <c r="F223"/>
  <c r="F204"/>
  <c r="J221"/>
  <c r="F186"/>
  <c r="E153"/>
  <c r="I153"/>
  <c r="I127"/>
  <c r="E127"/>
  <c r="E111"/>
  <c r="C128"/>
  <c r="C130" s="1"/>
  <c r="C232" s="1"/>
  <c r="D231"/>
  <c r="F32"/>
  <c r="F34" s="1"/>
  <c r="D34"/>
  <c r="H233" s="1"/>
  <c r="J233" s="1"/>
  <c r="F108"/>
  <c r="F111" s="1"/>
  <c r="F125"/>
  <c r="F127" s="1"/>
  <c r="D127"/>
  <c r="F165"/>
  <c r="F169" s="1"/>
  <c r="I225"/>
  <c r="I230" s="1"/>
  <c r="E32"/>
  <c r="E34" s="1"/>
  <c r="I108"/>
  <c r="I111" s="1"/>
  <c r="I38" i="74"/>
  <c r="E231" i="75" l="1"/>
  <c r="F231"/>
  <c r="D128"/>
  <c r="D130" s="1"/>
  <c r="E128"/>
  <c r="E130" s="1"/>
  <c r="F128"/>
  <c r="F130" s="1"/>
  <c r="E232"/>
  <c r="D232"/>
  <c r="E111" i="74"/>
  <c r="C111"/>
  <c r="D111"/>
  <c r="F111"/>
  <c r="F231"/>
  <c r="E231"/>
  <c r="D231"/>
  <c r="C231"/>
  <c r="F230"/>
  <c r="E230"/>
  <c r="D230"/>
  <c r="C230"/>
  <c r="F223"/>
  <c r="E223"/>
  <c r="D223"/>
  <c r="C223"/>
  <c r="F204"/>
  <c r="E204"/>
  <c r="D204"/>
  <c r="C204"/>
  <c r="F186"/>
  <c r="E186"/>
  <c r="D186"/>
  <c r="C186"/>
  <c r="F169"/>
  <c r="E169"/>
  <c r="D169"/>
  <c r="C169"/>
  <c r="F153"/>
  <c r="E153"/>
  <c r="D153"/>
  <c r="C153"/>
  <c r="F134"/>
  <c r="C128"/>
  <c r="C130" s="1"/>
  <c r="C232" s="1"/>
  <c r="F127"/>
  <c r="E127"/>
  <c r="D127"/>
  <c r="C127"/>
  <c r="F115"/>
  <c r="E115"/>
  <c r="D115"/>
  <c r="C115"/>
  <c r="D34"/>
  <c r="D128" s="1"/>
  <c r="D130" s="1"/>
  <c r="D232" s="1"/>
  <c r="C34"/>
  <c r="E226"/>
  <c r="F226"/>
  <c r="E227"/>
  <c r="F227"/>
  <c r="E228"/>
  <c r="F228"/>
  <c r="E229"/>
  <c r="F229"/>
  <c r="F225"/>
  <c r="E225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F207"/>
  <c r="E207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F190"/>
  <c r="E190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F172"/>
  <c r="E172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F155"/>
  <c r="E155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F137"/>
  <c r="E137"/>
  <c r="E126"/>
  <c r="F126"/>
  <c r="E118"/>
  <c r="F118"/>
  <c r="E119"/>
  <c r="F119"/>
  <c r="E120"/>
  <c r="F120"/>
  <c r="E121"/>
  <c r="F121"/>
  <c r="E122"/>
  <c r="F122"/>
  <c r="E123"/>
  <c r="F123"/>
  <c r="E124"/>
  <c r="F124"/>
  <c r="E125"/>
  <c r="F125"/>
  <c r="F117"/>
  <c r="E11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F37"/>
  <c r="E37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F11"/>
  <c r="E11"/>
  <c r="I248" i="75" l="1"/>
  <c r="I249" s="1"/>
  <c r="F232"/>
  <c r="F34" i="74"/>
  <c r="F128" s="1"/>
  <c r="F130" s="1"/>
  <c r="F232" s="1"/>
  <c r="E34"/>
  <c r="E128" s="1"/>
  <c r="E130" s="1"/>
  <c r="E232" s="1"/>
  <c r="D108"/>
  <c r="I245"/>
  <c r="H4" i="63"/>
  <c r="G4"/>
  <c r="H5"/>
  <c r="H25"/>
  <c r="H19"/>
  <c r="Q49" i="37"/>
  <c r="T49"/>
  <c r="D125" i="74" l="1"/>
  <c r="D16"/>
  <c r="D165"/>
  <c r="I243" l="1"/>
  <c r="I103" i="73" l="1"/>
  <c r="I105" i="74"/>
  <c r="I63"/>
  <c r="I61"/>
  <c r="I229" l="1"/>
  <c r="I228"/>
  <c r="I227"/>
  <c r="H225"/>
  <c r="H230" s="1"/>
  <c r="I222"/>
  <c r="I221"/>
  <c r="I220"/>
  <c r="I218"/>
  <c r="I217"/>
  <c r="I216"/>
  <c r="I215"/>
  <c r="I214"/>
  <c r="I212"/>
  <c r="H212"/>
  <c r="H223" s="1"/>
  <c r="I211"/>
  <c r="I210"/>
  <c r="I209"/>
  <c r="I208"/>
  <c r="I207"/>
  <c r="I206"/>
  <c r="I205"/>
  <c r="I203"/>
  <c r="J203" s="1"/>
  <c r="I202"/>
  <c r="J202" s="1"/>
  <c r="I201"/>
  <c r="J201" s="1"/>
  <c r="I200"/>
  <c r="I199"/>
  <c r="J199" s="1"/>
  <c r="I197"/>
  <c r="I196"/>
  <c r="H196"/>
  <c r="H204" s="1"/>
  <c r="I204" s="1"/>
  <c r="I195"/>
  <c r="I194"/>
  <c r="I193"/>
  <c r="I192"/>
  <c r="I191"/>
  <c r="I190"/>
  <c r="H186"/>
  <c r="I185"/>
  <c r="I184"/>
  <c r="I183"/>
  <c r="I182"/>
  <c r="I181"/>
  <c r="I179"/>
  <c r="I178"/>
  <c r="I177"/>
  <c r="I176"/>
  <c r="I175"/>
  <c r="I174"/>
  <c r="I173"/>
  <c r="I172"/>
  <c r="I186" s="1"/>
  <c r="I168"/>
  <c r="I167"/>
  <c r="I166"/>
  <c r="I165"/>
  <c r="I164"/>
  <c r="I163"/>
  <c r="I161"/>
  <c r="I160"/>
  <c r="I159"/>
  <c r="I158"/>
  <c r="I157"/>
  <c r="H157"/>
  <c r="H169" s="1"/>
  <c r="I156"/>
  <c r="I155"/>
  <c r="I152"/>
  <c r="I151"/>
  <c r="I150"/>
  <c r="I149"/>
  <c r="I148"/>
  <c r="I146"/>
  <c r="I145"/>
  <c r="I144"/>
  <c r="I143"/>
  <c r="I142"/>
  <c r="I141"/>
  <c r="H141"/>
  <c r="H153" s="1"/>
  <c r="I140"/>
  <c r="I139"/>
  <c r="I138"/>
  <c r="I137"/>
  <c r="I153" s="1"/>
  <c r="F136"/>
  <c r="E136"/>
  <c r="I134"/>
  <c r="I126"/>
  <c r="I125"/>
  <c r="I124"/>
  <c r="I123"/>
  <c r="I122"/>
  <c r="I121"/>
  <c r="I120"/>
  <c r="I119"/>
  <c r="I118"/>
  <c r="I117"/>
  <c r="I127" s="1"/>
  <c r="H115"/>
  <c r="I114"/>
  <c r="I115" s="1"/>
  <c r="F114"/>
  <c r="E114"/>
  <c r="I113"/>
  <c r="F113"/>
  <c r="E113"/>
  <c r="H111"/>
  <c r="I110"/>
  <c r="F110"/>
  <c r="E110"/>
  <c r="I109"/>
  <c r="I107"/>
  <c r="I106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1"/>
  <c r="I80"/>
  <c r="I79"/>
  <c r="I78"/>
  <c r="I77"/>
  <c r="I76"/>
  <c r="I75"/>
  <c r="I74"/>
  <c r="I73"/>
  <c r="I72"/>
  <c r="I71"/>
  <c r="I70"/>
  <c r="I69"/>
  <c r="I67"/>
  <c r="I66"/>
  <c r="I65"/>
  <c r="I64"/>
  <c r="I6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7"/>
  <c r="F36"/>
  <c r="E36"/>
  <c r="H34"/>
  <c r="I33"/>
  <c r="F33"/>
  <c r="E33"/>
  <c r="I32"/>
  <c r="C32"/>
  <c r="I31"/>
  <c r="I30"/>
  <c r="I29"/>
  <c r="I28"/>
  <c r="I27"/>
  <c r="I26"/>
  <c r="I25"/>
  <c r="I24"/>
  <c r="I23"/>
  <c r="I22"/>
  <c r="I21"/>
  <c r="I20"/>
  <c r="I19"/>
  <c r="I18"/>
  <c r="I17"/>
  <c r="H233"/>
  <c r="J233" s="1"/>
  <c r="I15"/>
  <c r="I14"/>
  <c r="I13"/>
  <c r="I12"/>
  <c r="I11"/>
  <c r="J200" l="1"/>
  <c r="I223"/>
  <c r="J222"/>
  <c r="J220"/>
  <c r="J221"/>
  <c r="I169"/>
  <c r="I225"/>
  <c r="I230" s="1"/>
  <c r="I16"/>
  <c r="I34" s="1"/>
  <c r="I108"/>
  <c r="I111" s="1"/>
  <c r="I98" i="73"/>
  <c r="I248" i="74" l="1"/>
  <c r="I249" s="1"/>
  <c r="D123" i="73"/>
  <c r="I241"/>
  <c r="D16"/>
  <c r="D125"/>
  <c r="G5" i="63" l="1"/>
  <c r="G25" l="1"/>
  <c r="G19"/>
  <c r="D167" i="73"/>
  <c r="D163"/>
  <c r="D106"/>
  <c r="I243" l="1"/>
  <c r="D228"/>
  <c r="C228"/>
  <c r="C229" s="1"/>
  <c r="I227"/>
  <c r="F227"/>
  <c r="E227"/>
  <c r="I226"/>
  <c r="F226"/>
  <c r="E226"/>
  <c r="I225"/>
  <c r="F225"/>
  <c r="E225"/>
  <c r="F224"/>
  <c r="E224"/>
  <c r="I223"/>
  <c r="H223"/>
  <c r="H228" s="1"/>
  <c r="F223"/>
  <c r="E223"/>
  <c r="E228" s="1"/>
  <c r="D221"/>
  <c r="C221"/>
  <c r="I220"/>
  <c r="F220"/>
  <c r="E220"/>
  <c r="I219"/>
  <c r="F219"/>
  <c r="E219"/>
  <c r="I218"/>
  <c r="F218"/>
  <c r="E218"/>
  <c r="F217"/>
  <c r="E217"/>
  <c r="I216"/>
  <c r="F216"/>
  <c r="E216"/>
  <c r="I215"/>
  <c r="F215"/>
  <c r="E215"/>
  <c r="I214"/>
  <c r="F214"/>
  <c r="E214"/>
  <c r="I213"/>
  <c r="F213"/>
  <c r="E213"/>
  <c r="I212"/>
  <c r="F212"/>
  <c r="E212"/>
  <c r="F211"/>
  <c r="E211"/>
  <c r="H210"/>
  <c r="H221" s="1"/>
  <c r="F210"/>
  <c r="E210"/>
  <c r="I209"/>
  <c r="F209"/>
  <c r="E209"/>
  <c r="I208"/>
  <c r="F208"/>
  <c r="E208"/>
  <c r="I207"/>
  <c r="F207"/>
  <c r="E207"/>
  <c r="I206"/>
  <c r="F206"/>
  <c r="E206"/>
  <c r="I205"/>
  <c r="F205"/>
  <c r="F221" s="1"/>
  <c r="E205"/>
  <c r="I204"/>
  <c r="I203"/>
  <c r="D202"/>
  <c r="C202"/>
  <c r="I201"/>
  <c r="J201" s="1"/>
  <c r="F201"/>
  <c r="E201"/>
  <c r="I200"/>
  <c r="J200" s="1"/>
  <c r="F200"/>
  <c r="E200"/>
  <c r="I199"/>
  <c r="J220" s="1"/>
  <c r="F199"/>
  <c r="E199"/>
  <c r="I198"/>
  <c r="J219" s="1"/>
  <c r="F198"/>
  <c r="E198"/>
  <c r="I197"/>
  <c r="J218" s="1"/>
  <c r="F197"/>
  <c r="E197"/>
  <c r="F196"/>
  <c r="E196"/>
  <c r="I195"/>
  <c r="F195"/>
  <c r="E195"/>
  <c r="H194"/>
  <c r="H202" s="1"/>
  <c r="I202" s="1"/>
  <c r="F194"/>
  <c r="E194"/>
  <c r="I193"/>
  <c r="F193"/>
  <c r="E193"/>
  <c r="I192"/>
  <c r="F192"/>
  <c r="E192"/>
  <c r="I191"/>
  <c r="F191"/>
  <c r="E191"/>
  <c r="I190"/>
  <c r="F190"/>
  <c r="E190"/>
  <c r="I189"/>
  <c r="F189"/>
  <c r="E189"/>
  <c r="I188"/>
  <c r="F188"/>
  <c r="F202" s="1"/>
  <c r="E188"/>
  <c r="H184"/>
  <c r="D184"/>
  <c r="C184"/>
  <c r="I183"/>
  <c r="F183"/>
  <c r="E183"/>
  <c r="I182"/>
  <c r="F182"/>
  <c r="E182"/>
  <c r="I181"/>
  <c r="F181"/>
  <c r="E181"/>
  <c r="I180"/>
  <c r="F180"/>
  <c r="E180"/>
  <c r="I179"/>
  <c r="F179"/>
  <c r="E179"/>
  <c r="F178"/>
  <c r="E178"/>
  <c r="I177"/>
  <c r="F177"/>
  <c r="E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I184" s="1"/>
  <c r="F170"/>
  <c r="E170"/>
  <c r="E184" s="1"/>
  <c r="C167"/>
  <c r="I166"/>
  <c r="F166"/>
  <c r="E166"/>
  <c r="I165"/>
  <c r="F165"/>
  <c r="E165"/>
  <c r="I164"/>
  <c r="F164"/>
  <c r="E164"/>
  <c r="E163"/>
  <c r="I163"/>
  <c r="I162"/>
  <c r="F162"/>
  <c r="E162"/>
  <c r="I161"/>
  <c r="F161"/>
  <c r="E161"/>
  <c r="F160"/>
  <c r="E160"/>
  <c r="I159"/>
  <c r="F159"/>
  <c r="E159"/>
  <c r="I158"/>
  <c r="F158"/>
  <c r="E158"/>
  <c r="I157"/>
  <c r="F157"/>
  <c r="E157"/>
  <c r="I156"/>
  <c r="F156"/>
  <c r="E156"/>
  <c r="I155"/>
  <c r="H155"/>
  <c r="H167" s="1"/>
  <c r="F155"/>
  <c r="E155"/>
  <c r="I154"/>
  <c r="F154"/>
  <c r="E154"/>
  <c r="I153"/>
  <c r="F153"/>
  <c r="E153"/>
  <c r="D151"/>
  <c r="C151"/>
  <c r="I150"/>
  <c r="F150"/>
  <c r="E150"/>
  <c r="I149"/>
  <c r="F149"/>
  <c r="E149"/>
  <c r="I148"/>
  <c r="F148"/>
  <c r="E148"/>
  <c r="I147"/>
  <c r="F147"/>
  <c r="E147"/>
  <c r="I146"/>
  <c r="F146"/>
  <c r="E146"/>
  <c r="F145"/>
  <c r="E145"/>
  <c r="I144"/>
  <c r="F144"/>
  <c r="E144"/>
  <c r="I143"/>
  <c r="F143"/>
  <c r="E143"/>
  <c r="I142"/>
  <c r="F142"/>
  <c r="E142"/>
  <c r="I141"/>
  <c r="F141"/>
  <c r="E141"/>
  <c r="I140"/>
  <c r="F140"/>
  <c r="E140"/>
  <c r="H139"/>
  <c r="I139" s="1"/>
  <c r="F139"/>
  <c r="E139"/>
  <c r="I138"/>
  <c r="F138"/>
  <c r="E138"/>
  <c r="I137"/>
  <c r="F137"/>
  <c r="E137"/>
  <c r="I136"/>
  <c r="F136"/>
  <c r="E136"/>
  <c r="I135"/>
  <c r="I151" s="1"/>
  <c r="F135"/>
  <c r="F151" s="1"/>
  <c r="E135"/>
  <c r="F134"/>
  <c r="E134"/>
  <c r="I132"/>
  <c r="F132"/>
  <c r="C125"/>
  <c r="C126" s="1"/>
  <c r="C128" s="1"/>
  <c r="I124"/>
  <c r="F124"/>
  <c r="E124"/>
  <c r="I123"/>
  <c r="F123"/>
  <c r="E123"/>
  <c r="I122"/>
  <c r="F122"/>
  <c r="E122"/>
  <c r="I121"/>
  <c r="F121"/>
  <c r="E121"/>
  <c r="I120"/>
  <c r="F120"/>
  <c r="E120"/>
  <c r="I119"/>
  <c r="F119"/>
  <c r="E119"/>
  <c r="I118"/>
  <c r="F118"/>
  <c r="E118"/>
  <c r="I117"/>
  <c r="F117"/>
  <c r="E117"/>
  <c r="I116"/>
  <c r="F116"/>
  <c r="E116"/>
  <c r="I115"/>
  <c r="H113"/>
  <c r="D113"/>
  <c r="C113"/>
  <c r="I112"/>
  <c r="I113" s="1"/>
  <c r="F112"/>
  <c r="E112"/>
  <c r="I111"/>
  <c r="F111"/>
  <c r="F113" s="1"/>
  <c r="E111"/>
  <c r="E113" s="1"/>
  <c r="H109"/>
  <c r="C109"/>
  <c r="I108"/>
  <c r="F108"/>
  <c r="E108"/>
  <c r="I107"/>
  <c r="F107"/>
  <c r="E107"/>
  <c r="D109"/>
  <c r="I105"/>
  <c r="F105"/>
  <c r="E105"/>
  <c r="I104"/>
  <c r="F104"/>
  <c r="E104"/>
  <c r="I102"/>
  <c r="F102"/>
  <c r="E102"/>
  <c r="I101"/>
  <c r="F101"/>
  <c r="E101"/>
  <c r="I100"/>
  <c r="F100"/>
  <c r="E100"/>
  <c r="I99"/>
  <c r="F99"/>
  <c r="E99"/>
  <c r="F98"/>
  <c r="E98"/>
  <c r="I97"/>
  <c r="F97"/>
  <c r="E97"/>
  <c r="I96"/>
  <c r="F96"/>
  <c r="E96"/>
  <c r="I95"/>
  <c r="F95"/>
  <c r="E95"/>
  <c r="I94"/>
  <c r="F94"/>
  <c r="E94"/>
  <c r="I93"/>
  <c r="F93"/>
  <c r="E93"/>
  <c r="I92"/>
  <c r="F92"/>
  <c r="E92"/>
  <c r="I91"/>
  <c r="F91"/>
  <c r="E91"/>
  <c r="I90"/>
  <c r="F90"/>
  <c r="E90"/>
  <c r="I89"/>
  <c r="F89"/>
  <c r="E89"/>
  <c r="I88"/>
  <c r="F88"/>
  <c r="E88"/>
  <c r="I87"/>
  <c r="F87"/>
  <c r="E87"/>
  <c r="I86"/>
  <c r="F86"/>
  <c r="E86"/>
  <c r="I85"/>
  <c r="F85"/>
  <c r="E85"/>
  <c r="I84"/>
  <c r="F84"/>
  <c r="E84"/>
  <c r="I83"/>
  <c r="F83"/>
  <c r="E83"/>
  <c r="I82"/>
  <c r="F82"/>
  <c r="E82"/>
  <c r="I81"/>
  <c r="F81"/>
  <c r="E81"/>
  <c r="I79"/>
  <c r="F79"/>
  <c r="E79"/>
  <c r="I78"/>
  <c r="F78"/>
  <c r="E78"/>
  <c r="I77"/>
  <c r="F77"/>
  <c r="E77"/>
  <c r="I76"/>
  <c r="F76"/>
  <c r="E76"/>
  <c r="I75"/>
  <c r="F75"/>
  <c r="E75"/>
  <c r="I74"/>
  <c r="F74"/>
  <c r="E74"/>
  <c r="I73"/>
  <c r="F73"/>
  <c r="E73"/>
  <c r="I72"/>
  <c r="F72"/>
  <c r="E72"/>
  <c r="I71"/>
  <c r="F71"/>
  <c r="E71"/>
  <c r="I70"/>
  <c r="F70"/>
  <c r="E70"/>
  <c r="I69"/>
  <c r="F69"/>
  <c r="E69"/>
  <c r="I68"/>
  <c r="F68"/>
  <c r="E68"/>
  <c r="I67"/>
  <c r="F67"/>
  <c r="E67"/>
  <c r="I65"/>
  <c r="F65"/>
  <c r="E65"/>
  <c r="I64"/>
  <c r="F64"/>
  <c r="E64"/>
  <c r="I63"/>
  <c r="F63"/>
  <c r="E63"/>
  <c r="I62"/>
  <c r="F62"/>
  <c r="E62"/>
  <c r="I61"/>
  <c r="F61"/>
  <c r="E61"/>
  <c r="I60"/>
  <c r="F60"/>
  <c r="E60"/>
  <c r="I59"/>
  <c r="F59"/>
  <c r="E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52"/>
  <c r="F52"/>
  <c r="E52"/>
  <c r="I51"/>
  <c r="F51"/>
  <c r="E51"/>
  <c r="I50"/>
  <c r="F50"/>
  <c r="E50"/>
  <c r="I49"/>
  <c r="F49"/>
  <c r="E49"/>
  <c r="I48"/>
  <c r="F48"/>
  <c r="E48"/>
  <c r="I47"/>
  <c r="F47"/>
  <c r="E47"/>
  <c r="I46"/>
  <c r="F46"/>
  <c r="E46"/>
  <c r="I45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F36"/>
  <c r="E36"/>
  <c r="H34"/>
  <c r="C34"/>
  <c r="I33"/>
  <c r="F33"/>
  <c r="E33"/>
  <c r="I32"/>
  <c r="E32"/>
  <c r="C32"/>
  <c r="F32" s="1"/>
  <c r="I31"/>
  <c r="F31"/>
  <c r="E31"/>
  <c r="I30"/>
  <c r="F30"/>
  <c r="E30"/>
  <c r="I29"/>
  <c r="F29"/>
  <c r="E29"/>
  <c r="I28"/>
  <c r="F28"/>
  <c r="E28"/>
  <c r="I27"/>
  <c r="F27"/>
  <c r="E27"/>
  <c r="I26"/>
  <c r="F26"/>
  <c r="E26"/>
  <c r="I25"/>
  <c r="F25"/>
  <c r="E25"/>
  <c r="I24"/>
  <c r="F24"/>
  <c r="E24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D34"/>
  <c r="H231" s="1"/>
  <c r="J231" s="1"/>
  <c r="I15"/>
  <c r="F15"/>
  <c r="E15"/>
  <c r="I14"/>
  <c r="F14"/>
  <c r="E14"/>
  <c r="I13"/>
  <c r="F13"/>
  <c r="E13"/>
  <c r="I12"/>
  <c r="F12"/>
  <c r="E12"/>
  <c r="I11"/>
  <c r="F11"/>
  <c r="E11"/>
  <c r="J199" l="1"/>
  <c r="E202"/>
  <c r="J197"/>
  <c r="F228"/>
  <c r="I228"/>
  <c r="J198"/>
  <c r="E221"/>
  <c r="F184"/>
  <c r="E167"/>
  <c r="I167"/>
  <c r="E151"/>
  <c r="I125"/>
  <c r="C230"/>
  <c r="F16"/>
  <c r="F34" s="1"/>
  <c r="F106"/>
  <c r="F109" s="1"/>
  <c r="F115"/>
  <c r="F125" s="1"/>
  <c r="D126"/>
  <c r="D128" s="1"/>
  <c r="H151"/>
  <c r="F163"/>
  <c r="F167" s="1"/>
  <c r="F229" s="1"/>
  <c r="D229"/>
  <c r="E16"/>
  <c r="E34" s="1"/>
  <c r="I16"/>
  <c r="I34" s="1"/>
  <c r="E106"/>
  <c r="E109" s="1"/>
  <c r="I106"/>
  <c r="I109" s="1"/>
  <c r="E115"/>
  <c r="E125" s="1"/>
  <c r="I194"/>
  <c r="I210"/>
  <c r="I221" s="1"/>
  <c r="N59" i="37"/>
  <c r="F25" i="63"/>
  <c r="F19"/>
  <c r="E229" i="73" l="1"/>
  <c r="D230"/>
  <c r="F126"/>
  <c r="F128" s="1"/>
  <c r="F230" s="1"/>
  <c r="E126"/>
  <c r="E128" s="1"/>
  <c r="E230" s="1"/>
  <c r="D105" i="72"/>
  <c r="D114"/>
  <c r="I240"/>
  <c r="D16"/>
  <c r="I246" i="73" l="1"/>
  <c r="I247" s="1"/>
  <c r="D162" i="72"/>
  <c r="N50" i="37"/>
  <c r="N49"/>
  <c r="I242" i="72" l="1"/>
  <c r="D227"/>
  <c r="C227"/>
  <c r="I226"/>
  <c r="F226"/>
  <c r="E226"/>
  <c r="I225"/>
  <c r="F225"/>
  <c r="E225"/>
  <c r="I224"/>
  <c r="F224"/>
  <c r="E224"/>
  <c r="F223"/>
  <c r="E223"/>
  <c r="H222"/>
  <c r="H227" s="1"/>
  <c r="F222"/>
  <c r="E222"/>
  <c r="E227" s="1"/>
  <c r="D220"/>
  <c r="C220"/>
  <c r="I219"/>
  <c r="F219"/>
  <c r="E219"/>
  <c r="I218"/>
  <c r="F218"/>
  <c r="E218"/>
  <c r="I217"/>
  <c r="F217"/>
  <c r="E217"/>
  <c r="F216"/>
  <c r="E216"/>
  <c r="I215"/>
  <c r="F215"/>
  <c r="E215"/>
  <c r="I214"/>
  <c r="F214"/>
  <c r="E214"/>
  <c r="I213"/>
  <c r="F213"/>
  <c r="E213"/>
  <c r="I212"/>
  <c r="F212"/>
  <c r="E212"/>
  <c r="I211"/>
  <c r="F211"/>
  <c r="E211"/>
  <c r="F210"/>
  <c r="E210"/>
  <c r="H209"/>
  <c r="H220" s="1"/>
  <c r="F209"/>
  <c r="E209"/>
  <c r="I208"/>
  <c r="F208"/>
  <c r="E208"/>
  <c r="I207"/>
  <c r="F207"/>
  <c r="E207"/>
  <c r="I206"/>
  <c r="F206"/>
  <c r="E206"/>
  <c r="I205"/>
  <c r="F205"/>
  <c r="E205"/>
  <c r="I204"/>
  <c r="F204"/>
  <c r="F220" s="1"/>
  <c r="E204"/>
  <c r="I203"/>
  <c r="I202"/>
  <c r="C201"/>
  <c r="I200"/>
  <c r="J200" s="1"/>
  <c r="F200"/>
  <c r="E200"/>
  <c r="I199"/>
  <c r="J199" s="1"/>
  <c r="F199"/>
  <c r="E199"/>
  <c r="F198"/>
  <c r="I197"/>
  <c r="J218" s="1"/>
  <c r="F197"/>
  <c r="E197"/>
  <c r="D201"/>
  <c r="F195"/>
  <c r="E195"/>
  <c r="I194"/>
  <c r="F194"/>
  <c r="E194"/>
  <c r="H193"/>
  <c r="H201" s="1"/>
  <c r="I201" s="1"/>
  <c r="F193"/>
  <c r="E193"/>
  <c r="I192"/>
  <c r="F192"/>
  <c r="E192"/>
  <c r="I191"/>
  <c r="F191"/>
  <c r="E191"/>
  <c r="I190"/>
  <c r="F190"/>
  <c r="E190"/>
  <c r="I189"/>
  <c r="F189"/>
  <c r="E189"/>
  <c r="I188"/>
  <c r="F188"/>
  <c r="E188"/>
  <c r="I187"/>
  <c r="F187"/>
  <c r="E187"/>
  <c r="H183"/>
  <c r="D183"/>
  <c r="C183"/>
  <c r="I182"/>
  <c r="F182"/>
  <c r="E182"/>
  <c r="I181"/>
  <c r="F181"/>
  <c r="E181"/>
  <c r="I180"/>
  <c r="F180"/>
  <c r="E180"/>
  <c r="I179"/>
  <c r="F179"/>
  <c r="E179"/>
  <c r="I178"/>
  <c r="F178"/>
  <c r="E178"/>
  <c r="F177"/>
  <c r="E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F170"/>
  <c r="E170"/>
  <c r="I169"/>
  <c r="I183" s="1"/>
  <c r="F169"/>
  <c r="E169"/>
  <c r="E183" s="1"/>
  <c r="C166"/>
  <c r="I165"/>
  <c r="F165"/>
  <c r="E165"/>
  <c r="I164"/>
  <c r="F164"/>
  <c r="E164"/>
  <c r="I163"/>
  <c r="F163"/>
  <c r="E163"/>
  <c r="D166"/>
  <c r="I161"/>
  <c r="F161"/>
  <c r="E161"/>
  <c r="I160"/>
  <c r="F160"/>
  <c r="E160"/>
  <c r="F159"/>
  <c r="E159"/>
  <c r="I158"/>
  <c r="F158"/>
  <c r="E158"/>
  <c r="I157"/>
  <c r="F157"/>
  <c r="E157"/>
  <c r="I156"/>
  <c r="F156"/>
  <c r="E156"/>
  <c r="I155"/>
  <c r="F155"/>
  <c r="E155"/>
  <c r="H154"/>
  <c r="H166" s="1"/>
  <c r="F154"/>
  <c r="E154"/>
  <c r="I153"/>
  <c r="F153"/>
  <c r="E153"/>
  <c r="I152"/>
  <c r="F152"/>
  <c r="E152"/>
  <c r="D150"/>
  <c r="C150"/>
  <c r="I149"/>
  <c r="F149"/>
  <c r="E149"/>
  <c r="I148"/>
  <c r="F148"/>
  <c r="E148"/>
  <c r="I147"/>
  <c r="F147"/>
  <c r="E147"/>
  <c r="I146"/>
  <c r="F146"/>
  <c r="E146"/>
  <c r="I145"/>
  <c r="F145"/>
  <c r="E145"/>
  <c r="F144"/>
  <c r="E144"/>
  <c r="I143"/>
  <c r="F143"/>
  <c r="E143"/>
  <c r="I142"/>
  <c r="F142"/>
  <c r="E142"/>
  <c r="I141"/>
  <c r="F141"/>
  <c r="E141"/>
  <c r="I140"/>
  <c r="F140"/>
  <c r="E140"/>
  <c r="I139"/>
  <c r="F139"/>
  <c r="E139"/>
  <c r="H138"/>
  <c r="H150" s="1"/>
  <c r="F138"/>
  <c r="E138"/>
  <c r="I137"/>
  <c r="F137"/>
  <c r="E137"/>
  <c r="I136"/>
  <c r="F136"/>
  <c r="E136"/>
  <c r="I135"/>
  <c r="F135"/>
  <c r="E135"/>
  <c r="I134"/>
  <c r="F134"/>
  <c r="E134"/>
  <c r="E150" s="1"/>
  <c r="F133"/>
  <c r="E133"/>
  <c r="I131"/>
  <c r="F131"/>
  <c r="D124"/>
  <c r="C124"/>
  <c r="I123"/>
  <c r="F123"/>
  <c r="E123"/>
  <c r="I122"/>
  <c r="F122"/>
  <c r="E122"/>
  <c r="I121"/>
  <c r="F121"/>
  <c r="E121"/>
  <c r="I120"/>
  <c r="F120"/>
  <c r="E120"/>
  <c r="I119"/>
  <c r="F119"/>
  <c r="E119"/>
  <c r="I118"/>
  <c r="F118"/>
  <c r="E118"/>
  <c r="I117"/>
  <c r="F117"/>
  <c r="E117"/>
  <c r="I116"/>
  <c r="F116"/>
  <c r="E116"/>
  <c r="I115"/>
  <c r="F115"/>
  <c r="E115"/>
  <c r="I114"/>
  <c r="F114"/>
  <c r="E114"/>
  <c r="H112"/>
  <c r="D112"/>
  <c r="C112"/>
  <c r="I111"/>
  <c r="I112" s="1"/>
  <c r="F111"/>
  <c r="E111"/>
  <c r="I110"/>
  <c r="F110"/>
  <c r="F112" s="1"/>
  <c r="E110"/>
  <c r="H108"/>
  <c r="C108"/>
  <c r="I107"/>
  <c r="F107"/>
  <c r="E107"/>
  <c r="I106"/>
  <c r="F106"/>
  <c r="E106"/>
  <c r="I105"/>
  <c r="E105"/>
  <c r="D108"/>
  <c r="I104"/>
  <c r="F104"/>
  <c r="E104"/>
  <c r="I103"/>
  <c r="F103"/>
  <c r="E103"/>
  <c r="I102"/>
  <c r="F102"/>
  <c r="E102"/>
  <c r="I101"/>
  <c r="F101"/>
  <c r="E101"/>
  <c r="I100"/>
  <c r="F100"/>
  <c r="E100"/>
  <c r="I99"/>
  <c r="F99"/>
  <c r="E99"/>
  <c r="I98"/>
  <c r="F98"/>
  <c r="E98"/>
  <c r="I97"/>
  <c r="F97"/>
  <c r="E97"/>
  <c r="I96"/>
  <c r="F96"/>
  <c r="E96"/>
  <c r="I95"/>
  <c r="F95"/>
  <c r="E95"/>
  <c r="I94"/>
  <c r="F94"/>
  <c r="E94"/>
  <c r="I79"/>
  <c r="F79"/>
  <c r="E79"/>
  <c r="I93"/>
  <c r="F93"/>
  <c r="E93"/>
  <c r="I92"/>
  <c r="F92"/>
  <c r="E92"/>
  <c r="I91"/>
  <c r="F91"/>
  <c r="E91"/>
  <c r="I90"/>
  <c r="F90"/>
  <c r="E90"/>
  <c r="I89"/>
  <c r="F89"/>
  <c r="E89"/>
  <c r="I88"/>
  <c r="F88"/>
  <c r="E88"/>
  <c r="I87"/>
  <c r="F87"/>
  <c r="E87"/>
  <c r="I86"/>
  <c r="F86"/>
  <c r="E86"/>
  <c r="I85"/>
  <c r="F85"/>
  <c r="E85"/>
  <c r="I84"/>
  <c r="F84"/>
  <c r="E84"/>
  <c r="I83"/>
  <c r="F83"/>
  <c r="E83"/>
  <c r="I82"/>
  <c r="F82"/>
  <c r="E82"/>
  <c r="I81"/>
  <c r="F81"/>
  <c r="E81"/>
  <c r="I78"/>
  <c r="F78"/>
  <c r="E78"/>
  <c r="I77"/>
  <c r="F77"/>
  <c r="E77"/>
  <c r="I76"/>
  <c r="F76"/>
  <c r="E76"/>
  <c r="I75"/>
  <c r="F75"/>
  <c r="E75"/>
  <c r="I74"/>
  <c r="F74"/>
  <c r="E74"/>
  <c r="I73"/>
  <c r="F73"/>
  <c r="E73"/>
  <c r="I72"/>
  <c r="F72"/>
  <c r="E72"/>
  <c r="I71"/>
  <c r="F71"/>
  <c r="E71"/>
  <c r="I70"/>
  <c r="F70"/>
  <c r="E70"/>
  <c r="I69"/>
  <c r="F69"/>
  <c r="E69"/>
  <c r="I68"/>
  <c r="F68"/>
  <c r="E68"/>
  <c r="I67"/>
  <c r="F67"/>
  <c r="E67"/>
  <c r="I65"/>
  <c r="F65"/>
  <c r="E65"/>
  <c r="I64"/>
  <c r="F64"/>
  <c r="E64"/>
  <c r="I63"/>
  <c r="F63"/>
  <c r="E63"/>
  <c r="I62"/>
  <c r="F62"/>
  <c r="E62"/>
  <c r="I61"/>
  <c r="F61"/>
  <c r="E61"/>
  <c r="I60"/>
  <c r="F60"/>
  <c r="E60"/>
  <c r="I59"/>
  <c r="F59"/>
  <c r="E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52"/>
  <c r="F52"/>
  <c r="E52"/>
  <c r="I51"/>
  <c r="F51"/>
  <c r="E51"/>
  <c r="I50"/>
  <c r="F50"/>
  <c r="E50"/>
  <c r="I49"/>
  <c r="F49"/>
  <c r="E49"/>
  <c r="I48"/>
  <c r="F48"/>
  <c r="E48"/>
  <c r="I47"/>
  <c r="F47"/>
  <c r="E47"/>
  <c r="I46"/>
  <c r="F46"/>
  <c r="E46"/>
  <c r="I45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F36"/>
  <c r="E36"/>
  <c r="H34"/>
  <c r="I33"/>
  <c r="F33"/>
  <c r="E33"/>
  <c r="I32"/>
  <c r="E32"/>
  <c r="C32"/>
  <c r="C34" s="1"/>
  <c r="I31"/>
  <c r="F31"/>
  <c r="E31"/>
  <c r="I30"/>
  <c r="F30"/>
  <c r="E30"/>
  <c r="I29"/>
  <c r="F29"/>
  <c r="E29"/>
  <c r="I28"/>
  <c r="F28"/>
  <c r="E28"/>
  <c r="I27"/>
  <c r="F27"/>
  <c r="E27"/>
  <c r="I26"/>
  <c r="F26"/>
  <c r="E26"/>
  <c r="I25"/>
  <c r="F25"/>
  <c r="E25"/>
  <c r="I24"/>
  <c r="F24"/>
  <c r="E24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D34"/>
  <c r="H230" s="1"/>
  <c r="J230" s="1"/>
  <c r="I15"/>
  <c r="F15"/>
  <c r="E15"/>
  <c r="I14"/>
  <c r="F14"/>
  <c r="E14"/>
  <c r="I13"/>
  <c r="F13"/>
  <c r="E13"/>
  <c r="I12"/>
  <c r="F12"/>
  <c r="E12"/>
  <c r="I11"/>
  <c r="F11"/>
  <c r="E11"/>
  <c r="E124" l="1"/>
  <c r="F227"/>
  <c r="I154"/>
  <c r="E162"/>
  <c r="E166" s="1"/>
  <c r="F124"/>
  <c r="E220"/>
  <c r="I162"/>
  <c r="I166" s="1"/>
  <c r="F183"/>
  <c r="I193"/>
  <c r="J197"/>
  <c r="E198"/>
  <c r="F150"/>
  <c r="I138"/>
  <c r="I150" s="1"/>
  <c r="I222"/>
  <c r="C228"/>
  <c r="D125"/>
  <c r="D127" s="1"/>
  <c r="I124"/>
  <c r="I108"/>
  <c r="E112"/>
  <c r="I227"/>
  <c r="F16"/>
  <c r="F32"/>
  <c r="E108"/>
  <c r="C125"/>
  <c r="C127" s="1"/>
  <c r="D228"/>
  <c r="E16"/>
  <c r="E34" s="1"/>
  <c r="I16"/>
  <c r="I34" s="1"/>
  <c r="C229"/>
  <c r="F105"/>
  <c r="F108" s="1"/>
  <c r="F196"/>
  <c r="F201" s="1"/>
  <c r="I198"/>
  <c r="I209"/>
  <c r="I220" s="1"/>
  <c r="F162"/>
  <c r="F166" s="1"/>
  <c r="E196"/>
  <c r="E201" s="1"/>
  <c r="I196"/>
  <c r="E19" i="63"/>
  <c r="E25"/>
  <c r="E228" i="72" l="1"/>
  <c r="E125"/>
  <c r="E127" s="1"/>
  <c r="F34"/>
  <c r="F125" s="1"/>
  <c r="F127" s="1"/>
  <c r="F228"/>
  <c r="J217"/>
  <c r="J196"/>
  <c r="J219"/>
  <c r="J198"/>
  <c r="D229"/>
  <c r="I245" s="1"/>
  <c r="I246" s="1"/>
  <c r="E4" i="63"/>
  <c r="O4" s="1"/>
  <c r="O5"/>
  <c r="R5" s="1"/>
  <c r="E229" i="72" l="1"/>
  <c r="F229"/>
  <c r="C32" i="71"/>
  <c r="D127" l="1"/>
  <c r="I32"/>
  <c r="F32"/>
  <c r="E32"/>
  <c r="K59" i="37" l="1"/>
  <c r="K49"/>
  <c r="D220" i="71" l="1"/>
  <c r="I242"/>
  <c r="D198"/>
  <c r="D196"/>
  <c r="D201" s="1"/>
  <c r="D105" l="1"/>
  <c r="D19" i="63" l="1"/>
  <c r="D16" i="71"/>
  <c r="L35"/>
  <c r="L36"/>
  <c r="L66"/>
  <c r="L79"/>
  <c r="L109"/>
  <c r="L113"/>
  <c r="D162" l="1"/>
  <c r="J58" i="37" l="1"/>
  <c r="D227" i="71" l="1"/>
  <c r="C227"/>
  <c r="I226"/>
  <c r="F226"/>
  <c r="E226"/>
  <c r="I225"/>
  <c r="F225"/>
  <c r="E225"/>
  <c r="I224"/>
  <c r="F224"/>
  <c r="E224"/>
  <c r="F223"/>
  <c r="E223"/>
  <c r="H222"/>
  <c r="H227" s="1"/>
  <c r="F222"/>
  <c r="F227" s="1"/>
  <c r="E222"/>
  <c r="C220"/>
  <c r="I219"/>
  <c r="F219"/>
  <c r="E219"/>
  <c r="I218"/>
  <c r="F218"/>
  <c r="E218"/>
  <c r="I217"/>
  <c r="F217"/>
  <c r="E217"/>
  <c r="F216"/>
  <c r="E216"/>
  <c r="I215"/>
  <c r="F215"/>
  <c r="E215"/>
  <c r="I214"/>
  <c r="F214"/>
  <c r="E214"/>
  <c r="I213"/>
  <c r="F213"/>
  <c r="E213"/>
  <c r="I212"/>
  <c r="F212"/>
  <c r="E212"/>
  <c r="I211"/>
  <c r="F211"/>
  <c r="E211"/>
  <c r="F210"/>
  <c r="E210"/>
  <c r="H209"/>
  <c r="H220" s="1"/>
  <c r="F209"/>
  <c r="E209"/>
  <c r="I208"/>
  <c r="F208"/>
  <c r="E208"/>
  <c r="I207"/>
  <c r="F207"/>
  <c r="E207"/>
  <c r="I206"/>
  <c r="F206"/>
  <c r="E206"/>
  <c r="I205"/>
  <c r="F205"/>
  <c r="E205"/>
  <c r="I204"/>
  <c r="F204"/>
  <c r="E204"/>
  <c r="E220" s="1"/>
  <c r="I203"/>
  <c r="I202"/>
  <c r="C201"/>
  <c r="I200"/>
  <c r="J200" s="1"/>
  <c r="F200"/>
  <c r="E200"/>
  <c r="I199"/>
  <c r="J199" s="1"/>
  <c r="F199"/>
  <c r="E199"/>
  <c r="I198"/>
  <c r="J198" s="1"/>
  <c r="F198"/>
  <c r="E198"/>
  <c r="I197"/>
  <c r="J197" s="1"/>
  <c r="F197"/>
  <c r="E197"/>
  <c r="I196"/>
  <c r="F196"/>
  <c r="E196"/>
  <c r="F195"/>
  <c r="E195"/>
  <c r="I194"/>
  <c r="F194"/>
  <c r="E194"/>
  <c r="I193"/>
  <c r="H193"/>
  <c r="H201" s="1"/>
  <c r="I201" s="1"/>
  <c r="F193"/>
  <c r="E193"/>
  <c r="I192"/>
  <c r="F192"/>
  <c r="E192"/>
  <c r="I191"/>
  <c r="F191"/>
  <c r="E191"/>
  <c r="I190"/>
  <c r="F190"/>
  <c r="E190"/>
  <c r="I189"/>
  <c r="F189"/>
  <c r="E189"/>
  <c r="I188"/>
  <c r="F188"/>
  <c r="E188"/>
  <c r="I187"/>
  <c r="F187"/>
  <c r="F201" s="1"/>
  <c r="E187"/>
  <c r="H183"/>
  <c r="D183"/>
  <c r="C183"/>
  <c r="I182"/>
  <c r="F182"/>
  <c r="E182"/>
  <c r="I181"/>
  <c r="F181"/>
  <c r="E181"/>
  <c r="I180"/>
  <c r="F180"/>
  <c r="E180"/>
  <c r="I179"/>
  <c r="F179"/>
  <c r="E179"/>
  <c r="I178"/>
  <c r="F178"/>
  <c r="E178"/>
  <c r="F177"/>
  <c r="E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F170"/>
  <c r="E170"/>
  <c r="I169"/>
  <c r="F169"/>
  <c r="E169"/>
  <c r="D166"/>
  <c r="C166"/>
  <c r="I165"/>
  <c r="F165"/>
  <c r="E165"/>
  <c r="I164"/>
  <c r="F164"/>
  <c r="E164"/>
  <c r="I163"/>
  <c r="F163"/>
  <c r="E163"/>
  <c r="I162"/>
  <c r="F162"/>
  <c r="E162"/>
  <c r="I161"/>
  <c r="F161"/>
  <c r="E161"/>
  <c r="I160"/>
  <c r="F160"/>
  <c r="E160"/>
  <c r="F159"/>
  <c r="E159"/>
  <c r="I158"/>
  <c r="F158"/>
  <c r="E158"/>
  <c r="I157"/>
  <c r="F157"/>
  <c r="E157"/>
  <c r="I156"/>
  <c r="F156"/>
  <c r="E156"/>
  <c r="I155"/>
  <c r="F155"/>
  <c r="E155"/>
  <c r="H154"/>
  <c r="I154" s="1"/>
  <c r="F154"/>
  <c r="E154"/>
  <c r="I153"/>
  <c r="F153"/>
  <c r="E153"/>
  <c r="I152"/>
  <c r="I166" s="1"/>
  <c r="F152"/>
  <c r="F166" s="1"/>
  <c r="E152"/>
  <c r="D150"/>
  <c r="C150"/>
  <c r="I149"/>
  <c r="F149"/>
  <c r="E149"/>
  <c r="I148"/>
  <c r="F148"/>
  <c r="E148"/>
  <c r="I147"/>
  <c r="F147"/>
  <c r="E147"/>
  <c r="I146"/>
  <c r="F146"/>
  <c r="E146"/>
  <c r="I145"/>
  <c r="F145"/>
  <c r="E145"/>
  <c r="F144"/>
  <c r="E144"/>
  <c r="I143"/>
  <c r="F143"/>
  <c r="E143"/>
  <c r="I142"/>
  <c r="F142"/>
  <c r="E142"/>
  <c r="I141"/>
  <c r="F141"/>
  <c r="E141"/>
  <c r="I140"/>
  <c r="F140"/>
  <c r="E140"/>
  <c r="I139"/>
  <c r="F139"/>
  <c r="E139"/>
  <c r="H138"/>
  <c r="I138" s="1"/>
  <c r="F138"/>
  <c r="E138"/>
  <c r="I137"/>
  <c r="F137"/>
  <c r="E137"/>
  <c r="I136"/>
  <c r="F136"/>
  <c r="E136"/>
  <c r="I135"/>
  <c r="F135"/>
  <c r="E135"/>
  <c r="I134"/>
  <c r="I150" s="1"/>
  <c r="F134"/>
  <c r="E134"/>
  <c r="F133"/>
  <c r="E133"/>
  <c r="I131"/>
  <c r="F131"/>
  <c r="C124"/>
  <c r="I123"/>
  <c r="L123" s="1"/>
  <c r="F123"/>
  <c r="E123"/>
  <c r="I122"/>
  <c r="L122" s="1"/>
  <c r="E122"/>
  <c r="D124"/>
  <c r="I121"/>
  <c r="L121" s="1"/>
  <c r="F121"/>
  <c r="E121"/>
  <c r="I120"/>
  <c r="L120" s="1"/>
  <c r="F120"/>
  <c r="E120"/>
  <c r="I119"/>
  <c r="L119" s="1"/>
  <c r="F119"/>
  <c r="E119"/>
  <c r="I118"/>
  <c r="L118" s="1"/>
  <c r="F118"/>
  <c r="E118"/>
  <c r="I117"/>
  <c r="L117" s="1"/>
  <c r="F117"/>
  <c r="E117"/>
  <c r="I116"/>
  <c r="L116" s="1"/>
  <c r="F116"/>
  <c r="E116"/>
  <c r="I115"/>
  <c r="L115" s="1"/>
  <c r="F115"/>
  <c r="E115"/>
  <c r="I114"/>
  <c r="L114" s="1"/>
  <c r="F114"/>
  <c r="E114"/>
  <c r="H112"/>
  <c r="D112"/>
  <c r="C112"/>
  <c r="I111"/>
  <c r="F111"/>
  <c r="E111"/>
  <c r="I110"/>
  <c r="L110" s="1"/>
  <c r="F110"/>
  <c r="F112" s="1"/>
  <c r="E110"/>
  <c r="E112" s="1"/>
  <c r="H108"/>
  <c r="D108"/>
  <c r="C108"/>
  <c r="I107"/>
  <c r="L107" s="1"/>
  <c r="F107"/>
  <c r="E107"/>
  <c r="I106"/>
  <c r="L106" s="1"/>
  <c r="F106"/>
  <c r="E106"/>
  <c r="I105"/>
  <c r="L105" s="1"/>
  <c r="F105"/>
  <c r="E105"/>
  <c r="I104"/>
  <c r="L104" s="1"/>
  <c r="F104"/>
  <c r="E104"/>
  <c r="I103"/>
  <c r="L103" s="1"/>
  <c r="F103"/>
  <c r="E103"/>
  <c r="I102"/>
  <c r="L102" s="1"/>
  <c r="F102"/>
  <c r="E102"/>
  <c r="I101"/>
  <c r="L101" s="1"/>
  <c r="F101"/>
  <c r="E101"/>
  <c r="I100"/>
  <c r="L100" s="1"/>
  <c r="F100"/>
  <c r="E100"/>
  <c r="I99"/>
  <c r="L99" s="1"/>
  <c r="F99"/>
  <c r="E99"/>
  <c r="I98"/>
  <c r="L98" s="1"/>
  <c r="F98"/>
  <c r="E98"/>
  <c r="I97"/>
  <c r="L97" s="1"/>
  <c r="F97"/>
  <c r="E97"/>
  <c r="I96"/>
  <c r="L96" s="1"/>
  <c r="F96"/>
  <c r="E96"/>
  <c r="I95"/>
  <c r="L95" s="1"/>
  <c r="F95"/>
  <c r="E95"/>
  <c r="I94"/>
  <c r="L94" s="1"/>
  <c r="F94"/>
  <c r="E94"/>
  <c r="I93"/>
  <c r="L93" s="1"/>
  <c r="F93"/>
  <c r="E93"/>
  <c r="I92"/>
  <c r="L92" s="1"/>
  <c r="F92"/>
  <c r="E92"/>
  <c r="I91"/>
  <c r="L91" s="1"/>
  <c r="F91"/>
  <c r="E91"/>
  <c r="I90"/>
  <c r="L90" s="1"/>
  <c r="F90"/>
  <c r="E90"/>
  <c r="I89"/>
  <c r="L89" s="1"/>
  <c r="F89"/>
  <c r="E89"/>
  <c r="I88"/>
  <c r="L88" s="1"/>
  <c r="F88"/>
  <c r="E88"/>
  <c r="I87"/>
  <c r="L87" s="1"/>
  <c r="F87"/>
  <c r="E87"/>
  <c r="I86"/>
  <c r="L86" s="1"/>
  <c r="F86"/>
  <c r="E86"/>
  <c r="I85"/>
  <c r="L85" s="1"/>
  <c r="F85"/>
  <c r="E85"/>
  <c r="I84"/>
  <c r="L84" s="1"/>
  <c r="F84"/>
  <c r="E84"/>
  <c r="I83"/>
  <c r="L83" s="1"/>
  <c r="F83"/>
  <c r="E83"/>
  <c r="I82"/>
  <c r="L82" s="1"/>
  <c r="F82"/>
  <c r="E82"/>
  <c r="I81"/>
  <c r="L81" s="1"/>
  <c r="F81"/>
  <c r="E81"/>
  <c r="I80"/>
  <c r="L80" s="1"/>
  <c r="F80"/>
  <c r="E80"/>
  <c r="I78"/>
  <c r="L78" s="1"/>
  <c r="F78"/>
  <c r="E78"/>
  <c r="I77"/>
  <c r="L77" s="1"/>
  <c r="F77"/>
  <c r="E77"/>
  <c r="I76"/>
  <c r="L76" s="1"/>
  <c r="F76"/>
  <c r="E76"/>
  <c r="I75"/>
  <c r="L75" s="1"/>
  <c r="F75"/>
  <c r="E75"/>
  <c r="I74"/>
  <c r="L74" s="1"/>
  <c r="F74"/>
  <c r="E74"/>
  <c r="I73"/>
  <c r="L73" s="1"/>
  <c r="F73"/>
  <c r="E73"/>
  <c r="I72"/>
  <c r="L72" s="1"/>
  <c r="F72"/>
  <c r="E72"/>
  <c r="I71"/>
  <c r="L71" s="1"/>
  <c r="F71"/>
  <c r="E71"/>
  <c r="I70"/>
  <c r="L70" s="1"/>
  <c r="F70"/>
  <c r="E70"/>
  <c r="I69"/>
  <c r="L69" s="1"/>
  <c r="F69"/>
  <c r="E69"/>
  <c r="I68"/>
  <c r="L68" s="1"/>
  <c r="F68"/>
  <c r="E68"/>
  <c r="I67"/>
  <c r="L67" s="1"/>
  <c r="F67"/>
  <c r="E67"/>
  <c r="I65"/>
  <c r="L65" s="1"/>
  <c r="F65"/>
  <c r="E65"/>
  <c r="I64"/>
  <c r="L64" s="1"/>
  <c r="F64"/>
  <c r="E64"/>
  <c r="I63"/>
  <c r="L63" s="1"/>
  <c r="F63"/>
  <c r="E63"/>
  <c r="I62"/>
  <c r="L62" s="1"/>
  <c r="F62"/>
  <c r="E62"/>
  <c r="I61"/>
  <c r="L61" s="1"/>
  <c r="F61"/>
  <c r="E61"/>
  <c r="I60"/>
  <c r="L60" s="1"/>
  <c r="F60"/>
  <c r="E60"/>
  <c r="I59"/>
  <c r="L59" s="1"/>
  <c r="F59"/>
  <c r="E59"/>
  <c r="I58"/>
  <c r="L58" s="1"/>
  <c r="F58"/>
  <c r="E58"/>
  <c r="I57"/>
  <c r="L57" s="1"/>
  <c r="F57"/>
  <c r="E57"/>
  <c r="I56"/>
  <c r="L56" s="1"/>
  <c r="F56"/>
  <c r="E56"/>
  <c r="I55"/>
  <c r="L55" s="1"/>
  <c r="F55"/>
  <c r="E55"/>
  <c r="I54"/>
  <c r="L54" s="1"/>
  <c r="F54"/>
  <c r="E54"/>
  <c r="I53"/>
  <c r="L53" s="1"/>
  <c r="F53"/>
  <c r="E53"/>
  <c r="I52"/>
  <c r="L52" s="1"/>
  <c r="F52"/>
  <c r="E52"/>
  <c r="I51"/>
  <c r="L51" s="1"/>
  <c r="F51"/>
  <c r="E51"/>
  <c r="I50"/>
  <c r="L50" s="1"/>
  <c r="F50"/>
  <c r="E50"/>
  <c r="I49"/>
  <c r="L49" s="1"/>
  <c r="F49"/>
  <c r="E49"/>
  <c r="I48"/>
  <c r="L48" s="1"/>
  <c r="F48"/>
  <c r="E48"/>
  <c r="I47"/>
  <c r="L47" s="1"/>
  <c r="F47"/>
  <c r="E47"/>
  <c r="I46"/>
  <c r="L46" s="1"/>
  <c r="F46"/>
  <c r="E46"/>
  <c r="I45"/>
  <c r="L45" s="1"/>
  <c r="F45"/>
  <c r="E45"/>
  <c r="I44"/>
  <c r="L44" s="1"/>
  <c r="F44"/>
  <c r="E44"/>
  <c r="I43"/>
  <c r="L43" s="1"/>
  <c r="F43"/>
  <c r="E43"/>
  <c r="I42"/>
  <c r="L42" s="1"/>
  <c r="F42"/>
  <c r="E42"/>
  <c r="I41"/>
  <c r="L41" s="1"/>
  <c r="F41"/>
  <c r="E41"/>
  <c r="I40"/>
  <c r="L40" s="1"/>
  <c r="F40"/>
  <c r="E40"/>
  <c r="I39"/>
  <c r="L39" s="1"/>
  <c r="F39"/>
  <c r="E39"/>
  <c r="I38"/>
  <c r="L38" s="1"/>
  <c r="F38"/>
  <c r="E38"/>
  <c r="I37"/>
  <c r="L37" s="1"/>
  <c r="F37"/>
  <c r="E37"/>
  <c r="F36"/>
  <c r="E36"/>
  <c r="H34"/>
  <c r="C34"/>
  <c r="I33"/>
  <c r="L33" s="1"/>
  <c r="F33"/>
  <c r="E33"/>
  <c r="I31"/>
  <c r="L31" s="1"/>
  <c r="F31"/>
  <c r="E31"/>
  <c r="I30"/>
  <c r="L30" s="1"/>
  <c r="F30"/>
  <c r="E30"/>
  <c r="I29"/>
  <c r="L29" s="1"/>
  <c r="F29"/>
  <c r="E29"/>
  <c r="I28"/>
  <c r="L28" s="1"/>
  <c r="F28"/>
  <c r="E28"/>
  <c r="I27"/>
  <c r="L27" s="1"/>
  <c r="F27"/>
  <c r="E27"/>
  <c r="I26"/>
  <c r="L26" s="1"/>
  <c r="F26"/>
  <c r="E26"/>
  <c r="I25"/>
  <c r="L25" s="1"/>
  <c r="F25"/>
  <c r="E25"/>
  <c r="I24"/>
  <c r="L24" s="1"/>
  <c r="F24"/>
  <c r="E24"/>
  <c r="I23"/>
  <c r="L23" s="1"/>
  <c r="F23"/>
  <c r="E23"/>
  <c r="I22"/>
  <c r="L22" s="1"/>
  <c r="F22"/>
  <c r="E22"/>
  <c r="I21"/>
  <c r="L21" s="1"/>
  <c r="F21"/>
  <c r="E21"/>
  <c r="I20"/>
  <c r="L20" s="1"/>
  <c r="F20"/>
  <c r="E20"/>
  <c r="I19"/>
  <c r="L19" s="1"/>
  <c r="F19"/>
  <c r="E19"/>
  <c r="I18"/>
  <c r="L18" s="1"/>
  <c r="F18"/>
  <c r="E18"/>
  <c r="I17"/>
  <c r="L17" s="1"/>
  <c r="F17"/>
  <c r="E17"/>
  <c r="D34"/>
  <c r="H230" s="1"/>
  <c r="J230" s="1"/>
  <c r="I15"/>
  <c r="L15" s="1"/>
  <c r="F15"/>
  <c r="E15"/>
  <c r="I14"/>
  <c r="L14" s="1"/>
  <c r="F14"/>
  <c r="E14"/>
  <c r="I13"/>
  <c r="L13" s="1"/>
  <c r="F13"/>
  <c r="E13"/>
  <c r="I12"/>
  <c r="L12" s="1"/>
  <c r="F12"/>
  <c r="E12"/>
  <c r="I11"/>
  <c r="L11" s="1"/>
  <c r="F11"/>
  <c r="E11"/>
  <c r="I209" l="1"/>
  <c r="I220" s="1"/>
  <c r="I112"/>
  <c r="L112" s="1"/>
  <c r="L111"/>
  <c r="C228"/>
  <c r="D228"/>
  <c r="C125"/>
  <c r="C127" s="1"/>
  <c r="C229" s="1"/>
  <c r="J196"/>
  <c r="I108"/>
  <c r="L108" s="1"/>
  <c r="E227"/>
  <c r="F220"/>
  <c r="E201"/>
  <c r="J217"/>
  <c r="J219"/>
  <c r="J218"/>
  <c r="E183"/>
  <c r="I183"/>
  <c r="F183"/>
  <c r="E166"/>
  <c r="E150"/>
  <c r="F150"/>
  <c r="I124"/>
  <c r="L124" s="1"/>
  <c r="E124"/>
  <c r="F108"/>
  <c r="E108"/>
  <c r="D125"/>
  <c r="F16"/>
  <c r="F34" s="1"/>
  <c r="H150"/>
  <c r="H166"/>
  <c r="E16"/>
  <c r="E34" s="1"/>
  <c r="I16"/>
  <c r="F122"/>
  <c r="F124" s="1"/>
  <c r="I222"/>
  <c r="I227" s="1"/>
  <c r="D16" i="55"/>
  <c r="D25" i="63"/>
  <c r="D229" i="71" l="1"/>
  <c r="I245" s="1"/>
  <c r="I246" s="1"/>
  <c r="E228"/>
  <c r="F228"/>
  <c r="I34"/>
  <c r="L34" s="1"/>
  <c r="E125"/>
  <c r="E127" s="1"/>
  <c r="F125"/>
  <c r="F127" s="1"/>
  <c r="D4" i="63"/>
  <c r="K10" i="37"/>
  <c r="N10" s="1"/>
  <c r="Q10" s="1"/>
  <c r="T10" s="1"/>
  <c r="W10" s="1"/>
  <c r="H10"/>
  <c r="H9"/>
  <c r="I28" i="55"/>
  <c r="I107"/>
  <c r="I64"/>
  <c r="F229" i="71" l="1"/>
  <c r="E229"/>
  <c r="Z10" i="37"/>
  <c r="AC10" s="1"/>
  <c r="AF10" s="1"/>
  <c r="AI10" s="1"/>
  <c r="AL10" s="1"/>
  <c r="AO10" s="1"/>
  <c r="D121" i="55"/>
  <c r="E64" l="1"/>
  <c r="F64"/>
  <c r="I243"/>
  <c r="D228"/>
  <c r="C228"/>
  <c r="C229" s="1"/>
  <c r="I227"/>
  <c r="F227"/>
  <c r="E227"/>
  <c r="I226"/>
  <c r="F226"/>
  <c r="E226"/>
  <c r="I225"/>
  <c r="F225"/>
  <c r="E225"/>
  <c r="F224"/>
  <c r="E224"/>
  <c r="H223"/>
  <c r="H228" s="1"/>
  <c r="F223"/>
  <c r="F228" s="1"/>
  <c r="E223"/>
  <c r="D221"/>
  <c r="C221"/>
  <c r="I220"/>
  <c r="F220"/>
  <c r="E220"/>
  <c r="I219"/>
  <c r="F219"/>
  <c r="E219"/>
  <c r="I218"/>
  <c r="F218"/>
  <c r="E218"/>
  <c r="F217"/>
  <c r="E217"/>
  <c r="I216"/>
  <c r="F216"/>
  <c r="E216"/>
  <c r="I215"/>
  <c r="F215"/>
  <c r="E215"/>
  <c r="I214"/>
  <c r="F214"/>
  <c r="E214"/>
  <c r="I213"/>
  <c r="F213"/>
  <c r="E213"/>
  <c r="I212"/>
  <c r="F212"/>
  <c r="E212"/>
  <c r="F211"/>
  <c r="E211"/>
  <c r="I210"/>
  <c r="H210"/>
  <c r="H221" s="1"/>
  <c r="F210"/>
  <c r="E210"/>
  <c r="I209"/>
  <c r="F209"/>
  <c r="E209"/>
  <c r="I208"/>
  <c r="F208"/>
  <c r="E208"/>
  <c r="I207"/>
  <c r="F207"/>
  <c r="E207"/>
  <c r="I206"/>
  <c r="F206"/>
  <c r="E206"/>
  <c r="I205"/>
  <c r="F205"/>
  <c r="E205"/>
  <c r="I204"/>
  <c r="I203"/>
  <c r="D202"/>
  <c r="C202"/>
  <c r="I201"/>
  <c r="J201" s="1"/>
  <c r="F201"/>
  <c r="E201"/>
  <c r="I200"/>
  <c r="J200" s="1"/>
  <c r="F200"/>
  <c r="E200"/>
  <c r="I199"/>
  <c r="J199" s="1"/>
  <c r="F199"/>
  <c r="E199"/>
  <c r="I198"/>
  <c r="F198"/>
  <c r="E198"/>
  <c r="I197"/>
  <c r="J197" s="1"/>
  <c r="F197"/>
  <c r="E197"/>
  <c r="F196"/>
  <c r="E196"/>
  <c r="I195"/>
  <c r="F195"/>
  <c r="E195"/>
  <c r="I194"/>
  <c r="H194"/>
  <c r="H202" s="1"/>
  <c r="I202" s="1"/>
  <c r="F194"/>
  <c r="E194"/>
  <c r="I193"/>
  <c r="F193"/>
  <c r="E193"/>
  <c r="I192"/>
  <c r="F192"/>
  <c r="E192"/>
  <c r="I191"/>
  <c r="F191"/>
  <c r="E191"/>
  <c r="I190"/>
  <c r="F190"/>
  <c r="E190"/>
  <c r="I189"/>
  <c r="F189"/>
  <c r="E189"/>
  <c r="I188"/>
  <c r="F188"/>
  <c r="F202" s="1"/>
  <c r="E188"/>
  <c r="H184"/>
  <c r="D184"/>
  <c r="C184"/>
  <c r="I183"/>
  <c r="F183"/>
  <c r="E183"/>
  <c r="I182"/>
  <c r="F182"/>
  <c r="E182"/>
  <c r="I181"/>
  <c r="F181"/>
  <c r="E181"/>
  <c r="I180"/>
  <c r="F180"/>
  <c r="E180"/>
  <c r="I179"/>
  <c r="F179"/>
  <c r="E179"/>
  <c r="F178"/>
  <c r="E178"/>
  <c r="I177"/>
  <c r="F177"/>
  <c r="E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I184" s="1"/>
  <c r="F170"/>
  <c r="E170"/>
  <c r="D167"/>
  <c r="C167"/>
  <c r="I166"/>
  <c r="F166"/>
  <c r="E166"/>
  <c r="I165"/>
  <c r="F165"/>
  <c r="E165"/>
  <c r="I164"/>
  <c r="F164"/>
  <c r="E164"/>
  <c r="I163"/>
  <c r="F163"/>
  <c r="E163"/>
  <c r="I162"/>
  <c r="F162"/>
  <c r="E162"/>
  <c r="I161"/>
  <c r="F161"/>
  <c r="E161"/>
  <c r="F160"/>
  <c r="E160"/>
  <c r="I159"/>
  <c r="F159"/>
  <c r="E159"/>
  <c r="I158"/>
  <c r="F158"/>
  <c r="E158"/>
  <c r="I157"/>
  <c r="F157"/>
  <c r="E157"/>
  <c r="I156"/>
  <c r="F156"/>
  <c r="E156"/>
  <c r="H155"/>
  <c r="I155" s="1"/>
  <c r="F155"/>
  <c r="E155"/>
  <c r="I154"/>
  <c r="F154"/>
  <c r="E154"/>
  <c r="I153"/>
  <c r="I167" s="1"/>
  <c r="F153"/>
  <c r="E153"/>
  <c r="D151"/>
  <c r="C151"/>
  <c r="I150"/>
  <c r="F150"/>
  <c r="E150"/>
  <c r="I149"/>
  <c r="F149"/>
  <c r="E149"/>
  <c r="I148"/>
  <c r="F148"/>
  <c r="E148"/>
  <c r="I147"/>
  <c r="F147"/>
  <c r="E147"/>
  <c r="I146"/>
  <c r="F146"/>
  <c r="E146"/>
  <c r="F145"/>
  <c r="E145"/>
  <c r="I144"/>
  <c r="F144"/>
  <c r="E144"/>
  <c r="I143"/>
  <c r="F143"/>
  <c r="E143"/>
  <c r="I142"/>
  <c r="F142"/>
  <c r="E142"/>
  <c r="I141"/>
  <c r="F141"/>
  <c r="E141"/>
  <c r="I140"/>
  <c r="F140"/>
  <c r="E140"/>
  <c r="H139"/>
  <c r="I139" s="1"/>
  <c r="F139"/>
  <c r="E139"/>
  <c r="I138"/>
  <c r="F138"/>
  <c r="E138"/>
  <c r="I137"/>
  <c r="F137"/>
  <c r="E137"/>
  <c r="I136"/>
  <c r="F136"/>
  <c r="E136"/>
  <c r="I135"/>
  <c r="I151" s="1"/>
  <c r="F135"/>
  <c r="F151" s="1"/>
  <c r="E135"/>
  <c r="F134"/>
  <c r="E134"/>
  <c r="I132"/>
  <c r="F132"/>
  <c r="D127"/>
  <c r="C127"/>
  <c r="F126"/>
  <c r="E126"/>
  <c r="I125"/>
  <c r="F125"/>
  <c r="F127" s="1"/>
  <c r="E125"/>
  <c r="D123"/>
  <c r="C123"/>
  <c r="I122"/>
  <c r="F122"/>
  <c r="E122"/>
  <c r="I121"/>
  <c r="F121"/>
  <c r="E121"/>
  <c r="I120"/>
  <c r="F120"/>
  <c r="E120"/>
  <c r="I119"/>
  <c r="F119"/>
  <c r="E119"/>
  <c r="I118"/>
  <c r="F118"/>
  <c r="E118"/>
  <c r="I117"/>
  <c r="F117"/>
  <c r="E117"/>
  <c r="I116"/>
  <c r="F116"/>
  <c r="E116"/>
  <c r="I115"/>
  <c r="F115"/>
  <c r="E115"/>
  <c r="I114"/>
  <c r="F114"/>
  <c r="E114"/>
  <c r="I113"/>
  <c r="F113"/>
  <c r="F123" s="1"/>
  <c r="E113"/>
  <c r="H111"/>
  <c r="D111"/>
  <c r="C111"/>
  <c r="I110"/>
  <c r="I111" s="1"/>
  <c r="F110"/>
  <c r="E110"/>
  <c r="I109"/>
  <c r="F109"/>
  <c r="F111" s="1"/>
  <c r="E109"/>
  <c r="E111" s="1"/>
  <c r="H107"/>
  <c r="D107"/>
  <c r="C107"/>
  <c r="I106"/>
  <c r="F106"/>
  <c r="E106"/>
  <c r="I105"/>
  <c r="F105"/>
  <c r="E105"/>
  <c r="I104"/>
  <c r="F104"/>
  <c r="E104"/>
  <c r="I103"/>
  <c r="F103"/>
  <c r="E103"/>
  <c r="I102"/>
  <c r="F102"/>
  <c r="E102"/>
  <c r="I101"/>
  <c r="F101"/>
  <c r="E101"/>
  <c r="I100"/>
  <c r="F100"/>
  <c r="E100"/>
  <c r="I99"/>
  <c r="F99"/>
  <c r="E99"/>
  <c r="I98"/>
  <c r="F98"/>
  <c r="E98"/>
  <c r="I97"/>
  <c r="F97"/>
  <c r="E97"/>
  <c r="I96"/>
  <c r="F96"/>
  <c r="E96"/>
  <c r="I95"/>
  <c r="F95"/>
  <c r="E95"/>
  <c r="I94"/>
  <c r="F94"/>
  <c r="E94"/>
  <c r="I93"/>
  <c r="F93"/>
  <c r="E93"/>
  <c r="I92"/>
  <c r="F92"/>
  <c r="E92"/>
  <c r="I91"/>
  <c r="F91"/>
  <c r="E91"/>
  <c r="I90"/>
  <c r="F90"/>
  <c r="E90"/>
  <c r="I89"/>
  <c r="F89"/>
  <c r="E89"/>
  <c r="I88"/>
  <c r="F88"/>
  <c r="E88"/>
  <c r="I87"/>
  <c r="F87"/>
  <c r="E87"/>
  <c r="I86"/>
  <c r="F86"/>
  <c r="E86"/>
  <c r="I85"/>
  <c r="F85"/>
  <c r="E85"/>
  <c r="I84"/>
  <c r="F84"/>
  <c r="E84"/>
  <c r="I83"/>
  <c r="F83"/>
  <c r="E83"/>
  <c r="I82"/>
  <c r="F82"/>
  <c r="E82"/>
  <c r="I81"/>
  <c r="F81"/>
  <c r="E81"/>
  <c r="I80"/>
  <c r="F80"/>
  <c r="E80"/>
  <c r="I79"/>
  <c r="F79"/>
  <c r="E79"/>
  <c r="I77"/>
  <c r="F77"/>
  <c r="E77"/>
  <c r="I76"/>
  <c r="F76"/>
  <c r="E76"/>
  <c r="I75"/>
  <c r="F75"/>
  <c r="E75"/>
  <c r="I74"/>
  <c r="F74"/>
  <c r="E74"/>
  <c r="I73"/>
  <c r="F73"/>
  <c r="E73"/>
  <c r="I72"/>
  <c r="F72"/>
  <c r="E72"/>
  <c r="I71"/>
  <c r="F71"/>
  <c r="E71"/>
  <c r="I70"/>
  <c r="F70"/>
  <c r="E70"/>
  <c r="I69"/>
  <c r="F69"/>
  <c r="E69"/>
  <c r="I68"/>
  <c r="F68"/>
  <c r="E68"/>
  <c r="I67"/>
  <c r="F67"/>
  <c r="E67"/>
  <c r="I66"/>
  <c r="F66"/>
  <c r="E66"/>
  <c r="I63"/>
  <c r="F63"/>
  <c r="E63"/>
  <c r="I62"/>
  <c r="F62"/>
  <c r="E62"/>
  <c r="I61"/>
  <c r="F61"/>
  <c r="E61"/>
  <c r="I60"/>
  <c r="F60"/>
  <c r="E60"/>
  <c r="I59"/>
  <c r="F59"/>
  <c r="E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52"/>
  <c r="F52"/>
  <c r="E52"/>
  <c r="I51"/>
  <c r="F51"/>
  <c r="E51"/>
  <c r="I50"/>
  <c r="F50"/>
  <c r="E50"/>
  <c r="I49"/>
  <c r="F49"/>
  <c r="E49"/>
  <c r="I48"/>
  <c r="F48"/>
  <c r="E48"/>
  <c r="I47"/>
  <c r="F47"/>
  <c r="E47"/>
  <c r="I46"/>
  <c r="F46"/>
  <c r="E46"/>
  <c r="I45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I36"/>
  <c r="F36"/>
  <c r="E36"/>
  <c r="F35"/>
  <c r="E35"/>
  <c r="H33"/>
  <c r="C33"/>
  <c r="I32"/>
  <c r="F32"/>
  <c r="E32"/>
  <c r="I31"/>
  <c r="F31"/>
  <c r="E31"/>
  <c r="I30"/>
  <c r="F30"/>
  <c r="E30"/>
  <c r="I29"/>
  <c r="F29"/>
  <c r="E29"/>
  <c r="F28"/>
  <c r="E28"/>
  <c r="I27"/>
  <c r="F27"/>
  <c r="E27"/>
  <c r="I26"/>
  <c r="F26"/>
  <c r="E26"/>
  <c r="I25"/>
  <c r="F25"/>
  <c r="E25"/>
  <c r="I24"/>
  <c r="F24"/>
  <c r="E24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D33"/>
  <c r="H231" s="1"/>
  <c r="J231" s="1"/>
  <c r="I15"/>
  <c r="F15"/>
  <c r="E15"/>
  <c r="I14"/>
  <c r="F14"/>
  <c r="E14"/>
  <c r="I13"/>
  <c r="F13"/>
  <c r="E13"/>
  <c r="I12"/>
  <c r="F12"/>
  <c r="E12"/>
  <c r="I11"/>
  <c r="F11"/>
  <c r="E11"/>
  <c r="E228" l="1"/>
  <c r="J198"/>
  <c r="E221"/>
  <c r="I221"/>
  <c r="E202"/>
  <c r="F221"/>
  <c r="J218"/>
  <c r="J220"/>
  <c r="J219"/>
  <c r="F184"/>
  <c r="E184"/>
  <c r="F167"/>
  <c r="F229" s="1"/>
  <c r="E167"/>
  <c r="E151"/>
  <c r="D229"/>
  <c r="E127"/>
  <c r="E123"/>
  <c r="I123"/>
  <c r="C124"/>
  <c r="C128" s="1"/>
  <c r="F107"/>
  <c r="E107"/>
  <c r="D124"/>
  <c r="D128" s="1"/>
  <c r="C230"/>
  <c r="F16"/>
  <c r="F33" s="1"/>
  <c r="F124" s="1"/>
  <c r="F128" s="1"/>
  <c r="H151"/>
  <c r="H167"/>
  <c r="E16"/>
  <c r="E33" s="1"/>
  <c r="I16"/>
  <c r="I33" s="1"/>
  <c r="I223"/>
  <c r="I228" s="1"/>
  <c r="E124" l="1"/>
  <c r="E128" s="1"/>
  <c r="E229"/>
  <c r="D230"/>
  <c r="I246" s="1"/>
  <c r="I247" s="1"/>
  <c r="F230"/>
  <c r="E230" l="1"/>
  <c r="F211" i="70"/>
  <c r="E211"/>
  <c r="E125" i="69" l="1"/>
  <c r="D125"/>
  <c r="C125"/>
  <c r="F125"/>
  <c r="C121"/>
  <c r="D124"/>
  <c r="C124"/>
  <c r="I240"/>
  <c r="D120"/>
  <c r="D58" i="37"/>
  <c r="D10"/>
  <c r="C25" i="63" l="1"/>
  <c r="C123" i="70"/>
  <c r="I243"/>
  <c r="D228"/>
  <c r="C228"/>
  <c r="I227"/>
  <c r="F227"/>
  <c r="E227"/>
  <c r="I226"/>
  <c r="F226"/>
  <c r="E226"/>
  <c r="I225"/>
  <c r="F225"/>
  <c r="E225"/>
  <c r="F224"/>
  <c r="E224"/>
  <c r="H223"/>
  <c r="H228" s="1"/>
  <c r="F223"/>
  <c r="F228" s="1"/>
  <c r="E223"/>
  <c r="E228" s="1"/>
  <c r="D221"/>
  <c r="C221"/>
  <c r="I220"/>
  <c r="F220"/>
  <c r="E220"/>
  <c r="I219"/>
  <c r="F219"/>
  <c r="E219"/>
  <c r="I218"/>
  <c r="F218"/>
  <c r="E218"/>
  <c r="F217"/>
  <c r="E217"/>
  <c r="I216"/>
  <c r="F216"/>
  <c r="E216"/>
  <c r="I215"/>
  <c r="F215"/>
  <c r="E215"/>
  <c r="I214"/>
  <c r="F214"/>
  <c r="E214"/>
  <c r="I213"/>
  <c r="F213"/>
  <c r="E213"/>
  <c r="I212"/>
  <c r="F212"/>
  <c r="E212"/>
  <c r="I210"/>
  <c r="H210"/>
  <c r="H221" s="1"/>
  <c r="F210"/>
  <c r="E210"/>
  <c r="I209"/>
  <c r="F209"/>
  <c r="E209"/>
  <c r="I208"/>
  <c r="F208"/>
  <c r="E208"/>
  <c r="I207"/>
  <c r="F207"/>
  <c r="E207"/>
  <c r="I206"/>
  <c r="F206"/>
  <c r="E206"/>
  <c r="I205"/>
  <c r="I221" s="1"/>
  <c r="F205"/>
  <c r="E205"/>
  <c r="E221" s="1"/>
  <c r="I204"/>
  <c r="I203"/>
  <c r="D202"/>
  <c r="C202"/>
  <c r="I201"/>
  <c r="J201" s="1"/>
  <c r="F201"/>
  <c r="E201"/>
  <c r="I200"/>
  <c r="J200" s="1"/>
  <c r="F200"/>
  <c r="E200"/>
  <c r="I199"/>
  <c r="J199" s="1"/>
  <c r="F199"/>
  <c r="E199"/>
  <c r="I198"/>
  <c r="J198" s="1"/>
  <c r="F198"/>
  <c r="E198"/>
  <c r="I197"/>
  <c r="J197" s="1"/>
  <c r="F197"/>
  <c r="E197"/>
  <c r="F196"/>
  <c r="E196"/>
  <c r="I195"/>
  <c r="F195"/>
  <c r="E195"/>
  <c r="H194"/>
  <c r="H202" s="1"/>
  <c r="I202" s="1"/>
  <c r="F194"/>
  <c r="E194"/>
  <c r="I193"/>
  <c r="F193"/>
  <c r="E193"/>
  <c r="I192"/>
  <c r="F192"/>
  <c r="E192"/>
  <c r="I191"/>
  <c r="F191"/>
  <c r="E191"/>
  <c r="I190"/>
  <c r="F190"/>
  <c r="E190"/>
  <c r="I189"/>
  <c r="F189"/>
  <c r="E189"/>
  <c r="I188"/>
  <c r="F188"/>
  <c r="E188"/>
  <c r="E202" s="1"/>
  <c r="H184"/>
  <c r="D184"/>
  <c r="C184"/>
  <c r="I183"/>
  <c r="F183"/>
  <c r="E183"/>
  <c r="I182"/>
  <c r="F182"/>
  <c r="E182"/>
  <c r="I181"/>
  <c r="F181"/>
  <c r="E181"/>
  <c r="I180"/>
  <c r="F180"/>
  <c r="E180"/>
  <c r="I179"/>
  <c r="F179"/>
  <c r="E179"/>
  <c r="F178"/>
  <c r="E178"/>
  <c r="I177"/>
  <c r="F177"/>
  <c r="E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I184" s="1"/>
  <c r="F170"/>
  <c r="E170"/>
  <c r="E184" s="1"/>
  <c r="D167"/>
  <c r="C167"/>
  <c r="I166"/>
  <c r="F166"/>
  <c r="E166"/>
  <c r="I165"/>
  <c r="F165"/>
  <c r="E165"/>
  <c r="I164"/>
  <c r="F164"/>
  <c r="E164"/>
  <c r="I163"/>
  <c r="F163"/>
  <c r="E163"/>
  <c r="I162"/>
  <c r="F162"/>
  <c r="E162"/>
  <c r="I161"/>
  <c r="F161"/>
  <c r="E161"/>
  <c r="F160"/>
  <c r="E160"/>
  <c r="I158"/>
  <c r="F158"/>
  <c r="E158"/>
  <c r="I159"/>
  <c r="F159"/>
  <c r="E159"/>
  <c r="I157"/>
  <c r="F157"/>
  <c r="E157"/>
  <c r="I156"/>
  <c r="F156"/>
  <c r="E156"/>
  <c r="H155"/>
  <c r="I155" s="1"/>
  <c r="F155"/>
  <c r="E155"/>
  <c r="I154"/>
  <c r="F154"/>
  <c r="E154"/>
  <c r="I153"/>
  <c r="F153"/>
  <c r="F167" s="1"/>
  <c r="E153"/>
  <c r="D151"/>
  <c r="C151"/>
  <c r="I150"/>
  <c r="F150"/>
  <c r="E150"/>
  <c r="I149"/>
  <c r="F149"/>
  <c r="E149"/>
  <c r="I148"/>
  <c r="F148"/>
  <c r="E148"/>
  <c r="I147"/>
  <c r="F147"/>
  <c r="E147"/>
  <c r="I146"/>
  <c r="F146"/>
  <c r="E146"/>
  <c r="F145"/>
  <c r="E145"/>
  <c r="I144"/>
  <c r="F144"/>
  <c r="E144"/>
  <c r="I143"/>
  <c r="F143"/>
  <c r="E143"/>
  <c r="I142"/>
  <c r="F142"/>
  <c r="E142"/>
  <c r="I141"/>
  <c r="F141"/>
  <c r="E141"/>
  <c r="I140"/>
  <c r="F140"/>
  <c r="E140"/>
  <c r="H139"/>
  <c r="I139" s="1"/>
  <c r="F139"/>
  <c r="E139"/>
  <c r="I138"/>
  <c r="F138"/>
  <c r="E138"/>
  <c r="I137"/>
  <c r="F137"/>
  <c r="E137"/>
  <c r="I136"/>
  <c r="F136"/>
  <c r="E136"/>
  <c r="I135"/>
  <c r="I151" s="1"/>
  <c r="F135"/>
  <c r="E135"/>
  <c r="E151" s="1"/>
  <c r="F134"/>
  <c r="E134"/>
  <c r="I132"/>
  <c r="F132"/>
  <c r="D127"/>
  <c r="C127"/>
  <c r="F126"/>
  <c r="E126"/>
  <c r="E127" s="1"/>
  <c r="I125"/>
  <c r="F125"/>
  <c r="F127" s="1"/>
  <c r="E125"/>
  <c r="D123"/>
  <c r="I122"/>
  <c r="F122"/>
  <c r="E122"/>
  <c r="I73"/>
  <c r="F73"/>
  <c r="E73"/>
  <c r="I121"/>
  <c r="F121"/>
  <c r="E121"/>
  <c r="I120"/>
  <c r="F120"/>
  <c r="E120"/>
  <c r="I119"/>
  <c r="F119"/>
  <c r="E119"/>
  <c r="I118"/>
  <c r="F118"/>
  <c r="E118"/>
  <c r="I117"/>
  <c r="F117"/>
  <c r="E117"/>
  <c r="I116"/>
  <c r="F116"/>
  <c r="E116"/>
  <c r="I115"/>
  <c r="F115"/>
  <c r="E115"/>
  <c r="I114"/>
  <c r="F114"/>
  <c r="E114"/>
  <c r="I113"/>
  <c r="F113"/>
  <c r="E113"/>
  <c r="E123" s="1"/>
  <c r="H111"/>
  <c r="D111"/>
  <c r="C111"/>
  <c r="I110"/>
  <c r="I111" s="1"/>
  <c r="F110"/>
  <c r="E110"/>
  <c r="I109"/>
  <c r="F109"/>
  <c r="F111" s="1"/>
  <c r="E109"/>
  <c r="H107"/>
  <c r="D107"/>
  <c r="C107"/>
  <c r="I106"/>
  <c r="F106"/>
  <c r="E106"/>
  <c r="I105"/>
  <c r="F105"/>
  <c r="E105"/>
  <c r="I104"/>
  <c r="F104"/>
  <c r="E104"/>
  <c r="I103"/>
  <c r="F103"/>
  <c r="E103"/>
  <c r="I102"/>
  <c r="F102"/>
  <c r="E102"/>
  <c r="I101"/>
  <c r="F101"/>
  <c r="E101"/>
  <c r="I100"/>
  <c r="F100"/>
  <c r="E100"/>
  <c r="I99"/>
  <c r="F99"/>
  <c r="E99"/>
  <c r="I98"/>
  <c r="F98"/>
  <c r="E98"/>
  <c r="I97"/>
  <c r="F97"/>
  <c r="E97"/>
  <c r="I96"/>
  <c r="F96"/>
  <c r="E96"/>
  <c r="I95"/>
  <c r="F95"/>
  <c r="E95"/>
  <c r="I94"/>
  <c r="F94"/>
  <c r="E94"/>
  <c r="I93"/>
  <c r="F93"/>
  <c r="E93"/>
  <c r="I92"/>
  <c r="F92"/>
  <c r="E92"/>
  <c r="I91"/>
  <c r="F91"/>
  <c r="E91"/>
  <c r="I90"/>
  <c r="F90"/>
  <c r="E90"/>
  <c r="I89"/>
  <c r="F89"/>
  <c r="E89"/>
  <c r="I72"/>
  <c r="F72"/>
  <c r="E72"/>
  <c r="I71"/>
  <c r="F71"/>
  <c r="E71"/>
  <c r="I70"/>
  <c r="F70"/>
  <c r="E70"/>
  <c r="I69"/>
  <c r="F69"/>
  <c r="E69"/>
  <c r="I68"/>
  <c r="F68"/>
  <c r="E68"/>
  <c r="I67"/>
  <c r="F67"/>
  <c r="E67"/>
  <c r="I66"/>
  <c r="F66"/>
  <c r="E66"/>
  <c r="I88"/>
  <c r="F88"/>
  <c r="E88"/>
  <c r="I87"/>
  <c r="F87"/>
  <c r="E87"/>
  <c r="I86"/>
  <c r="F86"/>
  <c r="E86"/>
  <c r="I85"/>
  <c r="F85"/>
  <c r="E85"/>
  <c r="I84"/>
  <c r="F84"/>
  <c r="E84"/>
  <c r="I83"/>
  <c r="F83"/>
  <c r="E83"/>
  <c r="I82"/>
  <c r="F82"/>
  <c r="E82"/>
  <c r="I81"/>
  <c r="F81"/>
  <c r="E81"/>
  <c r="I80"/>
  <c r="F80"/>
  <c r="E80"/>
  <c r="I77"/>
  <c r="F77"/>
  <c r="E77"/>
  <c r="I76"/>
  <c r="F76"/>
  <c r="E76"/>
  <c r="I75"/>
  <c r="F75"/>
  <c r="E75"/>
  <c r="I74"/>
  <c r="F74"/>
  <c r="E74"/>
  <c r="I63"/>
  <c r="F63"/>
  <c r="E63"/>
  <c r="I62"/>
  <c r="F62"/>
  <c r="E62"/>
  <c r="I61"/>
  <c r="F61"/>
  <c r="E61"/>
  <c r="I60"/>
  <c r="F60"/>
  <c r="E60"/>
  <c r="I59"/>
  <c r="F59"/>
  <c r="E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79"/>
  <c r="F79"/>
  <c r="E79"/>
  <c r="I52"/>
  <c r="F52"/>
  <c r="E52"/>
  <c r="I51"/>
  <c r="F51"/>
  <c r="E51"/>
  <c r="I50"/>
  <c r="F50"/>
  <c r="E50"/>
  <c r="I49"/>
  <c r="F49"/>
  <c r="E49"/>
  <c r="I48"/>
  <c r="F48"/>
  <c r="E48"/>
  <c r="I47"/>
  <c r="F47"/>
  <c r="E47"/>
  <c r="I46"/>
  <c r="F46"/>
  <c r="E46"/>
  <c r="I45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I36"/>
  <c r="F36"/>
  <c r="E36"/>
  <c r="F35"/>
  <c r="E35"/>
  <c r="E107" s="1"/>
  <c r="H33"/>
  <c r="C33"/>
  <c r="I32"/>
  <c r="F32"/>
  <c r="E32"/>
  <c r="I31"/>
  <c r="F31"/>
  <c r="E31"/>
  <c r="I30"/>
  <c r="F30"/>
  <c r="E30"/>
  <c r="I29"/>
  <c r="F29"/>
  <c r="E29"/>
  <c r="I28"/>
  <c r="F28"/>
  <c r="E28"/>
  <c r="I27"/>
  <c r="F27"/>
  <c r="E27"/>
  <c r="I26"/>
  <c r="F26"/>
  <c r="E26"/>
  <c r="I25"/>
  <c r="F25"/>
  <c r="E25"/>
  <c r="I24"/>
  <c r="F24"/>
  <c r="E24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D16"/>
  <c r="D33" s="1"/>
  <c r="H231" s="1"/>
  <c r="J231" s="1"/>
  <c r="I15"/>
  <c r="F15"/>
  <c r="E15"/>
  <c r="I14"/>
  <c r="F14"/>
  <c r="E14"/>
  <c r="I13"/>
  <c r="F13"/>
  <c r="E13"/>
  <c r="I12"/>
  <c r="F12"/>
  <c r="E12"/>
  <c r="I11"/>
  <c r="F11"/>
  <c r="E11"/>
  <c r="I123" l="1"/>
  <c r="E111"/>
  <c r="F107"/>
  <c r="J218"/>
  <c r="J220"/>
  <c r="D229"/>
  <c r="I107"/>
  <c r="F123"/>
  <c r="C124"/>
  <c r="C128" s="1"/>
  <c r="F151"/>
  <c r="E167"/>
  <c r="E229" s="1"/>
  <c r="I167"/>
  <c r="F184"/>
  <c r="F229" s="1"/>
  <c r="F202"/>
  <c r="I194"/>
  <c r="F221"/>
  <c r="J219"/>
  <c r="C229"/>
  <c r="D124"/>
  <c r="D128" s="1"/>
  <c r="D230" s="1"/>
  <c r="I246" s="1"/>
  <c r="I247" s="1"/>
  <c r="F16"/>
  <c r="F33" s="1"/>
  <c r="H151"/>
  <c r="H167"/>
  <c r="E16"/>
  <c r="E33" s="1"/>
  <c r="E124" s="1"/>
  <c r="E128" s="1"/>
  <c r="I16"/>
  <c r="I33" s="1"/>
  <c r="I223"/>
  <c r="I228" s="1"/>
  <c r="C230" l="1"/>
  <c r="F124"/>
  <c r="F128" s="1"/>
  <c r="F230" s="1"/>
  <c r="E230"/>
  <c r="C4" i="63"/>
  <c r="C5"/>
  <c r="I122" i="69" l="1"/>
  <c r="I105" l="1"/>
  <c r="I37" l="1"/>
  <c r="I23" l="1"/>
  <c r="E10" i="37"/>
  <c r="I119" i="69"/>
  <c r="I118"/>
  <c r="I117"/>
  <c r="I116"/>
  <c r="I115"/>
  <c r="I114"/>
  <c r="I113"/>
  <c r="I112"/>
  <c r="I111"/>
  <c r="I110"/>
  <c r="I109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6"/>
  <c r="I12"/>
  <c r="I13"/>
  <c r="I14"/>
  <c r="I15"/>
  <c r="I16"/>
  <c r="I17"/>
  <c r="I18"/>
  <c r="I19"/>
  <c r="I20"/>
  <c r="I21"/>
  <c r="I22"/>
  <c r="I24"/>
  <c r="I25"/>
  <c r="I26"/>
  <c r="I27"/>
  <c r="I28"/>
  <c r="I29"/>
  <c r="I31"/>
  <c r="I30"/>
  <c r="I32"/>
  <c r="I11"/>
  <c r="I33" s="1"/>
  <c r="D16"/>
  <c r="D9" i="37"/>
  <c r="I103" i="69" l="1"/>
  <c r="I120"/>
  <c r="E133"/>
  <c r="E132"/>
  <c r="E148" s="1"/>
  <c r="F129"/>
  <c r="E224"/>
  <c r="E223"/>
  <c r="E222"/>
  <c r="E221"/>
  <c r="E220"/>
  <c r="E225" s="1"/>
  <c r="F221"/>
  <c r="F220"/>
  <c r="F70"/>
  <c r="E70"/>
  <c r="D225"/>
  <c r="D218"/>
  <c r="D199"/>
  <c r="D181"/>
  <c r="D164"/>
  <c r="C164"/>
  <c r="D148"/>
  <c r="C148"/>
  <c r="C120"/>
  <c r="D107"/>
  <c r="C107"/>
  <c r="D103"/>
  <c r="C103"/>
  <c r="D33"/>
  <c r="C33"/>
  <c r="F224"/>
  <c r="F223"/>
  <c r="F222"/>
  <c r="F225" s="1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7"/>
  <c r="E207"/>
  <c r="F206"/>
  <c r="E206"/>
  <c r="F205"/>
  <c r="E205"/>
  <c r="F204"/>
  <c r="E204"/>
  <c r="F203"/>
  <c r="E203"/>
  <c r="F202"/>
  <c r="F218" s="1"/>
  <c r="E202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F199" s="1"/>
  <c r="E185"/>
  <c r="E199" s="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F181" s="1"/>
  <c r="E167"/>
  <c r="E181" s="1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F164" s="1"/>
  <c r="E150"/>
  <c r="E164" s="1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F132"/>
  <c r="F131"/>
  <c r="E131"/>
  <c r="F123"/>
  <c r="E123"/>
  <c r="F122"/>
  <c r="F124" s="1"/>
  <c r="E122"/>
  <c r="E124" s="1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F120" s="1"/>
  <c r="E109"/>
  <c r="E120" s="1"/>
  <c r="F106"/>
  <c r="E106"/>
  <c r="F105"/>
  <c r="F107" s="1"/>
  <c r="E105"/>
  <c r="E107" s="1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0"/>
  <c r="E30"/>
  <c r="F31"/>
  <c r="E31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E11"/>
  <c r="F11"/>
  <c r="C225"/>
  <c r="I224"/>
  <c r="I223"/>
  <c r="I222"/>
  <c r="H220"/>
  <c r="H225" s="1"/>
  <c r="C218"/>
  <c r="I217"/>
  <c r="I216"/>
  <c r="I215"/>
  <c r="I213"/>
  <c r="I212"/>
  <c r="I211"/>
  <c r="I210"/>
  <c r="I209"/>
  <c r="H207"/>
  <c r="I207" s="1"/>
  <c r="I206"/>
  <c r="I205"/>
  <c r="I204"/>
  <c r="I203"/>
  <c r="I202"/>
  <c r="I201"/>
  <c r="I200"/>
  <c r="C199"/>
  <c r="I198"/>
  <c r="J198" s="1"/>
  <c r="I197"/>
  <c r="J197" s="1"/>
  <c r="I196"/>
  <c r="I195"/>
  <c r="J195" s="1"/>
  <c r="I194"/>
  <c r="I192"/>
  <c r="H191"/>
  <c r="I191" s="1"/>
  <c r="I190"/>
  <c r="I189"/>
  <c r="I188"/>
  <c r="I187"/>
  <c r="I186"/>
  <c r="I185"/>
  <c r="H181"/>
  <c r="C181"/>
  <c r="I180"/>
  <c r="I179"/>
  <c r="I178"/>
  <c r="I177"/>
  <c r="I176"/>
  <c r="I174"/>
  <c r="I173"/>
  <c r="I172"/>
  <c r="I171"/>
  <c r="I170"/>
  <c r="I169"/>
  <c r="I168"/>
  <c r="I167"/>
  <c r="I163"/>
  <c r="I162"/>
  <c r="I161"/>
  <c r="I160"/>
  <c r="I159"/>
  <c r="I158"/>
  <c r="I156"/>
  <c r="I155"/>
  <c r="I154"/>
  <c r="I153"/>
  <c r="H152"/>
  <c r="I152" s="1"/>
  <c r="I151"/>
  <c r="I150"/>
  <c r="I147"/>
  <c r="I146"/>
  <c r="I145"/>
  <c r="I144"/>
  <c r="I143"/>
  <c r="I141"/>
  <c r="I140"/>
  <c r="I139"/>
  <c r="I138"/>
  <c r="I137"/>
  <c r="H136"/>
  <c r="H148" s="1"/>
  <c r="I135"/>
  <c r="I134"/>
  <c r="I133"/>
  <c r="I132"/>
  <c r="I129"/>
  <c r="H107"/>
  <c r="I106"/>
  <c r="H103"/>
  <c r="H33"/>
  <c r="H228"/>
  <c r="J228" s="1"/>
  <c r="C33" i="33"/>
  <c r="E218" i="69" l="1"/>
  <c r="C226"/>
  <c r="E226"/>
  <c r="D226"/>
  <c r="C227"/>
  <c r="F148"/>
  <c r="F226" s="1"/>
  <c r="D121"/>
  <c r="J194"/>
  <c r="J196"/>
  <c r="F103"/>
  <c r="E103"/>
  <c r="E33"/>
  <c r="F33"/>
  <c r="I136"/>
  <c r="I148" s="1"/>
  <c r="I181"/>
  <c r="I107"/>
  <c r="H199"/>
  <c r="I199" s="1"/>
  <c r="J216"/>
  <c r="H218"/>
  <c r="I164"/>
  <c r="I218"/>
  <c r="J215"/>
  <c r="J217"/>
  <c r="H164"/>
  <c r="I220"/>
  <c r="I225" s="1"/>
  <c r="D227" l="1"/>
  <c r="I243" s="1"/>
  <c r="I244" s="1"/>
  <c r="F121"/>
  <c r="F227" s="1"/>
  <c r="E121"/>
  <c r="E227" s="1"/>
  <c r="C123" i="33" l="1"/>
  <c r="C104"/>
  <c r="C79"/>
  <c r="C127"/>
  <c r="C124" l="1"/>
  <c r="E57"/>
  <c r="F57"/>
  <c r="E56"/>
  <c r="F56"/>
  <c r="C20"/>
  <c r="F19"/>
  <c r="F20" l="1"/>
  <c r="C128"/>
  <c r="AL58" i="37" l="1"/>
  <c r="AK58"/>
  <c r="AL59" l="1"/>
  <c r="AI58" l="1"/>
  <c r="AH58" l="1"/>
  <c r="AI59" s="1"/>
  <c r="AE10" l="1"/>
  <c r="AF58"/>
  <c r="AE58" l="1"/>
  <c r="AF59" s="1"/>
  <c r="AB10" l="1"/>
  <c r="AC58" l="1"/>
  <c r="O25" i="63" l="1"/>
  <c r="O19"/>
  <c r="O22"/>
  <c r="O6"/>
  <c r="O7" s="1"/>
  <c r="R7" s="1"/>
  <c r="Z58" i="37" l="1"/>
  <c r="W58"/>
  <c r="Y9"/>
  <c r="Y10"/>
  <c r="V13"/>
  <c r="Y15"/>
  <c r="Y17"/>
  <c r="E59" l="1"/>
  <c r="E58"/>
  <c r="F58"/>
  <c r="G58"/>
  <c r="H59" s="1"/>
  <c r="H58"/>
  <c r="I58"/>
  <c r="K58"/>
  <c r="L58"/>
  <c r="M58"/>
  <c r="N58"/>
  <c r="P58"/>
  <c r="Q58"/>
  <c r="R58"/>
  <c r="S58"/>
  <c r="T58"/>
  <c r="T59" l="1"/>
  <c r="F225" i="33"/>
  <c r="D168"/>
  <c r="D152"/>
  <c r="D223" l="1"/>
  <c r="D203"/>
  <c r="D17" i="37" l="1"/>
  <c r="E17"/>
  <c r="G17"/>
  <c r="H17"/>
  <c r="J17"/>
  <c r="K17"/>
  <c r="M17"/>
  <c r="N17"/>
  <c r="P17"/>
  <c r="Q17"/>
  <c r="S17"/>
  <c r="T17"/>
  <c r="V17"/>
  <c r="W17"/>
  <c r="Z17" s="1"/>
  <c r="AC17" s="1"/>
  <c r="AF17" s="1"/>
  <c r="AI17" s="1"/>
  <c r="AL17" s="1"/>
  <c r="AB17"/>
  <c r="AE17"/>
  <c r="AH17"/>
  <c r="AK17"/>
  <c r="AN17" l="1"/>
  <c r="AO17"/>
  <c r="I202" i="33" l="1"/>
  <c r="I204"/>
  <c r="I205"/>
  <c r="I201"/>
  <c r="I165"/>
  <c r="E165"/>
  <c r="F165"/>
  <c r="H126" l="1"/>
  <c r="I245" l="1"/>
  <c r="C27" i="63"/>
  <c r="G9" i="37" l="1"/>
  <c r="I125" i="33" l="1"/>
  <c r="I227"/>
  <c r="I228"/>
  <c r="I229"/>
  <c r="H225"/>
  <c r="I225" s="1"/>
  <c r="I207"/>
  <c r="I208"/>
  <c r="I209"/>
  <c r="I210"/>
  <c r="I212"/>
  <c r="I213"/>
  <c r="I214"/>
  <c r="I215"/>
  <c r="I216"/>
  <c r="I218"/>
  <c r="I219"/>
  <c r="I220"/>
  <c r="I221"/>
  <c r="I222"/>
  <c r="I206"/>
  <c r="H211"/>
  <c r="H223" s="1"/>
  <c r="I190"/>
  <c r="I191"/>
  <c r="I192"/>
  <c r="I193"/>
  <c r="I194"/>
  <c r="I196"/>
  <c r="I198"/>
  <c r="I199"/>
  <c r="I200"/>
  <c r="J202"/>
  <c r="I189"/>
  <c r="H195"/>
  <c r="I195" s="1"/>
  <c r="I172"/>
  <c r="I173"/>
  <c r="I174"/>
  <c r="I175"/>
  <c r="I176"/>
  <c r="I177"/>
  <c r="I178"/>
  <c r="I180"/>
  <c r="I181"/>
  <c r="I182"/>
  <c r="I183"/>
  <c r="I184"/>
  <c r="I171"/>
  <c r="H185"/>
  <c r="I155"/>
  <c r="I157"/>
  <c r="I158"/>
  <c r="I159"/>
  <c r="I160"/>
  <c r="I163"/>
  <c r="I164"/>
  <c r="I162"/>
  <c r="I166"/>
  <c r="I167"/>
  <c r="I154"/>
  <c r="H156"/>
  <c r="I156" s="1"/>
  <c r="I136"/>
  <c r="I137"/>
  <c r="I138"/>
  <c r="I140"/>
  <c r="I141"/>
  <c r="I142"/>
  <c r="I143"/>
  <c r="I144"/>
  <c r="I146"/>
  <c r="I147"/>
  <c r="I148"/>
  <c r="I149"/>
  <c r="I150"/>
  <c r="I151"/>
  <c r="I135"/>
  <c r="I132"/>
  <c r="H139"/>
  <c r="I139" s="1"/>
  <c r="J218" l="1"/>
  <c r="H203"/>
  <c r="I203" s="1"/>
  <c r="H152"/>
  <c r="H168"/>
  <c r="I230"/>
  <c r="J200"/>
  <c r="J221"/>
  <c r="I211"/>
  <c r="I223" s="1"/>
  <c r="H230"/>
  <c r="J201"/>
  <c r="J219"/>
  <c r="J222"/>
  <c r="J220"/>
  <c r="J198"/>
  <c r="J199"/>
  <c r="I152"/>
  <c r="I185"/>
  <c r="I168"/>
  <c r="F229" l="1"/>
  <c r="E229"/>
  <c r="F228"/>
  <c r="E228"/>
  <c r="F227"/>
  <c r="E227"/>
  <c r="E225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8"/>
  <c r="F218"/>
  <c r="E219"/>
  <c r="F219"/>
  <c r="E220"/>
  <c r="F220"/>
  <c r="E221"/>
  <c r="F221"/>
  <c r="E222"/>
  <c r="F222"/>
  <c r="F206"/>
  <c r="E206"/>
  <c r="E190"/>
  <c r="F190"/>
  <c r="E191"/>
  <c r="F191"/>
  <c r="E192"/>
  <c r="F192"/>
  <c r="E193"/>
  <c r="F193"/>
  <c r="E194"/>
  <c r="F194"/>
  <c r="E195"/>
  <c r="F195"/>
  <c r="E196"/>
  <c r="F196"/>
  <c r="E198"/>
  <c r="F198"/>
  <c r="E199"/>
  <c r="F199"/>
  <c r="E200"/>
  <c r="F200"/>
  <c r="E201"/>
  <c r="F201"/>
  <c r="E202"/>
  <c r="F202"/>
  <c r="F189"/>
  <c r="E189"/>
  <c r="E172"/>
  <c r="F172"/>
  <c r="E173"/>
  <c r="F173"/>
  <c r="E174"/>
  <c r="F174"/>
  <c r="E175"/>
  <c r="F175"/>
  <c r="E176"/>
  <c r="F176"/>
  <c r="E177"/>
  <c r="F177"/>
  <c r="E178"/>
  <c r="F178"/>
  <c r="E180"/>
  <c r="F180"/>
  <c r="E181"/>
  <c r="F181"/>
  <c r="E182"/>
  <c r="F182"/>
  <c r="E183"/>
  <c r="F183"/>
  <c r="E184"/>
  <c r="F184"/>
  <c r="F171"/>
  <c r="E171"/>
  <c r="E155"/>
  <c r="F155"/>
  <c r="E156"/>
  <c r="F156"/>
  <c r="E157"/>
  <c r="F157"/>
  <c r="E158"/>
  <c r="F158"/>
  <c r="E159"/>
  <c r="F159"/>
  <c r="E160"/>
  <c r="F160"/>
  <c r="E163"/>
  <c r="F163"/>
  <c r="E164"/>
  <c r="F164"/>
  <c r="E162"/>
  <c r="F162"/>
  <c r="E166"/>
  <c r="F166"/>
  <c r="E167"/>
  <c r="F167"/>
  <c r="F154"/>
  <c r="E154"/>
  <c r="F151"/>
  <c r="E151"/>
  <c r="F150"/>
  <c r="E150"/>
  <c r="F149"/>
  <c r="E149"/>
  <c r="F148"/>
  <c r="E148"/>
  <c r="F147"/>
  <c r="E147"/>
  <c r="F146"/>
  <c r="E146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2"/>
  <c r="E126"/>
  <c r="F125"/>
  <c r="E125"/>
  <c r="F122"/>
  <c r="E122"/>
  <c r="F121"/>
  <c r="E121"/>
  <c r="F120"/>
  <c r="E120"/>
  <c r="F119"/>
  <c r="E119"/>
  <c r="F72"/>
  <c r="E72"/>
  <c r="F118"/>
  <c r="E118"/>
  <c r="F117"/>
  <c r="E117"/>
  <c r="F116"/>
  <c r="E116"/>
  <c r="F115"/>
  <c r="E115"/>
  <c r="F71"/>
  <c r="E71"/>
  <c r="F114"/>
  <c r="E114"/>
  <c r="F112"/>
  <c r="E112"/>
  <c r="F111"/>
  <c r="E111"/>
  <c r="F110"/>
  <c r="E110"/>
  <c r="F103"/>
  <c r="E85"/>
  <c r="E86"/>
  <c r="E87"/>
  <c r="E88"/>
  <c r="E89"/>
  <c r="E90"/>
  <c r="E91"/>
  <c r="E92"/>
  <c r="E93"/>
  <c r="E94"/>
  <c r="E95"/>
  <c r="E96"/>
  <c r="E97"/>
  <c r="E98"/>
  <c r="E99"/>
  <c r="E103"/>
  <c r="F102"/>
  <c r="E102"/>
  <c r="F101"/>
  <c r="E101"/>
  <c r="F100"/>
  <c r="E100"/>
  <c r="F99"/>
  <c r="F98"/>
  <c r="F97"/>
  <c r="F96"/>
  <c r="F95"/>
  <c r="F94"/>
  <c r="F93"/>
  <c r="F92"/>
  <c r="F91"/>
  <c r="F90"/>
  <c r="F89"/>
  <c r="F88"/>
  <c r="F87"/>
  <c r="F86"/>
  <c r="F85"/>
  <c r="F84"/>
  <c r="E84"/>
  <c r="F83"/>
  <c r="E83"/>
  <c r="F82"/>
  <c r="E82"/>
  <c r="F78"/>
  <c r="E78"/>
  <c r="F77"/>
  <c r="E77"/>
  <c r="F76"/>
  <c r="E76"/>
  <c r="F75"/>
  <c r="E75"/>
  <c r="F66"/>
  <c r="E66"/>
  <c r="F55"/>
  <c r="E55"/>
  <c r="F54"/>
  <c r="E54"/>
  <c r="F52"/>
  <c r="E52"/>
  <c r="F51"/>
  <c r="E51"/>
  <c r="F50"/>
  <c r="E50"/>
  <c r="F48"/>
  <c r="E48"/>
  <c r="F47"/>
  <c r="E47"/>
  <c r="F46"/>
  <c r="E46"/>
  <c r="F39"/>
  <c r="E39"/>
  <c r="F38"/>
  <c r="E38"/>
  <c r="F37"/>
  <c r="E37"/>
  <c r="F36"/>
  <c r="E36"/>
  <c r="E29"/>
  <c r="F32"/>
  <c r="E32"/>
  <c r="F31"/>
  <c r="E31"/>
  <c r="F29"/>
  <c r="F25"/>
  <c r="F28"/>
  <c r="E28"/>
  <c r="F27"/>
  <c r="E27"/>
  <c r="F26"/>
  <c r="E26"/>
  <c r="E25"/>
  <c r="F23"/>
  <c r="E23"/>
  <c r="F22"/>
  <c r="E22"/>
  <c r="F21"/>
  <c r="E21"/>
  <c r="E18"/>
  <c r="F17"/>
  <c r="E17"/>
  <c r="F16"/>
  <c r="E16"/>
  <c r="F14"/>
  <c r="E14"/>
  <c r="F13"/>
  <c r="E13"/>
  <c r="F11"/>
  <c r="E11"/>
  <c r="F168" l="1"/>
  <c r="E230"/>
  <c r="E168"/>
  <c r="E223"/>
  <c r="E152"/>
  <c r="E185"/>
  <c r="E104"/>
  <c r="E203"/>
  <c r="E12" i="37"/>
  <c r="H12" s="1"/>
  <c r="K12" s="1"/>
  <c r="N12" s="1"/>
  <c r="Q12" s="1"/>
  <c r="T12" s="1"/>
  <c r="W12" s="1"/>
  <c r="Z12" s="1"/>
  <c r="AC12" s="1"/>
  <c r="AF12" s="1"/>
  <c r="AI12" s="1"/>
  <c r="AL12" s="1"/>
  <c r="E13"/>
  <c r="H13" s="1"/>
  <c r="K13" s="1"/>
  <c r="N13" s="1"/>
  <c r="Q13" s="1"/>
  <c r="T13" s="1"/>
  <c r="W13" s="1"/>
  <c r="Z13" s="1"/>
  <c r="AC13" s="1"/>
  <c r="AF13" s="1"/>
  <c r="AI13" s="1"/>
  <c r="AL13" s="1"/>
  <c r="E14"/>
  <c r="H14" s="1"/>
  <c r="K14" s="1"/>
  <c r="N14" s="1"/>
  <c r="Q14" s="1"/>
  <c r="T14" s="1"/>
  <c r="W14" s="1"/>
  <c r="Z14" s="1"/>
  <c r="AC14" s="1"/>
  <c r="AF14" s="1"/>
  <c r="AI14" s="1"/>
  <c r="AL14" s="1"/>
  <c r="E15"/>
  <c r="H15" s="1"/>
  <c r="K15" s="1"/>
  <c r="N15" s="1"/>
  <c r="Q15" s="1"/>
  <c r="T15" s="1"/>
  <c r="W15" s="1"/>
  <c r="Z15" s="1"/>
  <c r="AC15" s="1"/>
  <c r="AF15" s="1"/>
  <c r="AI15" s="1"/>
  <c r="AL15" s="1"/>
  <c r="E16"/>
  <c r="H16" s="1"/>
  <c r="K16" s="1"/>
  <c r="N16" s="1"/>
  <c r="Q16" s="1"/>
  <c r="T16" s="1"/>
  <c r="W16" s="1"/>
  <c r="Z16" s="1"/>
  <c r="AC16" s="1"/>
  <c r="AF16" s="1"/>
  <c r="AI16" s="1"/>
  <c r="AL16" s="1"/>
  <c r="E18"/>
  <c r="H18" s="1"/>
  <c r="K18" s="1"/>
  <c r="N18" s="1"/>
  <c r="Q18" s="1"/>
  <c r="T18" s="1"/>
  <c r="W18" s="1"/>
  <c r="Z18" s="1"/>
  <c r="AC18" s="1"/>
  <c r="AF18" s="1"/>
  <c r="AI18" s="1"/>
  <c r="AL18" s="1"/>
  <c r="E19"/>
  <c r="H19" s="1"/>
  <c r="K19" s="1"/>
  <c r="N19" s="1"/>
  <c r="Q19" s="1"/>
  <c r="T19" s="1"/>
  <c r="W19" s="1"/>
  <c r="Z19" s="1"/>
  <c r="AC19" s="1"/>
  <c r="AF19" s="1"/>
  <c r="AI19" s="1"/>
  <c r="AL19" s="1"/>
  <c r="E11"/>
  <c r="H11" s="1"/>
  <c r="K11" s="1"/>
  <c r="N11" s="1"/>
  <c r="Q11" s="1"/>
  <c r="T11" s="1"/>
  <c r="W11" s="1"/>
  <c r="Z11" s="1"/>
  <c r="AC11" s="1"/>
  <c r="AF11" s="1"/>
  <c r="AI11" s="1"/>
  <c r="AL11" s="1"/>
  <c r="E9"/>
  <c r="AK10"/>
  <c r="AK11"/>
  <c r="AK12"/>
  <c r="AK13"/>
  <c r="AK14"/>
  <c r="AK15"/>
  <c r="AK16"/>
  <c r="AK18"/>
  <c r="AK19"/>
  <c r="AK9"/>
  <c r="AH10"/>
  <c r="AH11"/>
  <c r="AH12"/>
  <c r="AH13"/>
  <c r="AH14"/>
  <c r="AH15"/>
  <c r="AH16"/>
  <c r="AH18"/>
  <c r="AH19"/>
  <c r="AH9"/>
  <c r="AE11"/>
  <c r="AE12"/>
  <c r="AE13"/>
  <c r="AE14"/>
  <c r="AE15"/>
  <c r="AE16"/>
  <c r="AE18"/>
  <c r="AE19"/>
  <c r="AE9"/>
  <c r="AB11"/>
  <c r="AB12"/>
  <c r="AB13"/>
  <c r="AB14"/>
  <c r="AB15"/>
  <c r="AB16"/>
  <c r="AB18"/>
  <c r="AB19"/>
  <c r="AB9"/>
  <c r="Y11"/>
  <c r="Y12"/>
  <c r="Y13"/>
  <c r="Y14"/>
  <c r="Y16"/>
  <c r="Y18"/>
  <c r="Y19"/>
  <c r="V19"/>
  <c r="V9"/>
  <c r="V10"/>
  <c r="V11"/>
  <c r="V12"/>
  <c r="V14"/>
  <c r="V15"/>
  <c r="V16"/>
  <c r="V18"/>
  <c r="S19"/>
  <c r="S9"/>
  <c r="S10"/>
  <c r="S11"/>
  <c r="S12"/>
  <c r="S13"/>
  <c r="S14"/>
  <c r="S15"/>
  <c r="S16"/>
  <c r="S18"/>
  <c r="P10"/>
  <c r="P11"/>
  <c r="P12"/>
  <c r="P13"/>
  <c r="P14"/>
  <c r="P15"/>
  <c r="P16"/>
  <c r="P18"/>
  <c r="P19"/>
  <c r="P9"/>
  <c r="M9"/>
  <c r="M19"/>
  <c r="M13"/>
  <c r="M10"/>
  <c r="M11"/>
  <c r="M12"/>
  <c r="M14"/>
  <c r="M15"/>
  <c r="M16"/>
  <c r="M18"/>
  <c r="J10"/>
  <c r="J11"/>
  <c r="J12"/>
  <c r="J13"/>
  <c r="J14"/>
  <c r="J15"/>
  <c r="J16"/>
  <c r="J18"/>
  <c r="J19"/>
  <c r="J9"/>
  <c r="G19"/>
  <c r="G10"/>
  <c r="G11"/>
  <c r="G12"/>
  <c r="G13"/>
  <c r="G14"/>
  <c r="G15"/>
  <c r="G16"/>
  <c r="G18"/>
  <c r="K9" l="1"/>
  <c r="E21"/>
  <c r="E231" i="33"/>
  <c r="D19" i="37"/>
  <c r="D11"/>
  <c r="D12"/>
  <c r="D13"/>
  <c r="D14"/>
  <c r="D15"/>
  <c r="AN15" s="1"/>
  <c r="D16"/>
  <c r="D18"/>
  <c r="AN18" s="1"/>
  <c r="AB58"/>
  <c r="AC59" s="1"/>
  <c r="Y58"/>
  <c r="Z59" s="1"/>
  <c r="V58"/>
  <c r="AO19"/>
  <c r="AO18"/>
  <c r="AO16"/>
  <c r="AO15"/>
  <c r="AO14"/>
  <c r="AO13"/>
  <c r="AO12"/>
  <c r="AO11"/>
  <c r="AN19"/>
  <c r="AN16"/>
  <c r="AN14"/>
  <c r="AN10"/>
  <c r="AN9"/>
  <c r="G21"/>
  <c r="K21"/>
  <c r="M21"/>
  <c r="N27" i="63"/>
  <c r="N7"/>
  <c r="M7"/>
  <c r="O27"/>
  <c r="M27"/>
  <c r="L27"/>
  <c r="K27"/>
  <c r="J27"/>
  <c r="I27"/>
  <c r="H27"/>
  <c r="G27"/>
  <c r="F27"/>
  <c r="E27"/>
  <c r="D27"/>
  <c r="L7"/>
  <c r="K7"/>
  <c r="J7"/>
  <c r="I7"/>
  <c r="H7"/>
  <c r="G7"/>
  <c r="F7"/>
  <c r="E7"/>
  <c r="D7"/>
  <c r="C7"/>
  <c r="D2"/>
  <c r="C2"/>
  <c r="AN12" i="37" l="1"/>
  <c r="N9"/>
  <c r="W59"/>
  <c r="H21"/>
  <c r="AN13"/>
  <c r="D21"/>
  <c r="AN11"/>
  <c r="J21"/>
  <c r="I119" i="33"/>
  <c r="H79"/>
  <c r="H33"/>
  <c r="I32"/>
  <c r="I31"/>
  <c r="I29"/>
  <c r="I28"/>
  <c r="I27"/>
  <c r="I26"/>
  <c r="I25"/>
  <c r="I23"/>
  <c r="I22"/>
  <c r="I21"/>
  <c r="I18"/>
  <c r="I17"/>
  <c r="I16"/>
  <c r="I14"/>
  <c r="I13"/>
  <c r="I11"/>
  <c r="N21" i="37" l="1"/>
  <c r="Q9"/>
  <c r="D123" i="33"/>
  <c r="I33"/>
  <c r="R21" i="37"/>
  <c r="AM21"/>
  <c r="AR21"/>
  <c r="AR29"/>
  <c r="AR39" s="1"/>
  <c r="D39"/>
  <c r="E39"/>
  <c r="G39"/>
  <c r="H39"/>
  <c r="J39"/>
  <c r="K39"/>
  <c r="L39"/>
  <c r="M39"/>
  <c r="N39"/>
  <c r="P39"/>
  <c r="Q39"/>
  <c r="S39"/>
  <c r="T39"/>
  <c r="AN39"/>
  <c r="AO39"/>
  <c r="D33" i="33"/>
  <c r="H233" s="1"/>
  <c r="J233" s="1"/>
  <c r="E33"/>
  <c r="I36"/>
  <c r="I37"/>
  <c r="I38"/>
  <c r="I39"/>
  <c r="I46"/>
  <c r="I47"/>
  <c r="I48"/>
  <c r="I50"/>
  <c r="I51"/>
  <c r="I52"/>
  <c r="I54"/>
  <c r="I55"/>
  <c r="I66"/>
  <c r="I75"/>
  <c r="I76"/>
  <c r="I77"/>
  <c r="I78"/>
  <c r="D79"/>
  <c r="E79"/>
  <c r="I82"/>
  <c r="I83"/>
  <c r="I84"/>
  <c r="I85"/>
  <c r="I86"/>
  <c r="I87"/>
  <c r="I88"/>
  <c r="I89"/>
  <c r="I90"/>
  <c r="I91"/>
  <c r="I92"/>
  <c r="I93"/>
  <c r="I94"/>
  <c r="I95"/>
  <c r="I96"/>
  <c r="I97"/>
  <c r="I98"/>
  <c r="I100"/>
  <c r="I101"/>
  <c r="I102"/>
  <c r="I103"/>
  <c r="D104"/>
  <c r="I110"/>
  <c r="I114"/>
  <c r="I71"/>
  <c r="I116"/>
  <c r="I117"/>
  <c r="I118"/>
  <c r="I72"/>
  <c r="I120"/>
  <c r="I121"/>
  <c r="F127"/>
  <c r="D127"/>
  <c r="E127"/>
  <c r="C152"/>
  <c r="C168"/>
  <c r="C185"/>
  <c r="D185"/>
  <c r="C203"/>
  <c r="C223"/>
  <c r="F223"/>
  <c r="C230"/>
  <c r="D230"/>
  <c r="F230"/>
  <c r="T40" i="37"/>
  <c r="AO40"/>
  <c r="N40"/>
  <c r="K40"/>
  <c r="H40"/>
  <c r="E40"/>
  <c r="Q40"/>
  <c r="L40"/>
  <c r="T9" l="1"/>
  <c r="C231" i="33"/>
  <c r="E113"/>
  <c r="E123" s="1"/>
  <c r="E124" s="1"/>
  <c r="E128" s="1"/>
  <c r="E232" s="1"/>
  <c r="F113"/>
  <c r="D124"/>
  <c r="D128" s="1"/>
  <c r="D231"/>
  <c r="F152"/>
  <c r="F123"/>
  <c r="F104"/>
  <c r="F79"/>
  <c r="F33"/>
  <c r="O31" i="63"/>
  <c r="F203" i="33"/>
  <c r="F185"/>
  <c r="I79"/>
  <c r="I113"/>
  <c r="I104"/>
  <c r="H104"/>
  <c r="AR40" i="37"/>
  <c r="W9" l="1"/>
  <c r="C232" i="33"/>
  <c r="F231"/>
  <c r="F124"/>
  <c r="F128" s="1"/>
  <c r="Q21" i="37"/>
  <c r="R22" s="1"/>
  <c r="D232" i="33"/>
  <c r="I248" s="1"/>
  <c r="I249" s="1"/>
  <c r="Z9" i="37" l="1"/>
  <c r="F232" i="33"/>
  <c r="T21" i="37"/>
  <c r="P21"/>
  <c r="H22"/>
  <c r="AC9" l="1"/>
  <c r="AF9" s="1"/>
  <c r="AI9" s="1"/>
  <c r="W21"/>
  <c r="AM22"/>
  <c r="Q22"/>
  <c r="N22"/>
  <c r="K22"/>
  <c r="AL9" l="1"/>
  <c r="AL21" s="1"/>
  <c r="Z21"/>
  <c r="S21"/>
  <c r="AO9" l="1"/>
  <c r="AC21"/>
  <c r="T22"/>
  <c r="AR22"/>
  <c r="V21"/>
  <c r="W22" s="1"/>
  <c r="AF21" l="1"/>
  <c r="AB21"/>
  <c r="AC22" s="1"/>
  <c r="Y21"/>
  <c r="Z22" s="1"/>
  <c r="AI21" l="1"/>
  <c r="AE21" l="1"/>
  <c r="AF22" s="1"/>
  <c r="AH21" l="1"/>
  <c r="AI22" s="1"/>
  <c r="AK21" l="1"/>
  <c r="AL22" s="1"/>
  <c r="AN21"/>
  <c r="E22" l="1"/>
  <c r="AO21"/>
  <c r="AO22" s="1"/>
</calcChain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Jay-R</author>
    <author>Rachel</author>
  </authors>
  <commentList>
    <comment ref="AB49" authorId="0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NAAY 120. NA TS</t>
        </r>
      </text>
    </comment>
    <comment ref="P92" authorId="1">
      <text>
        <r>
          <rPr>
            <b/>
            <sz val="9"/>
            <color indexed="81"/>
            <rFont val="Tahoma"/>
            <family val="2"/>
          </rPr>
          <t>Rachel:</t>
        </r>
        <r>
          <rPr>
            <sz val="9"/>
            <color indexed="81"/>
            <rFont val="Tahoma"/>
            <family val="2"/>
          </rPr>
          <t xml:space="preserve">
455 - FOR DEFFERED INCOME
182 - FOR DISCOUNT</t>
        </r>
      </text>
    </comment>
    <comment ref="Q92" authorId="1">
      <text>
        <r>
          <rPr>
            <b/>
            <sz val="9"/>
            <color indexed="81"/>
            <rFont val="Tahoma"/>
            <family val="2"/>
          </rPr>
          <t>Rachel:</t>
        </r>
        <r>
          <rPr>
            <sz val="9"/>
            <color indexed="81"/>
            <rFont val="Tahoma"/>
            <family val="2"/>
          </rPr>
          <t xml:space="preserve">
455 - FOR DEFFERED INCOME
182 - FOR DISCOUNT</t>
        </r>
      </text>
    </comment>
  </commentList>
</comments>
</file>

<file path=xl/comments11.xml><?xml version="1.0" encoding="utf-8"?>
<comments xmlns="http://schemas.openxmlformats.org/spreadsheetml/2006/main">
  <authors>
    <author>Jay-R</author>
    <author>user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FIND IN 678-026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OTHER DEFERRED CREDITS LESS DISCOUNT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455 LESS 182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RPT RECON SHEET EV &amp; RPT</t>
        </r>
      </text>
    </comment>
    <comment ref="D10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5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1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1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10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TRADE SCHOOL INTEREST INCOME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80% - REVENUE
15% - TF
5% - NGA</t>
        </r>
      </text>
    </comment>
    <comment ref="D10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TRADE SCHOOL INTEREST INCOME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80% - REVENUE
15% - TF
5% - NGA</t>
        </r>
      </text>
    </comment>
    <comment ref="D10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TRADE SCHOOL INTEREST INCOME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80% - REVENUE
15% - TF
5% - NGA</t>
        </r>
      </text>
    </comment>
    <comment ref="D10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TRADE SCHOOL INTEREST INCOME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DISCOUNT
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80% - REVENUE
15% - TF
5% - NGA</t>
        </r>
      </text>
    </comment>
    <comment ref="D10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TRADE SCHOOL INTEREST INCOME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misc. recon
</t>
        </r>
      </text>
    </comment>
    <comment ref="D12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recon for emp. vill</t>
        </r>
      </text>
    </comment>
    <comment ref="D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LIQ. DAMAGES FROM TRADE SCHOOL</t>
        </r>
      </text>
    </comment>
    <comment ref="C16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see Eco. Ent. RRR for the Breakdown of ESPF</t>
        </r>
      </text>
    </comment>
  </commentList>
</comments>
</file>

<file path=xl/sharedStrings.xml><?xml version="1.0" encoding="utf-8"?>
<sst xmlns="http://schemas.openxmlformats.org/spreadsheetml/2006/main" count="4121" uniqueCount="478">
  <si>
    <t>Prov'l. Form No. 215(A)</t>
  </si>
  <si>
    <t>REVENUE SOURCE</t>
  </si>
  <si>
    <t xml:space="preserve">   Garbage Fee</t>
  </si>
  <si>
    <t xml:space="preserve">   Interest Income</t>
  </si>
  <si>
    <t xml:space="preserve">   Miscellaneous Income</t>
  </si>
  <si>
    <t xml:space="preserve">   ID Cards</t>
  </si>
  <si>
    <t xml:space="preserve">   Sale of Scrap</t>
  </si>
  <si>
    <t xml:space="preserve">   Weighing Fee</t>
  </si>
  <si>
    <t xml:space="preserve">   Stall Rental</t>
  </si>
  <si>
    <t xml:space="preserve">   Cash Tickets</t>
  </si>
  <si>
    <t xml:space="preserve">   Occupancy/Transfer Fee</t>
  </si>
  <si>
    <t xml:space="preserve">   Occupancy Fee</t>
  </si>
  <si>
    <t xml:space="preserve">   Cash Tickets Trade</t>
  </si>
  <si>
    <t xml:space="preserve">  Terminal &amp; Toll Fee</t>
  </si>
  <si>
    <t xml:space="preserve">   Cash Tickets-Ambulant Vendors</t>
  </si>
  <si>
    <t xml:space="preserve">   Cash Ticket-Toll fee</t>
  </si>
  <si>
    <t xml:space="preserve">   Occupancy </t>
  </si>
  <si>
    <t xml:space="preserve"> </t>
  </si>
  <si>
    <t xml:space="preserve">   Slaughter Permit Fee</t>
  </si>
  <si>
    <t xml:space="preserve">   Inspection Fee</t>
  </si>
  <si>
    <t xml:space="preserve">   Ante Mortem</t>
  </si>
  <si>
    <t xml:space="preserve">   Poultry Inspection Fee</t>
  </si>
  <si>
    <t xml:space="preserve">   Hog Inspection Fee</t>
  </si>
  <si>
    <t xml:space="preserve">   Corral Hog Fee</t>
  </si>
  <si>
    <t xml:space="preserve">   Corral Poultry Fee</t>
  </si>
  <si>
    <t xml:space="preserve">   Lechon Fee</t>
  </si>
  <si>
    <t>FUND: GENERAL FUND</t>
  </si>
  <si>
    <t xml:space="preserve">   Receipts from Cemeteries</t>
  </si>
  <si>
    <t xml:space="preserve">   Annual Registration Fee- Market</t>
  </si>
  <si>
    <t xml:space="preserve">   Corral Fee- goat</t>
  </si>
  <si>
    <t xml:space="preserve">   CR Rental</t>
  </si>
  <si>
    <t xml:space="preserve">    Amusement Tax</t>
  </si>
  <si>
    <t xml:space="preserve">    Professional Tax</t>
  </si>
  <si>
    <t xml:space="preserve">    Tax on Delivery Trucks &amp; Vans</t>
  </si>
  <si>
    <t xml:space="preserve">      Total</t>
  </si>
  <si>
    <t xml:space="preserve">   Share from Internal Revenue Allotment</t>
  </si>
  <si>
    <t xml:space="preserve">   Kalakalan</t>
  </si>
  <si>
    <t xml:space="preserve">   Cash Ticket-Night Market</t>
  </si>
  <si>
    <t xml:space="preserve">   Chevon</t>
  </si>
  <si>
    <t xml:space="preserve">   Fees on Business License Plate</t>
  </si>
  <si>
    <t>ESTIMATED</t>
  </si>
  <si>
    <t>REVENUE</t>
  </si>
  <si>
    <t>OVER</t>
  </si>
  <si>
    <t>UNDER</t>
  </si>
  <si>
    <t>REPORT OF REVENUES AND RECEIPTS</t>
  </si>
  <si>
    <t xml:space="preserve">   Monetization of IRA</t>
  </si>
  <si>
    <t xml:space="preserve">    Business Tax</t>
  </si>
  <si>
    <t xml:space="preserve">       Current Taxes</t>
  </si>
  <si>
    <t xml:space="preserve">       Prior Years Taxes</t>
  </si>
  <si>
    <t xml:space="preserve">    Community Tax</t>
  </si>
  <si>
    <t xml:space="preserve">       Individual</t>
  </si>
  <si>
    <t xml:space="preserve">       Corporate</t>
  </si>
  <si>
    <t xml:space="preserve">   Fees on Weight and Measures</t>
  </si>
  <si>
    <t xml:space="preserve">   Permit Fees</t>
  </si>
  <si>
    <t xml:space="preserve">   Registration Fees</t>
  </si>
  <si>
    <t xml:space="preserve">       Large Cattle</t>
  </si>
  <si>
    <t xml:space="preserve">       Business</t>
  </si>
  <si>
    <t xml:space="preserve">       Fishery</t>
  </si>
  <si>
    <t xml:space="preserve">       Flammables Storage</t>
  </si>
  <si>
    <t xml:space="preserve">       Bicycle</t>
  </si>
  <si>
    <t xml:space="preserve">       Birth, Marriage &amp; Death</t>
  </si>
  <si>
    <t>1.0 INCOME</t>
  </si>
  <si>
    <t>1.1  Local Taxes</t>
  </si>
  <si>
    <t>1.2 GENERAL INCOME ACCOUNTS</t>
  </si>
  <si>
    <t xml:space="preserve">  1.2.1 Permits &amp; Licenses</t>
  </si>
  <si>
    <t xml:space="preserve">       Occupancy Permit Fee</t>
  </si>
  <si>
    <t xml:space="preserve">       Building Permit Fee </t>
  </si>
  <si>
    <t xml:space="preserve">       Electrical Permit Fee</t>
  </si>
  <si>
    <t xml:space="preserve">       Zoning/Locational Permit Fee</t>
  </si>
  <si>
    <t xml:space="preserve">       Mayor"s Special Permit</t>
  </si>
  <si>
    <t>1.2.2 Service Income</t>
  </si>
  <si>
    <t xml:space="preserve">      City Accounting Office</t>
  </si>
  <si>
    <t xml:space="preserve">      City Agriculture's Office</t>
  </si>
  <si>
    <t xml:space="preserve">      City Assessor's Office </t>
  </si>
  <si>
    <t xml:space="preserve">      City General Service Office</t>
  </si>
  <si>
    <t xml:space="preserve">      MO LICENSE</t>
  </si>
  <si>
    <t xml:space="preserve">      Human Resource Management Office</t>
  </si>
  <si>
    <t xml:space="preserve">      Public Employment&amp; Services Office</t>
  </si>
  <si>
    <t xml:space="preserve">      SP/Legislative and Secretariat Office</t>
  </si>
  <si>
    <t xml:space="preserve">      City Social Welfare&amp;Development</t>
  </si>
  <si>
    <t xml:space="preserve">      City Treasurer's Office</t>
  </si>
  <si>
    <t xml:space="preserve">      License Inspection Fee</t>
  </si>
  <si>
    <t xml:space="preserve">      Annual Building Inspection Fee</t>
  </si>
  <si>
    <t xml:space="preserve">      Local Fire Inspection Fee</t>
  </si>
  <si>
    <t xml:space="preserve">      Medical Fee - License</t>
  </si>
  <si>
    <t xml:space="preserve">   Other Service Income</t>
  </si>
  <si>
    <t xml:space="preserve">      Legal Instrument/Court Orders</t>
  </si>
  <si>
    <t xml:space="preserve">      Petition &amp; Correction of Entry</t>
  </si>
  <si>
    <t xml:space="preserve">      Legal Service  Fee</t>
  </si>
  <si>
    <t xml:space="preserve">      Sanitary Service Fee (SSF)</t>
  </si>
  <si>
    <t xml:space="preserve">      Road Maintenance Fee(RMF)</t>
  </si>
  <si>
    <t xml:space="preserve">      Drainage Maintenance Fee (DMF)</t>
  </si>
  <si>
    <t xml:space="preserve">     RCEPF</t>
  </si>
  <si>
    <t>1.2.3 Other Income</t>
  </si>
  <si>
    <t xml:space="preserve">      Bank Deposit</t>
  </si>
  <si>
    <t xml:space="preserve">      Soft loan-Taceco</t>
  </si>
  <si>
    <t xml:space="preserve">   Sale of Accountable Forms </t>
  </si>
  <si>
    <t xml:space="preserve">      AF# 51&amp;55</t>
  </si>
  <si>
    <t xml:space="preserve">      BIR Form #0016</t>
  </si>
  <si>
    <t xml:space="preserve">   Employees village</t>
  </si>
  <si>
    <t xml:space="preserve">   Citation Tickets</t>
  </si>
  <si>
    <t xml:space="preserve">   Liquidated damages</t>
  </si>
  <si>
    <t xml:space="preserve">   General Fund Proper Total Income</t>
  </si>
  <si>
    <t>2.0 Income from Economic Enterprise</t>
  </si>
  <si>
    <t xml:space="preserve"> 2.1 Income from Asphalt</t>
  </si>
  <si>
    <t xml:space="preserve"> 2.3 Income from Trade Center</t>
  </si>
  <si>
    <t xml:space="preserve">   Stall Rental -Surcharge &amp; Penalties</t>
  </si>
  <si>
    <t xml:space="preserve">  Grand total</t>
  </si>
  <si>
    <t xml:space="preserve">ACTUAL </t>
  </si>
  <si>
    <t>COLLECTION</t>
  </si>
  <si>
    <t>CODE</t>
  </si>
  <si>
    <t>Prepared by:</t>
  </si>
  <si>
    <t>FE G. PATRIMONIO</t>
  </si>
  <si>
    <t>Senior Bookkeeper</t>
  </si>
  <si>
    <t>Certified Correct:</t>
  </si>
  <si>
    <t>RAMIL Y. TIU, CPA</t>
  </si>
  <si>
    <t>City Accountant</t>
  </si>
  <si>
    <t>Note : * RPT Current is net of Discount</t>
  </si>
  <si>
    <t xml:space="preserve">         ** Total Income excluding of  non cash transaction ( Income from Grants &amp; Donations)</t>
  </si>
  <si>
    <t xml:space="preserve">   Fees on Stickers</t>
  </si>
  <si>
    <t xml:space="preserve">   Fees on Tag Seal </t>
  </si>
  <si>
    <t xml:space="preserve">   Stockyard  Fee</t>
  </si>
  <si>
    <t xml:space="preserve">   Holding  Pen Fee</t>
  </si>
  <si>
    <t xml:space="preserve">  Total Economic Enterprises</t>
  </si>
  <si>
    <t xml:space="preserve">   Total General Income</t>
  </si>
  <si>
    <t>678-001</t>
  </si>
  <si>
    <t>678-002</t>
  </si>
  <si>
    <t>PCA</t>
  </si>
  <si>
    <t>ACCOUNT</t>
  </si>
  <si>
    <t>MARCH</t>
  </si>
  <si>
    <t>APRIL</t>
  </si>
  <si>
    <t>JULY</t>
  </si>
  <si>
    <t>TOTAL</t>
  </si>
  <si>
    <t>MISCELLANEOUS INCOME</t>
  </si>
  <si>
    <t>FIRE FEE SHARE</t>
  </si>
  <si>
    <t>678-007</t>
  </si>
  <si>
    <t>UNDER / OVER</t>
  </si>
  <si>
    <t>678-010</t>
  </si>
  <si>
    <t>AGRI COLLECTION - SHIPPING</t>
  </si>
  <si>
    <t>678-016</t>
  </si>
  <si>
    <t>CLEARING FEE - DANECO</t>
  </si>
  <si>
    <t>AGRI COLLECTION - VACCINATION FEE</t>
  </si>
  <si>
    <t>CACCO</t>
  </si>
  <si>
    <t>CTO</t>
  </si>
  <si>
    <t>INCENTIVE FEE</t>
  </si>
  <si>
    <t>678-013</t>
  </si>
  <si>
    <t>678-030</t>
  </si>
  <si>
    <t>678-029</t>
  </si>
  <si>
    <t>DIFF</t>
  </si>
  <si>
    <t>EMPLOYEES VILLAGE</t>
  </si>
  <si>
    <t>FROM PAYROLL</t>
  </si>
  <si>
    <t>FROM CTO COLLECTION</t>
  </si>
  <si>
    <t>AS OF</t>
  </si>
  <si>
    <t>MISCELLANEOUS INCOME ACCOUNTS</t>
  </si>
  <si>
    <t>TREASURY</t>
  </si>
  <si>
    <t>MAY</t>
  </si>
  <si>
    <t xml:space="preserve">CACCO BALANCE TO CTO BALANCE </t>
  </si>
  <si>
    <t>CURRENT TAXES (net of discount)</t>
  </si>
  <si>
    <t>CACCO BALANCE</t>
  </si>
  <si>
    <t>JANUARY</t>
  </si>
  <si>
    <t>FEBRUARY</t>
  </si>
  <si>
    <t>CTO BALANCE</t>
  </si>
  <si>
    <t>RRR's CTO BALANCE</t>
  </si>
  <si>
    <r>
      <rPr>
        <b/>
        <sz val="11"/>
        <rFont val="Arial"/>
        <family val="2"/>
      </rPr>
      <t>Add:</t>
    </r>
    <r>
      <rPr>
        <sz val="11"/>
        <rFont val="Arial"/>
        <family val="2"/>
      </rPr>
      <t xml:space="preserve"> DEFFERED INCOME (net of discount)</t>
    </r>
  </si>
  <si>
    <t>*Centavo differrence due to round-off of Brgy. Share.</t>
  </si>
  <si>
    <t>678-021</t>
  </si>
  <si>
    <t>AUGUST</t>
  </si>
  <si>
    <t>SEPTEMBER</t>
  </si>
  <si>
    <t>OCTOBER</t>
  </si>
  <si>
    <t>*</t>
  </si>
  <si>
    <t>NOVEMBER</t>
  </si>
  <si>
    <t>DECEMBER</t>
  </si>
  <si>
    <t xml:space="preserve">      Educational Support Program Fee(ESPF)</t>
  </si>
  <si>
    <t xml:space="preserve">   Annual Registration-Bus &amp; Jeeps</t>
  </si>
  <si>
    <t>628-15</t>
  </si>
  <si>
    <t xml:space="preserve">     Impounding Fee (Astray Animals)</t>
  </si>
  <si>
    <t>VARIANCE</t>
  </si>
  <si>
    <t>FOR THE MONTH</t>
  </si>
  <si>
    <t>JUNE</t>
  </si>
  <si>
    <t>GROSS INCOME</t>
  </si>
  <si>
    <t>GRANTS AND DONATIONS</t>
  </si>
  <si>
    <t>TUITION FEE - TRADE SCHOOL</t>
  </si>
  <si>
    <t>TOTAL INCOME</t>
  </si>
  <si>
    <t>DISCOUNT - RPT</t>
  </si>
  <si>
    <t>TRADE SCHOOL INCOME STATEMENT</t>
  </si>
  <si>
    <t>INCOME STATEMENT GF</t>
  </si>
  <si>
    <t>INCOME STATEMENT GF - TUITION</t>
  </si>
  <si>
    <t>FIND IN</t>
  </si>
  <si>
    <t>REFUND/WITHDRAWAL</t>
  </si>
  <si>
    <t>ts-income &amp; Liq Damages</t>
  </si>
  <si>
    <t xml:space="preserve">    Tax on Sand, Gravel &amp; Other Quarry</t>
  </si>
  <si>
    <t xml:space="preserve">  CENRO</t>
  </si>
  <si>
    <t>ECONOMIC RRR's</t>
  </si>
  <si>
    <t>AS OF THE MONTH</t>
  </si>
  <si>
    <t>diff.</t>
  </si>
  <si>
    <t>CTO's RRR</t>
  </si>
  <si>
    <t>ANTHONY MARK A. LONZAGA, CPA, MBA</t>
  </si>
  <si>
    <t>4-01-03-060</t>
  </si>
  <si>
    <t>FOR THE MONTH ENDED JANUARY 31, 2016</t>
  </si>
  <si>
    <t>4-01-03-030</t>
  </si>
  <si>
    <t>4-01-03-030-001</t>
  </si>
  <si>
    <t>4-01-03-030-002</t>
  </si>
  <si>
    <t>4-01-01-050</t>
  </si>
  <si>
    <t>4-01-01-050-001</t>
  </si>
  <si>
    <t>4-01-01-050-002</t>
  </si>
  <si>
    <t>4-01-03-070</t>
  </si>
  <si>
    <t xml:space="preserve">       Electricity</t>
  </si>
  <si>
    <t xml:space="preserve">       MCH</t>
  </si>
  <si>
    <t>4-01-03-070-001</t>
  </si>
  <si>
    <t>4-01-03-070-002</t>
  </si>
  <si>
    <t xml:space="preserve">    Franchise Tax</t>
  </si>
  <si>
    <t xml:space="preserve">    Occupation Fee</t>
  </si>
  <si>
    <t>4-02-01-140</t>
  </si>
  <si>
    <t>4-01-01-020</t>
  </si>
  <si>
    <t xml:space="preserve">    Real Property Tax Transfer Tax</t>
  </si>
  <si>
    <t>4-01-02-080</t>
  </si>
  <si>
    <t xml:space="preserve">    Real Property Tax - Basic</t>
  </si>
  <si>
    <t xml:space="preserve">       Current Year</t>
  </si>
  <si>
    <t xml:space="preserve">       Prior Years</t>
  </si>
  <si>
    <t>4-01-02-040</t>
  </si>
  <si>
    <t>4-01-02-040-001</t>
  </si>
  <si>
    <t>4-01-02-040-002</t>
  </si>
  <si>
    <t xml:space="preserve">    Special Levy on Idle Lands</t>
  </si>
  <si>
    <t>4-01-02-060</t>
  </si>
  <si>
    <t>4-01-03-050</t>
  </si>
  <si>
    <t>4-01-03-040</t>
  </si>
  <si>
    <t xml:space="preserve">    Tax Revenue - Fines &amp;Penalties</t>
  </si>
  <si>
    <t xml:space="preserve">       Property Taxes</t>
  </si>
  <si>
    <t xml:space="preserve">       Taxes on Individuals and Corp.</t>
  </si>
  <si>
    <t>4-01-05-020</t>
  </si>
  <si>
    <t>4-01-05-010</t>
  </si>
  <si>
    <t>4-02-01-160-001</t>
  </si>
  <si>
    <t>4-02-01-160-002</t>
  </si>
  <si>
    <t>4-02-01-160-003</t>
  </si>
  <si>
    <t>4-02-01-160-004</t>
  </si>
  <si>
    <t>4-02-01-040</t>
  </si>
  <si>
    <t>4-02-01-010</t>
  </si>
  <si>
    <t>4-02-01-010-007</t>
  </si>
  <si>
    <t>4-02-01-010-008</t>
  </si>
  <si>
    <t>4-02-01-010-009</t>
  </si>
  <si>
    <t>4-02-01-990</t>
  </si>
  <si>
    <t>4-02-01-020</t>
  </si>
  <si>
    <t>4-02-01-020-001</t>
  </si>
  <si>
    <t>4-02-01-020-002</t>
  </si>
  <si>
    <t>4-02-01-020-003</t>
  </si>
  <si>
    <t>4-02-01-010-001</t>
  </si>
  <si>
    <t>4-02-01-010-002</t>
  </si>
  <si>
    <t>4-02-01-010-003</t>
  </si>
  <si>
    <t>4-02-01-010-005</t>
  </si>
  <si>
    <t>4-02-01-010-006</t>
  </si>
  <si>
    <t xml:space="preserve">      Marriage &amp; License Application</t>
  </si>
  <si>
    <t>4-02-01-990-001</t>
  </si>
  <si>
    <t>4-02-01-990-003</t>
  </si>
  <si>
    <t xml:space="preserve">      MTOP Transfer Fee</t>
  </si>
  <si>
    <t xml:space="preserve">      Archival Fee (AF)</t>
  </si>
  <si>
    <t xml:space="preserve">      Security Fee(SF)</t>
  </si>
  <si>
    <t>4-02-01-990-005</t>
  </si>
  <si>
    <t>4-02-01-990-007</t>
  </si>
  <si>
    <t>4-02-01-990-008</t>
  </si>
  <si>
    <t>4-02-01-990-009</t>
  </si>
  <si>
    <t>4-02-01-990-010</t>
  </si>
  <si>
    <t>4-02-01-990-011</t>
  </si>
  <si>
    <t>4-02-01-990-012</t>
  </si>
  <si>
    <t xml:space="preserve">      RCEPF</t>
  </si>
  <si>
    <t xml:space="preserve">      Sanitary Fee</t>
  </si>
  <si>
    <t xml:space="preserve">      Laboratory Fee - CHO</t>
  </si>
  <si>
    <t>4-02-01-990-013</t>
  </si>
  <si>
    <t xml:space="preserve">      Laboratory Fee - License</t>
  </si>
  <si>
    <t>4-02-01-990-014</t>
  </si>
  <si>
    <t>4-02-01-990-015</t>
  </si>
  <si>
    <t>4-02-01-990-016</t>
  </si>
  <si>
    <t xml:space="preserve">      Birthing Facilities - (Paanakan 50%)</t>
  </si>
  <si>
    <t>4-02-01-990-017</t>
  </si>
  <si>
    <t>4-02-01-990-018</t>
  </si>
  <si>
    <t>4-02-01-990-019</t>
  </si>
  <si>
    <t>4-02-01-990-020</t>
  </si>
  <si>
    <t xml:space="preserve">   Clearance and Certification Fees</t>
  </si>
  <si>
    <t xml:space="preserve">      Police Clearance</t>
  </si>
  <si>
    <t xml:space="preserve">      Land Tax Clearance</t>
  </si>
  <si>
    <t xml:space="preserve">      Engineers Clearance</t>
  </si>
  <si>
    <t xml:space="preserve">      Mayor's Clearance</t>
  </si>
  <si>
    <t xml:space="preserve">      Certification of Birth, Death&amp;Marriage</t>
  </si>
  <si>
    <t>4-02-01-040-001</t>
  </si>
  <si>
    <t>4-02-01-040-002</t>
  </si>
  <si>
    <t>4-02-01-040-003</t>
  </si>
  <si>
    <t>4-02-01-040-004</t>
  </si>
  <si>
    <t>4-02-01-040-005</t>
  </si>
  <si>
    <t>4-02-01-040-006</t>
  </si>
  <si>
    <t>4-02-01-040-007</t>
  </si>
  <si>
    <t>4-02-01-040-008</t>
  </si>
  <si>
    <t>4-02-01-040-009</t>
  </si>
  <si>
    <t>4-02-01-040-010</t>
  </si>
  <si>
    <t>4-02-01-040-012</t>
  </si>
  <si>
    <t>4-02-01-040-013</t>
  </si>
  <si>
    <t>4-02-01-040-015</t>
  </si>
  <si>
    <t>4-02-01-040-017</t>
  </si>
  <si>
    <t>4-02-01-040-018</t>
  </si>
  <si>
    <t>4-02-01-040-019</t>
  </si>
  <si>
    <t>4-02-02-190</t>
  </si>
  <si>
    <t xml:space="preserve">   Inspection Fees</t>
  </si>
  <si>
    <t>4-02-01-100</t>
  </si>
  <si>
    <t>4-02-01-100-001</t>
  </si>
  <si>
    <t>4-02-01-100-003</t>
  </si>
  <si>
    <t>4-02-01-100-004</t>
  </si>
  <si>
    <t xml:space="preserve">   Rent Income</t>
  </si>
  <si>
    <t xml:space="preserve">      Canteen Rental</t>
  </si>
  <si>
    <t xml:space="preserve">      Equipment Rental</t>
  </si>
  <si>
    <t>4-02-02-050</t>
  </si>
  <si>
    <t>4-02-02-050-001</t>
  </si>
  <si>
    <t>4-02-02-050-002</t>
  </si>
  <si>
    <t>4-02-02-220</t>
  </si>
  <si>
    <t>4-02-02-220-001</t>
  </si>
  <si>
    <t>4-02-02-220-002</t>
  </si>
  <si>
    <t xml:space="preserve">   Share from PCSO</t>
  </si>
  <si>
    <t>4-04-01-020</t>
  </si>
  <si>
    <t>4-06-01-010</t>
  </si>
  <si>
    <t>4-06-01-010-001</t>
  </si>
  <si>
    <t>4-06-01-010-002</t>
  </si>
  <si>
    <t xml:space="preserve">      PMC</t>
  </si>
  <si>
    <t>4-02-01-990-021</t>
  </si>
  <si>
    <t>4-02-01-990-022</t>
  </si>
  <si>
    <t xml:space="preserve">      BREQIS - LCR</t>
  </si>
  <si>
    <t>4-06-01-010-003</t>
  </si>
  <si>
    <t>4-06-01-010-004</t>
  </si>
  <si>
    <t>4-06-01-010-006</t>
  </si>
  <si>
    <t>4-06-01-010-007</t>
  </si>
  <si>
    <t>4-06-01-010-008</t>
  </si>
  <si>
    <t>4-06-01-010-012</t>
  </si>
  <si>
    <t>4-06-01-010-009</t>
  </si>
  <si>
    <t>4-01-06-010</t>
  </si>
  <si>
    <t>4-02-02-990</t>
  </si>
  <si>
    <t xml:space="preserve"> 2.2  Receipts from Market Operation</t>
  </si>
  <si>
    <t>4-02-02-140</t>
  </si>
  <si>
    <t xml:space="preserve">   Weighing Scale Fee</t>
  </si>
  <si>
    <t>4-02-02-140-001</t>
  </si>
  <si>
    <t>4-02-02-140-002</t>
  </si>
  <si>
    <t>4-02-02-140-003</t>
  </si>
  <si>
    <t>4-02-02-140-005</t>
  </si>
  <si>
    <t xml:space="preserve">   Fish Landing Rental</t>
  </si>
  <si>
    <t>4-02-02-140-006</t>
  </si>
  <si>
    <t>4-02-02-140-007</t>
  </si>
  <si>
    <t>4-02-02-140-012</t>
  </si>
  <si>
    <t>4-02-02-140-014</t>
  </si>
  <si>
    <t>4-02-02-140-016</t>
  </si>
  <si>
    <t xml:space="preserve">   Meat Processing Fee</t>
  </si>
  <si>
    <t>4-02-02-140-018</t>
  </si>
  <si>
    <t>4-02-02-140-008</t>
  </si>
  <si>
    <t>4-02-02-140-009</t>
  </si>
  <si>
    <t>4-02-02-140-010</t>
  </si>
  <si>
    <t>4-02-02-140-011</t>
  </si>
  <si>
    <t>4-02-02-140-013</t>
  </si>
  <si>
    <t>4-02-02-140-015</t>
  </si>
  <si>
    <t xml:space="preserve">     Sanitary Service Fee (SSF)</t>
  </si>
  <si>
    <t xml:space="preserve">     Educational Support Program Fee(ESPF)</t>
  </si>
  <si>
    <t xml:space="preserve">     ESPF- Night Market</t>
  </si>
  <si>
    <t xml:space="preserve">     Drainage Maintenance Fee (DMF)</t>
  </si>
  <si>
    <t xml:space="preserve">     Security Fee</t>
  </si>
  <si>
    <t xml:space="preserve"> 2.4 Transpotation System Fees</t>
  </si>
  <si>
    <t>4-02-02-070</t>
  </si>
  <si>
    <t>4-02-02-070-001</t>
  </si>
  <si>
    <t>4-02-02-070-002</t>
  </si>
  <si>
    <t>4-02-02-070-003</t>
  </si>
  <si>
    <t>4-02-02-070-004</t>
  </si>
  <si>
    <t>4-02-02-070-005</t>
  </si>
  <si>
    <t>4-02-02-070-007</t>
  </si>
  <si>
    <t>4-02-02-070-008</t>
  </si>
  <si>
    <t>4-02-02-070-010</t>
  </si>
  <si>
    <t xml:space="preserve"> 2.6 Receipts from TLAC</t>
  </si>
  <si>
    <t xml:space="preserve"> 2.5 Receipts from Slaughterhouse Operation</t>
  </si>
  <si>
    <t>4-02-02-150</t>
  </si>
  <si>
    <t>4-02-02-150-001</t>
  </si>
  <si>
    <t>4-02-02-150-002</t>
  </si>
  <si>
    <t>4-02-02-150-003</t>
  </si>
  <si>
    <t>4-02-02-150-004</t>
  </si>
  <si>
    <t>4-02-02-150-005</t>
  </si>
  <si>
    <t>4-02-02-150-013</t>
  </si>
  <si>
    <t>4-02-02-150-015</t>
  </si>
  <si>
    <t xml:space="preserve">   Meat Inspection Certificate</t>
  </si>
  <si>
    <t>4-02-02-150-022</t>
  </si>
  <si>
    <t>4-02-02-150-006</t>
  </si>
  <si>
    <t>4-02-02-150-007</t>
  </si>
  <si>
    <t>4-02-02-150-008</t>
  </si>
  <si>
    <t>4-02-02-150-009</t>
  </si>
  <si>
    <t>4-02-02-150-010</t>
  </si>
  <si>
    <t>4-02-02-150-011</t>
  </si>
  <si>
    <t>4-02-02-150-014</t>
  </si>
  <si>
    <t>4-02-02-150-016</t>
  </si>
  <si>
    <t>4-02-02-150-018</t>
  </si>
  <si>
    <t xml:space="preserve">   Transfer/Occupancy Fee</t>
  </si>
  <si>
    <t>4-02-02-150-021</t>
  </si>
  <si>
    <t>4-02-02-150-023</t>
  </si>
  <si>
    <t xml:space="preserve"> 2.7 Receipts from Cemetery Operations</t>
  </si>
  <si>
    <t>4-02-02-160</t>
  </si>
  <si>
    <t>4-02-02-160-001</t>
  </si>
  <si>
    <t xml:space="preserve">    Tax Revenue - Fines &amp; Penalties</t>
  </si>
  <si>
    <t xml:space="preserve"> 2.3 Receipts from Trade Center</t>
  </si>
  <si>
    <t>1.1  Tax Revenue</t>
  </si>
  <si>
    <t>1.2  Service and Business Income</t>
  </si>
  <si>
    <t>1.3 Shares, Grants and Donations</t>
  </si>
  <si>
    <t>1.4  Miscellaneous Income</t>
  </si>
  <si>
    <t>Fiscal Examiner I</t>
  </si>
  <si>
    <t xml:space="preserve">    Real Property Transfer Tax</t>
  </si>
  <si>
    <t xml:space="preserve">      CENRO</t>
  </si>
  <si>
    <t xml:space="preserve">   Occupation Fee</t>
  </si>
  <si>
    <t xml:space="preserve">      Fees on Weight and Measures</t>
  </si>
  <si>
    <t xml:space="preserve">      Fees on Stickers</t>
  </si>
  <si>
    <t xml:space="preserve">      Fees on Tag Seal </t>
  </si>
  <si>
    <t xml:space="preserve">      Fees on Business License Plate</t>
  </si>
  <si>
    <t xml:space="preserve">   Fees for Sealing and Licensing of Weights and Measures</t>
  </si>
  <si>
    <t>4-02-01-160</t>
  </si>
  <si>
    <t xml:space="preserve">   Terminal &amp; Toll Fee</t>
  </si>
  <si>
    <t xml:space="preserve">   Cash Tickets - TLAC</t>
  </si>
  <si>
    <t>4-02-02-150-012</t>
  </si>
  <si>
    <t>OTHERS</t>
  </si>
  <si>
    <t>UNDER/OVER</t>
  </si>
  <si>
    <t>VACCINATION</t>
  </si>
  <si>
    <t>4-06-01-010-005</t>
  </si>
  <si>
    <t>4-06-01-010-010</t>
  </si>
  <si>
    <t>4-06-01-010-013</t>
  </si>
  <si>
    <t>4-06-01-010-011</t>
  </si>
  <si>
    <t xml:space="preserve"> 2.4 Transportation System Fees</t>
  </si>
  <si>
    <t>determined by acctg.</t>
  </si>
  <si>
    <t>EE</t>
  </si>
  <si>
    <t>Cashier</t>
  </si>
  <si>
    <t>CTO ADJ.</t>
  </si>
  <si>
    <t>TREAS ADJ.</t>
  </si>
  <si>
    <t xml:space="preserve">       Taxes on Goods and Services</t>
  </si>
  <si>
    <t>4-01-05-030</t>
  </si>
  <si>
    <t>RPT INCOME RECONCILIATION FOR THE 2016</t>
  </si>
  <si>
    <r>
      <rPr>
        <b/>
        <sz val="11"/>
        <rFont val="Arial"/>
        <family val="2"/>
      </rPr>
      <t>Less:</t>
    </r>
    <r>
      <rPr>
        <sz val="11"/>
        <rFont val="Arial"/>
        <family val="2"/>
      </rPr>
      <t xml:space="preserve"> RPT INCOME FOR CY 2016</t>
    </r>
  </si>
  <si>
    <t>COLLECTED IN 2015</t>
  </si>
  <si>
    <t>4-02-01-070</t>
  </si>
  <si>
    <t xml:space="preserve">   Supervision and Regulation Enforcement Fees</t>
  </si>
  <si>
    <t xml:space="preserve">      Citation Tickets</t>
  </si>
  <si>
    <t xml:space="preserve">      Sanitation Service Fee (SSF)</t>
  </si>
  <si>
    <t>4-02-01-070-001</t>
  </si>
  <si>
    <t>4-02-01-070-002</t>
  </si>
  <si>
    <t>4-02-01-070-003</t>
  </si>
  <si>
    <t>4-02-01-070-004</t>
  </si>
  <si>
    <t>4-02-01-070-005</t>
  </si>
  <si>
    <t>4-02-01-070-006</t>
  </si>
  <si>
    <t>4-02-01-070-007</t>
  </si>
  <si>
    <t>4-02-01-070-008</t>
  </si>
  <si>
    <t xml:space="preserve">   Verification and Authentication Fees</t>
  </si>
  <si>
    <t>4-02-01-110</t>
  </si>
  <si>
    <t>FOR THE YEAR 2016</t>
  </si>
  <si>
    <t>4-02-02-140-017</t>
  </si>
  <si>
    <t xml:space="preserve">   Annual Registration Fee- Ambulant Vendor</t>
  </si>
  <si>
    <t>FOR THE MONTH ENDED FEBRUARY 29, 2016</t>
  </si>
  <si>
    <t xml:space="preserve">      City Veterinarian's Office</t>
  </si>
  <si>
    <t>4-02-01-040-021</t>
  </si>
  <si>
    <t>CLAIMS FROM INSURANCE - DAMAGED PROPERTY</t>
  </si>
  <si>
    <t xml:space="preserve">4-06-01-010-014 </t>
  </si>
  <si>
    <t>(Advance collection - net of discount 2017-Up)</t>
  </si>
  <si>
    <t>RECON IN RPT SHEET</t>
  </si>
  <si>
    <t>ACCTG ADJ</t>
  </si>
  <si>
    <t>300 - ACCTG. ADJ.</t>
  </si>
  <si>
    <t>FEB</t>
  </si>
  <si>
    <t xml:space="preserve">DUE TO ADJUSTMENT </t>
  </si>
  <si>
    <t>ADJUSTMENT IN FEB.</t>
  </si>
  <si>
    <t>FOR THE MONTH ENDED MARCH 31, 2016</t>
  </si>
  <si>
    <t>FOR THE MONTH ENDED APRIL 30, 2016</t>
  </si>
  <si>
    <t>4-02-01-100-005</t>
  </si>
  <si>
    <t>CTO ADJ</t>
  </si>
  <si>
    <t xml:space="preserve">      Sanitary Inspection Fee</t>
  </si>
  <si>
    <t>FOR THE MONTH ENDED MAY 31, 2016</t>
  </si>
  <si>
    <t>40601010-015</t>
  </si>
  <si>
    <t>INCENTIVES</t>
  </si>
  <si>
    <t xml:space="preserve">      Gym Rental</t>
  </si>
  <si>
    <t>4-02-02-050-003</t>
  </si>
  <si>
    <t>FOR THE MONTH ENDED JUNE 30, 2016</t>
  </si>
  <si>
    <t xml:space="preserve">      City Tourism</t>
  </si>
  <si>
    <t>4-02-01-040-014</t>
  </si>
  <si>
    <t xml:space="preserve">      CPDO</t>
  </si>
  <si>
    <t>4-02-01-040-016</t>
  </si>
  <si>
    <t>FOR THE MONTH ENDED JULY 31, 2016</t>
  </si>
  <si>
    <t>CACCO ADJ</t>
  </si>
  <si>
    <t>CACCO ADJ.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</si>
</sst>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  <family val="2"/>
    </font>
    <font>
      <b/>
      <sz val="8.9"/>
      <color indexed="8"/>
      <name val="Bookman Old Style"/>
      <family val="1"/>
    </font>
    <font>
      <b/>
      <sz val="8.9"/>
      <color indexed="8"/>
      <name val="Bookman Old Style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05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sz val="9"/>
      <color indexed="8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6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6" fillId="0" borderId="0"/>
    <xf numFmtId="0" fontId="18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98">
    <xf numFmtId="0" fontId="0" fillId="0" borderId="0" xfId="0"/>
    <xf numFmtId="0" fontId="13" fillId="0" borderId="0" xfId="0" applyFont="1" applyBorder="1"/>
    <xf numFmtId="43" fontId="13" fillId="0" borderId="0" xfId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0" fillId="0" borderId="0" xfId="1" applyFont="1"/>
    <xf numFmtId="0" fontId="14" fillId="0" borderId="0" xfId="0" applyFont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3" fillId="0" borderId="0" xfId="0" applyFont="1"/>
    <xf numFmtId="43" fontId="13" fillId="0" borderId="0" xfId="1" applyFont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3" fontId="13" fillId="0" borderId="0" xfId="1" applyFont="1" applyFill="1"/>
    <xf numFmtId="4" fontId="13" fillId="0" borderId="0" xfId="0" applyNumberFormat="1" applyFont="1" applyFill="1"/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9"/>
    </xf>
    <xf numFmtId="0" fontId="13" fillId="0" borderId="0" xfId="0" applyFont="1" applyFill="1" applyAlignment="1">
      <alignment horizontal="left" indent="2"/>
    </xf>
    <xf numFmtId="4" fontId="13" fillId="0" borderId="0" xfId="0" applyNumberFormat="1" applyFont="1" applyFill="1" applyBorder="1"/>
    <xf numFmtId="43" fontId="5" fillId="0" borderId="0" xfId="0" applyNumberFormat="1" applyFont="1" applyFill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/>
    <xf numFmtId="0" fontId="13" fillId="0" borderId="46" xfId="0" applyFont="1" applyBorder="1"/>
    <xf numFmtId="0" fontId="13" fillId="0" borderId="10" xfId="0" applyFont="1" applyBorder="1"/>
    <xf numFmtId="43" fontId="13" fillId="0" borderId="1" xfId="44" applyFont="1" applyBorder="1"/>
    <xf numFmtId="43" fontId="13" fillId="0" borderId="10" xfId="44" applyFont="1" applyBorder="1"/>
    <xf numFmtId="43" fontId="13" fillId="0" borderId="9" xfId="44" applyFont="1" applyBorder="1"/>
    <xf numFmtId="43" fontId="13" fillId="0" borderId="0" xfId="44" applyFont="1"/>
    <xf numFmtId="0" fontId="13" fillId="0" borderId="9" xfId="0" applyFont="1" applyBorder="1" applyAlignment="1">
      <alignment vertical="center"/>
    </xf>
    <xf numFmtId="43" fontId="13" fillId="0" borderId="2" xfId="44" applyFont="1" applyBorder="1"/>
    <xf numFmtId="43" fontId="13" fillId="0" borderId="46" xfId="44" applyFont="1" applyBorder="1"/>
    <xf numFmtId="0" fontId="14" fillId="0" borderId="9" xfId="0" applyFont="1" applyBorder="1"/>
    <xf numFmtId="43" fontId="14" fillId="0" borderId="9" xfId="0" applyNumberFormat="1" applyFont="1" applyBorder="1"/>
    <xf numFmtId="43" fontId="14" fillId="0" borderId="46" xfId="0" applyNumberFormat="1" applyFont="1" applyBorder="1"/>
    <xf numFmtId="43" fontId="14" fillId="0" borderId="1" xfId="0" applyNumberFormat="1" applyFont="1" applyBorder="1"/>
    <xf numFmtId="43" fontId="14" fillId="0" borderId="10" xfId="0" applyNumberFormat="1" applyFont="1" applyBorder="1"/>
    <xf numFmtId="0" fontId="14" fillId="0" borderId="9" xfId="0" applyFont="1" applyBorder="1" applyAlignment="1">
      <alignment vertical="center"/>
    </xf>
    <xf numFmtId="43" fontId="13" fillId="0" borderId="46" xfId="0" applyNumberFormat="1" applyFont="1" applyBorder="1"/>
    <xf numFmtId="43" fontId="13" fillId="0" borderId="1" xfId="0" applyNumberFormat="1" applyFont="1" applyBorder="1"/>
    <xf numFmtId="43" fontId="13" fillId="0" borderId="10" xfId="0" applyNumberFormat="1" applyFont="1" applyBorder="1"/>
    <xf numFmtId="43" fontId="13" fillId="0" borderId="9" xfId="0" applyNumberFormat="1" applyFont="1" applyBorder="1"/>
    <xf numFmtId="43" fontId="13" fillId="0" borderId="0" xfId="0" applyNumberFormat="1" applyFont="1"/>
    <xf numFmtId="39" fontId="23" fillId="0" borderId="0" xfId="63" applyNumberFormat="1" applyFont="1" applyFill="1" applyBorder="1" applyAlignment="1" applyProtection="1"/>
    <xf numFmtId="43" fontId="13" fillId="0" borderId="45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39" fontId="13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3" fontId="13" fillId="0" borderId="0" xfId="44" applyFont="1" applyBorder="1"/>
    <xf numFmtId="43" fontId="14" fillId="0" borderId="0" xfId="0" applyNumberFormat="1" applyFont="1" applyBorder="1"/>
    <xf numFmtId="43" fontId="13" fillId="0" borderId="0" xfId="0" applyNumberFormat="1" applyFont="1" applyBorder="1"/>
    <xf numFmtId="43" fontId="13" fillId="0" borderId="0" xfId="44" applyFont="1" applyBorder="1" applyAlignment="1">
      <alignment horizontal="center" vertical="center"/>
    </xf>
    <xf numFmtId="43" fontId="23" fillId="0" borderId="12" xfId="1" applyFont="1" applyBorder="1" applyAlignment="1">
      <alignment vertical="center"/>
    </xf>
    <xf numFmtId="43" fontId="13" fillId="0" borderId="0" xfId="1" applyFont="1" applyAlignme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3" fontId="13" fillId="0" borderId="15" xfId="44" applyFont="1" applyBorder="1" applyAlignment="1">
      <alignment wrapText="1"/>
    </xf>
    <xf numFmtId="43" fontId="13" fillId="0" borderId="1" xfId="44" applyFont="1" applyBorder="1" applyAlignment="1">
      <alignment wrapText="1"/>
    </xf>
    <xf numFmtId="43" fontId="13" fillId="0" borderId="10" xfId="44" applyFont="1" applyBorder="1" applyAlignment="1">
      <alignment wrapText="1"/>
    </xf>
    <xf numFmtId="43" fontId="13" fillId="0" borderId="0" xfId="44" applyFont="1" applyFill="1" applyAlignment="1">
      <alignment wrapText="1"/>
    </xf>
    <xf numFmtId="43" fontId="13" fillId="0" borderId="9" xfId="44" applyFont="1" applyBorder="1" applyAlignment="1">
      <alignment wrapText="1"/>
    </xf>
    <xf numFmtId="43" fontId="13" fillId="0" borderId="0" xfId="44" applyFont="1" applyAlignment="1">
      <alignment wrapText="1"/>
    </xf>
    <xf numFmtId="43" fontId="13" fillId="0" borderId="11" xfId="44" applyFont="1" applyBorder="1" applyAlignment="1">
      <alignment wrapText="1"/>
    </xf>
    <xf numFmtId="0" fontId="13" fillId="0" borderId="9" xfId="0" applyFont="1" applyBorder="1" applyAlignment="1">
      <alignment vertical="center" wrapText="1"/>
    </xf>
    <xf numFmtId="43" fontId="13" fillId="0" borderId="2" xfId="44" applyFont="1" applyBorder="1" applyAlignment="1">
      <alignment wrapText="1"/>
    </xf>
    <xf numFmtId="43" fontId="13" fillId="0" borderId="46" xfId="44" applyFont="1" applyBorder="1" applyAlignment="1">
      <alignment wrapText="1"/>
    </xf>
    <xf numFmtId="0" fontId="14" fillId="0" borderId="9" xfId="0" applyFont="1" applyBorder="1" applyAlignment="1">
      <alignment wrapText="1"/>
    </xf>
    <xf numFmtId="43" fontId="14" fillId="0" borderId="9" xfId="0" applyNumberFormat="1" applyFont="1" applyBorder="1" applyAlignment="1">
      <alignment wrapText="1"/>
    </xf>
    <xf numFmtId="43" fontId="14" fillId="0" borderId="46" xfId="0" applyNumberFormat="1" applyFont="1" applyBorder="1" applyAlignment="1">
      <alignment wrapText="1"/>
    </xf>
    <xf numFmtId="43" fontId="14" fillId="0" borderId="1" xfId="0" applyNumberFormat="1" applyFont="1" applyBorder="1" applyAlignment="1">
      <alignment wrapText="1"/>
    </xf>
    <xf numFmtId="43" fontId="14" fillId="0" borderId="10" xfId="0" applyNumberFormat="1" applyFont="1" applyBorder="1" applyAlignment="1">
      <alignment wrapText="1"/>
    </xf>
    <xf numFmtId="43" fontId="14" fillId="0" borderId="0" xfId="0" applyNumberFormat="1" applyFont="1" applyFill="1" applyBorder="1" applyAlignment="1">
      <alignment wrapText="1"/>
    </xf>
    <xf numFmtId="43" fontId="14" fillId="0" borderId="11" xfId="0" applyNumberFormat="1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43" fontId="13" fillId="0" borderId="46" xfId="0" applyNumberFormat="1" applyFont="1" applyBorder="1" applyAlignment="1">
      <alignment wrapText="1"/>
    </xf>
    <xf numFmtId="43" fontId="13" fillId="0" borderId="1" xfId="0" applyNumberFormat="1" applyFont="1" applyBorder="1" applyAlignment="1">
      <alignment wrapText="1"/>
    </xf>
    <xf numFmtId="43" fontId="13" fillId="0" borderId="10" xfId="0" applyNumberFormat="1" applyFont="1" applyBorder="1" applyAlignment="1">
      <alignment wrapText="1"/>
    </xf>
    <xf numFmtId="43" fontId="13" fillId="0" borderId="9" xfId="0" applyNumberFormat="1" applyFont="1" applyBorder="1" applyAlignment="1">
      <alignment wrapText="1"/>
    </xf>
    <xf numFmtId="43" fontId="13" fillId="0" borderId="11" xfId="0" applyNumberFormat="1" applyFont="1" applyBorder="1" applyAlignment="1">
      <alignment wrapText="1"/>
    </xf>
    <xf numFmtId="43" fontId="13" fillId="0" borderId="0" xfId="0" applyNumberFormat="1" applyFont="1" applyAlignment="1">
      <alignment wrapText="1"/>
    </xf>
    <xf numFmtId="0" fontId="26" fillId="0" borderId="0" xfId="0" applyFont="1"/>
    <xf numFmtId="43" fontId="13" fillId="0" borderId="18" xfId="44" applyFont="1" applyBorder="1"/>
    <xf numFmtId="0" fontId="13" fillId="0" borderId="9" xfId="0" applyFont="1" applyBorder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/>
    <xf numFmtId="0" fontId="14" fillId="0" borderId="12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3" fontId="13" fillId="0" borderId="0" xfId="44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43" fontId="13" fillId="0" borderId="0" xfId="0" applyNumberFormat="1" applyFont="1" applyBorder="1" applyAlignment="1">
      <alignment wrapText="1"/>
    </xf>
    <xf numFmtId="0" fontId="13" fillId="0" borderId="46" xfId="0" applyFont="1" applyBorder="1" applyAlignment="1">
      <alignment horizontal="center" vertical="center"/>
    </xf>
    <xf numFmtId="43" fontId="13" fillId="0" borderId="36" xfId="44" applyFont="1" applyBorder="1"/>
    <xf numFmtId="43" fontId="13" fillId="0" borderId="42" xfId="44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8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34" xfId="0" applyFont="1" applyFill="1" applyBorder="1"/>
    <xf numFmtId="0" fontId="5" fillId="2" borderId="28" xfId="0" applyFont="1" applyFill="1" applyBorder="1"/>
    <xf numFmtId="0" fontId="5" fillId="2" borderId="32" xfId="0" applyFont="1" applyFill="1" applyBorder="1"/>
    <xf numFmtId="0" fontId="5" fillId="2" borderId="11" xfId="0" applyFont="1" applyFill="1" applyBorder="1" applyAlignment="1">
      <alignment horizontal="center"/>
    </xf>
    <xf numFmtId="43" fontId="5" fillId="2" borderId="1" xfId="1" applyFont="1" applyFill="1" applyBorder="1"/>
    <xf numFmtId="43" fontId="5" fillId="2" borderId="3" xfId="1" applyFont="1" applyFill="1" applyBorder="1"/>
    <xf numFmtId="43" fontId="5" fillId="2" borderId="20" xfId="0" applyNumberFormat="1" applyFont="1" applyFill="1" applyBorder="1"/>
    <xf numFmtId="43" fontId="5" fillId="2" borderId="2" xfId="1" applyFont="1" applyFill="1" applyBorder="1"/>
    <xf numFmtId="43" fontId="5" fillId="2" borderId="16" xfId="0" applyNumberFormat="1" applyFont="1" applyFill="1" applyBorder="1"/>
    <xf numFmtId="43" fontId="5" fillId="2" borderId="5" xfId="0" applyNumberFormat="1" applyFont="1" applyFill="1" applyBorder="1"/>
    <xf numFmtId="43" fontId="5" fillId="2" borderId="43" xfId="0" applyNumberFormat="1" applyFont="1" applyFill="1" applyBorder="1"/>
    <xf numFmtId="0" fontId="8" fillId="2" borderId="32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5" fillId="2" borderId="20" xfId="0" applyFont="1" applyFill="1" applyBorder="1"/>
    <xf numFmtId="43" fontId="5" fillId="2" borderId="6" xfId="1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39" xfId="0" applyFont="1" applyFill="1" applyBorder="1"/>
    <xf numFmtId="0" fontId="5" fillId="2" borderId="47" xfId="0" applyFont="1" applyFill="1" applyBorder="1" applyAlignment="1">
      <alignment horizontal="center"/>
    </xf>
    <xf numFmtId="43" fontId="5" fillId="2" borderId="22" xfId="1" applyFont="1" applyFill="1" applyBorder="1"/>
    <xf numFmtId="0" fontId="5" fillId="2" borderId="38" xfId="0" applyFont="1" applyFill="1" applyBorder="1"/>
    <xf numFmtId="0" fontId="5" fillId="2" borderId="33" xfId="0" applyFont="1" applyFill="1" applyBorder="1" applyAlignment="1">
      <alignment horizontal="center"/>
    </xf>
    <xf numFmtId="43" fontId="5" fillId="2" borderId="11" xfId="1" applyFont="1" applyFill="1" applyBorder="1"/>
    <xf numFmtId="43" fontId="5" fillId="2" borderId="8" xfId="1" applyFont="1" applyFill="1" applyBorder="1"/>
    <xf numFmtId="0" fontId="5" fillId="2" borderId="29" xfId="0" applyFont="1" applyFill="1" applyBorder="1"/>
    <xf numFmtId="43" fontId="5" fillId="2" borderId="18" xfId="1" applyFont="1" applyFill="1" applyBorder="1"/>
    <xf numFmtId="43" fontId="5" fillId="2" borderId="37" xfId="1" applyFont="1" applyFill="1" applyBorder="1"/>
    <xf numFmtId="0" fontId="8" fillId="2" borderId="40" xfId="0" applyFont="1" applyFill="1" applyBorder="1"/>
    <xf numFmtId="0" fontId="5" fillId="2" borderId="21" xfId="0" applyFont="1" applyFill="1" applyBorder="1" applyAlignment="1">
      <alignment horizontal="center"/>
    </xf>
    <xf numFmtId="43" fontId="5" fillId="2" borderId="21" xfId="1" applyFont="1" applyFill="1" applyBorder="1"/>
    <xf numFmtId="43" fontId="5" fillId="2" borderId="24" xfId="1" applyFont="1" applyFill="1" applyBorder="1"/>
    <xf numFmtId="43" fontId="5" fillId="2" borderId="29" xfId="1" applyFont="1" applyFill="1" applyBorder="1"/>
    <xf numFmtId="43" fontId="5" fillId="2" borderId="36" xfId="1" applyFont="1" applyFill="1" applyBorder="1"/>
    <xf numFmtId="0" fontId="5" fillId="2" borderId="19" xfId="0" applyFont="1" applyFill="1" applyBorder="1"/>
    <xf numFmtId="43" fontId="5" fillId="2" borderId="9" xfId="1" applyFont="1" applyFill="1" applyBorder="1"/>
    <xf numFmtId="43" fontId="5" fillId="2" borderId="10" xfId="1" applyFont="1" applyFill="1" applyBorder="1"/>
    <xf numFmtId="43" fontId="5" fillId="2" borderId="26" xfId="1" applyFont="1" applyFill="1" applyBorder="1"/>
    <xf numFmtId="43" fontId="5" fillId="2" borderId="20" xfId="1" applyFont="1" applyFill="1" applyBorder="1"/>
    <xf numFmtId="43" fontId="5" fillId="2" borderId="7" xfId="1" applyFont="1" applyFill="1" applyBorder="1"/>
    <xf numFmtId="43" fontId="5" fillId="2" borderId="27" xfId="1" applyFont="1" applyFill="1" applyBorder="1"/>
    <xf numFmtId="43" fontId="5" fillId="2" borderId="30" xfId="1" applyFont="1" applyFill="1" applyBorder="1"/>
    <xf numFmtId="43" fontId="5" fillId="2" borderId="44" xfId="1" applyFont="1" applyFill="1" applyBorder="1"/>
    <xf numFmtId="43" fontId="5" fillId="2" borderId="31" xfId="1" applyFont="1" applyFill="1" applyBorder="1"/>
    <xf numFmtId="0" fontId="8" fillId="2" borderId="33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43" fontId="5" fillId="2" borderId="28" xfId="1" applyFont="1" applyFill="1" applyBorder="1"/>
    <xf numFmtId="43" fontId="5" fillId="2" borderId="4" xfId="1" applyFont="1" applyFill="1" applyBorder="1"/>
    <xf numFmtId="43" fontId="5" fillId="2" borderId="15" xfId="1" applyFont="1" applyFill="1" applyBorder="1"/>
    <xf numFmtId="43" fontId="5" fillId="2" borderId="2" xfId="0" applyNumberFormat="1" applyFont="1" applyFill="1" applyBorder="1"/>
    <xf numFmtId="43" fontId="5" fillId="2" borderId="9" xfId="0" applyNumberFormat="1" applyFont="1" applyFill="1" applyBorder="1"/>
    <xf numFmtId="43" fontId="5" fillId="2" borderId="10" xfId="0" applyNumberFormat="1" applyFont="1" applyFill="1" applyBorder="1"/>
    <xf numFmtId="43" fontId="5" fillId="2" borderId="26" xfId="0" applyNumberFormat="1" applyFont="1" applyFill="1" applyBorder="1"/>
    <xf numFmtId="0" fontId="5" fillId="2" borderId="41" xfId="0" applyFont="1" applyFill="1" applyBorder="1"/>
    <xf numFmtId="0" fontId="5" fillId="2" borderId="2" xfId="0" applyFont="1" applyFill="1" applyBorder="1" applyAlignment="1">
      <alignment horizontal="center"/>
    </xf>
    <xf numFmtId="43" fontId="5" fillId="2" borderId="5" xfId="1" applyFont="1" applyFill="1" applyBorder="1"/>
    <xf numFmtId="43" fontId="5" fillId="2" borderId="25" xfId="1" applyFont="1" applyFill="1" applyBorder="1"/>
    <xf numFmtId="0" fontId="13" fillId="2" borderId="19" xfId="0" applyFont="1" applyFill="1" applyBorder="1"/>
    <xf numFmtId="0" fontId="13" fillId="2" borderId="0" xfId="0" applyFont="1" applyFill="1" applyBorder="1" applyAlignment="1">
      <alignment horizontal="center"/>
    </xf>
    <xf numFmtId="43" fontId="13" fillId="2" borderId="0" xfId="1" applyFont="1" applyFill="1" applyBorder="1"/>
    <xf numFmtId="43" fontId="15" fillId="2" borderId="0" xfId="1" applyFont="1" applyFill="1" applyBorder="1"/>
    <xf numFmtId="43" fontId="13" fillId="2" borderId="20" xfId="1" applyFont="1" applyFill="1" applyBorder="1"/>
    <xf numFmtId="43" fontId="13" fillId="2" borderId="0" xfId="0" applyNumberFormat="1" applyFont="1" applyFill="1" applyBorder="1"/>
    <xf numFmtId="43" fontId="13" fillId="2" borderId="2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20" xfId="0" applyFont="1" applyFill="1" applyBorder="1"/>
    <xf numFmtId="0" fontId="14" fillId="2" borderId="49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3" fontId="5" fillId="2" borderId="47" xfId="1" applyFont="1" applyFill="1" applyBorder="1"/>
    <xf numFmtId="43" fontId="5" fillId="2" borderId="33" xfId="1" applyFont="1" applyFill="1" applyBorder="1"/>
    <xf numFmtId="43" fontId="5" fillId="2" borderId="48" xfId="1" applyFont="1" applyFill="1" applyBorder="1"/>
    <xf numFmtId="0" fontId="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/>
    <xf numFmtId="43" fontId="5" fillId="2" borderId="0" xfId="3" applyFont="1" applyFill="1" applyBorder="1" applyAlignment="1">
      <alignment horizontal="right" vertical="center"/>
    </xf>
    <xf numFmtId="43" fontId="5" fillId="2" borderId="0" xfId="3" applyFont="1" applyFill="1" applyBorder="1" applyAlignment="1" applyProtection="1"/>
    <xf numFmtId="39" fontId="5" fillId="2" borderId="0" xfId="63" applyNumberFormat="1" applyFont="1" applyFill="1" applyBorder="1" applyAlignment="1">
      <alignment horizontal="right" vertical="center"/>
    </xf>
    <xf numFmtId="43" fontId="5" fillId="2" borderId="2" xfId="3" applyFont="1" applyFill="1" applyBorder="1" applyAlignment="1" applyProtection="1"/>
    <xf numFmtId="43" fontId="5" fillId="2" borderId="0" xfId="3" applyFont="1" applyFill="1" applyBorder="1" applyAlignment="1" applyProtection="1">
      <alignment horizontal="left"/>
    </xf>
    <xf numFmtId="43" fontId="5" fillId="2" borderId="0" xfId="3" applyFont="1" applyFill="1" applyBorder="1" applyAlignment="1">
      <alignment horizontal="left" vertical="center"/>
    </xf>
    <xf numFmtId="39" fontId="5" fillId="2" borderId="11" xfId="63" applyNumberFormat="1" applyFont="1" applyFill="1" applyBorder="1" applyAlignment="1">
      <alignment horizontal="right" vertical="center"/>
    </xf>
    <xf numFmtId="43" fontId="5" fillId="0" borderId="0" xfId="3" applyFont="1" applyFill="1" applyBorder="1" applyAlignment="1" applyProtection="1"/>
    <xf numFmtId="0" fontId="15" fillId="2" borderId="0" xfId="0" applyFont="1" applyFill="1" applyBorder="1"/>
    <xf numFmtId="0" fontId="15" fillId="2" borderId="20" xfId="0" applyFont="1" applyFill="1" applyBorder="1"/>
    <xf numFmtId="0" fontId="5" fillId="2" borderId="40" xfId="0" applyFont="1" applyFill="1" applyBorder="1"/>
    <xf numFmtId="0" fontId="5" fillId="2" borderId="47" xfId="0" applyFont="1" applyFill="1" applyBorder="1"/>
    <xf numFmtId="43" fontId="30" fillId="0" borderId="0" xfId="1" applyFont="1" applyBorder="1" applyAlignment="1">
      <alignment horizontal="center"/>
    </xf>
    <xf numFmtId="39" fontId="30" fillId="0" borderId="0" xfId="0" applyNumberFormat="1" applyFont="1" applyBorder="1"/>
    <xf numFmtId="0" fontId="30" fillId="0" borderId="0" xfId="0" applyFont="1" applyBorder="1"/>
    <xf numFmtId="39" fontId="23" fillId="0" borderId="0" xfId="63" applyNumberFormat="1" applyFont="1" applyBorder="1" applyAlignment="1">
      <alignment horizontal="right" vertical="center"/>
    </xf>
    <xf numFmtId="43" fontId="13" fillId="0" borderId="18" xfId="44" applyFont="1" applyBorder="1" applyAlignment="1">
      <alignment wrapText="1"/>
    </xf>
    <xf numFmtId="39" fontId="13" fillId="0" borderId="0" xfId="59" applyNumberFormat="1" applyFont="1" applyFill="1" applyBorder="1" applyAlignment="1" applyProtection="1"/>
    <xf numFmtId="4" fontId="30" fillId="0" borderId="0" xfId="0" applyNumberFormat="1" applyFont="1" applyFill="1" applyBorder="1"/>
    <xf numFmtId="39" fontId="13" fillId="0" borderId="0" xfId="63" applyNumberFormat="1" applyFont="1" applyFill="1" applyBorder="1" applyAlignment="1" applyProtection="1"/>
    <xf numFmtId="4" fontId="13" fillId="0" borderId="0" xfId="0" applyNumberFormat="1" applyFont="1" applyBorder="1"/>
    <xf numFmtId="43" fontId="13" fillId="0" borderId="0" xfId="1" applyFont="1" applyBorder="1"/>
    <xf numFmtId="0" fontId="15" fillId="2" borderId="28" xfId="0" applyFont="1" applyFill="1" applyBorder="1"/>
    <xf numFmtId="43" fontId="13" fillId="0" borderId="45" xfId="1" applyFont="1" applyBorder="1"/>
    <xf numFmtId="43" fontId="13" fillId="0" borderId="0" xfId="44" applyFont="1" applyBorder="1" applyAlignment="1">
      <alignment horizontal="center" vertical="center" wrapText="1"/>
    </xf>
    <xf numFmtId="43" fontId="13" fillId="0" borderId="0" xfId="1" applyFont="1" applyFill="1" applyAlignment="1"/>
    <xf numFmtId="0" fontId="4" fillId="2" borderId="0" xfId="0" applyFont="1" applyFill="1"/>
    <xf numFmtId="43" fontId="4" fillId="3" borderId="0" xfId="1" applyFont="1" applyFill="1"/>
    <xf numFmtId="43" fontId="13" fillId="0" borderId="12" xfId="1" applyFont="1" applyBorder="1"/>
    <xf numFmtId="43" fontId="13" fillId="0" borderId="0" xfId="1" applyFont="1" applyFill="1" applyAlignment="1">
      <alignment horizontal="center"/>
    </xf>
    <xf numFmtId="0" fontId="14" fillId="0" borderId="0" xfId="0" applyFont="1" applyFill="1" applyBorder="1"/>
    <xf numFmtId="0" fontId="13" fillId="0" borderId="7" xfId="0" applyFont="1" applyBorder="1"/>
    <xf numFmtId="43" fontId="13" fillId="0" borderId="7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43" fontId="13" fillId="0" borderId="0" xfId="44" applyFont="1" applyBorder="1" applyAlignment="1">
      <alignment vertical="center" wrapText="1"/>
    </xf>
    <xf numFmtId="43" fontId="13" fillId="0" borderId="0" xfId="1" applyFont="1" applyAlignment="1">
      <alignment horizontal="center" vertical="center"/>
    </xf>
    <xf numFmtId="43" fontId="13" fillId="0" borderId="0" xfId="1" applyFont="1" applyAlignment="1">
      <alignment horizontal="center"/>
    </xf>
    <xf numFmtId="43" fontId="13" fillId="0" borderId="0" xfId="1" applyFont="1" applyFill="1" applyBorder="1" applyAlignment="1" applyProtection="1"/>
    <xf numFmtId="43" fontId="23" fillId="0" borderId="0" xfId="1" applyFont="1" applyFill="1" applyBorder="1" applyAlignment="1" applyProtection="1"/>
    <xf numFmtId="43" fontId="23" fillId="0" borderId="0" xfId="1" applyFont="1" applyBorder="1" applyAlignment="1">
      <alignment horizontal="right" vertical="center"/>
    </xf>
    <xf numFmtId="43" fontId="14" fillId="0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Font="1" applyFill="1"/>
    <xf numFmtId="43" fontId="13" fillId="0" borderId="45" xfId="1" applyFont="1" applyFill="1" applyBorder="1"/>
    <xf numFmtId="43" fontId="30" fillId="0" borderId="0" xfId="1" applyFont="1" applyFill="1" applyBorder="1"/>
    <xf numFmtId="43" fontId="30" fillId="0" borderId="0" xfId="1" applyFont="1" applyBorder="1"/>
    <xf numFmtId="43" fontId="13" fillId="0" borderId="0" xfId="0" applyNumberFormat="1" applyFont="1" applyBorder="1" applyAlignment="1">
      <alignment horizontal="center" vertical="center"/>
    </xf>
    <xf numFmtId="43" fontId="13" fillId="0" borderId="0" xfId="1" applyFont="1" applyBorder="1" applyAlignment="1"/>
    <xf numFmtId="43" fontId="23" fillId="0" borderId="0" xfId="1" applyFont="1" applyBorder="1" applyAlignment="1">
      <alignment vertical="center"/>
    </xf>
    <xf numFmtId="0" fontId="14" fillId="0" borderId="0" xfId="0" applyFont="1" applyBorder="1"/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9"/>
    </xf>
    <xf numFmtId="0" fontId="13" fillId="0" borderId="0" xfId="0" applyFont="1" applyFill="1" applyBorder="1" applyAlignment="1">
      <alignment horizontal="left" indent="2"/>
    </xf>
    <xf numFmtId="43" fontId="13" fillId="0" borderId="0" xfId="1" applyFont="1" applyFill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26" fillId="0" borderId="0" xfId="0" applyFont="1" applyBorder="1"/>
    <xf numFmtId="4" fontId="13" fillId="0" borderId="0" xfId="0" applyNumberFormat="1" applyFont="1" applyFill="1" applyBorder="1" applyAlignment="1"/>
    <xf numFmtId="0" fontId="2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3" fontId="13" fillId="0" borderId="3" xfId="44" applyFont="1" applyBorder="1" applyAlignment="1">
      <alignment wrapText="1"/>
    </xf>
    <xf numFmtId="0" fontId="13" fillId="0" borderId="0" xfId="0" applyFont="1" applyBorder="1" applyAlignment="1">
      <alignment vertical="center"/>
    </xf>
    <xf numFmtId="43" fontId="5" fillId="2" borderId="11" xfId="3" applyFont="1" applyFill="1" applyBorder="1" applyAlignment="1">
      <alignment horizontal="right" vertical="center"/>
    </xf>
    <xf numFmtId="43" fontId="13" fillId="0" borderId="0" xfId="1" applyFont="1" applyAlignment="1">
      <alignment horizontal="right"/>
    </xf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0" applyNumberFormat="1" applyFont="1" applyFill="1"/>
    <xf numFmtId="43" fontId="29" fillId="2" borderId="0" xfId="0" applyNumberFormat="1" applyFont="1" applyFill="1"/>
    <xf numFmtId="0" fontId="25" fillId="2" borderId="0" xfId="0" applyFont="1" applyFill="1"/>
    <xf numFmtId="16" fontId="25" fillId="2" borderId="0" xfId="0" applyNumberFormat="1" applyFont="1" applyFill="1"/>
    <xf numFmtId="43" fontId="0" fillId="2" borderId="0" xfId="0" applyNumberFormat="1" applyFill="1"/>
    <xf numFmtId="16" fontId="0" fillId="2" borderId="0" xfId="0" applyNumberFormat="1" applyFill="1"/>
    <xf numFmtId="4" fontId="0" fillId="2" borderId="0" xfId="0" applyNumberFormat="1" applyFill="1"/>
    <xf numFmtId="43" fontId="0" fillId="2" borderId="45" xfId="0" applyNumberFormat="1" applyFill="1" applyBorder="1"/>
    <xf numFmtId="43" fontId="5" fillId="2" borderId="45" xfId="0" applyNumberFormat="1" applyFont="1" applyFill="1" applyBorder="1"/>
    <xf numFmtId="43" fontId="5" fillId="2" borderId="45" xfId="1" applyFont="1" applyFill="1" applyBorder="1"/>
    <xf numFmtId="43" fontId="0" fillId="2" borderId="45" xfId="1" applyFont="1" applyFill="1" applyBorder="1"/>
    <xf numFmtId="43" fontId="5" fillId="2" borderId="0" xfId="39" applyFont="1" applyFill="1" applyBorder="1"/>
    <xf numFmtId="0" fontId="29" fillId="2" borderId="0" xfId="0" applyFont="1" applyFill="1"/>
    <xf numFmtId="14" fontId="29" fillId="2" borderId="0" xfId="0" applyNumberFormat="1" applyFont="1" applyFill="1"/>
    <xf numFmtId="43" fontId="4" fillId="2" borderId="0" xfId="1" applyFont="1" applyFill="1"/>
    <xf numFmtId="0" fontId="0" fillId="2" borderId="45" xfId="0" applyFill="1" applyBorder="1"/>
    <xf numFmtId="0" fontId="0" fillId="2" borderId="0" xfId="0" applyFill="1" applyBorder="1"/>
    <xf numFmtId="43" fontId="0" fillId="2" borderId="0" xfId="1" applyFont="1" applyFill="1" applyBorder="1"/>
    <xf numFmtId="4" fontId="5" fillId="2" borderId="0" xfId="0" applyNumberFormat="1" applyFont="1" applyFill="1"/>
    <xf numFmtId="43" fontId="4" fillId="2" borderId="0" xfId="1" applyFont="1" applyFill="1" applyAlignment="1">
      <alignment horizontal="right"/>
    </xf>
    <xf numFmtId="4" fontId="4" fillId="2" borderId="0" xfId="0" applyNumberFormat="1" applyFont="1" applyFill="1"/>
    <xf numFmtId="0" fontId="2" fillId="2" borderId="50" xfId="0" applyFont="1" applyFill="1" applyBorder="1"/>
    <xf numFmtId="0" fontId="15" fillId="2" borderId="33" xfId="0" applyFont="1" applyFill="1" applyBorder="1"/>
    <xf numFmtId="0" fontId="2" fillId="2" borderId="19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20" xfId="0" applyFont="1" applyFill="1" applyBorder="1"/>
    <xf numFmtId="43" fontId="5" fillId="2" borderId="49" xfId="1" applyFont="1" applyFill="1" applyBorder="1"/>
    <xf numFmtId="43" fontId="5" fillId="2" borderId="34" xfId="1" applyFont="1" applyFill="1" applyBorder="1"/>
    <xf numFmtId="39" fontId="5" fillId="2" borderId="0" xfId="0" applyNumberFormat="1" applyFont="1" applyFill="1" applyBorder="1" applyAlignment="1">
      <alignment horizontal="right" vertical="center"/>
    </xf>
    <xf numFmtId="0" fontId="5" fillId="2" borderId="50" xfId="0" applyFont="1" applyFill="1" applyBorder="1"/>
    <xf numFmtId="0" fontId="1" fillId="2" borderId="32" xfId="0" applyFont="1" applyFill="1" applyBorder="1"/>
    <xf numFmtId="0" fontId="1" fillId="2" borderId="38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43" fontId="5" fillId="0" borderId="1" xfId="1" applyFont="1" applyFill="1" applyBorder="1"/>
    <xf numFmtId="39" fontId="5" fillId="0" borderId="0" xfId="63" applyNumberFormat="1" applyFont="1" applyFill="1" applyBorder="1" applyAlignment="1">
      <alignment horizontal="right" vertical="center"/>
    </xf>
    <xf numFmtId="43" fontId="5" fillId="0" borderId="20" xfId="1" applyFont="1" applyFill="1" applyBorder="1"/>
    <xf numFmtId="4" fontId="0" fillId="0" borderId="0" xfId="0" applyNumberFormat="1" applyFill="1"/>
    <xf numFmtId="43" fontId="0" fillId="0" borderId="0" xfId="1" applyFont="1" applyFill="1"/>
    <xf numFmtId="0" fontId="0" fillId="0" borderId="0" xfId="0" applyFill="1"/>
    <xf numFmtId="43" fontId="14" fillId="0" borderId="0" xfId="1" applyFont="1" applyAlignment="1">
      <alignment horizontal="right"/>
    </xf>
    <xf numFmtId="0" fontId="1" fillId="2" borderId="0" xfId="0" applyFont="1" applyFill="1"/>
    <xf numFmtId="43" fontId="13" fillId="0" borderId="0" xfId="44" applyFont="1" applyBorder="1" applyAlignment="1">
      <alignment horizontal="right" wrapText="1"/>
    </xf>
    <xf numFmtId="43" fontId="5" fillId="2" borderId="46" xfId="1" applyFont="1" applyFill="1" applyBorder="1"/>
    <xf numFmtId="43" fontId="1" fillId="2" borderId="0" xfId="0" applyNumberFormat="1" applyFont="1" applyFill="1"/>
    <xf numFmtId="0" fontId="13" fillId="0" borderId="7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43" fontId="13" fillId="0" borderId="51" xfId="44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2" xfId="0" applyFont="1" applyBorder="1"/>
    <xf numFmtId="0" fontId="13" fillId="0" borderId="12" xfId="0" applyFont="1" applyFill="1" applyBorder="1"/>
    <xf numFmtId="43" fontId="1" fillId="0" borderId="3" xfId="1" applyFont="1" applyFill="1" applyBorder="1"/>
    <xf numFmtId="0" fontId="8" fillId="0" borderId="0" xfId="0" applyFont="1" applyFill="1" applyBorder="1" applyAlignment="1">
      <alignment horizontal="left"/>
    </xf>
    <xf numFmtId="4" fontId="13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3" fontId="5" fillId="3" borderId="1" xfId="1" applyFont="1" applyFill="1" applyBorder="1"/>
    <xf numFmtId="43" fontId="5" fillId="3" borderId="2" xfId="1" applyFont="1" applyFill="1" applyBorder="1"/>
    <xf numFmtId="0" fontId="1" fillId="2" borderId="4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3" fontId="5" fillId="3" borderId="22" xfId="1" applyFont="1" applyFill="1" applyBorder="1"/>
    <xf numFmtId="43" fontId="5" fillId="3" borderId="24" xfId="1" quotePrefix="1" applyFont="1" applyFill="1" applyBorder="1" applyAlignment="1">
      <alignment horizontal="center"/>
    </xf>
    <xf numFmtId="43" fontId="5" fillId="3" borderId="1" xfId="1" quotePrefix="1" applyFont="1" applyFill="1" applyBorder="1" applyAlignment="1">
      <alignment horizontal="center"/>
    </xf>
    <xf numFmtId="43" fontId="5" fillId="3" borderId="1" xfId="0" applyNumberFormat="1" applyFont="1" applyFill="1" applyBorder="1"/>
    <xf numFmtId="43" fontId="5" fillId="3" borderId="0" xfId="1" applyFont="1" applyFill="1" applyBorder="1"/>
    <xf numFmtId="0" fontId="1" fillId="2" borderId="23" xfId="0" applyFont="1" applyFill="1" applyBorder="1" applyAlignment="1">
      <alignment horizontal="center"/>
    </xf>
    <xf numFmtId="43" fontId="5" fillId="3" borderId="24" xfId="1" applyFont="1" applyFill="1" applyBorder="1"/>
    <xf numFmtId="43" fontId="5" fillId="3" borderId="9" xfId="1" applyFont="1" applyFill="1" applyBorder="1"/>
    <xf numFmtId="43" fontId="5" fillId="3" borderId="11" xfId="1" applyFont="1" applyFill="1" applyBorder="1"/>
    <xf numFmtId="0" fontId="1" fillId="0" borderId="32" xfId="0" applyFont="1" applyFill="1" applyBorder="1"/>
    <xf numFmtId="43" fontId="5" fillId="3" borderId="3" xfId="1" applyFont="1" applyFill="1" applyBorder="1"/>
    <xf numFmtId="43" fontId="5" fillId="3" borderId="17" xfId="1" applyFont="1" applyFill="1" applyBorder="1"/>
    <xf numFmtId="16" fontId="8" fillId="2" borderId="32" xfId="0" applyNumberFormat="1" applyFont="1" applyFill="1" applyBorder="1"/>
    <xf numFmtId="43" fontId="5" fillId="0" borderId="2" xfId="1" applyFont="1" applyFill="1" applyBorder="1"/>
    <xf numFmtId="43" fontId="5" fillId="0" borderId="0" xfId="1" applyFont="1" applyFill="1" applyBorder="1"/>
    <xf numFmtId="43" fontId="5" fillId="0" borderId="24" xfId="1" applyFont="1" applyFill="1" applyBorder="1"/>
    <xf numFmtId="43" fontId="5" fillId="0" borderId="9" xfId="1" applyFont="1" applyFill="1" applyBorder="1"/>
    <xf numFmtId="43" fontId="5" fillId="0" borderId="11" xfId="1" applyFont="1" applyFill="1" applyBorder="1"/>
    <xf numFmtId="43" fontId="5" fillId="0" borderId="30" xfId="1" applyFont="1" applyFill="1" applyBorder="1"/>
    <xf numFmtId="43" fontId="5" fillId="0" borderId="33" xfId="1" applyFont="1" applyFill="1" applyBorder="1"/>
    <xf numFmtId="43" fontId="5" fillId="0" borderId="47" xfId="1" applyFont="1" applyFill="1" applyBorder="1"/>
    <xf numFmtId="0" fontId="8" fillId="0" borderId="33" xfId="0" applyFont="1" applyFill="1" applyBorder="1"/>
    <xf numFmtId="43" fontId="5" fillId="0" borderId="3" xfId="1" applyFont="1" applyFill="1" applyBorder="1"/>
    <xf numFmtId="43" fontId="5" fillId="0" borderId="15" xfId="1" applyFont="1" applyFill="1" applyBorder="1"/>
    <xf numFmtId="43" fontId="5" fillId="0" borderId="2" xfId="0" applyNumberFormat="1" applyFont="1" applyFill="1" applyBorder="1"/>
    <xf numFmtId="43" fontId="5" fillId="0" borderId="8" xfId="1" applyFont="1" applyFill="1" applyBorder="1"/>
    <xf numFmtId="0" fontId="5" fillId="0" borderId="0" xfId="0" applyFont="1" applyFill="1" applyBorder="1"/>
    <xf numFmtId="0" fontId="5" fillId="0" borderId="47" xfId="0" applyFont="1" applyFill="1" applyBorder="1"/>
    <xf numFmtId="0" fontId="15" fillId="0" borderId="0" xfId="0" applyFont="1" applyFill="1"/>
    <xf numFmtId="0" fontId="15" fillId="0" borderId="0" xfId="0" applyFont="1" applyFill="1" applyBorder="1"/>
    <xf numFmtId="43" fontId="29" fillId="0" borderId="1" xfId="1" applyFont="1" applyFill="1" applyBorder="1"/>
    <xf numFmtId="43" fontId="29" fillId="0" borderId="17" xfId="1" applyFont="1" applyFill="1" applyBorder="1"/>
    <xf numFmtId="0" fontId="13" fillId="0" borderId="1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15" fillId="0" borderId="33" xfId="0" applyFont="1" applyFill="1" applyBorder="1"/>
    <xf numFmtId="0" fontId="8" fillId="0" borderId="3" xfId="0" applyFont="1" applyFill="1" applyBorder="1" applyAlignment="1">
      <alignment horizontal="center"/>
    </xf>
    <xf numFmtId="0" fontId="5" fillId="0" borderId="34" xfId="0" applyFont="1" applyFill="1" applyBorder="1"/>
    <xf numFmtId="43" fontId="29" fillId="0" borderId="3" xfId="1" applyFont="1" applyFill="1" applyBorder="1"/>
    <xf numFmtId="43" fontId="5" fillId="0" borderId="16" xfId="0" applyNumberFormat="1" applyFont="1" applyFill="1" applyBorder="1"/>
    <xf numFmtId="0" fontId="5" fillId="0" borderId="1" xfId="0" applyFont="1" applyFill="1" applyBorder="1"/>
    <xf numFmtId="43" fontId="5" fillId="0" borderId="6" xfId="1" applyFont="1" applyFill="1" applyBorder="1"/>
    <xf numFmtId="43" fontId="5" fillId="0" borderId="18" xfId="1" applyFont="1" applyFill="1" applyBorder="1"/>
    <xf numFmtId="43" fontId="5" fillId="0" borderId="22" xfId="1" applyFont="1" applyFill="1" applyBorder="1"/>
    <xf numFmtId="43" fontId="5" fillId="0" borderId="10" xfId="1" applyFont="1" applyFill="1" applyBorder="1"/>
    <xf numFmtId="43" fontId="5" fillId="0" borderId="11" xfId="3" applyFont="1" applyFill="1" applyBorder="1" applyAlignment="1">
      <alignment horizontal="right" vertical="center"/>
    </xf>
    <xf numFmtId="43" fontId="5" fillId="0" borderId="0" xfId="3" applyFont="1" applyFill="1" applyBorder="1" applyAlignment="1">
      <alignment horizontal="right" vertical="center"/>
    </xf>
    <xf numFmtId="43" fontId="29" fillId="0" borderId="0" xfId="3" applyFont="1" applyFill="1" applyBorder="1" applyAlignment="1" applyProtection="1"/>
    <xf numFmtId="43" fontId="5" fillId="0" borderId="2" xfId="3" applyFont="1" applyFill="1" applyBorder="1" applyAlignment="1" applyProtection="1"/>
    <xf numFmtId="43" fontId="5" fillId="0" borderId="0" xfId="3" applyFont="1" applyFill="1" applyBorder="1" applyAlignment="1" applyProtection="1">
      <alignment horizontal="left"/>
    </xf>
    <xf numFmtId="43" fontId="5" fillId="0" borderId="0" xfId="3" applyFont="1" applyFill="1" applyBorder="1" applyAlignment="1">
      <alignment horizontal="left" vertical="center"/>
    </xf>
    <xf numFmtId="43" fontId="5" fillId="0" borderId="44" xfId="1" applyFont="1" applyFill="1" applyBorder="1"/>
    <xf numFmtId="0" fontId="8" fillId="0" borderId="23" xfId="0" applyFont="1" applyFill="1" applyBorder="1"/>
    <xf numFmtId="39" fontId="5" fillId="0" borderId="11" xfId="63" applyNumberFormat="1" applyFont="1" applyFill="1" applyBorder="1" applyAlignment="1">
      <alignment horizontal="right" vertical="center"/>
    </xf>
    <xf numFmtId="43" fontId="29" fillId="0" borderId="11" xfId="1" applyFont="1" applyFill="1" applyBorder="1"/>
    <xf numFmtId="43" fontId="29" fillId="0" borderId="0" xfId="1" applyFont="1" applyFill="1" applyBorder="1"/>
    <xf numFmtId="39" fontId="5" fillId="0" borderId="0" xfId="0" applyNumberFormat="1" applyFont="1" applyFill="1" applyBorder="1" applyAlignment="1">
      <alignment horizontal="right" vertical="center"/>
    </xf>
    <xf numFmtId="43" fontId="5" fillId="0" borderId="9" xfId="0" applyNumberFormat="1" applyFont="1" applyFill="1" applyBorder="1"/>
    <xf numFmtId="43" fontId="15" fillId="0" borderId="0" xfId="1" applyFont="1" applyFill="1" applyBorder="1"/>
    <xf numFmtId="0" fontId="5" fillId="0" borderId="0" xfId="0" applyFont="1" applyFill="1" applyBorder="1" applyAlignment="1">
      <alignment horizontal="center"/>
    </xf>
    <xf numFmtId="43" fontId="13" fillId="0" borderId="18" xfId="44" applyFont="1" applyBorder="1" applyAlignment="1">
      <alignment vertical="center" wrapText="1"/>
    </xf>
    <xf numFmtId="43" fontId="13" fillId="0" borderId="18" xfId="44" applyFont="1" applyBorder="1" applyAlignment="1">
      <alignment vertical="center"/>
    </xf>
    <xf numFmtId="43" fontId="13" fillId="0" borderId="3" xfId="44" applyFont="1" applyBorder="1" applyAlignment="1">
      <alignment vertical="center"/>
    </xf>
    <xf numFmtId="43" fontId="13" fillId="0" borderId="9" xfId="44" applyFont="1" applyBorder="1" applyAlignment="1">
      <alignment vertical="center" wrapText="1"/>
    </xf>
    <xf numFmtId="43" fontId="5" fillId="2" borderId="44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5" fillId="2" borderId="27" xfId="0" applyNumberFormat="1" applyFont="1" applyFill="1" applyBorder="1"/>
    <xf numFmtId="43" fontId="5" fillId="0" borderId="46" xfId="1" applyFont="1" applyFill="1" applyBorder="1"/>
    <xf numFmtId="0" fontId="1" fillId="2" borderId="38" xfId="0" applyFont="1" applyFill="1" applyBorder="1"/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29" fillId="0" borderId="2" xfId="1" applyFont="1" applyFill="1" applyBorder="1"/>
    <xf numFmtId="43" fontId="0" fillId="4" borderId="0" xfId="1" applyFont="1" applyFill="1"/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3" fontId="1" fillId="2" borderId="0" xfId="1" applyFont="1" applyFill="1"/>
    <xf numFmtId="0" fontId="1" fillId="5" borderId="0" xfId="0" applyFont="1" applyFill="1"/>
    <xf numFmtId="43" fontId="0" fillId="5" borderId="0" xfId="1" applyFont="1" applyFill="1"/>
    <xf numFmtId="43" fontId="5" fillId="5" borderId="0" xfId="0" applyNumberFormat="1" applyFont="1" applyFill="1"/>
    <xf numFmtId="43" fontId="25" fillId="2" borderId="0" xfId="1" applyFont="1" applyFill="1"/>
    <xf numFmtId="43" fontId="29" fillId="2" borderId="0" xfId="1" applyFont="1" applyFill="1"/>
    <xf numFmtId="43" fontId="0" fillId="6" borderId="0" xfId="0" applyNumberFormat="1" applyFill="1"/>
    <xf numFmtId="43" fontId="4" fillId="0" borderId="0" xfId="1" applyFont="1" applyFill="1"/>
    <xf numFmtId="43" fontId="33" fillId="2" borderId="0" xfId="0" applyNumberFormat="1" applyFont="1" applyFill="1"/>
    <xf numFmtId="43" fontId="33" fillId="6" borderId="0" xfId="0" applyNumberFormat="1" applyFont="1" applyFill="1"/>
    <xf numFmtId="43" fontId="4" fillId="2" borderId="0" xfId="1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1" fillId="0" borderId="0" xfId="3" applyFont="1" applyFill="1" applyBorder="1" applyAlignment="1" applyProtection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29" fillId="0" borderId="0" xfId="11" applyFont="1" applyFill="1" applyBorder="1"/>
    <xf numFmtId="43" fontId="34" fillId="0" borderId="1" xfId="3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3" fontId="13" fillId="0" borderId="9" xfId="44" applyFont="1" applyBorder="1" applyAlignment="1"/>
    <xf numFmtId="43" fontId="5" fillId="3" borderId="0" xfId="0" applyNumberFormat="1" applyFont="1" applyFill="1"/>
    <xf numFmtId="43" fontId="35" fillId="2" borderId="0" xfId="0" applyNumberFormat="1" applyFont="1" applyFill="1"/>
    <xf numFmtId="43" fontId="5" fillId="0" borderId="52" xfId="1" applyFont="1" applyFill="1" applyBorder="1"/>
    <xf numFmtId="43" fontId="5" fillId="2" borderId="52" xfId="1" applyFont="1" applyFill="1" applyBorder="1"/>
    <xf numFmtId="0" fontId="5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9" fontId="5" fillId="0" borderId="47" xfId="63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0" borderId="46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3" fontId="13" fillId="0" borderId="18" xfId="44" applyFont="1" applyBorder="1" applyAlignment="1">
      <alignment horizontal="center" vertical="center"/>
    </xf>
    <xf numFmtId="43" fontId="13" fillId="0" borderId="2" xfId="44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wrapText="1"/>
    </xf>
    <xf numFmtId="43" fontId="13" fillId="0" borderId="36" xfId="44" applyFont="1" applyBorder="1" applyAlignment="1">
      <alignment horizontal="center" vertical="center"/>
    </xf>
    <xf numFmtId="43" fontId="13" fillId="0" borderId="42" xfId="44" applyFont="1" applyBorder="1" applyAlignment="1">
      <alignment horizontal="center" vertical="center"/>
    </xf>
    <xf numFmtId="43" fontId="13" fillId="0" borderId="0" xfId="44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5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43" fontId="13" fillId="0" borderId="9" xfId="44" applyFont="1" applyBorder="1" applyAlignment="1">
      <alignment horizontal="center" vertical="center" wrapText="1"/>
    </xf>
    <xf numFmtId="43" fontId="13" fillId="0" borderId="0" xfId="1" applyFont="1" applyAlignment="1">
      <alignment horizontal="center"/>
    </xf>
  </cellXfs>
  <cellStyles count="124">
    <cellStyle name="Comma" xfId="1" builtinId="3"/>
    <cellStyle name="Comma 2" xfId="2"/>
    <cellStyle name="Comma 2 2" xfId="3"/>
    <cellStyle name="Comma 2 2 2" xfId="4"/>
    <cellStyle name="Comma 2 2 2 2" xfId="5"/>
    <cellStyle name="Comma 2 2 2 3" xfId="6"/>
    <cellStyle name="Comma 2 2 2 3 2" xfId="7"/>
    <cellStyle name="Comma 2 2 2 3 3" xfId="8"/>
    <cellStyle name="Comma 2 2 2 3 3 2" xfId="9"/>
    <cellStyle name="Comma 2 2 3" xfId="10"/>
    <cellStyle name="Comma 2 2 4" xfId="11"/>
    <cellStyle name="Comma 2 2 5" xfId="12"/>
    <cellStyle name="Comma 2 2 6" xfId="13"/>
    <cellStyle name="Comma 2 3" xfId="14"/>
    <cellStyle name="Comma 2 3 2" xfId="15"/>
    <cellStyle name="Comma 2 3 3" xfId="16"/>
    <cellStyle name="Comma 2 3 4" xfId="17"/>
    <cellStyle name="Comma 2 4" xfId="18"/>
    <cellStyle name="Comma 2 5" xfId="19"/>
    <cellStyle name="Comma 2 6" xfId="20"/>
    <cellStyle name="Comma 3" xfId="21"/>
    <cellStyle name="Comma 3 2" xfId="22"/>
    <cellStyle name="Comma 3 2 2" xfId="23"/>
    <cellStyle name="Comma 3 2 3" xfId="24"/>
    <cellStyle name="Comma 3 2 3 2" xfId="25"/>
    <cellStyle name="Comma 3 2 3 3" xfId="26"/>
    <cellStyle name="Comma 3 2 3 3 2" xfId="27"/>
    <cellStyle name="Comma 3 3" xfId="28"/>
    <cellStyle name="Comma 3 3 2" xfId="29"/>
    <cellStyle name="Comma 3 3 2 2" xfId="30"/>
    <cellStyle name="Comma 3 3 3" xfId="31"/>
    <cellStyle name="Comma 3 4" xfId="32"/>
    <cellStyle name="Comma 3 5" xfId="33"/>
    <cellStyle name="Comma 4" xfId="34"/>
    <cellStyle name="Comma 4 2" xfId="35"/>
    <cellStyle name="Comma 4 2 2" xfId="36"/>
    <cellStyle name="Comma 4 2 3" xfId="37"/>
    <cellStyle name="Comma 4 3" xfId="38"/>
    <cellStyle name="Comma 4 4" xfId="39"/>
    <cellStyle name="Comma 4 4 2" xfId="40"/>
    <cellStyle name="Comma 4 4 3" xfId="41"/>
    <cellStyle name="Comma 4 4 3 2" xfId="42"/>
    <cellStyle name="Comma 4 5" xfId="43"/>
    <cellStyle name="Comma 5" xfId="44"/>
    <cellStyle name="Comma 5 2" xfId="45"/>
    <cellStyle name="Comma 6" xfId="46"/>
    <cellStyle name="Comma 7" xfId="47"/>
    <cellStyle name="Comma 7 2" xfId="48"/>
    <cellStyle name="Comma 7 2 2" xfId="49"/>
    <cellStyle name="Comma 7 2 3" xfId="50"/>
    <cellStyle name="Comma 7 3" xfId="51"/>
    <cellStyle name="Comma 7 3 2" xfId="52"/>
    <cellStyle name="Comma 7 3 3" xfId="53"/>
    <cellStyle name="Comma 7 4" xfId="54"/>
    <cellStyle name="Comma 7 5" xfId="55"/>
    <cellStyle name="Comma 8" xfId="56"/>
    <cellStyle name="Comma 9" xfId="57"/>
    <cellStyle name="Comma 9 2" xfId="58"/>
    <cellStyle name="Normal" xfId="0" builtinId="0"/>
    <cellStyle name="Normal 2" xfId="59"/>
    <cellStyle name="Normal 2 2" xfId="60"/>
    <cellStyle name="Normal 2 2 2" xfId="61"/>
    <cellStyle name="Normal 2 2 3" xfId="62"/>
    <cellStyle name="Normal 2 3" xfId="63"/>
    <cellStyle name="Normal 2 3 2" xfId="64"/>
    <cellStyle name="Normal 2 3 2 2" xfId="65"/>
    <cellStyle name="Normal 2 3 3" xfId="66"/>
    <cellStyle name="Normal 2 3 4" xfId="67"/>
    <cellStyle name="Normal 2 4" xfId="68"/>
    <cellStyle name="Normal 2 5" xfId="69"/>
    <cellStyle name="Normal 2 5 2" xfId="70"/>
    <cellStyle name="Normal 2 6" xfId="71"/>
    <cellStyle name="Normal 2 7" xfId="72"/>
    <cellStyle name="Normal 3" xfId="73"/>
    <cellStyle name="Normal 3 2" xfId="74"/>
    <cellStyle name="Normal 3 3" xfId="75"/>
    <cellStyle name="Normal 3 4" xfId="76"/>
    <cellStyle name="Normal 4" xfId="77"/>
    <cellStyle name="Normal 4 2" xfId="78"/>
    <cellStyle name="Normal 4 2 2" xfId="79"/>
    <cellStyle name="Normal 4 2 3" xfId="80"/>
    <cellStyle name="Normal 4 3" xfId="81"/>
    <cellStyle name="Normal 4 4" xfId="82"/>
    <cellStyle name="Normal 4 4 2" xfId="83"/>
    <cellStyle name="Normal 4 4 3" xfId="84"/>
    <cellStyle name="Normal 4 4 3 2" xfId="85"/>
    <cellStyle name="Normal 4 5" xfId="86"/>
    <cellStyle name="Normal 5" xfId="87"/>
    <cellStyle name="Normal 5 2" xfId="88"/>
    <cellStyle name="Normal 6" xfId="89"/>
    <cellStyle name="Normal 6 2" xfId="90"/>
    <cellStyle name="Percent 2" xfId="91"/>
    <cellStyle name="Percent 2 2" xfId="92"/>
    <cellStyle name="Percent 2 2 2" xfId="93"/>
    <cellStyle name="Percent 2 2 3" xfId="94"/>
    <cellStyle name="Percent 2 2 4" xfId="95"/>
    <cellStyle name="Percent 2 3" xfId="96"/>
    <cellStyle name="Percent 2 3 2" xfId="97"/>
    <cellStyle name="Percent 2 3 2 2" xfId="98"/>
    <cellStyle name="Percent 2 3 3" xfId="99"/>
    <cellStyle name="Percent 2 3 4" xfId="100"/>
    <cellStyle name="Percent 2 4" xfId="101"/>
    <cellStyle name="Percent 2 5" xfId="102"/>
    <cellStyle name="Percent 2 5 2" xfId="103"/>
    <cellStyle name="Percent 2 6" xfId="104"/>
    <cellStyle name="Percent 2 7" xfId="105"/>
    <cellStyle name="Percent 3" xfId="106"/>
    <cellStyle name="Percent 3 2" xfId="107"/>
    <cellStyle name="Percent 3 3" xfId="108"/>
    <cellStyle name="Percent 3 4" xfId="109"/>
    <cellStyle name="Percent 4" xfId="110"/>
    <cellStyle name="Percent 4 2" xfId="111"/>
    <cellStyle name="Percent 4 2 2" xfId="112"/>
    <cellStyle name="Percent 4 3" xfId="113"/>
    <cellStyle name="Percent 4 4" xfId="114"/>
    <cellStyle name="Percent 4 4 2" xfId="115"/>
    <cellStyle name="Percent 4 4 3" xfId="116"/>
    <cellStyle name="Percent 4 4 3 2" xfId="117"/>
    <cellStyle name="Percent 5" xfId="118"/>
    <cellStyle name="Percent 5 2" xfId="119"/>
    <cellStyle name="Percent 5 3" xfId="120"/>
    <cellStyle name="Percent 5 3 2" xfId="121"/>
    <cellStyle name="Percent 5 3 3" xfId="122"/>
    <cellStyle name="Percent 6" xfId="12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92"/>
  <sheetViews>
    <sheetView topLeftCell="A203" zoomScale="115" zoomScaleNormal="115" zoomScaleSheetLayoutView="12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212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79" customWidth="1"/>
    <col min="12" max="12" width="9.2851562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04"/>
      <c r="E1" s="304"/>
      <c r="F1" s="236"/>
    </row>
    <row r="2" spans="1:13" ht="9" customHeight="1">
      <c r="A2" s="171"/>
      <c r="B2" s="154"/>
      <c r="C2" s="222"/>
      <c r="D2" s="22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198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222"/>
      <c r="E5" s="222"/>
      <c r="F5" s="223"/>
    </row>
    <row r="6" spans="1:13" ht="13.5" thickBot="1">
      <c r="A6" s="127" t="s">
        <v>26</v>
      </c>
      <c r="B6" s="306"/>
      <c r="C6" s="307"/>
      <c r="D6" s="307"/>
      <c r="E6" s="307"/>
      <c r="F6" s="308"/>
      <c r="H6" s="281" t="s">
        <v>154</v>
      </c>
      <c r="I6" s="211" t="s">
        <v>176</v>
      </c>
    </row>
    <row r="7" spans="1:13">
      <c r="A7" s="459" t="s">
        <v>1</v>
      </c>
      <c r="B7" s="461" t="s">
        <v>110</v>
      </c>
      <c r="C7" s="125" t="s">
        <v>40</v>
      </c>
      <c r="D7" s="125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26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129"/>
      <c r="E9" s="130"/>
      <c r="F9" s="131"/>
    </row>
    <row r="10" spans="1:13">
      <c r="A10" s="132" t="s">
        <v>62</v>
      </c>
      <c r="B10" s="133"/>
      <c r="C10" s="134"/>
      <c r="D10" s="135"/>
      <c r="E10" s="135"/>
      <c r="F10" s="136"/>
    </row>
    <row r="11" spans="1:13">
      <c r="A11" s="137" t="s">
        <v>31</v>
      </c>
      <c r="B11" s="338" t="s">
        <v>197</v>
      </c>
      <c r="C11" s="339">
        <v>2700000</v>
      </c>
      <c r="D11" s="140"/>
      <c r="E11" s="140" t="str">
        <f>IF((D11-C11)&gt;0,D11-C11,"")</f>
        <v/>
      </c>
      <c r="F11" s="175">
        <f>IF((D11-C11)&gt;0,"",D11-C11)</f>
        <v>-2700000</v>
      </c>
      <c r="H11" s="280">
        <v>278794.84000000003</v>
      </c>
      <c r="I11" s="282">
        <f>D11-H11</f>
        <v>-278794.84000000003</v>
      </c>
    </row>
    <row r="12" spans="1:13">
      <c r="A12" s="137" t="s">
        <v>46</v>
      </c>
      <c r="B12" s="338" t="s">
        <v>199</v>
      </c>
      <c r="C12" s="139"/>
      <c r="D12" s="140"/>
      <c r="E12" s="140"/>
      <c r="F12" s="141"/>
      <c r="I12" s="282"/>
    </row>
    <row r="13" spans="1:13">
      <c r="A13" s="137" t="s">
        <v>47</v>
      </c>
      <c r="B13" s="338" t="s">
        <v>200</v>
      </c>
      <c r="C13" s="339">
        <v>170000000</v>
      </c>
      <c r="D13" s="140"/>
      <c r="E13" s="140" t="str">
        <f>IF((D13-C13)&gt;0,D13-C13,"")</f>
        <v/>
      </c>
      <c r="F13" s="175">
        <f>IF((D13-C13)&gt;0,"",D13-C13)</f>
        <v>-170000000</v>
      </c>
      <c r="H13" s="280">
        <v>94003522.459999993</v>
      </c>
      <c r="I13" s="283">
        <f>D13-H13</f>
        <v>-94003522.459999993</v>
      </c>
      <c r="J13" s="284"/>
      <c r="K13" s="285"/>
      <c r="M13" s="286"/>
    </row>
    <row r="14" spans="1:13">
      <c r="A14" s="137" t="s">
        <v>48</v>
      </c>
      <c r="B14" s="338" t="s">
        <v>201</v>
      </c>
      <c r="C14" s="339">
        <v>3000000</v>
      </c>
      <c r="D14" s="140"/>
      <c r="E14" s="140" t="str">
        <f>IF((D14-C14)&gt;0,D14-C14,"")</f>
        <v/>
      </c>
      <c r="F14" s="175">
        <f>IF((D14-C14)&gt;0,"",D14-C14)</f>
        <v>-3000000</v>
      </c>
      <c r="H14" s="280">
        <v>1193229.98</v>
      </c>
      <c r="I14" s="283">
        <f>D14-H14</f>
        <v>-1193229.98</v>
      </c>
    </row>
    <row r="15" spans="1:13">
      <c r="A15" s="137" t="s">
        <v>49</v>
      </c>
      <c r="B15" s="338" t="s">
        <v>202</v>
      </c>
      <c r="C15" s="139"/>
      <c r="D15" s="140"/>
      <c r="E15" s="140"/>
      <c r="F15" s="141"/>
      <c r="I15" s="282"/>
    </row>
    <row r="16" spans="1:13">
      <c r="A16" s="137" t="s">
        <v>50</v>
      </c>
      <c r="B16" s="338" t="s">
        <v>203</v>
      </c>
      <c r="C16" s="339">
        <v>5000000</v>
      </c>
      <c r="D16" s="140"/>
      <c r="E16" s="140" t="str">
        <f t="shared" ref="E16:E23" si="0">IF((D16-C16)&gt;0,D16-C16,"")</f>
        <v/>
      </c>
      <c r="F16" s="175">
        <f t="shared" ref="F16:F23" si="1">IF((D16-C16)&gt;0,"",D16-C16)</f>
        <v>-5000000</v>
      </c>
      <c r="H16" s="280">
        <v>3003346.72</v>
      </c>
      <c r="I16" s="283">
        <f t="shared" ref="I16:I23" si="2">D16-H16</f>
        <v>-3003346.72</v>
      </c>
      <c r="J16" s="284"/>
    </row>
    <row r="17" spans="1:11">
      <c r="A17" s="137" t="s">
        <v>51</v>
      </c>
      <c r="B17" s="338" t="s">
        <v>204</v>
      </c>
      <c r="C17" s="339">
        <v>1500000</v>
      </c>
      <c r="D17" s="140"/>
      <c r="E17" s="140" t="str">
        <f t="shared" si="0"/>
        <v/>
      </c>
      <c r="F17" s="175">
        <f t="shared" si="1"/>
        <v>-1500000</v>
      </c>
      <c r="H17" s="280">
        <v>1112357.98</v>
      </c>
      <c r="I17" s="283">
        <f t="shared" si="2"/>
        <v>-1112357.98</v>
      </c>
      <c r="K17" s="287"/>
    </row>
    <row r="18" spans="1:11">
      <c r="A18" s="313" t="s">
        <v>210</v>
      </c>
      <c r="B18" s="338" t="s">
        <v>205</v>
      </c>
      <c r="C18" s="139"/>
      <c r="D18" s="140"/>
      <c r="E18" s="140" t="str">
        <f t="shared" si="0"/>
        <v/>
      </c>
      <c r="F18" s="175"/>
      <c r="H18" s="280">
        <v>1099340.79</v>
      </c>
      <c r="I18" s="282">
        <f t="shared" si="2"/>
        <v>-1099340.79</v>
      </c>
    </row>
    <row r="19" spans="1:11">
      <c r="A19" s="313" t="s">
        <v>206</v>
      </c>
      <c r="B19" s="338" t="s">
        <v>208</v>
      </c>
      <c r="C19" s="339">
        <v>3300000</v>
      </c>
      <c r="D19" s="140"/>
      <c r="E19" s="140"/>
      <c r="F19" s="175">
        <f t="shared" si="1"/>
        <v>-3300000</v>
      </c>
      <c r="I19" s="282"/>
    </row>
    <row r="20" spans="1:11">
      <c r="A20" s="313" t="s">
        <v>207</v>
      </c>
      <c r="B20" s="338" t="s">
        <v>209</v>
      </c>
      <c r="C20" s="339">
        <f>236250+350000</f>
        <v>586250</v>
      </c>
      <c r="D20" s="140"/>
      <c r="E20" s="140"/>
      <c r="F20" s="175">
        <f t="shared" si="1"/>
        <v>-586250</v>
      </c>
      <c r="I20" s="282"/>
    </row>
    <row r="21" spans="1:11">
      <c r="A21" s="313" t="s">
        <v>211</v>
      </c>
      <c r="B21" s="338" t="s">
        <v>212</v>
      </c>
      <c r="C21" s="339">
        <v>5500000</v>
      </c>
      <c r="D21" s="140"/>
      <c r="E21" s="140" t="str">
        <f t="shared" si="0"/>
        <v/>
      </c>
      <c r="F21" s="175">
        <f t="shared" si="1"/>
        <v>-5500000</v>
      </c>
      <c r="H21" s="280">
        <v>3718890</v>
      </c>
      <c r="I21" s="282">
        <f t="shared" si="2"/>
        <v>-3718890</v>
      </c>
    </row>
    <row r="22" spans="1:11">
      <c r="A22" s="137" t="s">
        <v>32</v>
      </c>
      <c r="B22" s="338" t="s">
        <v>213</v>
      </c>
      <c r="C22" s="339">
        <v>380000</v>
      </c>
      <c r="D22" s="140"/>
      <c r="E22" s="140" t="str">
        <f t="shared" si="0"/>
        <v/>
      </c>
      <c r="F22" s="175">
        <f t="shared" si="1"/>
        <v>-380000</v>
      </c>
      <c r="H22" s="280">
        <v>261750</v>
      </c>
      <c r="I22" s="282">
        <f t="shared" si="2"/>
        <v>-261750</v>
      </c>
    </row>
    <row r="23" spans="1:11">
      <c r="A23" s="313" t="s">
        <v>214</v>
      </c>
      <c r="B23" s="338" t="s">
        <v>215</v>
      </c>
      <c r="C23" s="339">
        <v>6000000</v>
      </c>
      <c r="D23" s="140"/>
      <c r="E23" s="140" t="str">
        <f t="shared" si="0"/>
        <v/>
      </c>
      <c r="F23" s="175">
        <f t="shared" si="1"/>
        <v>-6000000</v>
      </c>
      <c r="H23" s="280">
        <v>505911.07</v>
      </c>
      <c r="I23" s="282">
        <f t="shared" si="2"/>
        <v>-505911.07</v>
      </c>
    </row>
    <row r="24" spans="1:11">
      <c r="A24" s="313" t="s">
        <v>216</v>
      </c>
      <c r="B24" s="338" t="s">
        <v>219</v>
      </c>
      <c r="C24" s="139"/>
      <c r="D24" s="140"/>
      <c r="E24" s="140"/>
      <c r="F24" s="141"/>
      <c r="I24" s="282"/>
    </row>
    <row r="25" spans="1:11">
      <c r="A25" s="313" t="s">
        <v>217</v>
      </c>
      <c r="B25" s="338" t="s">
        <v>220</v>
      </c>
      <c r="C25" s="339">
        <v>45000000</v>
      </c>
      <c r="D25" s="140"/>
      <c r="E25" s="140" t="str">
        <f>IF((D25-C25)&gt;0,D25-C25,"")</f>
        <v/>
      </c>
      <c r="F25" s="175">
        <f>IF((D25-C25)&gt;0,"",D25-C25)</f>
        <v>-45000000</v>
      </c>
      <c r="H25" s="280">
        <v>7409598.4800000004</v>
      </c>
      <c r="I25" s="282">
        <f>D25-H25</f>
        <v>-7409598.4800000004</v>
      </c>
      <c r="J25" s="288">
        <v>2253653.39</v>
      </c>
    </row>
    <row r="26" spans="1:11">
      <c r="A26" s="313" t="s">
        <v>218</v>
      </c>
      <c r="B26" s="338" t="s">
        <v>221</v>
      </c>
      <c r="C26" s="339">
        <v>7500000</v>
      </c>
      <c r="D26" s="140"/>
      <c r="E26" s="140" t="str">
        <f>IF((D26-C26)&gt;0,D26-C26,"")</f>
        <v/>
      </c>
      <c r="F26" s="175">
        <f>IF((D26-C26)&gt;0,"",D26-C26)</f>
        <v>-7500000</v>
      </c>
      <c r="H26" s="280">
        <v>2061409.62</v>
      </c>
      <c r="I26" s="282">
        <f>D26-H26</f>
        <v>-2061409.62</v>
      </c>
      <c r="J26" s="284"/>
    </row>
    <row r="27" spans="1:11">
      <c r="A27" s="313" t="s">
        <v>222</v>
      </c>
      <c r="B27" s="338" t="s">
        <v>223</v>
      </c>
      <c r="C27" s="339">
        <v>200000</v>
      </c>
      <c r="D27" s="140"/>
      <c r="E27" s="140" t="str">
        <f>IF((D27-C27)&gt;0,D27-C27,"")</f>
        <v/>
      </c>
      <c r="F27" s="175">
        <f>IF((D27-C27)&gt;0,"",D27-C27)</f>
        <v>-200000</v>
      </c>
      <c r="H27" s="280">
        <v>14958.47</v>
      </c>
      <c r="I27" s="282">
        <f>D27-H27</f>
        <v>-14958.47</v>
      </c>
    </row>
    <row r="28" spans="1:11">
      <c r="A28" s="137" t="s">
        <v>33</v>
      </c>
      <c r="B28" s="338" t="s">
        <v>224</v>
      </c>
      <c r="C28" s="339">
        <v>1500000</v>
      </c>
      <c r="D28" s="140"/>
      <c r="E28" s="140" t="str">
        <f>IF((D28-C28)&gt;0,D28-C28,"")</f>
        <v/>
      </c>
      <c r="F28" s="175">
        <f>IF((D28-C28)&gt;0,"",D28-C28)</f>
        <v>-1500000</v>
      </c>
      <c r="H28" s="280">
        <v>876361</v>
      </c>
      <c r="I28" s="282">
        <f>D28-H28</f>
        <v>-876361</v>
      </c>
    </row>
    <row r="29" spans="1:11">
      <c r="A29" s="313" t="s">
        <v>190</v>
      </c>
      <c r="B29" s="338" t="s">
        <v>225</v>
      </c>
      <c r="C29" s="339">
        <v>2700000</v>
      </c>
      <c r="D29" s="140"/>
      <c r="E29" s="140" t="str">
        <f>IF((D29-C29)&gt;0,D29-C29,"")</f>
        <v/>
      </c>
      <c r="F29" s="175">
        <f>IF((D29-C29)&gt;0,"",D29-C29)</f>
        <v>-2700000</v>
      </c>
      <c r="I29" s="282">
        <f>D29-H29</f>
        <v>0</v>
      </c>
      <c r="J29" s="284"/>
    </row>
    <row r="30" spans="1:11">
      <c r="A30" s="313" t="s">
        <v>226</v>
      </c>
      <c r="B30" s="138"/>
      <c r="C30" s="139"/>
      <c r="D30" s="140"/>
      <c r="E30" s="140"/>
      <c r="F30" s="141"/>
      <c r="I30" s="282"/>
    </row>
    <row r="31" spans="1:11">
      <c r="A31" s="313" t="s">
        <v>227</v>
      </c>
      <c r="B31" s="338" t="s">
        <v>229</v>
      </c>
      <c r="C31" s="339">
        <v>4000000</v>
      </c>
      <c r="D31" s="140"/>
      <c r="E31" s="140" t="str">
        <f>IF((D31-C31)&gt;0,D31-C31,"")</f>
        <v/>
      </c>
      <c r="F31" s="175">
        <f>IF((D31-C31)&gt;0,"",D31-C31)</f>
        <v>-4000000</v>
      </c>
      <c r="H31" s="280">
        <v>747075.64</v>
      </c>
      <c r="I31" s="282">
        <f>D31-H31</f>
        <v>-747075.64</v>
      </c>
      <c r="J31" s="284"/>
    </row>
    <row r="32" spans="1:11">
      <c r="A32" s="313" t="s">
        <v>228</v>
      </c>
      <c r="B32" s="338" t="s">
        <v>230</v>
      </c>
      <c r="C32" s="340">
        <v>5600000</v>
      </c>
      <c r="D32" s="142"/>
      <c r="E32" s="140" t="str">
        <f>IF((D32-C32)&gt;0,D32-C32,"")</f>
        <v/>
      </c>
      <c r="F32" s="175">
        <f>IF((D32-C32)&gt;0,"",D32-C32)</f>
        <v>-5600000</v>
      </c>
      <c r="H32" s="280">
        <v>1770307.67</v>
      </c>
      <c r="I32" s="282">
        <f>D32-H32</f>
        <v>-1770307.67</v>
      </c>
    </row>
    <row r="33" spans="1:9" ht="13.5" thickBot="1">
      <c r="A33" s="137" t="s">
        <v>34</v>
      </c>
      <c r="B33" s="138"/>
      <c r="C33" s="143">
        <f>SUM(C11:C32)</f>
        <v>264466250</v>
      </c>
      <c r="D33" s="143">
        <f>SUM(D11:D32)</f>
        <v>0</v>
      </c>
      <c r="E33" s="144">
        <f>SUM(E11:E32)</f>
        <v>0</v>
      </c>
      <c r="F33" s="145">
        <f>SUM(F11:F32)</f>
        <v>-264466250</v>
      </c>
      <c r="H33" s="289">
        <f>SUM(H11:H32)</f>
        <v>118056854.72000001</v>
      </c>
      <c r="I33" s="290">
        <f>SUM(I11:I32)</f>
        <v>-118056854.72000001</v>
      </c>
    </row>
    <row r="34" spans="1:9" ht="13.5" thickTop="1">
      <c r="A34" s="146" t="s">
        <v>63</v>
      </c>
      <c r="B34" s="147"/>
      <c r="C34" s="148"/>
      <c r="D34" s="149"/>
      <c r="E34" s="150"/>
      <c r="F34" s="151"/>
      <c r="I34" s="282"/>
    </row>
    <row r="35" spans="1:9">
      <c r="A35" s="137" t="s">
        <v>64</v>
      </c>
      <c r="B35" s="138"/>
      <c r="C35" s="149"/>
      <c r="D35" s="150"/>
      <c r="E35" s="150"/>
      <c r="F35" s="151"/>
      <c r="I35" s="282"/>
    </row>
    <row r="36" spans="1:9">
      <c r="A36" s="137" t="s">
        <v>52</v>
      </c>
      <c r="B36" s="338" t="s">
        <v>231</v>
      </c>
      <c r="C36" s="339">
        <v>200000</v>
      </c>
      <c r="D36" s="140"/>
      <c r="E36" s="140" t="str">
        <f>IF((D36-C36)&gt;0,D36-C36,"")</f>
        <v/>
      </c>
      <c r="F36" s="175">
        <f>IF((D36-C36)&gt;0,"",D36-C36)</f>
        <v>-200000</v>
      </c>
      <c r="H36" s="280">
        <v>445</v>
      </c>
      <c r="I36" s="282">
        <f t="shared" ref="I36:I94" si="3">D36-H36</f>
        <v>-445</v>
      </c>
    </row>
    <row r="37" spans="1:9">
      <c r="A37" s="137" t="s">
        <v>119</v>
      </c>
      <c r="B37" s="338" t="s">
        <v>232</v>
      </c>
      <c r="C37" s="339">
        <v>70000</v>
      </c>
      <c r="D37" s="140"/>
      <c r="E37" s="140" t="str">
        <f>IF((D37-C37)&gt;0,D37-C37,"")</f>
        <v/>
      </c>
      <c r="F37" s="175">
        <f>IF((D37-C37)&gt;0,"",D37-C37)</f>
        <v>-70000</v>
      </c>
      <c r="H37" s="280">
        <v>6690</v>
      </c>
      <c r="I37" s="282">
        <f t="shared" si="3"/>
        <v>-6690</v>
      </c>
    </row>
    <row r="38" spans="1:9">
      <c r="A38" s="137" t="s">
        <v>120</v>
      </c>
      <c r="B38" s="338" t="s">
        <v>233</v>
      </c>
      <c r="C38" s="339">
        <v>30000</v>
      </c>
      <c r="D38" s="140"/>
      <c r="E38" s="140" t="str">
        <f>IF((D38-C38)&gt;0,D38-C38,"")</f>
        <v/>
      </c>
      <c r="F38" s="175">
        <f>IF((D38-C38)&gt;0,"",D38-C38)</f>
        <v>-30000</v>
      </c>
      <c r="H38" s="280">
        <v>45</v>
      </c>
      <c r="I38" s="282">
        <f t="shared" si="3"/>
        <v>-45</v>
      </c>
    </row>
    <row r="39" spans="1:9">
      <c r="A39" s="137" t="s">
        <v>39</v>
      </c>
      <c r="B39" s="338" t="s">
        <v>234</v>
      </c>
      <c r="C39" s="339">
        <v>550000</v>
      </c>
      <c r="D39" s="140"/>
      <c r="E39" s="140" t="str">
        <f>IF((D39-C39)&gt;0,D39-C39,"")</f>
        <v/>
      </c>
      <c r="F39" s="175">
        <f>IF((D39-C39)&gt;0,"",D39-C39)</f>
        <v>-550000</v>
      </c>
      <c r="H39" s="280">
        <v>406652</v>
      </c>
      <c r="I39" s="282">
        <f t="shared" si="3"/>
        <v>-406652</v>
      </c>
    </row>
    <row r="40" spans="1:9">
      <c r="A40" s="137" t="s">
        <v>53</v>
      </c>
      <c r="B40" s="338" t="s">
        <v>236</v>
      </c>
      <c r="C40" s="139"/>
      <c r="D40" s="140"/>
      <c r="E40" s="140"/>
      <c r="F40" s="141"/>
      <c r="I40" s="282"/>
    </row>
    <row r="41" spans="1:9">
      <c r="A41" s="137" t="s">
        <v>65</v>
      </c>
      <c r="B41" s="338" t="s">
        <v>245</v>
      </c>
      <c r="C41" s="339">
        <v>500000</v>
      </c>
      <c r="D41" s="140"/>
      <c r="E41" s="140"/>
      <c r="F41" s="141"/>
      <c r="I41" s="282"/>
    </row>
    <row r="42" spans="1:9">
      <c r="A42" s="137" t="s">
        <v>66</v>
      </c>
      <c r="B42" s="338" t="s">
        <v>246</v>
      </c>
      <c r="C42" s="339">
        <v>5100000</v>
      </c>
      <c r="D42" s="140"/>
      <c r="E42" s="140"/>
      <c r="F42" s="141"/>
      <c r="I42" s="282"/>
    </row>
    <row r="43" spans="1:9">
      <c r="A43" s="137" t="s">
        <v>67</v>
      </c>
      <c r="B43" s="338" t="s">
        <v>247</v>
      </c>
      <c r="C43" s="339">
        <v>100000</v>
      </c>
      <c r="D43" s="140"/>
      <c r="E43" s="140"/>
      <c r="F43" s="141"/>
      <c r="I43" s="282"/>
    </row>
    <row r="44" spans="1:9">
      <c r="A44" s="137" t="s">
        <v>68</v>
      </c>
      <c r="B44" s="338" t="s">
        <v>248</v>
      </c>
      <c r="C44" s="339">
        <v>3200000</v>
      </c>
      <c r="D44" s="140"/>
      <c r="E44" s="140"/>
      <c r="F44" s="141"/>
      <c r="I44" s="282"/>
    </row>
    <row r="45" spans="1:9">
      <c r="A45" s="137" t="s">
        <v>69</v>
      </c>
      <c r="B45" s="338" t="s">
        <v>249</v>
      </c>
      <c r="C45" s="339">
        <v>1200000</v>
      </c>
      <c r="D45" s="140"/>
      <c r="E45" s="140"/>
      <c r="F45" s="141"/>
      <c r="I45" s="282"/>
    </row>
    <row r="46" spans="1:9">
      <c r="A46" s="137" t="s">
        <v>56</v>
      </c>
      <c r="B46" s="338" t="s">
        <v>237</v>
      </c>
      <c r="C46" s="339">
        <v>11000000</v>
      </c>
      <c r="D46" s="140"/>
      <c r="E46" s="140" t="str">
        <f>IF((D46-C46)&gt;0,D46-C46,"")</f>
        <v/>
      </c>
      <c r="F46" s="175">
        <f>IF((D46-C46)&gt;0,"",D46-C46)</f>
        <v>-11000000</v>
      </c>
      <c r="H46" s="280">
        <v>8801334.8000000007</v>
      </c>
      <c r="I46" s="282">
        <f t="shared" si="3"/>
        <v>-8801334.8000000007</v>
      </c>
    </row>
    <row r="47" spans="1:9">
      <c r="A47" s="137" t="s">
        <v>57</v>
      </c>
      <c r="B47" s="338" t="s">
        <v>238</v>
      </c>
      <c r="C47" s="339">
        <v>50000</v>
      </c>
      <c r="D47" s="140"/>
      <c r="E47" s="140" t="str">
        <f>IF((D47-C47)&gt;0,D47-C47,"")</f>
        <v/>
      </c>
      <c r="F47" s="175">
        <f>IF((D47-C47)&gt;0,"",D47-C47)</f>
        <v>-50000</v>
      </c>
      <c r="H47" s="280">
        <v>7900</v>
      </c>
      <c r="I47" s="282">
        <f t="shared" si="3"/>
        <v>-7900</v>
      </c>
    </row>
    <row r="48" spans="1:9">
      <c r="A48" s="137" t="s">
        <v>58</v>
      </c>
      <c r="B48" s="338" t="s">
        <v>239</v>
      </c>
      <c r="C48" s="339">
        <v>180000</v>
      </c>
      <c r="D48" s="140"/>
      <c r="E48" s="140" t="str">
        <f>IF((D48-C48)&gt;0,D48-C48,"")</f>
        <v/>
      </c>
      <c r="F48" s="175">
        <f>IF((D48-C48)&gt;0,"",D48-C48)</f>
        <v>-180000</v>
      </c>
      <c r="H48" s="280">
        <v>172100</v>
      </c>
      <c r="I48" s="282">
        <f t="shared" si="3"/>
        <v>-172100</v>
      </c>
    </row>
    <row r="49" spans="1:9">
      <c r="A49" s="137" t="s">
        <v>54</v>
      </c>
      <c r="B49" s="338" t="s">
        <v>241</v>
      </c>
      <c r="C49" s="139"/>
      <c r="D49" s="140"/>
      <c r="E49" s="140"/>
      <c r="F49" s="141"/>
      <c r="I49" s="282"/>
    </row>
    <row r="50" spans="1:9">
      <c r="A50" s="137" t="s">
        <v>55</v>
      </c>
      <c r="B50" s="338" t="s">
        <v>242</v>
      </c>
      <c r="C50" s="339">
        <v>100000</v>
      </c>
      <c r="D50" s="140"/>
      <c r="E50" s="140" t="str">
        <f>IF((D50-C50)&gt;0,D50-C50,"")</f>
        <v/>
      </c>
      <c r="F50" s="175">
        <f>IF((D50-C50)&gt;0,"",D50-C50)</f>
        <v>-100000</v>
      </c>
      <c r="I50" s="283">
        <f t="shared" si="3"/>
        <v>0</v>
      </c>
    </row>
    <row r="51" spans="1:9">
      <c r="A51" s="137" t="s">
        <v>59</v>
      </c>
      <c r="B51" s="338" t="s">
        <v>243</v>
      </c>
      <c r="C51" s="339">
        <v>50000</v>
      </c>
      <c r="D51" s="140"/>
      <c r="E51" s="140" t="str">
        <f>IF((D51-C51)&gt;0,D51-C51,"")</f>
        <v/>
      </c>
      <c r="F51" s="175">
        <f>IF((D51-C51)&gt;0,"",D51-C51)</f>
        <v>-50000</v>
      </c>
      <c r="H51" s="280">
        <v>2580</v>
      </c>
      <c r="I51" s="282">
        <f t="shared" si="3"/>
        <v>-2580</v>
      </c>
    </row>
    <row r="52" spans="1:9">
      <c r="A52" s="137" t="s">
        <v>60</v>
      </c>
      <c r="B52" s="338" t="s">
        <v>244</v>
      </c>
      <c r="C52" s="339">
        <v>1000000</v>
      </c>
      <c r="D52" s="140"/>
      <c r="E52" s="140" t="str">
        <f>IF((D52-C52)&gt;0,D52-C52,"")</f>
        <v/>
      </c>
      <c r="F52" s="175">
        <f>IF((D52-C52)&gt;0,"",D52-C52)</f>
        <v>-1000000</v>
      </c>
      <c r="H52" s="280">
        <v>113510</v>
      </c>
      <c r="I52" s="282">
        <f t="shared" si="3"/>
        <v>-113510</v>
      </c>
    </row>
    <row r="53" spans="1:9">
      <c r="A53" s="313" t="s">
        <v>85</v>
      </c>
      <c r="B53" s="338" t="s">
        <v>240</v>
      </c>
      <c r="C53" s="139"/>
      <c r="D53" s="140"/>
      <c r="E53" s="140"/>
      <c r="F53" s="141"/>
      <c r="I53" s="282"/>
    </row>
    <row r="54" spans="1:9">
      <c r="A54" s="313" t="s">
        <v>250</v>
      </c>
      <c r="B54" s="338" t="s">
        <v>251</v>
      </c>
      <c r="C54" s="339">
        <v>600000</v>
      </c>
      <c r="D54" s="140"/>
      <c r="E54" s="140" t="str">
        <f t="shared" ref="E54:E78" si="4">IF((D54-C54)&gt;0,D54-C54,"")</f>
        <v/>
      </c>
      <c r="F54" s="175">
        <f t="shared" ref="F54:F78" si="5">IF((D54-C54)&gt;0,"",D54-C54)</f>
        <v>-600000</v>
      </c>
      <c r="H54" s="280">
        <v>24375.200000000001</v>
      </c>
      <c r="I54" s="282">
        <f t="shared" si="3"/>
        <v>-24375.200000000001</v>
      </c>
    </row>
    <row r="55" spans="1:9">
      <c r="A55" s="313" t="s">
        <v>253</v>
      </c>
      <c r="B55" s="338" t="s">
        <v>252</v>
      </c>
      <c r="C55" s="339">
        <v>150000</v>
      </c>
      <c r="D55" s="140"/>
      <c r="E55" s="140" t="str">
        <f t="shared" si="4"/>
        <v/>
      </c>
      <c r="F55" s="175">
        <f t="shared" si="5"/>
        <v>-150000</v>
      </c>
      <c r="H55" s="280">
        <v>307501.15999999997</v>
      </c>
      <c r="I55" s="282">
        <f t="shared" si="3"/>
        <v>-307501.15999999997</v>
      </c>
    </row>
    <row r="56" spans="1:9">
      <c r="A56" s="313" t="s">
        <v>89</v>
      </c>
      <c r="B56" s="338" t="s">
        <v>256</v>
      </c>
      <c r="C56" s="339">
        <v>600000</v>
      </c>
      <c r="D56" s="140"/>
      <c r="E56" s="140" t="str">
        <f t="shared" si="4"/>
        <v/>
      </c>
      <c r="F56" s="175">
        <f t="shared" si="5"/>
        <v>-600000</v>
      </c>
      <c r="I56" s="282"/>
    </row>
    <row r="57" spans="1:9">
      <c r="A57" s="313" t="s">
        <v>172</v>
      </c>
      <c r="B57" s="338" t="s">
        <v>257</v>
      </c>
      <c r="C57" s="339">
        <v>13000000</v>
      </c>
      <c r="D57" s="140"/>
      <c r="E57" s="140" t="str">
        <f t="shared" si="4"/>
        <v/>
      </c>
      <c r="F57" s="175">
        <f t="shared" si="5"/>
        <v>-13000000</v>
      </c>
      <c r="I57" s="282"/>
    </row>
    <row r="58" spans="1:9">
      <c r="A58" s="313" t="s">
        <v>90</v>
      </c>
      <c r="B58" s="338" t="s">
        <v>258</v>
      </c>
      <c r="C58" s="339">
        <v>8000000</v>
      </c>
      <c r="D58" s="140"/>
      <c r="E58" s="140"/>
      <c r="F58" s="175"/>
      <c r="I58" s="282"/>
    </row>
    <row r="59" spans="1:9">
      <c r="A59" s="313" t="s">
        <v>91</v>
      </c>
      <c r="B59" s="338" t="s">
        <v>259</v>
      </c>
      <c r="C59" s="339">
        <v>2500000</v>
      </c>
      <c r="D59" s="140"/>
      <c r="E59" s="140"/>
      <c r="F59" s="175"/>
      <c r="I59" s="282"/>
    </row>
    <row r="60" spans="1:9">
      <c r="A60" s="313" t="s">
        <v>254</v>
      </c>
      <c r="B60" s="338" t="s">
        <v>260</v>
      </c>
      <c r="C60" s="339">
        <v>1600000</v>
      </c>
      <c r="D60" s="140"/>
      <c r="E60" s="140"/>
      <c r="F60" s="175"/>
      <c r="I60" s="282"/>
    </row>
    <row r="61" spans="1:9">
      <c r="A61" s="313" t="s">
        <v>255</v>
      </c>
      <c r="B61" s="338" t="s">
        <v>261</v>
      </c>
      <c r="C61" s="339">
        <v>5500000</v>
      </c>
      <c r="D61" s="140"/>
      <c r="E61" s="140"/>
      <c r="F61" s="175"/>
      <c r="I61" s="282"/>
    </row>
    <row r="62" spans="1:9">
      <c r="A62" s="313" t="s">
        <v>263</v>
      </c>
      <c r="B62" s="338" t="s">
        <v>262</v>
      </c>
      <c r="C62" s="339">
        <v>5500000</v>
      </c>
      <c r="D62" s="140"/>
      <c r="E62" s="140"/>
      <c r="F62" s="175"/>
      <c r="I62" s="282"/>
    </row>
    <row r="63" spans="1:9">
      <c r="A63" s="313" t="s">
        <v>265</v>
      </c>
      <c r="B63" s="338" t="s">
        <v>266</v>
      </c>
      <c r="C63" s="339">
        <v>3500000</v>
      </c>
      <c r="D63" s="140"/>
      <c r="E63" s="140"/>
      <c r="F63" s="175"/>
      <c r="I63" s="282"/>
    </row>
    <row r="64" spans="1:9">
      <c r="A64" s="313" t="s">
        <v>84</v>
      </c>
      <c r="B64" s="338" t="s">
        <v>268</v>
      </c>
      <c r="C64" s="339">
        <v>2700000</v>
      </c>
      <c r="D64" s="140"/>
      <c r="E64" s="140"/>
      <c r="F64" s="175"/>
      <c r="I64" s="282"/>
    </row>
    <row r="65" spans="1:9">
      <c r="A65" s="313" t="s">
        <v>267</v>
      </c>
      <c r="B65" s="338" t="s">
        <v>269</v>
      </c>
      <c r="C65" s="339">
        <v>2000000</v>
      </c>
      <c r="D65" s="140"/>
      <c r="E65" s="140"/>
      <c r="F65" s="175"/>
      <c r="I65" s="282"/>
    </row>
    <row r="66" spans="1:9">
      <c r="A66" s="313" t="s">
        <v>264</v>
      </c>
      <c r="B66" s="338" t="s">
        <v>270</v>
      </c>
      <c r="C66" s="339">
        <v>2000000</v>
      </c>
      <c r="D66" s="140"/>
      <c r="E66" s="140" t="str">
        <f>IF((D66-C66)&gt;0,D66-C66,"")</f>
        <v/>
      </c>
      <c r="F66" s="175">
        <f>IF((D66-C66)&gt;0,"",D66-C66)</f>
        <v>-2000000</v>
      </c>
      <c r="H66" s="280">
        <v>12320.1</v>
      </c>
      <c r="I66" s="282">
        <f>D66-H66</f>
        <v>-12320.1</v>
      </c>
    </row>
    <row r="67" spans="1:9">
      <c r="A67" s="313" t="s">
        <v>86</v>
      </c>
      <c r="B67" s="338" t="s">
        <v>272</v>
      </c>
      <c r="C67" s="339">
        <v>150000</v>
      </c>
      <c r="D67" s="140"/>
      <c r="E67" s="140"/>
      <c r="F67" s="175"/>
      <c r="I67" s="282"/>
    </row>
    <row r="68" spans="1:9">
      <c r="A68" s="313" t="s">
        <v>87</v>
      </c>
      <c r="B68" s="338" t="s">
        <v>273</v>
      </c>
      <c r="C68" s="339">
        <v>450000</v>
      </c>
      <c r="D68" s="140"/>
      <c r="E68" s="140"/>
      <c r="F68" s="175"/>
      <c r="I68" s="282"/>
    </row>
    <row r="69" spans="1:9">
      <c r="A69" s="313" t="s">
        <v>88</v>
      </c>
      <c r="B69" s="338" t="s">
        <v>274</v>
      </c>
      <c r="C69" s="339">
        <v>2000000</v>
      </c>
      <c r="D69" s="140"/>
      <c r="E69" s="140"/>
      <c r="F69" s="175"/>
      <c r="I69" s="282"/>
    </row>
    <row r="70" spans="1:9">
      <c r="A70" s="313" t="s">
        <v>271</v>
      </c>
      <c r="B70" s="338" t="s">
        <v>275</v>
      </c>
      <c r="C70" s="339">
        <v>100000</v>
      </c>
      <c r="D70" s="140"/>
      <c r="E70" s="140"/>
      <c r="F70" s="175"/>
      <c r="I70" s="282"/>
    </row>
    <row r="71" spans="1:9">
      <c r="A71" s="313" t="s">
        <v>318</v>
      </c>
      <c r="B71" s="338" t="s">
        <v>319</v>
      </c>
      <c r="C71" s="347">
        <v>350000</v>
      </c>
      <c r="D71" s="139"/>
      <c r="E71" s="140" t="str">
        <f>IF((D71-C71)&gt;0,D71-C71,"")</f>
        <v/>
      </c>
      <c r="F71" s="175">
        <f>IF((D71-C71)&gt;0,"",D71-C71)</f>
        <v>-350000</v>
      </c>
      <c r="H71" s="280">
        <v>32300</v>
      </c>
      <c r="I71" s="282">
        <f>D71-H71</f>
        <v>-32300</v>
      </c>
    </row>
    <row r="72" spans="1:9">
      <c r="A72" s="313" t="s">
        <v>321</v>
      </c>
      <c r="B72" s="338" t="s">
        <v>320</v>
      </c>
      <c r="C72" s="347">
        <v>900000</v>
      </c>
      <c r="D72" s="139"/>
      <c r="E72" s="140" t="str">
        <f>IF((D72-C72)&gt;0,D72-C72,"")</f>
        <v/>
      </c>
      <c r="F72" s="175">
        <f>IF((D72-C72)&gt;0,"",D72-C72)</f>
        <v>-900000</v>
      </c>
      <c r="H72" s="280">
        <v>86700</v>
      </c>
      <c r="I72" s="282">
        <f>D72-H72</f>
        <v>-86700</v>
      </c>
    </row>
    <row r="73" spans="1:9">
      <c r="A73" s="313"/>
      <c r="B73" s="338"/>
      <c r="C73" s="316"/>
      <c r="D73" s="140"/>
      <c r="E73" s="140"/>
      <c r="F73" s="175"/>
      <c r="I73" s="282"/>
    </row>
    <row r="74" spans="1:9">
      <c r="A74" s="313"/>
      <c r="B74" s="338"/>
      <c r="C74" s="316"/>
      <c r="D74" s="140"/>
      <c r="E74" s="140"/>
      <c r="F74" s="175"/>
      <c r="I74" s="282"/>
    </row>
    <row r="75" spans="1:9">
      <c r="A75" s="137"/>
      <c r="B75" s="138"/>
      <c r="C75" s="139"/>
      <c r="D75" s="140"/>
      <c r="E75" s="140" t="str">
        <f t="shared" si="4"/>
        <v/>
      </c>
      <c r="F75" s="175">
        <f t="shared" si="5"/>
        <v>0</v>
      </c>
      <c r="I75" s="282">
        <f t="shared" si="3"/>
        <v>0</v>
      </c>
    </row>
    <row r="76" spans="1:9">
      <c r="A76" s="137"/>
      <c r="B76" s="138"/>
      <c r="C76" s="139"/>
      <c r="D76" s="140"/>
      <c r="E76" s="140" t="str">
        <f t="shared" si="4"/>
        <v/>
      </c>
      <c r="F76" s="175">
        <f t="shared" si="5"/>
        <v>0</v>
      </c>
      <c r="H76" s="280">
        <v>240799.98</v>
      </c>
      <c r="I76" s="282">
        <f t="shared" si="3"/>
        <v>-240799.98</v>
      </c>
    </row>
    <row r="77" spans="1:9">
      <c r="A77" s="137"/>
      <c r="B77" s="138"/>
      <c r="C77" s="139"/>
      <c r="D77" s="140"/>
      <c r="E77" s="140" t="str">
        <f t="shared" si="4"/>
        <v/>
      </c>
      <c r="F77" s="175">
        <f t="shared" si="5"/>
        <v>0</v>
      </c>
      <c r="H77" s="280">
        <v>26460</v>
      </c>
      <c r="I77" s="282">
        <f t="shared" si="3"/>
        <v>-26460</v>
      </c>
    </row>
    <row r="78" spans="1:9">
      <c r="A78" s="137"/>
      <c r="B78" s="138"/>
      <c r="C78" s="142"/>
      <c r="D78" s="140"/>
      <c r="E78" s="140" t="str">
        <f t="shared" si="4"/>
        <v/>
      </c>
      <c r="F78" s="175">
        <f t="shared" si="5"/>
        <v>0</v>
      </c>
      <c r="H78" s="280">
        <v>31306</v>
      </c>
      <c r="I78" s="282">
        <f t="shared" si="3"/>
        <v>-31306</v>
      </c>
    </row>
    <row r="79" spans="1:9" ht="13.5" thickBot="1">
      <c r="A79" s="137"/>
      <c r="B79" s="147"/>
      <c r="C79" s="152">
        <f>SUM(C36:C78)</f>
        <v>74930000</v>
      </c>
      <c r="D79" s="152">
        <f>SUM(D36:D78)</f>
        <v>0</v>
      </c>
      <c r="E79" s="152">
        <f>SUM(E36:E78)</f>
        <v>0</v>
      </c>
      <c r="F79" s="194">
        <f>SUM(F36:F78)</f>
        <v>-30830000</v>
      </c>
      <c r="G79" s="153"/>
      <c r="H79" s="291">
        <f>SUM(H36:H78)</f>
        <v>10273019.24</v>
      </c>
      <c r="I79" s="291">
        <f>SUM(I36:I78)</f>
        <v>-10273019.24</v>
      </c>
    </row>
    <row r="80" spans="1:9" ht="13.5" thickTop="1">
      <c r="A80" s="146" t="s">
        <v>70</v>
      </c>
      <c r="B80" s="147"/>
      <c r="C80" s="148"/>
      <c r="D80" s="149"/>
      <c r="E80" s="150"/>
      <c r="F80" s="151"/>
      <c r="I80" s="282"/>
    </row>
    <row r="81" spans="1:11">
      <c r="A81" s="313" t="s">
        <v>276</v>
      </c>
      <c r="B81" s="338" t="s">
        <v>235</v>
      </c>
      <c r="C81" s="149"/>
      <c r="D81" s="150"/>
      <c r="E81" s="150"/>
      <c r="F81" s="151"/>
      <c r="I81" s="282"/>
    </row>
    <row r="82" spans="1:11">
      <c r="A82" s="313" t="s">
        <v>277</v>
      </c>
      <c r="B82" s="338" t="s">
        <v>282</v>
      </c>
      <c r="C82" s="339">
        <v>1350000</v>
      </c>
      <c r="D82" s="140"/>
      <c r="E82" s="140" t="str">
        <f t="shared" ref="E82:E103" si="6">IF((D82-C82)&gt;0,D82-C82,"")</f>
        <v/>
      </c>
      <c r="F82" s="175">
        <f t="shared" ref="F82:F102" si="7">IF((D82-C82)&gt;0,"",D82-C82)</f>
        <v>-1350000</v>
      </c>
      <c r="H82" s="280">
        <v>145550</v>
      </c>
      <c r="I82" s="282">
        <f t="shared" si="3"/>
        <v>-145550</v>
      </c>
    </row>
    <row r="83" spans="1:11">
      <c r="A83" s="313" t="s">
        <v>278</v>
      </c>
      <c r="B83" s="338" t="s">
        <v>283</v>
      </c>
      <c r="C83" s="339">
        <v>850000</v>
      </c>
      <c r="D83" s="140"/>
      <c r="E83" s="140" t="str">
        <f t="shared" si="6"/>
        <v/>
      </c>
      <c r="F83" s="175">
        <f t="shared" si="7"/>
        <v>-850000</v>
      </c>
      <c r="H83" s="280">
        <v>69400</v>
      </c>
      <c r="I83" s="282">
        <f t="shared" si="3"/>
        <v>-69400</v>
      </c>
      <c r="K83" s="287"/>
    </row>
    <row r="84" spans="1:11">
      <c r="A84" s="313" t="s">
        <v>279</v>
      </c>
      <c r="B84" s="338" t="s">
        <v>284</v>
      </c>
      <c r="C84" s="339">
        <v>5000</v>
      </c>
      <c r="D84" s="140"/>
      <c r="E84" s="140" t="str">
        <f t="shared" si="6"/>
        <v/>
      </c>
      <c r="F84" s="175">
        <f t="shared" si="7"/>
        <v>-5000</v>
      </c>
      <c r="I84" s="282">
        <f t="shared" si="3"/>
        <v>0</v>
      </c>
    </row>
    <row r="85" spans="1:11">
      <c r="A85" s="313" t="s">
        <v>280</v>
      </c>
      <c r="B85" s="338" t="s">
        <v>285</v>
      </c>
      <c r="C85" s="339">
        <v>70000</v>
      </c>
      <c r="D85" s="153"/>
      <c r="E85" s="139" t="str">
        <f t="shared" si="6"/>
        <v/>
      </c>
      <c r="F85" s="175">
        <f t="shared" si="7"/>
        <v>-70000</v>
      </c>
      <c r="H85" s="280">
        <v>4500</v>
      </c>
      <c r="I85" s="282">
        <f t="shared" si="3"/>
        <v>-4500</v>
      </c>
    </row>
    <row r="86" spans="1:11">
      <c r="A86" s="313" t="s">
        <v>281</v>
      </c>
      <c r="B86" s="338" t="s">
        <v>286</v>
      </c>
      <c r="C86" s="339">
        <v>555000</v>
      </c>
      <c r="D86" s="153"/>
      <c r="E86" s="139" t="str">
        <f t="shared" si="6"/>
        <v/>
      </c>
      <c r="F86" s="175">
        <f t="shared" si="7"/>
        <v>-555000</v>
      </c>
      <c r="H86" s="280">
        <v>52970</v>
      </c>
      <c r="I86" s="282">
        <f t="shared" si="3"/>
        <v>-52970</v>
      </c>
    </row>
    <row r="87" spans="1:11">
      <c r="A87" s="137" t="s">
        <v>71</v>
      </c>
      <c r="B87" s="338" t="s">
        <v>287</v>
      </c>
      <c r="C87" s="339">
        <v>500</v>
      </c>
      <c r="D87" s="153"/>
      <c r="E87" s="139" t="str">
        <f t="shared" si="6"/>
        <v/>
      </c>
      <c r="F87" s="175">
        <f t="shared" si="7"/>
        <v>-500</v>
      </c>
      <c r="I87" s="282">
        <f t="shared" si="3"/>
        <v>0</v>
      </c>
    </row>
    <row r="88" spans="1:11">
      <c r="A88" s="137" t="s">
        <v>72</v>
      </c>
      <c r="B88" s="338" t="s">
        <v>288</v>
      </c>
      <c r="C88" s="339">
        <v>2500</v>
      </c>
      <c r="D88" s="153"/>
      <c r="E88" s="139" t="str">
        <f t="shared" si="6"/>
        <v/>
      </c>
      <c r="F88" s="175">
        <f t="shared" si="7"/>
        <v>-2500</v>
      </c>
      <c r="I88" s="282">
        <f t="shared" si="3"/>
        <v>0</v>
      </c>
    </row>
    <row r="89" spans="1:11" ht="13.5" thickBot="1">
      <c r="A89" s="155" t="s">
        <v>73</v>
      </c>
      <c r="B89" s="341" t="s">
        <v>289</v>
      </c>
      <c r="C89" s="343">
        <v>3000000</v>
      </c>
      <c r="D89" s="208"/>
      <c r="E89" s="157" t="str">
        <f t="shared" si="6"/>
        <v/>
      </c>
      <c r="F89" s="309">
        <f t="shared" si="7"/>
        <v>-3000000</v>
      </c>
      <c r="H89" s="280">
        <v>159900</v>
      </c>
      <c r="I89" s="282">
        <f t="shared" si="3"/>
        <v>-159900</v>
      </c>
    </row>
    <row r="90" spans="1:11">
      <c r="A90" s="314" t="s">
        <v>191</v>
      </c>
      <c r="B90" s="342" t="s">
        <v>290</v>
      </c>
      <c r="C90" s="344">
        <v>60000</v>
      </c>
      <c r="D90" s="209"/>
      <c r="E90" s="168" t="str">
        <f t="shared" si="6"/>
        <v/>
      </c>
      <c r="F90" s="184">
        <f t="shared" si="7"/>
        <v>-60000</v>
      </c>
      <c r="H90" s="280">
        <v>2400</v>
      </c>
      <c r="I90" s="282">
        <f t="shared" si="3"/>
        <v>-2400</v>
      </c>
    </row>
    <row r="91" spans="1:11">
      <c r="A91" s="313" t="s">
        <v>74</v>
      </c>
      <c r="B91" s="336" t="s">
        <v>291</v>
      </c>
      <c r="C91" s="345">
        <v>5000</v>
      </c>
      <c r="D91" s="153"/>
      <c r="E91" s="139" t="str">
        <f t="shared" si="6"/>
        <v/>
      </c>
      <c r="F91" s="175">
        <f t="shared" si="7"/>
        <v>-5000</v>
      </c>
      <c r="I91" s="282">
        <f t="shared" si="3"/>
        <v>0</v>
      </c>
    </row>
    <row r="92" spans="1:11">
      <c r="A92" s="137" t="s">
        <v>75</v>
      </c>
      <c r="B92" s="336" t="s">
        <v>292</v>
      </c>
      <c r="C92" s="345">
        <v>100000</v>
      </c>
      <c r="D92" s="153"/>
      <c r="E92" s="139" t="str">
        <f t="shared" si="6"/>
        <v/>
      </c>
      <c r="F92" s="175">
        <f t="shared" si="7"/>
        <v>-100000</v>
      </c>
      <c r="H92" s="280">
        <v>34600</v>
      </c>
      <c r="I92" s="282">
        <f t="shared" si="3"/>
        <v>-34600</v>
      </c>
    </row>
    <row r="93" spans="1:11">
      <c r="A93" s="137" t="s">
        <v>76</v>
      </c>
      <c r="B93" s="336" t="s">
        <v>293</v>
      </c>
      <c r="C93" s="345">
        <v>100000</v>
      </c>
      <c r="D93" s="153"/>
      <c r="E93" s="139" t="str">
        <f t="shared" si="6"/>
        <v/>
      </c>
      <c r="F93" s="175">
        <f t="shared" si="7"/>
        <v>-100000</v>
      </c>
      <c r="H93" s="280">
        <v>7500</v>
      </c>
      <c r="I93" s="282">
        <f t="shared" si="3"/>
        <v>-7500</v>
      </c>
    </row>
    <row r="94" spans="1:11">
      <c r="A94" s="137" t="s">
        <v>77</v>
      </c>
      <c r="B94" s="336" t="s">
        <v>294</v>
      </c>
      <c r="C94" s="345">
        <v>180000</v>
      </c>
      <c r="D94" s="153"/>
      <c r="E94" s="139" t="str">
        <f t="shared" si="6"/>
        <v/>
      </c>
      <c r="F94" s="175">
        <f t="shared" si="7"/>
        <v>-180000</v>
      </c>
      <c r="H94" s="280">
        <v>14020</v>
      </c>
      <c r="I94" s="282">
        <f t="shared" si="3"/>
        <v>-14020</v>
      </c>
    </row>
    <row r="95" spans="1:11">
      <c r="A95" s="137" t="s">
        <v>78</v>
      </c>
      <c r="B95" s="336" t="s">
        <v>295</v>
      </c>
      <c r="C95" s="346">
        <v>500</v>
      </c>
      <c r="D95" s="153"/>
      <c r="E95" s="139" t="str">
        <f t="shared" si="6"/>
        <v/>
      </c>
      <c r="F95" s="175">
        <f t="shared" si="7"/>
        <v>-500</v>
      </c>
      <c r="I95" s="282">
        <f t="shared" ref="I95:I121" si="8">D95-H95</f>
        <v>0</v>
      </c>
    </row>
    <row r="96" spans="1:11">
      <c r="A96" s="137" t="s">
        <v>79</v>
      </c>
      <c r="B96" s="336" t="s">
        <v>296</v>
      </c>
      <c r="C96" s="346">
        <v>50000</v>
      </c>
      <c r="D96" s="153"/>
      <c r="E96" s="139" t="str">
        <f t="shared" si="6"/>
        <v/>
      </c>
      <c r="F96" s="175">
        <f t="shared" si="7"/>
        <v>-50000</v>
      </c>
      <c r="H96" s="280">
        <v>1000</v>
      </c>
      <c r="I96" s="282">
        <f t="shared" si="8"/>
        <v>-1000</v>
      </c>
    </row>
    <row r="97" spans="1:11">
      <c r="A97" s="137" t="s">
        <v>80</v>
      </c>
      <c r="B97" s="336" t="s">
        <v>297</v>
      </c>
      <c r="C97" s="339">
        <v>20000</v>
      </c>
      <c r="D97" s="153"/>
      <c r="E97" s="139" t="str">
        <f t="shared" si="6"/>
        <v/>
      </c>
      <c r="F97" s="175">
        <f t="shared" si="7"/>
        <v>-20000</v>
      </c>
      <c r="I97" s="282">
        <f t="shared" si="8"/>
        <v>0</v>
      </c>
    </row>
    <row r="98" spans="1:11">
      <c r="A98" s="137" t="s">
        <v>2</v>
      </c>
      <c r="B98" s="315" t="s">
        <v>298</v>
      </c>
      <c r="C98" s="347">
        <v>9000000</v>
      </c>
      <c r="D98" s="160"/>
      <c r="E98" s="139" t="str">
        <f t="shared" si="6"/>
        <v/>
      </c>
      <c r="F98" s="175">
        <f t="shared" si="7"/>
        <v>-9000000</v>
      </c>
      <c r="H98" s="280">
        <v>7030801.0700000003</v>
      </c>
      <c r="I98" s="282">
        <f t="shared" si="8"/>
        <v>-7030801.0700000003</v>
      </c>
    </row>
    <row r="99" spans="1:11">
      <c r="A99" s="313" t="s">
        <v>299</v>
      </c>
      <c r="B99" s="315" t="s">
        <v>300</v>
      </c>
      <c r="C99" s="153"/>
      <c r="D99" s="160"/>
      <c r="E99" s="139" t="str">
        <f t="shared" si="6"/>
        <v/>
      </c>
      <c r="F99" s="175">
        <f t="shared" si="7"/>
        <v>0</v>
      </c>
      <c r="I99" s="282"/>
    </row>
    <row r="100" spans="1:11">
      <c r="A100" s="137" t="s">
        <v>81</v>
      </c>
      <c r="B100" s="315" t="s">
        <v>301</v>
      </c>
      <c r="C100" s="347">
        <v>730000</v>
      </c>
      <c r="D100" s="139"/>
      <c r="E100" s="140" t="str">
        <f t="shared" si="6"/>
        <v/>
      </c>
      <c r="F100" s="175">
        <f t="shared" si="7"/>
        <v>-730000</v>
      </c>
      <c r="H100" s="280">
        <v>571115</v>
      </c>
      <c r="I100" s="282">
        <f t="shared" si="8"/>
        <v>-571115</v>
      </c>
    </row>
    <row r="101" spans="1:11">
      <c r="A101" s="137" t="s">
        <v>82</v>
      </c>
      <c r="B101" s="315" t="s">
        <v>302</v>
      </c>
      <c r="C101" s="347">
        <v>6700000</v>
      </c>
      <c r="D101" s="139"/>
      <c r="E101" s="140" t="str">
        <f t="shared" si="6"/>
        <v/>
      </c>
      <c r="F101" s="175">
        <f t="shared" si="7"/>
        <v>-6700000</v>
      </c>
      <c r="H101" s="280">
        <v>4169008.45</v>
      </c>
      <c r="I101" s="282">
        <f t="shared" si="8"/>
        <v>-4169008.45</v>
      </c>
    </row>
    <row r="102" spans="1:11">
      <c r="A102" s="137" t="s">
        <v>83</v>
      </c>
      <c r="B102" s="315" t="s">
        <v>303</v>
      </c>
      <c r="C102" s="347">
        <v>2100000</v>
      </c>
      <c r="D102" s="139"/>
      <c r="E102" s="140" t="str">
        <f t="shared" si="6"/>
        <v/>
      </c>
      <c r="F102" s="175">
        <f t="shared" si="7"/>
        <v>-2100000</v>
      </c>
      <c r="H102" s="280">
        <v>1660780</v>
      </c>
      <c r="I102" s="282">
        <f t="shared" si="8"/>
        <v>-1660780</v>
      </c>
    </row>
    <row r="103" spans="1:11">
      <c r="A103" s="137" t="s">
        <v>175</v>
      </c>
      <c r="B103" s="147" t="s">
        <v>174</v>
      </c>
      <c r="C103" s="153"/>
      <c r="D103" s="139"/>
      <c r="E103" s="140" t="str">
        <f t="shared" si="6"/>
        <v/>
      </c>
      <c r="F103" s="175">
        <f>IF((D103-C103)&gt;0,"",D103-C103)</f>
        <v>0</v>
      </c>
      <c r="I103" s="282">
        <f t="shared" si="8"/>
        <v>0</v>
      </c>
      <c r="J103" s="284"/>
      <c r="K103" s="287"/>
    </row>
    <row r="104" spans="1:11" ht="13.5" thickBot="1">
      <c r="A104" s="137"/>
      <c r="B104" s="147"/>
      <c r="C104" s="161">
        <f>SUM(C82:C103)</f>
        <v>24878500</v>
      </c>
      <c r="D104" s="161">
        <f>SUM(D82:D103)</f>
        <v>0</v>
      </c>
      <c r="E104" s="161">
        <f>SUM(E82:E103)</f>
        <v>0</v>
      </c>
      <c r="F104" s="194">
        <f>SUM(F82:F103)</f>
        <v>-24878500</v>
      </c>
      <c r="H104" s="292">
        <f>SUM(H82:H103)</f>
        <v>13923544.52</v>
      </c>
      <c r="I104" s="291">
        <f>SUM(I82:I103)</f>
        <v>-13923544.52</v>
      </c>
    </row>
    <row r="105" spans="1:11" ht="13.5" thickTop="1">
      <c r="A105" s="146" t="s">
        <v>93</v>
      </c>
      <c r="B105" s="147"/>
      <c r="C105" s="148"/>
      <c r="D105" s="149"/>
      <c r="E105" s="148"/>
      <c r="F105" s="162"/>
      <c r="I105" s="282"/>
    </row>
    <row r="106" spans="1:11">
      <c r="A106" s="313" t="s">
        <v>304</v>
      </c>
      <c r="B106" s="315" t="s">
        <v>307</v>
      </c>
      <c r="C106" s="153"/>
      <c r="D106" s="139"/>
      <c r="E106" s="153"/>
      <c r="F106" s="169"/>
      <c r="I106" s="282"/>
    </row>
    <row r="107" spans="1:11">
      <c r="A107" s="313" t="s">
        <v>305</v>
      </c>
      <c r="B107" s="315" t="s">
        <v>308</v>
      </c>
      <c r="C107" s="347">
        <v>36000</v>
      </c>
      <c r="D107" s="139"/>
      <c r="E107" s="153"/>
      <c r="F107" s="169"/>
      <c r="I107" s="282"/>
    </row>
    <row r="108" spans="1:11">
      <c r="A108" s="313" t="s">
        <v>306</v>
      </c>
      <c r="B108" s="315" t="s">
        <v>309</v>
      </c>
      <c r="C108" s="347">
        <v>500000</v>
      </c>
      <c r="D108" s="139"/>
      <c r="E108" s="153"/>
      <c r="F108" s="169"/>
      <c r="I108" s="282"/>
    </row>
    <row r="109" spans="1:11">
      <c r="A109" s="137" t="s">
        <v>3</v>
      </c>
      <c r="B109" s="315" t="s">
        <v>310</v>
      </c>
      <c r="C109" s="153"/>
      <c r="D109" s="139"/>
      <c r="E109" s="153"/>
      <c r="F109" s="169"/>
      <c r="I109" s="282"/>
    </row>
    <row r="110" spans="1:11">
      <c r="A110" s="137" t="s">
        <v>94</v>
      </c>
      <c r="B110" s="315" t="s">
        <v>311</v>
      </c>
      <c r="C110" s="347">
        <v>700000</v>
      </c>
      <c r="D110" s="139"/>
      <c r="E110" s="140" t="str">
        <f t="shared" ref="E110:E122" si="9">IF((D110-C110)&gt;0,D110-C110,"")</f>
        <v/>
      </c>
      <c r="F110" s="175">
        <f t="shared" ref="F110:F122" si="10">IF((D110-C110)&gt;0,"",D110-C110)</f>
        <v>-700000</v>
      </c>
      <c r="H110" s="280">
        <v>11515.5</v>
      </c>
      <c r="I110" s="282">
        <f t="shared" si="8"/>
        <v>-11515.5</v>
      </c>
    </row>
    <row r="111" spans="1:11">
      <c r="A111" s="137" t="s">
        <v>95</v>
      </c>
      <c r="B111" s="315" t="s">
        <v>312</v>
      </c>
      <c r="C111" s="293"/>
      <c r="D111" s="139"/>
      <c r="E111" s="140" t="str">
        <f t="shared" si="9"/>
        <v/>
      </c>
      <c r="F111" s="175">
        <f t="shared" si="10"/>
        <v>0</v>
      </c>
      <c r="I111" s="282"/>
    </row>
    <row r="112" spans="1:11">
      <c r="A112" s="313" t="s">
        <v>313</v>
      </c>
      <c r="B112" s="315" t="s">
        <v>314</v>
      </c>
      <c r="C112" s="347">
        <v>300000</v>
      </c>
      <c r="D112" s="139"/>
      <c r="E112" s="140" t="str">
        <f t="shared" si="9"/>
        <v/>
      </c>
      <c r="F112" s="175">
        <f t="shared" si="10"/>
        <v>-300000</v>
      </c>
      <c r="I112" s="282"/>
    </row>
    <row r="113" spans="1:11">
      <c r="A113" s="137" t="s">
        <v>4</v>
      </c>
      <c r="B113" s="315" t="s">
        <v>315</v>
      </c>
      <c r="C113" s="347">
        <v>900000</v>
      </c>
      <c r="D113" s="139"/>
      <c r="E113" s="140" t="str">
        <f t="shared" si="9"/>
        <v/>
      </c>
      <c r="F113" s="175">
        <f t="shared" si="10"/>
        <v>-900000</v>
      </c>
      <c r="H113" s="280">
        <v>35579.32</v>
      </c>
      <c r="I113" s="283">
        <f t="shared" si="8"/>
        <v>-35579.32</v>
      </c>
      <c r="J113" s="294"/>
      <c r="K113" s="295"/>
    </row>
    <row r="114" spans="1:11">
      <c r="A114" s="137" t="s">
        <v>5</v>
      </c>
      <c r="B114" s="315" t="s">
        <v>317</v>
      </c>
      <c r="C114" s="347">
        <v>20000</v>
      </c>
      <c r="D114" s="139"/>
      <c r="E114" s="140" t="str">
        <f t="shared" si="9"/>
        <v/>
      </c>
      <c r="F114" s="175">
        <f t="shared" si="10"/>
        <v>-20000</v>
      </c>
      <c r="H114" s="280">
        <v>5510</v>
      </c>
      <c r="I114" s="282">
        <f t="shared" si="8"/>
        <v>-5510</v>
      </c>
    </row>
    <row r="115" spans="1:11">
      <c r="A115" s="137" t="s">
        <v>96</v>
      </c>
      <c r="B115" s="147"/>
      <c r="C115" s="153"/>
      <c r="D115" s="139"/>
      <c r="E115" s="140" t="str">
        <f t="shared" si="9"/>
        <v/>
      </c>
      <c r="F115" s="175">
        <f t="shared" si="10"/>
        <v>0</v>
      </c>
      <c r="I115" s="282"/>
    </row>
    <row r="116" spans="1:11">
      <c r="A116" s="137" t="s">
        <v>97</v>
      </c>
      <c r="B116" s="315" t="s">
        <v>322</v>
      </c>
      <c r="C116" s="347">
        <v>400000</v>
      </c>
      <c r="D116" s="139"/>
      <c r="E116" s="140" t="str">
        <f t="shared" si="9"/>
        <v/>
      </c>
      <c r="F116" s="175">
        <f t="shared" si="10"/>
        <v>-400000</v>
      </c>
      <c r="H116" s="280">
        <v>89385</v>
      </c>
      <c r="I116" s="282">
        <f t="shared" si="8"/>
        <v>-89385</v>
      </c>
      <c r="J116" s="284"/>
      <c r="K116" s="285"/>
    </row>
    <row r="117" spans="1:11">
      <c r="A117" s="137" t="s">
        <v>98</v>
      </c>
      <c r="B117" s="315" t="s">
        <v>323</v>
      </c>
      <c r="C117" s="347">
        <v>150000</v>
      </c>
      <c r="D117" s="139"/>
      <c r="E117" s="140" t="str">
        <f t="shared" si="9"/>
        <v/>
      </c>
      <c r="F117" s="175">
        <f t="shared" si="10"/>
        <v>-150000</v>
      </c>
      <c r="H117" s="280">
        <v>21825</v>
      </c>
      <c r="I117" s="282">
        <f t="shared" si="8"/>
        <v>-21825</v>
      </c>
      <c r="J117" s="284"/>
      <c r="K117" s="285"/>
    </row>
    <row r="118" spans="1:11">
      <c r="A118" s="137" t="s">
        <v>6</v>
      </c>
      <c r="B118" s="315" t="s">
        <v>324</v>
      </c>
      <c r="C118" s="347">
        <v>300000</v>
      </c>
      <c r="D118" s="139"/>
      <c r="E118" s="140" t="str">
        <f t="shared" si="9"/>
        <v/>
      </c>
      <c r="F118" s="175">
        <f t="shared" si="10"/>
        <v>-300000</v>
      </c>
      <c r="H118" s="280">
        <v>2000</v>
      </c>
      <c r="I118" s="283">
        <f>D118-H118</f>
        <v>-2000</v>
      </c>
      <c r="J118" s="294"/>
      <c r="K118" s="295"/>
    </row>
    <row r="119" spans="1:11">
      <c r="A119" s="137" t="s">
        <v>36</v>
      </c>
      <c r="B119" s="315" t="s">
        <v>325</v>
      </c>
      <c r="C119" s="347">
        <v>10000</v>
      </c>
      <c r="D119" s="139"/>
      <c r="E119" s="140" t="str">
        <f t="shared" si="9"/>
        <v/>
      </c>
      <c r="F119" s="175">
        <f t="shared" si="10"/>
        <v>-10000</v>
      </c>
      <c r="H119" s="280">
        <v>2000</v>
      </c>
      <c r="I119" s="282">
        <f t="shared" si="8"/>
        <v>-2000</v>
      </c>
    </row>
    <row r="120" spans="1:11">
      <c r="A120" s="137" t="s">
        <v>99</v>
      </c>
      <c r="B120" s="315" t="s">
        <v>326</v>
      </c>
      <c r="C120" s="347">
        <v>800000</v>
      </c>
      <c r="D120" s="139"/>
      <c r="E120" s="140" t="str">
        <f t="shared" si="9"/>
        <v/>
      </c>
      <c r="F120" s="175">
        <f t="shared" si="10"/>
        <v>-800000</v>
      </c>
      <c r="H120" s="280">
        <v>28618.51</v>
      </c>
      <c r="I120" s="282">
        <f t="shared" si="8"/>
        <v>-28618.51</v>
      </c>
    </row>
    <row r="121" spans="1:11">
      <c r="A121" s="137" t="s">
        <v>100</v>
      </c>
      <c r="B121" s="315" t="s">
        <v>327</v>
      </c>
      <c r="C121" s="347">
        <v>1500000</v>
      </c>
      <c r="D121" s="139"/>
      <c r="E121" s="140" t="str">
        <f t="shared" si="9"/>
        <v/>
      </c>
      <c r="F121" s="175">
        <f t="shared" si="10"/>
        <v>-1500000</v>
      </c>
      <c r="H121" s="296">
        <v>127250</v>
      </c>
      <c r="I121" s="282">
        <f t="shared" si="8"/>
        <v>-127250</v>
      </c>
    </row>
    <row r="122" spans="1:11">
      <c r="A122" s="137" t="s">
        <v>101</v>
      </c>
      <c r="B122" s="315" t="s">
        <v>328</v>
      </c>
      <c r="C122" s="347">
        <v>60000</v>
      </c>
      <c r="D122" s="139"/>
      <c r="E122" s="140" t="str">
        <f t="shared" si="9"/>
        <v/>
      </c>
      <c r="F122" s="175">
        <f t="shared" si="10"/>
        <v>-60000</v>
      </c>
      <c r="I122" s="282"/>
    </row>
    <row r="123" spans="1:11">
      <c r="A123" s="146"/>
      <c r="B123" s="138"/>
      <c r="C123" s="163">
        <f>SUM(C106:C122)</f>
        <v>5676000</v>
      </c>
      <c r="D123" s="163">
        <f>SUM(D110:D122)</f>
        <v>0</v>
      </c>
      <c r="E123" s="163">
        <f>SUM(E110:E122)</f>
        <v>0</v>
      </c>
      <c r="F123" s="164">
        <f>SUM(F110:F122)</f>
        <v>-5140000</v>
      </c>
      <c r="I123" s="282"/>
    </row>
    <row r="124" spans="1:11" ht="13.5" thickBot="1">
      <c r="A124" s="165" t="s">
        <v>124</v>
      </c>
      <c r="B124" s="166"/>
      <c r="C124" s="167">
        <f>SUM(C123+C104+C79)</f>
        <v>105484500</v>
      </c>
      <c r="D124" s="157">
        <f>SUM(D123+D104+D79)</f>
        <v>0</v>
      </c>
      <c r="E124" s="157">
        <f>SUM(E123+E104+E79)</f>
        <v>0</v>
      </c>
      <c r="F124" s="210">
        <f>SUM(F123+F104+F79)</f>
        <v>-60848500</v>
      </c>
      <c r="I124" s="282"/>
    </row>
    <row r="125" spans="1:11">
      <c r="A125" s="158" t="s">
        <v>35</v>
      </c>
      <c r="B125" s="348" t="s">
        <v>329</v>
      </c>
      <c r="C125" s="349">
        <v>605000000</v>
      </c>
      <c r="D125" s="168"/>
      <c r="E125" s="310" t="str">
        <f>IF((D125-C125)&gt;0,D125-C125,"")</f>
        <v/>
      </c>
      <c r="F125" s="184">
        <f>IF((D125-C125)&gt;0,"",D125-C125)</f>
        <v>-605000000</v>
      </c>
      <c r="H125" s="280">
        <v>46479662</v>
      </c>
      <c r="I125" s="282">
        <f>+D125-H125</f>
        <v>-46479662</v>
      </c>
    </row>
    <row r="126" spans="1:11">
      <c r="A126" s="137" t="s">
        <v>45</v>
      </c>
      <c r="B126" s="147"/>
      <c r="C126" s="153"/>
      <c r="D126" s="142"/>
      <c r="E126" s="140" t="str">
        <f>IF((D126-C126)&gt;0,D126-C126,"")</f>
        <v/>
      </c>
      <c r="F126" s="175"/>
      <c r="H126" s="280">
        <f>+H125*12</f>
        <v>557755944</v>
      </c>
      <c r="I126" s="282"/>
    </row>
    <row r="127" spans="1:11">
      <c r="A127" s="137"/>
      <c r="B127" s="147"/>
      <c r="C127" s="170">
        <f>SUM(C125:C126)</f>
        <v>605000000</v>
      </c>
      <c r="D127" s="163">
        <f>SUM(D125:D126)</f>
        <v>0</v>
      </c>
      <c r="E127" s="163">
        <f>SUM(E125:E126)</f>
        <v>0</v>
      </c>
      <c r="F127" s="164">
        <f>SUM(F125:F126)</f>
        <v>-605000000</v>
      </c>
      <c r="I127" s="282"/>
    </row>
    <row r="128" spans="1:11">
      <c r="A128" s="171" t="s">
        <v>102</v>
      </c>
      <c r="B128" s="138"/>
      <c r="C128" s="160">
        <f>+C33+C124+C127</f>
        <v>974950750</v>
      </c>
      <c r="D128" s="139">
        <f>+D33+D124+D127</f>
        <v>0</v>
      </c>
      <c r="E128" s="139">
        <f>+E33+E124+E127</f>
        <v>0</v>
      </c>
      <c r="F128" s="169">
        <f>+F33+F124+F127</f>
        <v>-930314750</v>
      </c>
      <c r="I128" s="282"/>
    </row>
    <row r="129" spans="1:9" ht="8.25" customHeight="1">
      <c r="A129" s="137"/>
      <c r="B129" s="147"/>
      <c r="C129" s="153"/>
      <c r="D129" s="139"/>
      <c r="E129" s="139"/>
      <c r="F129" s="169"/>
      <c r="I129" s="282"/>
    </row>
    <row r="130" spans="1:9">
      <c r="A130" s="146" t="s">
        <v>103</v>
      </c>
      <c r="B130" s="147"/>
      <c r="C130" s="153"/>
      <c r="D130" s="139"/>
      <c r="E130" s="140"/>
      <c r="F130" s="151"/>
      <c r="I130" s="282"/>
    </row>
    <row r="131" spans="1:9" ht="8.25" customHeight="1">
      <c r="A131" s="137" t="s">
        <v>17</v>
      </c>
      <c r="B131" s="147"/>
      <c r="C131" s="153"/>
      <c r="D131" s="142"/>
      <c r="E131" s="140"/>
      <c r="F131" s="151"/>
      <c r="I131" s="282"/>
    </row>
    <row r="132" spans="1:9">
      <c r="A132" s="146" t="s">
        <v>104</v>
      </c>
      <c r="B132" s="315" t="s">
        <v>330</v>
      </c>
      <c r="C132" s="350">
        <v>15000000</v>
      </c>
      <c r="D132" s="173"/>
      <c r="E132" s="172"/>
      <c r="F132" s="177">
        <f>IF((D132-C132)&gt;0,"",D132-C132)</f>
        <v>-15000000</v>
      </c>
      <c r="H132" s="280">
        <v>35000</v>
      </c>
      <c r="I132" s="282">
        <f>+D132-H132</f>
        <v>-35000</v>
      </c>
    </row>
    <row r="133" spans="1:9" ht="7.5" customHeight="1">
      <c r="A133" s="137"/>
      <c r="B133" s="147"/>
      <c r="C133" s="153"/>
      <c r="D133" s="139"/>
      <c r="E133" s="140"/>
      <c r="F133" s="175"/>
      <c r="I133" s="282"/>
    </row>
    <row r="134" spans="1:9">
      <c r="A134" s="146" t="s">
        <v>331</v>
      </c>
      <c r="B134" s="315" t="s">
        <v>332</v>
      </c>
      <c r="C134" s="139"/>
      <c r="D134" s="140"/>
      <c r="E134" s="140"/>
      <c r="F134" s="175"/>
      <c r="H134" s="280" t="s">
        <v>192</v>
      </c>
      <c r="I134" s="282"/>
    </row>
    <row r="135" spans="1:9">
      <c r="A135" s="313" t="s">
        <v>333</v>
      </c>
      <c r="B135" s="315" t="s">
        <v>334</v>
      </c>
      <c r="C135" s="339">
        <v>5000000</v>
      </c>
      <c r="D135" s="153"/>
      <c r="E135" s="139" t="str">
        <f t="shared" ref="E135:E151" si="11">IF((D135-C135)&gt;0,D135-C135,"")</f>
        <v/>
      </c>
      <c r="F135" s="175">
        <f t="shared" ref="F135:F151" si="12">IF((D135-C135)&gt;0,"",D135-C135)</f>
        <v>-5000000</v>
      </c>
      <c r="H135" s="280">
        <v>427987.48</v>
      </c>
      <c r="I135" s="282">
        <f>+D135-H135</f>
        <v>-427987.48</v>
      </c>
    </row>
    <row r="136" spans="1:9">
      <c r="A136" s="137" t="s">
        <v>8</v>
      </c>
      <c r="B136" s="315" t="s">
        <v>335</v>
      </c>
      <c r="C136" s="339">
        <v>25350000</v>
      </c>
      <c r="D136" s="160"/>
      <c r="E136" s="139" t="str">
        <f t="shared" si="11"/>
        <v/>
      </c>
      <c r="F136" s="175">
        <f t="shared" si="12"/>
        <v>-25350000</v>
      </c>
      <c r="H136" s="280">
        <v>3424818.37</v>
      </c>
      <c r="I136" s="282">
        <f t="shared" ref="I136:I151" si="13">+D136-H136</f>
        <v>-3424818.37</v>
      </c>
    </row>
    <row r="137" spans="1:9">
      <c r="A137" s="171" t="s">
        <v>9</v>
      </c>
      <c r="B137" s="315" t="s">
        <v>336</v>
      </c>
      <c r="C137" s="347">
        <v>8000000</v>
      </c>
      <c r="D137" s="160"/>
      <c r="E137" s="139" t="str">
        <f t="shared" si="11"/>
        <v/>
      </c>
      <c r="F137" s="175">
        <f t="shared" si="12"/>
        <v>-8000000</v>
      </c>
      <c r="H137" s="280">
        <v>692943</v>
      </c>
      <c r="I137" s="282">
        <f t="shared" si="13"/>
        <v>-692943</v>
      </c>
    </row>
    <row r="138" spans="1:9">
      <c r="A138" s="313" t="s">
        <v>344</v>
      </c>
      <c r="B138" s="315" t="s">
        <v>345</v>
      </c>
      <c r="C138" s="351">
        <v>1980000</v>
      </c>
      <c r="D138" s="160"/>
      <c r="E138" s="139" t="str">
        <f t="shared" si="11"/>
        <v/>
      </c>
      <c r="F138" s="175">
        <f t="shared" si="12"/>
        <v>-1980000</v>
      </c>
      <c r="H138" s="280">
        <v>0</v>
      </c>
      <c r="I138" s="282">
        <f t="shared" si="13"/>
        <v>0</v>
      </c>
    </row>
    <row r="139" spans="1:9">
      <c r="A139" s="171" t="s">
        <v>4</v>
      </c>
      <c r="B139" s="315" t="s">
        <v>337</v>
      </c>
      <c r="C139" s="351">
        <v>600000</v>
      </c>
      <c r="D139" s="277"/>
      <c r="E139" s="139" t="str">
        <f t="shared" si="11"/>
        <v/>
      </c>
      <c r="F139" s="175">
        <f t="shared" si="12"/>
        <v>-600000</v>
      </c>
      <c r="H139" s="280">
        <f>21060+184800</f>
        <v>205860</v>
      </c>
      <c r="I139" s="282">
        <f t="shared" si="13"/>
        <v>-205860</v>
      </c>
    </row>
    <row r="140" spans="1:9">
      <c r="A140" s="313" t="s">
        <v>338</v>
      </c>
      <c r="B140" s="315" t="s">
        <v>339</v>
      </c>
      <c r="C140" s="351">
        <v>1400000</v>
      </c>
      <c r="D140" s="277"/>
      <c r="E140" s="139" t="str">
        <f t="shared" si="11"/>
        <v/>
      </c>
      <c r="F140" s="175">
        <f t="shared" si="12"/>
        <v>-1400000</v>
      </c>
      <c r="H140" s="280">
        <v>64008</v>
      </c>
      <c r="I140" s="282">
        <f t="shared" si="13"/>
        <v>-64008</v>
      </c>
    </row>
    <row r="141" spans="1:9">
      <c r="A141" s="137" t="s">
        <v>106</v>
      </c>
      <c r="B141" s="315" t="s">
        <v>340</v>
      </c>
      <c r="C141" s="351">
        <v>400000</v>
      </c>
      <c r="D141" s="277"/>
      <c r="E141" s="139" t="str">
        <f t="shared" si="11"/>
        <v/>
      </c>
      <c r="F141" s="175">
        <f t="shared" si="12"/>
        <v>-400000</v>
      </c>
      <c r="H141" s="280">
        <v>90887.28</v>
      </c>
      <c r="I141" s="282">
        <f t="shared" si="13"/>
        <v>-90887.28</v>
      </c>
    </row>
    <row r="142" spans="1:9">
      <c r="A142" s="137" t="s">
        <v>10</v>
      </c>
      <c r="B142" s="315" t="s">
        <v>341</v>
      </c>
      <c r="C142" s="339">
        <v>1000000</v>
      </c>
      <c r="D142" s="214"/>
      <c r="E142" s="139" t="str">
        <f t="shared" si="11"/>
        <v/>
      </c>
      <c r="F142" s="175">
        <f t="shared" si="12"/>
        <v>-1000000</v>
      </c>
      <c r="H142" s="280">
        <v>485000</v>
      </c>
      <c r="I142" s="282">
        <f t="shared" si="13"/>
        <v>-485000</v>
      </c>
    </row>
    <row r="143" spans="1:9">
      <c r="A143" s="137" t="s">
        <v>28</v>
      </c>
      <c r="B143" s="315" t="s">
        <v>342</v>
      </c>
      <c r="C143" s="339">
        <v>160000</v>
      </c>
      <c r="D143" s="153"/>
      <c r="E143" s="139" t="str">
        <f t="shared" si="11"/>
        <v/>
      </c>
      <c r="F143" s="175">
        <f t="shared" si="12"/>
        <v>-160000</v>
      </c>
      <c r="I143" s="282">
        <f t="shared" si="13"/>
        <v>0</v>
      </c>
    </row>
    <row r="144" spans="1:9">
      <c r="A144" s="137" t="s">
        <v>30</v>
      </c>
      <c r="B144" s="315" t="s">
        <v>343</v>
      </c>
      <c r="C144" s="339">
        <v>170000</v>
      </c>
      <c r="D144" s="214"/>
      <c r="E144" s="139" t="str">
        <f t="shared" si="11"/>
        <v/>
      </c>
      <c r="F144" s="175">
        <f t="shared" si="12"/>
        <v>-170000</v>
      </c>
      <c r="H144" s="280">
        <v>13500</v>
      </c>
      <c r="I144" s="282">
        <f t="shared" si="13"/>
        <v>-13500</v>
      </c>
    </row>
    <row r="145" spans="1:9">
      <c r="A145" s="313" t="s">
        <v>85</v>
      </c>
      <c r="B145" s="338"/>
      <c r="C145" s="139"/>
      <c r="D145" s="214"/>
      <c r="E145" s="139"/>
      <c r="F145" s="175"/>
      <c r="I145" s="282"/>
    </row>
    <row r="146" spans="1:9">
      <c r="A146" s="137" t="s">
        <v>89</v>
      </c>
      <c r="B146" s="138" t="s">
        <v>256</v>
      </c>
      <c r="C146" s="339">
        <v>430000</v>
      </c>
      <c r="D146" s="215"/>
      <c r="E146" s="139" t="str">
        <f t="shared" si="11"/>
        <v/>
      </c>
      <c r="F146" s="175">
        <f t="shared" si="12"/>
        <v>-430000</v>
      </c>
      <c r="H146" s="280">
        <v>136136.47</v>
      </c>
      <c r="I146" s="282">
        <f t="shared" si="13"/>
        <v>-136136.47</v>
      </c>
    </row>
    <row r="147" spans="1:9">
      <c r="A147" s="137" t="s">
        <v>172</v>
      </c>
      <c r="B147" s="138" t="s">
        <v>257</v>
      </c>
      <c r="C147" s="339">
        <v>1000000</v>
      </c>
      <c r="D147" s="215"/>
      <c r="E147" s="139" t="str">
        <f t="shared" si="11"/>
        <v/>
      </c>
      <c r="F147" s="175">
        <f t="shared" si="12"/>
        <v>-1000000</v>
      </c>
      <c r="H147" s="280">
        <v>14000</v>
      </c>
      <c r="I147" s="282">
        <f t="shared" si="13"/>
        <v>-14000</v>
      </c>
    </row>
    <row r="148" spans="1:9">
      <c r="A148" s="137" t="s">
        <v>90</v>
      </c>
      <c r="B148" s="138" t="s">
        <v>258</v>
      </c>
      <c r="C148" s="139"/>
      <c r="D148" s="215"/>
      <c r="E148" s="139" t="str">
        <f t="shared" si="11"/>
        <v/>
      </c>
      <c r="F148" s="175">
        <f t="shared" si="12"/>
        <v>0</v>
      </c>
      <c r="I148" s="282">
        <f t="shared" si="13"/>
        <v>0</v>
      </c>
    </row>
    <row r="149" spans="1:9">
      <c r="A149" s="137" t="s">
        <v>91</v>
      </c>
      <c r="B149" s="138" t="s">
        <v>259</v>
      </c>
      <c r="C149" s="339">
        <v>250000</v>
      </c>
      <c r="D149" s="215"/>
      <c r="E149" s="139" t="str">
        <f t="shared" si="11"/>
        <v/>
      </c>
      <c r="F149" s="175">
        <f t="shared" si="12"/>
        <v>-250000</v>
      </c>
      <c r="H149" s="280">
        <v>35000</v>
      </c>
      <c r="I149" s="282">
        <f t="shared" si="13"/>
        <v>-35000</v>
      </c>
    </row>
    <row r="150" spans="1:9">
      <c r="A150" s="137" t="s">
        <v>255</v>
      </c>
      <c r="B150" s="138" t="s">
        <v>261</v>
      </c>
      <c r="C150" s="339">
        <v>250000</v>
      </c>
      <c r="D150" s="215"/>
      <c r="E150" s="139" t="str">
        <f t="shared" si="11"/>
        <v/>
      </c>
      <c r="F150" s="175">
        <f t="shared" si="12"/>
        <v>-250000</v>
      </c>
      <c r="H150" s="280">
        <v>35700</v>
      </c>
      <c r="I150" s="282">
        <f t="shared" si="13"/>
        <v>-35700</v>
      </c>
    </row>
    <row r="151" spans="1:9">
      <c r="A151" s="137" t="s">
        <v>263</v>
      </c>
      <c r="B151" s="147" t="s">
        <v>262</v>
      </c>
      <c r="C151" s="339">
        <v>610000</v>
      </c>
      <c r="D151" s="215"/>
      <c r="E151" s="142" t="str">
        <f t="shared" si="11"/>
        <v/>
      </c>
      <c r="F151" s="175">
        <f t="shared" si="12"/>
        <v>-610000</v>
      </c>
      <c r="H151" s="280">
        <v>35700</v>
      </c>
      <c r="I151" s="282">
        <f t="shared" si="13"/>
        <v>-35700</v>
      </c>
    </row>
    <row r="152" spans="1:9" ht="13.5" thickBot="1">
      <c r="A152" s="137"/>
      <c r="B152" s="147"/>
      <c r="C152" s="172">
        <f>SUM(C135:C151)</f>
        <v>46600000</v>
      </c>
      <c r="D152" s="172">
        <f>SUM(D135:D151)</f>
        <v>0</v>
      </c>
      <c r="E152" s="172">
        <f>SUM(E135:E151)</f>
        <v>0</v>
      </c>
      <c r="F152" s="174">
        <f>SUM(F135:F151)</f>
        <v>-46600000</v>
      </c>
      <c r="H152" s="292">
        <f>SUM(H135:H151)</f>
        <v>5661540.5999999996</v>
      </c>
      <c r="I152" s="292">
        <f>SUM(I135:I151)</f>
        <v>-5661540.5999999996</v>
      </c>
    </row>
    <row r="153" spans="1:9" ht="13.5" thickTop="1">
      <c r="A153" s="146" t="s">
        <v>105</v>
      </c>
      <c r="B153" s="315" t="s">
        <v>332</v>
      </c>
      <c r="C153" s="153"/>
      <c r="D153" s="160"/>
      <c r="E153" s="163"/>
      <c r="F153" s="151"/>
      <c r="I153" s="282"/>
    </row>
    <row r="154" spans="1:9">
      <c r="A154" s="137" t="s">
        <v>8</v>
      </c>
      <c r="B154" s="315" t="s">
        <v>346</v>
      </c>
      <c r="C154" s="339">
        <v>8000000</v>
      </c>
      <c r="D154" s="216"/>
      <c r="E154" s="139" t="str">
        <f>IF((D154-C154)&gt;0,D154-C154,"")</f>
        <v/>
      </c>
      <c r="F154" s="175">
        <f>IF((D154-C154)&gt;0,"",D154-C154)</f>
        <v>-8000000</v>
      </c>
      <c r="H154" s="280">
        <v>757628.52</v>
      </c>
      <c r="I154" s="282">
        <f>+D154-H154</f>
        <v>-757628.52</v>
      </c>
    </row>
    <row r="155" spans="1:9">
      <c r="A155" s="137" t="s">
        <v>106</v>
      </c>
      <c r="B155" s="315" t="s">
        <v>347</v>
      </c>
      <c r="C155" s="339">
        <v>100000</v>
      </c>
      <c r="D155" s="216"/>
      <c r="E155" s="139" t="str">
        <f t="shared" ref="E155:E167" si="14">IF((D155-C155)&gt;0,D155-C155,"")</f>
        <v/>
      </c>
      <c r="F155" s="175">
        <f t="shared" ref="F155:F167" si="15">IF((D155-C155)&gt;0,"",D155-C155)</f>
        <v>-100000</v>
      </c>
      <c r="H155" s="280">
        <v>9418.23</v>
      </c>
      <c r="I155" s="282">
        <f t="shared" ref="I155:I167" si="16">+D155-H155</f>
        <v>-9418.23</v>
      </c>
    </row>
    <row r="156" spans="1:9">
      <c r="A156" s="137" t="s">
        <v>4</v>
      </c>
      <c r="B156" s="315" t="s">
        <v>348</v>
      </c>
      <c r="C156" s="339">
        <v>30000</v>
      </c>
      <c r="D156" s="216"/>
      <c r="E156" s="139" t="str">
        <f t="shared" si="14"/>
        <v/>
      </c>
      <c r="F156" s="175">
        <f t="shared" si="15"/>
        <v>-30000</v>
      </c>
      <c r="H156" s="280">
        <f>300+21600</f>
        <v>21900</v>
      </c>
      <c r="I156" s="282">
        <f t="shared" si="16"/>
        <v>-21900</v>
      </c>
    </row>
    <row r="157" spans="1:9">
      <c r="A157" s="137" t="s">
        <v>11</v>
      </c>
      <c r="B157" s="315" t="s">
        <v>349</v>
      </c>
      <c r="C157" s="339">
        <v>200000</v>
      </c>
      <c r="D157" s="216"/>
      <c r="E157" s="139" t="str">
        <f t="shared" si="14"/>
        <v/>
      </c>
      <c r="F157" s="175">
        <f t="shared" si="15"/>
        <v>-200000</v>
      </c>
      <c r="H157" s="280">
        <v>21000</v>
      </c>
      <c r="I157" s="282">
        <f t="shared" si="16"/>
        <v>-21000</v>
      </c>
    </row>
    <row r="158" spans="1:9">
      <c r="A158" s="137" t="s">
        <v>12</v>
      </c>
      <c r="B158" s="315" t="s">
        <v>350</v>
      </c>
      <c r="C158" s="339">
        <v>1100000</v>
      </c>
      <c r="D158" s="216"/>
      <c r="E158" s="139" t="str">
        <f t="shared" si="14"/>
        <v/>
      </c>
      <c r="F158" s="175">
        <f t="shared" si="15"/>
        <v>-1100000</v>
      </c>
      <c r="H158" s="280">
        <v>72531</v>
      </c>
      <c r="I158" s="282">
        <f t="shared" si="16"/>
        <v>-72531</v>
      </c>
    </row>
    <row r="159" spans="1:9">
      <c r="A159" s="137" t="s">
        <v>28</v>
      </c>
      <c r="B159" s="315" t="s">
        <v>342</v>
      </c>
      <c r="C159" s="339">
        <v>120000</v>
      </c>
      <c r="D159" s="216"/>
      <c r="E159" s="139" t="str">
        <f t="shared" si="14"/>
        <v/>
      </c>
      <c r="F159" s="175">
        <f t="shared" si="15"/>
        <v>-120000</v>
      </c>
      <c r="I159" s="282">
        <f t="shared" si="16"/>
        <v>0</v>
      </c>
    </row>
    <row r="160" spans="1:9">
      <c r="A160" s="137" t="s">
        <v>37</v>
      </c>
      <c r="B160" s="315" t="s">
        <v>351</v>
      </c>
      <c r="C160" s="339">
        <v>6500000</v>
      </c>
      <c r="D160" s="216"/>
      <c r="E160" s="139" t="str">
        <f t="shared" si="14"/>
        <v/>
      </c>
      <c r="F160" s="175">
        <f t="shared" si="15"/>
        <v>-6500000</v>
      </c>
      <c r="H160" s="280">
        <v>505073</v>
      </c>
      <c r="I160" s="282">
        <f t="shared" si="16"/>
        <v>-505073</v>
      </c>
    </row>
    <row r="161" spans="1:10">
      <c r="A161" s="313" t="s">
        <v>85</v>
      </c>
      <c r="B161" s="338"/>
      <c r="C161" s="339"/>
      <c r="D161" s="216"/>
      <c r="E161" s="139"/>
      <c r="F161" s="175"/>
      <c r="I161" s="282"/>
    </row>
    <row r="162" spans="1:10" ht="13.5" customHeight="1">
      <c r="A162" s="313" t="s">
        <v>352</v>
      </c>
      <c r="B162" s="138" t="s">
        <v>256</v>
      </c>
      <c r="C162" s="339">
        <v>250000</v>
      </c>
      <c r="D162" s="215"/>
      <c r="E162" s="139" t="str">
        <f>IF((D162-C162)&gt;0,D162-C162,"")</f>
        <v/>
      </c>
      <c r="F162" s="175">
        <f>IF((D162-C162)&gt;0,"",D162-C162)</f>
        <v>-250000</v>
      </c>
      <c r="H162" s="280">
        <v>9658</v>
      </c>
      <c r="I162" s="282">
        <f>+D162-H162</f>
        <v>-9658</v>
      </c>
    </row>
    <row r="163" spans="1:10">
      <c r="A163" s="313" t="s">
        <v>353</v>
      </c>
      <c r="B163" s="138" t="s">
        <v>257</v>
      </c>
      <c r="C163" s="339">
        <v>50000</v>
      </c>
      <c r="D163" s="215"/>
      <c r="E163" s="139" t="str">
        <f t="shared" si="14"/>
        <v/>
      </c>
      <c r="F163" s="175">
        <f t="shared" si="15"/>
        <v>-50000</v>
      </c>
      <c r="H163" s="280">
        <v>6490</v>
      </c>
      <c r="I163" s="282">
        <f t="shared" si="16"/>
        <v>-6490</v>
      </c>
    </row>
    <row r="164" spans="1:10">
      <c r="A164" s="313" t="s">
        <v>354</v>
      </c>
      <c r="B164" s="138" t="s">
        <v>257</v>
      </c>
      <c r="C164" s="339">
        <v>250000</v>
      </c>
      <c r="D164" s="215"/>
      <c r="E164" s="139" t="str">
        <f t="shared" si="14"/>
        <v/>
      </c>
      <c r="F164" s="175">
        <f t="shared" si="15"/>
        <v>-250000</v>
      </c>
      <c r="H164" s="280">
        <v>9058</v>
      </c>
      <c r="I164" s="282">
        <f t="shared" si="16"/>
        <v>-9058</v>
      </c>
    </row>
    <row r="165" spans="1:10" s="321" customFormat="1">
      <c r="A165" s="352" t="s">
        <v>355</v>
      </c>
      <c r="B165" s="138" t="s">
        <v>259</v>
      </c>
      <c r="C165" s="339">
        <v>20000</v>
      </c>
      <c r="D165" s="221"/>
      <c r="E165" s="316" t="str">
        <f>IF((D165-C165)&gt;0,D165-C165,"")</f>
        <v/>
      </c>
      <c r="F165" s="318">
        <f>IF((D165-C165)&gt;0,"",D165-C165)</f>
        <v>-20000</v>
      </c>
      <c r="G165" s="319">
        <v>43933</v>
      </c>
      <c r="H165" s="320">
        <v>3260</v>
      </c>
      <c r="I165" s="25">
        <f t="shared" si="16"/>
        <v>-3260</v>
      </c>
    </row>
    <row r="166" spans="1:10" s="321" customFormat="1">
      <c r="A166" s="352" t="s">
        <v>356</v>
      </c>
      <c r="B166" s="138" t="s">
        <v>261</v>
      </c>
      <c r="C166" s="339">
        <v>25000</v>
      </c>
      <c r="D166" s="221"/>
      <c r="E166" s="316" t="str">
        <f t="shared" si="14"/>
        <v/>
      </c>
      <c r="F166" s="318">
        <f t="shared" si="15"/>
        <v>-25000</v>
      </c>
      <c r="H166" s="320">
        <v>2180</v>
      </c>
      <c r="I166" s="25">
        <f t="shared" si="16"/>
        <v>-2180</v>
      </c>
    </row>
    <row r="167" spans="1:10">
      <c r="A167" s="313" t="s">
        <v>92</v>
      </c>
      <c r="B167" s="147" t="s">
        <v>262</v>
      </c>
      <c r="C167" s="339">
        <v>25000</v>
      </c>
      <c r="D167" s="217"/>
      <c r="E167" s="139" t="str">
        <f t="shared" si="14"/>
        <v/>
      </c>
      <c r="F167" s="175">
        <f t="shared" si="15"/>
        <v>-25000</v>
      </c>
      <c r="H167" s="280">
        <v>2180</v>
      </c>
      <c r="I167" s="282">
        <f t="shared" si="16"/>
        <v>-2180</v>
      </c>
    </row>
    <row r="168" spans="1:10" ht="13.5" thickBot="1">
      <c r="A168" s="137"/>
      <c r="B168" s="147"/>
      <c r="C168" s="176">
        <f>SUM(C154:C167)</f>
        <v>16670000</v>
      </c>
      <c r="D168" s="172">
        <f>SUM(D154:D167)</f>
        <v>0</v>
      </c>
      <c r="E168" s="173">
        <f>SUM(E154:E167)</f>
        <v>0</v>
      </c>
      <c r="F168" s="177">
        <f>SUM(F154:F167)</f>
        <v>-16670000</v>
      </c>
      <c r="H168" s="292">
        <f>SUM(H154:H167)</f>
        <v>1420376.75</v>
      </c>
      <c r="I168" s="292">
        <f>SUM(I154:I167)</f>
        <v>-1420376.75</v>
      </c>
      <c r="J168" s="297"/>
    </row>
    <row r="169" spans="1:10" ht="13.5" thickTop="1">
      <c r="A169" s="146"/>
      <c r="B169" s="147"/>
      <c r="C169" s="153"/>
      <c r="D169" s="139"/>
      <c r="E169" s="140"/>
      <c r="F169" s="151"/>
      <c r="I169" s="282"/>
    </row>
    <row r="170" spans="1:10">
      <c r="A170" s="146" t="s">
        <v>357</v>
      </c>
      <c r="B170" s="315" t="s">
        <v>358</v>
      </c>
      <c r="C170" s="153"/>
      <c r="D170" s="160"/>
      <c r="E170" s="139"/>
      <c r="F170" s="151"/>
      <c r="H170" s="280" t="s">
        <v>192</v>
      </c>
      <c r="I170" s="282"/>
    </row>
    <row r="171" spans="1:10">
      <c r="A171" s="137" t="s">
        <v>13</v>
      </c>
      <c r="B171" s="315" t="s">
        <v>359</v>
      </c>
      <c r="C171" s="339">
        <v>12100000</v>
      </c>
      <c r="D171" s="218"/>
      <c r="E171" s="139" t="str">
        <f>IF((D171-C171)&gt;0,D171-C171,"")</f>
        <v/>
      </c>
      <c r="F171" s="175">
        <f>IF((D171-C171)&gt;0,"",D171-C171)</f>
        <v>-12100000</v>
      </c>
      <c r="H171" s="280">
        <v>1024740</v>
      </c>
      <c r="I171" s="282">
        <f>+D171-H171</f>
        <v>-1024740</v>
      </c>
    </row>
    <row r="172" spans="1:10">
      <c r="A172" s="137" t="s">
        <v>14</v>
      </c>
      <c r="B172" s="315" t="s">
        <v>360</v>
      </c>
      <c r="C172" s="339">
        <v>2000000</v>
      </c>
      <c r="D172" s="218"/>
      <c r="E172" s="139" t="str">
        <f t="shared" ref="E172:E184" si="17">IF((D172-C172)&gt;0,D172-C172,"")</f>
        <v/>
      </c>
      <c r="F172" s="175">
        <f t="shared" ref="F172:F184" si="18">IF((D172-C172)&gt;0,"",D172-C172)</f>
        <v>-2000000</v>
      </c>
      <c r="H172" s="280">
        <v>157270</v>
      </c>
      <c r="I172" s="282">
        <f t="shared" ref="I172:I184" si="19">+D172-H172</f>
        <v>-157270</v>
      </c>
    </row>
    <row r="173" spans="1:10">
      <c r="A173" s="137" t="s">
        <v>8</v>
      </c>
      <c r="B173" s="315" t="s">
        <v>361</v>
      </c>
      <c r="C173" s="339">
        <v>2626000</v>
      </c>
      <c r="D173" s="219"/>
      <c r="E173" s="139" t="str">
        <f t="shared" si="17"/>
        <v/>
      </c>
      <c r="F173" s="175">
        <f t="shared" si="18"/>
        <v>-2626000</v>
      </c>
      <c r="H173" s="280">
        <v>334433.96999999997</v>
      </c>
      <c r="I173" s="282">
        <f t="shared" si="19"/>
        <v>-334433.96999999997</v>
      </c>
    </row>
    <row r="174" spans="1:10">
      <c r="A174" s="137" t="s">
        <v>15</v>
      </c>
      <c r="B174" s="315" t="s">
        <v>362</v>
      </c>
      <c r="C174" s="339">
        <v>3000000</v>
      </c>
      <c r="D174" s="219"/>
      <c r="E174" s="139" t="str">
        <f t="shared" si="17"/>
        <v/>
      </c>
      <c r="F174" s="175">
        <f t="shared" si="18"/>
        <v>-3000000</v>
      </c>
      <c r="H174" s="280">
        <v>266606</v>
      </c>
      <c r="I174" s="282">
        <f t="shared" si="19"/>
        <v>-266606</v>
      </c>
    </row>
    <row r="175" spans="1:10">
      <c r="A175" s="137" t="s">
        <v>4</v>
      </c>
      <c r="B175" s="315" t="s">
        <v>363</v>
      </c>
      <c r="C175" s="339">
        <v>100000</v>
      </c>
      <c r="D175" s="218"/>
      <c r="E175" s="139" t="str">
        <f t="shared" si="17"/>
        <v/>
      </c>
      <c r="F175" s="175">
        <f t="shared" si="18"/>
        <v>-100000</v>
      </c>
      <c r="H175" s="280">
        <v>14700</v>
      </c>
      <c r="I175" s="282">
        <f t="shared" si="19"/>
        <v>-14700</v>
      </c>
    </row>
    <row r="176" spans="1:10">
      <c r="A176" s="137" t="s">
        <v>16</v>
      </c>
      <c r="B176" s="315" t="s">
        <v>364</v>
      </c>
      <c r="C176" s="339">
        <v>60000</v>
      </c>
      <c r="D176" s="218"/>
      <c r="E176" s="139" t="str">
        <f t="shared" si="17"/>
        <v/>
      </c>
      <c r="F176" s="175">
        <f t="shared" si="18"/>
        <v>-60000</v>
      </c>
      <c r="H176" s="280">
        <v>1000</v>
      </c>
      <c r="I176" s="282">
        <f t="shared" si="19"/>
        <v>-1000</v>
      </c>
    </row>
    <row r="177" spans="1:9">
      <c r="A177" s="137" t="s">
        <v>106</v>
      </c>
      <c r="B177" s="315" t="s">
        <v>365</v>
      </c>
      <c r="C177" s="339">
        <v>60000</v>
      </c>
      <c r="D177" s="218"/>
      <c r="E177" s="139" t="str">
        <f t="shared" si="17"/>
        <v/>
      </c>
      <c r="F177" s="175">
        <f t="shared" si="18"/>
        <v>-60000</v>
      </c>
      <c r="H177" s="280">
        <v>23773.7</v>
      </c>
      <c r="I177" s="282">
        <f t="shared" si="19"/>
        <v>-23773.7</v>
      </c>
    </row>
    <row r="178" spans="1:9">
      <c r="A178" s="137" t="s">
        <v>173</v>
      </c>
      <c r="B178" s="315" t="s">
        <v>366</v>
      </c>
      <c r="C178" s="339">
        <v>300000</v>
      </c>
      <c r="D178" s="218"/>
      <c r="E178" s="139" t="str">
        <f t="shared" si="17"/>
        <v/>
      </c>
      <c r="F178" s="175">
        <f t="shared" si="18"/>
        <v>-300000</v>
      </c>
      <c r="H178" s="280">
        <v>289950</v>
      </c>
      <c r="I178" s="282">
        <f t="shared" si="19"/>
        <v>-289950</v>
      </c>
    </row>
    <row r="179" spans="1:9">
      <c r="A179" s="313" t="s">
        <v>85</v>
      </c>
      <c r="B179" s="338"/>
      <c r="C179" s="339"/>
      <c r="D179" s="218"/>
      <c r="E179" s="139"/>
      <c r="F179" s="175"/>
      <c r="I179" s="282"/>
    </row>
    <row r="180" spans="1:9">
      <c r="A180" s="137" t="s">
        <v>89</v>
      </c>
      <c r="B180" s="138" t="s">
        <v>256</v>
      </c>
      <c r="C180" s="339">
        <v>700000</v>
      </c>
      <c r="D180" s="218"/>
      <c r="E180" s="139" t="str">
        <f t="shared" si="17"/>
        <v/>
      </c>
      <c r="F180" s="175">
        <f t="shared" si="18"/>
        <v>-700000</v>
      </c>
      <c r="H180" s="280">
        <v>77206</v>
      </c>
      <c r="I180" s="282">
        <f t="shared" si="19"/>
        <v>-77206</v>
      </c>
    </row>
    <row r="181" spans="1:9">
      <c r="A181" s="137" t="s">
        <v>172</v>
      </c>
      <c r="B181" s="138" t="s">
        <v>257</v>
      </c>
      <c r="C181" s="339">
        <v>600000</v>
      </c>
      <c r="D181" s="218"/>
      <c r="E181" s="139" t="str">
        <f t="shared" si="17"/>
        <v/>
      </c>
      <c r="F181" s="175">
        <f t="shared" si="18"/>
        <v>-600000</v>
      </c>
      <c r="H181" s="280">
        <v>63403</v>
      </c>
      <c r="I181" s="282">
        <f t="shared" si="19"/>
        <v>-63403</v>
      </c>
    </row>
    <row r="182" spans="1:9">
      <c r="A182" s="137" t="s">
        <v>91</v>
      </c>
      <c r="B182" s="138" t="s">
        <v>259</v>
      </c>
      <c r="C182" s="339">
        <v>50000</v>
      </c>
      <c r="D182" s="218"/>
      <c r="E182" s="139" t="str">
        <f t="shared" si="17"/>
        <v/>
      </c>
      <c r="F182" s="175">
        <f t="shared" si="18"/>
        <v>-50000</v>
      </c>
      <c r="H182" s="280">
        <v>26651</v>
      </c>
      <c r="I182" s="282">
        <f t="shared" si="19"/>
        <v>-26651</v>
      </c>
    </row>
    <row r="183" spans="1:9">
      <c r="A183" s="137" t="s">
        <v>255</v>
      </c>
      <c r="B183" s="154" t="s">
        <v>261</v>
      </c>
      <c r="C183" s="339">
        <v>50000</v>
      </c>
      <c r="D183" s="218"/>
      <c r="E183" s="139" t="str">
        <f t="shared" si="17"/>
        <v/>
      </c>
      <c r="F183" s="175">
        <f t="shared" si="18"/>
        <v>-50000</v>
      </c>
      <c r="H183" s="280">
        <v>26500</v>
      </c>
      <c r="I183" s="282">
        <f t="shared" si="19"/>
        <v>-26500</v>
      </c>
    </row>
    <row r="184" spans="1:9">
      <c r="A184" s="137" t="s">
        <v>263</v>
      </c>
      <c r="B184" s="138" t="s">
        <v>262</v>
      </c>
      <c r="C184" s="339">
        <v>50000</v>
      </c>
      <c r="D184" s="218"/>
      <c r="E184" s="139" t="str">
        <f t="shared" si="17"/>
        <v/>
      </c>
      <c r="F184" s="175">
        <f t="shared" si="18"/>
        <v>-50000</v>
      </c>
      <c r="H184" s="280">
        <v>26500</v>
      </c>
      <c r="I184" s="282">
        <f t="shared" si="19"/>
        <v>-26500</v>
      </c>
    </row>
    <row r="185" spans="1:9" ht="13.5" thickBot="1">
      <c r="A185" s="155" t="s">
        <v>17</v>
      </c>
      <c r="B185" s="166"/>
      <c r="C185" s="178">
        <f>SUM(C171:C184)</f>
        <v>21696000</v>
      </c>
      <c r="D185" s="179">
        <f>SUM(D171:D184)</f>
        <v>0</v>
      </c>
      <c r="E185" s="178">
        <f>SUM(E171:E184)</f>
        <v>0</v>
      </c>
      <c r="F185" s="180">
        <f>SUM(F171:F184)</f>
        <v>-21696000</v>
      </c>
      <c r="H185" s="292">
        <f>SUM(H171:H184)</f>
        <v>2332733.67</v>
      </c>
      <c r="I185" s="292">
        <f>SUM(I171:I184)</f>
        <v>-2332733.67</v>
      </c>
    </row>
    <row r="186" spans="1:9" s="298" customFormat="1" ht="5.25" customHeight="1">
      <c r="A186" s="312"/>
      <c r="B186" s="159"/>
      <c r="C186" s="209"/>
      <c r="D186" s="209"/>
      <c r="E186" s="209"/>
      <c r="F186" s="184"/>
      <c r="H186" s="299"/>
      <c r="I186" s="282"/>
    </row>
    <row r="187" spans="1:9" s="298" customFormat="1" ht="11.25" customHeight="1" thickBot="1">
      <c r="A187" s="224"/>
      <c r="B187" s="156"/>
      <c r="C187" s="208"/>
      <c r="D187" s="208"/>
      <c r="E187" s="208"/>
      <c r="F187" s="309"/>
      <c r="H187" s="299"/>
      <c r="I187" s="282"/>
    </row>
    <row r="188" spans="1:9" ht="11.25" customHeight="1">
      <c r="A188" s="132" t="s">
        <v>368</v>
      </c>
      <c r="B188" s="315" t="s">
        <v>369</v>
      </c>
      <c r="C188" s="181"/>
      <c r="D188" s="182"/>
      <c r="E188" s="183"/>
      <c r="F188" s="184"/>
      <c r="I188" s="282"/>
    </row>
    <row r="189" spans="1:9">
      <c r="A189" s="137" t="s">
        <v>18</v>
      </c>
      <c r="B189" s="315" t="s">
        <v>370</v>
      </c>
      <c r="C189" s="353">
        <v>1400000</v>
      </c>
      <c r="D189" s="216"/>
      <c r="E189" s="139" t="str">
        <f>IF((D189-C189)&gt;0,D189-C189,"")</f>
        <v/>
      </c>
      <c r="F189" s="175">
        <f>IF((D189-C189)&gt;0,"",D189-C189)</f>
        <v>-1400000</v>
      </c>
      <c r="I189" s="282">
        <f>+D189-H189</f>
        <v>0</v>
      </c>
    </row>
    <row r="190" spans="1:9">
      <c r="A190" s="137" t="s">
        <v>121</v>
      </c>
      <c r="B190" s="315" t="s">
        <v>371</v>
      </c>
      <c r="C190" s="339">
        <v>650000</v>
      </c>
      <c r="D190" s="216"/>
      <c r="E190" s="139" t="str">
        <f t="shared" ref="E190:E202" si="20">IF((D190-C190)&gt;0,D190-C190,"")</f>
        <v/>
      </c>
      <c r="F190" s="175">
        <f t="shared" ref="F190:F202" si="21">IF((D190-C190)&gt;0,"",D190-C190)</f>
        <v>-650000</v>
      </c>
      <c r="I190" s="282">
        <f t="shared" ref="I190:I200" si="22">+D190-H190</f>
        <v>0</v>
      </c>
    </row>
    <row r="191" spans="1:9">
      <c r="A191" s="137" t="s">
        <v>122</v>
      </c>
      <c r="B191" s="315" t="s">
        <v>372</v>
      </c>
      <c r="C191" s="339">
        <v>280000</v>
      </c>
      <c r="D191" s="216"/>
      <c r="E191" s="139" t="str">
        <f t="shared" si="20"/>
        <v/>
      </c>
      <c r="F191" s="175">
        <f t="shared" si="21"/>
        <v>-280000</v>
      </c>
      <c r="I191" s="282">
        <f t="shared" si="22"/>
        <v>0</v>
      </c>
    </row>
    <row r="192" spans="1:9">
      <c r="A192" s="137" t="s">
        <v>19</v>
      </c>
      <c r="B192" s="315" t="s">
        <v>373</v>
      </c>
      <c r="C192" s="339">
        <v>1400000</v>
      </c>
      <c r="D192" s="216"/>
      <c r="E192" s="139" t="str">
        <f t="shared" si="20"/>
        <v/>
      </c>
      <c r="F192" s="175">
        <f t="shared" si="21"/>
        <v>-1400000</v>
      </c>
      <c r="I192" s="282">
        <f t="shared" si="22"/>
        <v>0</v>
      </c>
    </row>
    <row r="193" spans="1:10">
      <c r="A193" s="171" t="s">
        <v>20</v>
      </c>
      <c r="B193" s="315" t="s">
        <v>374</v>
      </c>
      <c r="C193" s="347">
        <v>790000</v>
      </c>
      <c r="D193" s="220"/>
      <c r="E193" s="139" t="str">
        <f t="shared" si="20"/>
        <v/>
      </c>
      <c r="F193" s="175">
        <f t="shared" si="21"/>
        <v>-790000</v>
      </c>
      <c r="H193" s="280">
        <v>61255</v>
      </c>
      <c r="I193" s="282">
        <f t="shared" si="22"/>
        <v>-61255</v>
      </c>
    </row>
    <row r="194" spans="1:10">
      <c r="A194" s="137" t="s">
        <v>9</v>
      </c>
      <c r="B194" s="315" t="s">
        <v>375</v>
      </c>
      <c r="C194" s="339">
        <v>120000</v>
      </c>
      <c r="D194" s="216"/>
      <c r="E194" s="139" t="str">
        <f t="shared" si="20"/>
        <v/>
      </c>
      <c r="F194" s="175">
        <f t="shared" si="21"/>
        <v>-120000</v>
      </c>
      <c r="H194" s="280">
        <v>9532</v>
      </c>
      <c r="I194" s="282">
        <f t="shared" si="22"/>
        <v>-9532</v>
      </c>
    </row>
    <row r="195" spans="1:10">
      <c r="A195" s="137" t="s">
        <v>4</v>
      </c>
      <c r="B195" s="315" t="s">
        <v>376</v>
      </c>
      <c r="C195" s="339">
        <v>720000</v>
      </c>
      <c r="D195" s="216"/>
      <c r="E195" s="139" t="str">
        <f t="shared" si="20"/>
        <v/>
      </c>
      <c r="F195" s="175">
        <f t="shared" si="21"/>
        <v>-720000</v>
      </c>
      <c r="H195" s="280">
        <f>19400+37900</f>
        <v>57300</v>
      </c>
      <c r="I195" s="282">
        <f t="shared" si="22"/>
        <v>-57300</v>
      </c>
    </row>
    <row r="196" spans="1:10">
      <c r="A196" s="313" t="s">
        <v>377</v>
      </c>
      <c r="B196" s="315" t="s">
        <v>378</v>
      </c>
      <c r="C196" s="339">
        <v>620000</v>
      </c>
      <c r="D196" s="216"/>
      <c r="E196" s="139" t="str">
        <f t="shared" si="20"/>
        <v/>
      </c>
      <c r="F196" s="175">
        <f t="shared" si="21"/>
        <v>-620000</v>
      </c>
      <c r="H196" s="280">
        <v>49045</v>
      </c>
      <c r="I196" s="282">
        <f t="shared" si="22"/>
        <v>-49045</v>
      </c>
    </row>
    <row r="197" spans="1:10">
      <c r="A197" s="313" t="s">
        <v>85</v>
      </c>
      <c r="B197" s="338"/>
      <c r="C197" s="339"/>
      <c r="D197" s="216"/>
      <c r="E197" s="139"/>
      <c r="F197" s="175"/>
      <c r="I197" s="282"/>
    </row>
    <row r="198" spans="1:10">
      <c r="A198" s="137" t="s">
        <v>89</v>
      </c>
      <c r="B198" s="138" t="s">
        <v>256</v>
      </c>
      <c r="C198" s="339">
        <v>5000</v>
      </c>
      <c r="D198" s="160"/>
      <c r="E198" s="139" t="str">
        <f t="shared" si="20"/>
        <v/>
      </c>
      <c r="F198" s="175">
        <f t="shared" si="21"/>
        <v>-5000</v>
      </c>
      <c r="H198" s="280">
        <v>10821</v>
      </c>
      <c r="I198" s="282">
        <f t="shared" si="22"/>
        <v>-10821</v>
      </c>
      <c r="J198" s="286">
        <f>+I198+I218</f>
        <v>-24554</v>
      </c>
    </row>
    <row r="199" spans="1:10">
      <c r="A199" s="137" t="s">
        <v>172</v>
      </c>
      <c r="B199" s="138" t="s">
        <v>257</v>
      </c>
      <c r="C199" s="339">
        <v>140000</v>
      </c>
      <c r="D199" s="153"/>
      <c r="E199" s="139" t="str">
        <f t="shared" si="20"/>
        <v/>
      </c>
      <c r="F199" s="175">
        <f t="shared" si="21"/>
        <v>-140000</v>
      </c>
      <c r="H199" s="280">
        <v>150</v>
      </c>
      <c r="I199" s="282">
        <f t="shared" si="22"/>
        <v>-150</v>
      </c>
      <c r="J199" s="286">
        <f>+I199+I219</f>
        <v>-5484</v>
      </c>
    </row>
    <row r="200" spans="1:10">
      <c r="A200" s="137" t="s">
        <v>91</v>
      </c>
      <c r="B200" s="138" t="s">
        <v>259</v>
      </c>
      <c r="C200" s="339">
        <v>65000</v>
      </c>
      <c r="D200" s="153"/>
      <c r="E200" s="139" t="str">
        <f t="shared" si="20"/>
        <v/>
      </c>
      <c r="F200" s="175">
        <f t="shared" si="21"/>
        <v>-65000</v>
      </c>
      <c r="H200" s="280">
        <v>5251</v>
      </c>
      <c r="I200" s="282">
        <f t="shared" si="22"/>
        <v>-5251</v>
      </c>
      <c r="J200" s="286">
        <f>+I200+I220</f>
        <v>-8173</v>
      </c>
    </row>
    <row r="201" spans="1:10">
      <c r="A201" s="137" t="s">
        <v>255</v>
      </c>
      <c r="B201" s="154" t="s">
        <v>261</v>
      </c>
      <c r="C201" s="339">
        <v>10000</v>
      </c>
      <c r="D201" s="140"/>
      <c r="E201" s="139" t="str">
        <f t="shared" si="20"/>
        <v/>
      </c>
      <c r="F201" s="175">
        <f t="shared" si="21"/>
        <v>-10000</v>
      </c>
      <c r="G201" s="288">
        <v>46889</v>
      </c>
      <c r="I201" s="282">
        <f>+G201-H201</f>
        <v>46889</v>
      </c>
      <c r="J201" s="286">
        <f>+I201+I221</f>
        <v>45969</v>
      </c>
    </row>
    <row r="202" spans="1:10">
      <c r="A202" s="137" t="s">
        <v>263</v>
      </c>
      <c r="B202" s="138" t="s">
        <v>262</v>
      </c>
      <c r="C202" s="354">
        <v>10000</v>
      </c>
      <c r="D202" s="140"/>
      <c r="E202" s="139" t="str">
        <f t="shared" si="20"/>
        <v/>
      </c>
      <c r="F202" s="175">
        <f t="shared" si="21"/>
        <v>-10000</v>
      </c>
      <c r="G202" s="288">
        <v>9210</v>
      </c>
      <c r="I202" s="282">
        <f>+G202-H202</f>
        <v>9210</v>
      </c>
      <c r="J202" s="286">
        <f>+I202+I222</f>
        <v>8290</v>
      </c>
    </row>
    <row r="203" spans="1:10" ht="13.5" thickBot="1">
      <c r="A203" s="137"/>
      <c r="B203" s="147"/>
      <c r="C203" s="172">
        <f>SUM(C189:C202)</f>
        <v>6210000</v>
      </c>
      <c r="D203" s="172">
        <f>SUM(D189:D202)</f>
        <v>0</v>
      </c>
      <c r="E203" s="172">
        <f>SUM(E189:E202)</f>
        <v>0</v>
      </c>
      <c r="F203" s="174">
        <f>SUM(F189:F202)</f>
        <v>-6210000</v>
      </c>
      <c r="G203" s="288">
        <v>16391</v>
      </c>
      <c r="H203" s="292">
        <f>SUM(H189:H202)</f>
        <v>193354</v>
      </c>
      <c r="I203" s="282">
        <f>+G203-H203</f>
        <v>-176963</v>
      </c>
    </row>
    <row r="204" spans="1:10" ht="0.75" customHeight="1" thickTop="1">
      <c r="A204" s="137"/>
      <c r="B204" s="147"/>
      <c r="C204" s="153"/>
      <c r="D204" s="139"/>
      <c r="E204" s="140"/>
      <c r="F204" s="175"/>
      <c r="G204" s="288">
        <v>3120</v>
      </c>
      <c r="I204" s="282">
        <f>+G204-H204</f>
        <v>3120</v>
      </c>
    </row>
    <row r="205" spans="1:10" ht="12" customHeight="1">
      <c r="A205" s="146" t="s">
        <v>367</v>
      </c>
      <c r="B205" s="147"/>
      <c r="C205" s="153"/>
      <c r="D205" s="160"/>
      <c r="E205" s="139"/>
      <c r="F205" s="175"/>
      <c r="G205" s="288">
        <v>3120</v>
      </c>
      <c r="I205" s="282">
        <f>+G205-H205</f>
        <v>3120</v>
      </c>
    </row>
    <row r="206" spans="1:10">
      <c r="A206" s="137" t="s">
        <v>21</v>
      </c>
      <c r="B206" s="315" t="s">
        <v>379</v>
      </c>
      <c r="C206" s="339">
        <v>85000</v>
      </c>
      <c r="D206" s="216"/>
      <c r="E206" s="139" t="str">
        <f>IF((D206-C206)&gt;0,D206-C206,"")</f>
        <v/>
      </c>
      <c r="F206" s="175">
        <f>IF((D206-C206)&gt;0,"",D206-C206)</f>
        <v>-85000</v>
      </c>
      <c r="H206" s="280">
        <v>6052</v>
      </c>
      <c r="I206" s="282">
        <f>+D206-H206</f>
        <v>-6052</v>
      </c>
    </row>
    <row r="207" spans="1:10">
      <c r="A207" s="137" t="s">
        <v>22</v>
      </c>
      <c r="B207" s="315" t="s">
        <v>380</v>
      </c>
      <c r="C207" s="339">
        <v>400000</v>
      </c>
      <c r="D207" s="216"/>
      <c r="E207" s="139" t="str">
        <f t="shared" ref="E207:E222" si="23">IF((D207-C207)&gt;0,D207-C207,"")</f>
        <v/>
      </c>
      <c r="F207" s="175">
        <f t="shared" ref="F207:F222" si="24">IF((D207-C207)&gt;0,"",D207-C207)</f>
        <v>-400000</v>
      </c>
      <c r="H207" s="280">
        <v>26885</v>
      </c>
      <c r="I207" s="282">
        <f t="shared" ref="I207:I222" si="25">+D207-H207</f>
        <v>-26885</v>
      </c>
    </row>
    <row r="208" spans="1:10">
      <c r="A208" s="137" t="s">
        <v>7</v>
      </c>
      <c r="B208" s="315" t="s">
        <v>381</v>
      </c>
      <c r="C208" s="339">
        <v>300000</v>
      </c>
      <c r="D208" s="216"/>
      <c r="E208" s="139" t="str">
        <f t="shared" si="23"/>
        <v/>
      </c>
      <c r="F208" s="175">
        <f t="shared" si="24"/>
        <v>-300000</v>
      </c>
      <c r="H208" s="280">
        <v>12795</v>
      </c>
      <c r="I208" s="282">
        <f t="shared" si="25"/>
        <v>-12795</v>
      </c>
    </row>
    <row r="209" spans="1:10">
      <c r="A209" s="137" t="s">
        <v>23</v>
      </c>
      <c r="B209" s="315" t="s">
        <v>382</v>
      </c>
      <c r="C209" s="339">
        <v>270000</v>
      </c>
      <c r="D209" s="216"/>
      <c r="E209" s="139" t="str">
        <f t="shared" si="23"/>
        <v/>
      </c>
      <c r="F209" s="175">
        <f t="shared" si="24"/>
        <v>-270000</v>
      </c>
      <c r="H209" s="280">
        <v>27310.5</v>
      </c>
      <c r="I209" s="282">
        <f t="shared" si="25"/>
        <v>-27310.5</v>
      </c>
    </row>
    <row r="210" spans="1:10">
      <c r="A210" s="137" t="s">
        <v>24</v>
      </c>
      <c r="B210" s="315" t="s">
        <v>383</v>
      </c>
      <c r="C210" s="339">
        <v>130000</v>
      </c>
      <c r="D210" s="216"/>
      <c r="E210" s="139" t="str">
        <f t="shared" si="23"/>
        <v/>
      </c>
      <c r="F210" s="175">
        <f t="shared" si="24"/>
        <v>-130000</v>
      </c>
      <c r="H210" s="280">
        <v>12027.75</v>
      </c>
      <c r="I210" s="282">
        <f t="shared" si="25"/>
        <v>-12027.75</v>
      </c>
    </row>
    <row r="211" spans="1:10">
      <c r="A211" s="137" t="s">
        <v>4</v>
      </c>
      <c r="B211" s="315" t="s">
        <v>384</v>
      </c>
      <c r="C211" s="339">
        <v>60000</v>
      </c>
      <c r="D211" s="216"/>
      <c r="E211" s="139" t="str">
        <f t="shared" si="23"/>
        <v/>
      </c>
      <c r="F211" s="175">
        <f t="shared" si="24"/>
        <v>-60000</v>
      </c>
      <c r="H211" s="280">
        <f>600+8800+313.43</f>
        <v>9713.43</v>
      </c>
      <c r="I211" s="282">
        <f t="shared" si="25"/>
        <v>-9713.43</v>
      </c>
    </row>
    <row r="212" spans="1:10">
      <c r="A212" s="137" t="s">
        <v>25</v>
      </c>
      <c r="B212" s="315" t="s">
        <v>385</v>
      </c>
      <c r="C212" s="339">
        <v>900000</v>
      </c>
      <c r="D212" s="216"/>
      <c r="E212" s="139" t="str">
        <f t="shared" si="23"/>
        <v/>
      </c>
      <c r="F212" s="175">
        <f t="shared" si="24"/>
        <v>-900000</v>
      </c>
      <c r="G212" s="298"/>
      <c r="H212" s="299">
        <v>79860</v>
      </c>
      <c r="I212" s="282">
        <f t="shared" si="25"/>
        <v>-79860</v>
      </c>
    </row>
    <row r="213" spans="1:10">
      <c r="A213" s="137" t="s">
        <v>29</v>
      </c>
      <c r="B213" s="315" t="s">
        <v>386</v>
      </c>
      <c r="C213" s="339">
        <v>40000</v>
      </c>
      <c r="D213" s="216"/>
      <c r="E213" s="139" t="str">
        <f t="shared" si="23"/>
        <v/>
      </c>
      <c r="F213" s="175">
        <f t="shared" si="24"/>
        <v>-40000</v>
      </c>
      <c r="G213" s="298"/>
      <c r="H213" s="299">
        <v>3255</v>
      </c>
      <c r="I213" s="282">
        <f t="shared" si="25"/>
        <v>-3255</v>
      </c>
    </row>
    <row r="214" spans="1:10">
      <c r="A214" s="313" t="s">
        <v>388</v>
      </c>
      <c r="B214" s="315" t="s">
        <v>387</v>
      </c>
      <c r="C214" s="339">
        <v>23170</v>
      </c>
      <c r="D214" s="216"/>
      <c r="E214" s="139" t="str">
        <f t="shared" si="23"/>
        <v/>
      </c>
      <c r="F214" s="175">
        <f t="shared" si="24"/>
        <v>-23170</v>
      </c>
      <c r="G214" s="298"/>
      <c r="H214" s="299">
        <v>42000</v>
      </c>
      <c r="I214" s="282">
        <f t="shared" si="25"/>
        <v>-42000</v>
      </c>
    </row>
    <row r="215" spans="1:10">
      <c r="A215" s="137" t="s">
        <v>8</v>
      </c>
      <c r="B215" s="315" t="s">
        <v>389</v>
      </c>
      <c r="C215" s="339">
        <v>115500</v>
      </c>
      <c r="D215" s="311"/>
      <c r="E215" s="139" t="str">
        <f t="shared" si="23"/>
        <v/>
      </c>
      <c r="F215" s="175">
        <f t="shared" si="24"/>
        <v>-115500</v>
      </c>
      <c r="G215" s="298"/>
      <c r="H215" s="299">
        <v>12328.2</v>
      </c>
      <c r="I215" s="282">
        <f t="shared" si="25"/>
        <v>-12328.2</v>
      </c>
    </row>
    <row r="216" spans="1:10">
      <c r="A216" s="137" t="s">
        <v>38</v>
      </c>
      <c r="B216" s="315" t="s">
        <v>390</v>
      </c>
      <c r="C216" s="339">
        <v>65000</v>
      </c>
      <c r="D216" s="153"/>
      <c r="E216" s="139" t="str">
        <f t="shared" si="23"/>
        <v/>
      </c>
      <c r="F216" s="175">
        <f t="shared" si="24"/>
        <v>-65000</v>
      </c>
      <c r="G216" s="298"/>
      <c r="H216" s="299">
        <v>5445</v>
      </c>
      <c r="I216" s="282">
        <f t="shared" si="25"/>
        <v>-5445</v>
      </c>
    </row>
    <row r="217" spans="1:10">
      <c r="A217" s="137" t="s">
        <v>85</v>
      </c>
      <c r="B217" s="338"/>
      <c r="C217" s="339"/>
      <c r="D217" s="153"/>
      <c r="E217" s="139"/>
      <c r="F217" s="175"/>
      <c r="G217" s="298"/>
      <c r="H217" s="299"/>
      <c r="I217" s="282"/>
    </row>
    <row r="218" spans="1:10">
      <c r="A218" s="137" t="s">
        <v>89</v>
      </c>
      <c r="B218" s="138" t="s">
        <v>256</v>
      </c>
      <c r="C218" s="339">
        <v>40000</v>
      </c>
      <c r="D218" s="216"/>
      <c r="E218" s="139" t="str">
        <f t="shared" si="23"/>
        <v/>
      </c>
      <c r="F218" s="175">
        <f t="shared" si="24"/>
        <v>-40000</v>
      </c>
      <c r="G218" s="298"/>
      <c r="H218" s="299">
        <v>13733</v>
      </c>
      <c r="I218" s="282">
        <f t="shared" si="25"/>
        <v>-13733</v>
      </c>
      <c r="J218" s="286">
        <f>+I218+I198</f>
        <v>-24554</v>
      </c>
    </row>
    <row r="219" spans="1:10">
      <c r="A219" s="137" t="s">
        <v>172</v>
      </c>
      <c r="B219" s="138" t="s">
        <v>257</v>
      </c>
      <c r="C219" s="339">
        <v>120000</v>
      </c>
      <c r="D219" s="216"/>
      <c r="E219" s="139" t="str">
        <f t="shared" si="23"/>
        <v/>
      </c>
      <c r="F219" s="175">
        <f t="shared" si="24"/>
        <v>-120000</v>
      </c>
      <c r="G219" s="298"/>
      <c r="H219" s="299">
        <v>5334</v>
      </c>
      <c r="I219" s="282">
        <f t="shared" si="25"/>
        <v>-5334</v>
      </c>
      <c r="J219" s="286">
        <f>+I219+I199</f>
        <v>-5484</v>
      </c>
    </row>
    <row r="220" spans="1:10">
      <c r="A220" s="137" t="s">
        <v>91</v>
      </c>
      <c r="B220" s="138" t="s">
        <v>259</v>
      </c>
      <c r="C220" s="339">
        <v>30000</v>
      </c>
      <c r="D220" s="153"/>
      <c r="E220" s="139" t="str">
        <f t="shared" si="23"/>
        <v/>
      </c>
      <c r="F220" s="175">
        <f t="shared" si="24"/>
        <v>-30000</v>
      </c>
      <c r="G220" s="298"/>
      <c r="H220" s="299">
        <v>2922</v>
      </c>
      <c r="I220" s="282">
        <f t="shared" si="25"/>
        <v>-2922</v>
      </c>
      <c r="J220" s="286">
        <f>+I220+I200</f>
        <v>-8173</v>
      </c>
    </row>
    <row r="221" spans="1:10">
      <c r="A221" s="137"/>
      <c r="B221" s="138"/>
      <c r="C221" s="139"/>
      <c r="D221" s="153"/>
      <c r="E221" s="139" t="str">
        <f t="shared" si="23"/>
        <v/>
      </c>
      <c r="F221" s="175">
        <f t="shared" si="24"/>
        <v>0</v>
      </c>
      <c r="G221" s="298"/>
      <c r="H221" s="299">
        <v>920</v>
      </c>
      <c r="I221" s="282">
        <f t="shared" si="25"/>
        <v>-920</v>
      </c>
      <c r="J221" s="286">
        <f>+I221+I201</f>
        <v>45969</v>
      </c>
    </row>
    <row r="222" spans="1:10">
      <c r="A222" s="137"/>
      <c r="B222" s="147"/>
      <c r="C222" s="185"/>
      <c r="D222" s="140"/>
      <c r="E222" s="139" t="str">
        <f t="shared" si="23"/>
        <v/>
      </c>
      <c r="F222" s="175">
        <f t="shared" si="24"/>
        <v>0</v>
      </c>
      <c r="G222" s="298"/>
      <c r="H222" s="299">
        <v>920</v>
      </c>
      <c r="I222" s="282">
        <f t="shared" si="25"/>
        <v>-920</v>
      </c>
      <c r="J222" s="286">
        <f>+I222+I202</f>
        <v>8290</v>
      </c>
    </row>
    <row r="223" spans="1:10" ht="13.5" thickBot="1">
      <c r="A223" s="137" t="s">
        <v>17</v>
      </c>
      <c r="B223" s="147"/>
      <c r="C223" s="172">
        <f>SUM(C206:C222)</f>
        <v>2578670</v>
      </c>
      <c r="D223" s="172">
        <f>SUM(D206:D222)</f>
        <v>0</v>
      </c>
      <c r="E223" s="172">
        <f>SUM(E206:E222)</f>
        <v>0</v>
      </c>
      <c r="F223" s="174">
        <f>SUM(F206:F222)</f>
        <v>-2578670</v>
      </c>
      <c r="G223" s="298"/>
      <c r="H223" s="292">
        <f>SUM(H206:H222)</f>
        <v>261500.88</v>
      </c>
      <c r="I223" s="292">
        <f>SUM(I206:I222)</f>
        <v>-261500.88</v>
      </c>
    </row>
    <row r="224" spans="1:10" ht="13.5" thickTop="1">
      <c r="A224" s="146" t="s">
        <v>391</v>
      </c>
      <c r="B224" s="315" t="s">
        <v>392</v>
      </c>
      <c r="C224" s="186"/>
      <c r="D224" s="215"/>
      <c r="E224" s="163"/>
      <c r="F224" s="175"/>
      <c r="G224" s="298"/>
    </row>
    <row r="225" spans="1:10">
      <c r="A225" s="137" t="s">
        <v>27</v>
      </c>
      <c r="B225" s="315" t="s">
        <v>393</v>
      </c>
      <c r="C225" s="339">
        <v>3500000</v>
      </c>
      <c r="D225" s="215"/>
      <c r="E225" s="139" t="str">
        <f>IF((D225-C225)&gt;0,D225-C225,"")</f>
        <v/>
      </c>
      <c r="F225" s="175">
        <f>IF((D225-C225)&gt;0,"",D225-C225)</f>
        <v>-3500000</v>
      </c>
      <c r="G225" s="298"/>
      <c r="H225" s="280">
        <f>261615+35800</f>
        <v>297415</v>
      </c>
      <c r="I225" s="282">
        <f>+D225-H225</f>
        <v>-297415</v>
      </c>
    </row>
    <row r="226" spans="1:10">
      <c r="A226" s="137" t="s">
        <v>85</v>
      </c>
      <c r="B226" s="338"/>
      <c r="C226" s="139"/>
      <c r="D226" s="215"/>
      <c r="E226" s="139"/>
      <c r="F226" s="175"/>
      <c r="G226" s="298"/>
      <c r="I226" s="282"/>
    </row>
    <row r="227" spans="1:10">
      <c r="A227" s="137" t="s">
        <v>172</v>
      </c>
      <c r="B227" s="138" t="s">
        <v>257</v>
      </c>
      <c r="C227" s="339">
        <v>500000</v>
      </c>
      <c r="D227" s="215"/>
      <c r="E227" s="139" t="str">
        <f>IF((D227-C227)&gt;0,D227-C227,"")</f>
        <v/>
      </c>
      <c r="F227" s="175">
        <f>IF((D227-C227)&gt;0,"",D227-C227)</f>
        <v>-500000</v>
      </c>
      <c r="G227" s="298"/>
      <c r="H227" s="280">
        <v>48300</v>
      </c>
      <c r="I227" s="282">
        <f>+D227-H227</f>
        <v>-48300</v>
      </c>
    </row>
    <row r="228" spans="1:10">
      <c r="A228" s="137" t="s">
        <v>255</v>
      </c>
      <c r="B228" s="138" t="s">
        <v>261</v>
      </c>
      <c r="C228" s="339">
        <v>7000</v>
      </c>
      <c r="D228" s="215"/>
      <c r="E228" s="139" t="str">
        <f>IF((D228-C228)&gt;0,D228-C228,"")</f>
        <v/>
      </c>
      <c r="F228" s="175">
        <f>IF((D228-C228)&gt;0,"",D228-C228)</f>
        <v>-7000</v>
      </c>
      <c r="G228" s="298"/>
      <c r="H228" s="280">
        <v>800</v>
      </c>
      <c r="I228" s="282">
        <f>+D228-H228</f>
        <v>-800</v>
      </c>
    </row>
    <row r="229" spans="1:10">
      <c r="A229" s="137" t="s">
        <v>263</v>
      </c>
      <c r="B229" s="138" t="s">
        <v>262</v>
      </c>
      <c r="C229" s="340">
        <v>7000</v>
      </c>
      <c r="D229" s="215"/>
      <c r="E229" s="139" t="str">
        <f>IF((D229-C229)&gt;0,D229-C229,"")</f>
        <v/>
      </c>
      <c r="F229" s="175">
        <f>IF((D229-C229)&gt;0,"",D229-C229)</f>
        <v>-7000</v>
      </c>
      <c r="G229" s="298"/>
      <c r="H229" s="280">
        <v>800</v>
      </c>
      <c r="I229" s="282">
        <f>+D229-H229</f>
        <v>-800</v>
      </c>
    </row>
    <row r="230" spans="1:10" ht="13.5" thickBot="1">
      <c r="A230" s="137"/>
      <c r="B230" s="147"/>
      <c r="C230" s="187">
        <f>SUM(C225:C229)</f>
        <v>4014000</v>
      </c>
      <c r="D230" s="188">
        <f>SUM(D225:D229)</f>
        <v>0</v>
      </c>
      <c r="E230" s="189">
        <f>SUM(E225:E229)</f>
        <v>0</v>
      </c>
      <c r="F230" s="190">
        <f>SUM(F225:F229)</f>
        <v>-4014000</v>
      </c>
      <c r="G230" s="298"/>
      <c r="H230" s="292">
        <f>SUM(H225:H229)</f>
        <v>347315</v>
      </c>
      <c r="I230" s="292">
        <f>SUM(I225:I229)</f>
        <v>-347315</v>
      </c>
    </row>
    <row r="231" spans="1:10" ht="13.5" thickTop="1">
      <c r="A231" s="137" t="s">
        <v>123</v>
      </c>
      <c r="B231" s="147"/>
      <c r="C231" s="142">
        <f>SUM(C230+C223+C203+C185+C168+C152+C132)</f>
        <v>112768670</v>
      </c>
      <c r="D231" s="139">
        <f>SUM(D230+D223+D203+D185+D168+D152+D132)</f>
        <v>0</v>
      </c>
      <c r="E231" s="140">
        <f>SUM(E230+E223+E203+E185+E168+E152+E132)</f>
        <v>0</v>
      </c>
      <c r="F231" s="169">
        <f>SUM(F230+F223+F203+F185+F168+F152+F132)</f>
        <v>-112768670</v>
      </c>
      <c r="G231" s="298"/>
    </row>
    <row r="232" spans="1:10" ht="13.5" thickBot="1">
      <c r="A232" s="191" t="s">
        <v>107</v>
      </c>
      <c r="B232" s="192"/>
      <c r="C232" s="161">
        <f>+C231+C128</f>
        <v>1087719420</v>
      </c>
      <c r="D232" s="152">
        <f>+D231+D128</f>
        <v>0</v>
      </c>
      <c r="E232" s="193">
        <f>+E231+E128</f>
        <v>0</v>
      </c>
      <c r="F232" s="194">
        <f>+F231+F128</f>
        <v>-1043083420</v>
      </c>
      <c r="G232" s="298"/>
    </row>
    <row r="233" spans="1:10" ht="13.5" thickTop="1">
      <c r="A233" s="171" t="s">
        <v>111</v>
      </c>
      <c r="B233" s="154"/>
      <c r="C233" s="153"/>
      <c r="D233" s="153"/>
      <c r="E233" s="153"/>
      <c r="F233" s="175"/>
      <c r="G233" s="298"/>
      <c r="H233" s="280">
        <f>D33+I244</f>
        <v>816405.42</v>
      </c>
      <c r="I233" s="300">
        <v>121064830.92</v>
      </c>
      <c r="J233" s="286">
        <f>H233-I233</f>
        <v>-120248425.5</v>
      </c>
    </row>
    <row r="234" spans="1:10" ht="11.25" customHeight="1">
      <c r="A234" s="195"/>
      <c r="B234" s="196"/>
      <c r="C234" s="197"/>
      <c r="D234" s="198"/>
      <c r="E234" s="197"/>
      <c r="F234" s="199"/>
    </row>
    <row r="235" spans="1:10" ht="14.25">
      <c r="A235" s="127" t="s">
        <v>112</v>
      </c>
      <c r="B235" s="196"/>
      <c r="C235" s="197"/>
      <c r="D235" s="197"/>
      <c r="E235" s="200"/>
      <c r="F235" s="201"/>
    </row>
    <row r="236" spans="1:10" ht="14.25">
      <c r="A236" s="171" t="s">
        <v>113</v>
      </c>
      <c r="B236" s="196"/>
      <c r="C236" s="202"/>
      <c r="D236" s="154" t="s">
        <v>114</v>
      </c>
      <c r="E236" s="196"/>
      <c r="F236" s="201"/>
    </row>
    <row r="237" spans="1:10" ht="14.25">
      <c r="A237" s="171"/>
      <c r="B237" s="196"/>
      <c r="C237" s="196"/>
      <c r="D237" s="196"/>
      <c r="E237" s="196"/>
      <c r="F237" s="201"/>
    </row>
    <row r="238" spans="1:10" ht="12.75" customHeight="1">
      <c r="A238" s="195"/>
      <c r="B238" s="196"/>
      <c r="C238" s="148"/>
      <c r="D238" s="196"/>
      <c r="E238" s="203" t="s">
        <v>115</v>
      </c>
      <c r="F238" s="201"/>
      <c r="H238" s="296"/>
      <c r="I238" s="240"/>
      <c r="J238" s="240" t="s">
        <v>187</v>
      </c>
    </row>
    <row r="239" spans="1:10" ht="14.25">
      <c r="A239" s="195"/>
      <c r="B239" s="196"/>
      <c r="C239" s="148"/>
      <c r="D239" s="196"/>
      <c r="E239" s="196" t="s">
        <v>116</v>
      </c>
      <c r="F239" s="204"/>
      <c r="H239" s="301" t="s">
        <v>179</v>
      </c>
      <c r="I239" s="302">
        <v>223146617.88</v>
      </c>
      <c r="J239" s="240" t="s">
        <v>185</v>
      </c>
    </row>
    <row r="240" spans="1:10" ht="14.25">
      <c r="A240" s="195"/>
      <c r="B240" s="196"/>
      <c r="C240" s="148"/>
      <c r="D240" s="222"/>
      <c r="E240" s="222"/>
      <c r="F240" s="223"/>
      <c r="H240" s="301"/>
      <c r="I240" s="240"/>
      <c r="J240" s="240"/>
    </row>
    <row r="241" spans="1:10" ht="11.25" customHeight="1">
      <c r="A241" s="171" t="s">
        <v>117</v>
      </c>
      <c r="B241" s="196"/>
      <c r="C241" s="148"/>
      <c r="D241" s="148"/>
      <c r="E241" s="148"/>
      <c r="F241" s="223"/>
      <c r="H241" s="301" t="s">
        <v>180</v>
      </c>
      <c r="I241" s="296"/>
      <c r="J241" s="240" t="s">
        <v>185</v>
      </c>
    </row>
    <row r="242" spans="1:10">
      <c r="A242" s="171" t="s">
        <v>118</v>
      </c>
      <c r="B242" s="154"/>
      <c r="C242" s="148"/>
      <c r="D242" s="148"/>
      <c r="E242" s="154"/>
      <c r="F242" s="151"/>
      <c r="H242" s="301" t="s">
        <v>181</v>
      </c>
      <c r="I242" s="296">
        <v>852571</v>
      </c>
      <c r="J242" s="240" t="s">
        <v>186</v>
      </c>
    </row>
    <row r="243" spans="1:10" ht="12.75" customHeight="1" thickBot="1">
      <c r="A243" s="224"/>
      <c r="B243" s="156"/>
      <c r="C243" s="225"/>
      <c r="D243" s="225"/>
      <c r="E243" s="225"/>
      <c r="F243" s="205"/>
      <c r="H243" s="301" t="s">
        <v>189</v>
      </c>
      <c r="I243" s="296">
        <v>7663.12</v>
      </c>
      <c r="J243" s="240" t="s">
        <v>184</v>
      </c>
    </row>
    <row r="244" spans="1:10" ht="13.5" customHeight="1">
      <c r="F244" s="196"/>
      <c r="H244" s="301" t="s">
        <v>183</v>
      </c>
      <c r="I244" s="296">
        <v>816405.42</v>
      </c>
      <c r="J244" s="240" t="s">
        <v>185</v>
      </c>
    </row>
    <row r="245" spans="1:10" ht="14.25">
      <c r="A245" s="148"/>
      <c r="B245" s="196"/>
      <c r="C245" s="202"/>
      <c r="D245" s="202"/>
      <c r="E245" s="202"/>
      <c r="F245" s="202"/>
      <c r="H245" s="296"/>
      <c r="I245" s="296">
        <f>I239-I241-I242-I244-I243</f>
        <v>221469978.34</v>
      </c>
      <c r="J245" s="240"/>
    </row>
    <row r="246" spans="1:10">
      <c r="A246" s="206"/>
      <c r="B246" s="207"/>
      <c r="C246" s="222"/>
      <c r="D246" s="222"/>
      <c r="H246" s="296"/>
      <c r="I246" s="296"/>
      <c r="J246" s="240"/>
    </row>
    <row r="247" spans="1:10">
      <c r="A247" s="206"/>
      <c r="B247" s="207"/>
      <c r="C247" s="222"/>
      <c r="D247" s="222"/>
      <c r="H247" s="296"/>
      <c r="I247" s="296"/>
      <c r="J247" s="240"/>
    </row>
    <row r="248" spans="1:10">
      <c r="A248" s="206"/>
      <c r="B248" s="207"/>
      <c r="C248" s="222"/>
      <c r="D248" s="222"/>
      <c r="H248" s="296" t="s">
        <v>182</v>
      </c>
      <c r="I248" s="296">
        <f>D232</f>
        <v>0</v>
      </c>
      <c r="J248" s="240"/>
    </row>
    <row r="249" spans="1:10">
      <c r="A249" s="206"/>
      <c r="B249" s="207"/>
      <c r="C249" s="222"/>
      <c r="D249" s="222"/>
      <c r="H249" s="296" t="s">
        <v>176</v>
      </c>
      <c r="I249" s="296">
        <f>I245-I248</f>
        <v>221469978.34</v>
      </c>
      <c r="J249" s="240"/>
    </row>
    <row r="250" spans="1:10">
      <c r="A250" s="206"/>
      <c r="B250" s="207"/>
      <c r="C250" s="222"/>
      <c r="D250" s="222"/>
    </row>
    <row r="251" spans="1:10">
      <c r="A251" s="206"/>
      <c r="B251" s="207"/>
      <c r="C251" s="222"/>
      <c r="D251" s="222"/>
    </row>
    <row r="252" spans="1:10">
      <c r="A252" s="206"/>
      <c r="B252" s="207"/>
      <c r="C252" s="222"/>
      <c r="D252" s="222"/>
      <c r="E252" s="279"/>
      <c r="F252" s="279"/>
      <c r="H252" s="279"/>
      <c r="I252" s="279"/>
    </row>
    <row r="253" spans="1:10">
      <c r="A253" s="206"/>
      <c r="B253" s="207"/>
      <c r="C253" s="222"/>
      <c r="D253" s="222"/>
      <c r="E253" s="279"/>
      <c r="F253" s="279"/>
      <c r="H253" s="279"/>
      <c r="I253" s="279"/>
    </row>
    <row r="254" spans="1:10">
      <c r="A254" s="206"/>
      <c r="B254" s="207"/>
      <c r="C254" s="222"/>
      <c r="D254" s="222"/>
      <c r="E254" s="279"/>
      <c r="F254" s="279"/>
      <c r="H254" s="279"/>
      <c r="I254" s="279"/>
    </row>
    <row r="255" spans="1:10">
      <c r="A255" s="206"/>
      <c r="B255" s="207"/>
      <c r="C255" s="222"/>
      <c r="D255" s="222"/>
      <c r="E255" s="279"/>
      <c r="F255" s="279"/>
      <c r="H255" s="279"/>
      <c r="I255" s="279"/>
    </row>
    <row r="256" spans="1:10">
      <c r="A256" s="206"/>
      <c r="B256" s="207"/>
      <c r="C256" s="222"/>
      <c r="D256" s="222"/>
      <c r="E256" s="279"/>
      <c r="F256" s="279"/>
      <c r="H256" s="279"/>
      <c r="I256" s="279"/>
    </row>
    <row r="257" spans="1:9">
      <c r="A257" s="206"/>
      <c r="B257" s="207"/>
      <c r="C257" s="222"/>
      <c r="D257" s="222"/>
      <c r="E257" s="279"/>
      <c r="F257" s="279"/>
      <c r="H257" s="279"/>
      <c r="I257" s="279"/>
    </row>
    <row r="258" spans="1:9">
      <c r="A258" s="206"/>
      <c r="B258" s="207"/>
      <c r="C258" s="222"/>
      <c r="D258" s="222"/>
      <c r="E258" s="279"/>
      <c r="F258" s="279"/>
      <c r="H258" s="279"/>
      <c r="I258" s="279"/>
    </row>
    <row r="259" spans="1:9">
      <c r="A259" s="206"/>
      <c r="B259" s="207"/>
      <c r="C259" s="222"/>
      <c r="D259" s="222"/>
      <c r="E259" s="279"/>
      <c r="F259" s="279"/>
      <c r="H259" s="279"/>
      <c r="I259" s="279"/>
    </row>
    <row r="260" spans="1:9">
      <c r="A260" s="206"/>
      <c r="B260" s="207"/>
      <c r="C260" s="222"/>
      <c r="D260" s="222"/>
      <c r="E260" s="279"/>
      <c r="F260" s="279"/>
      <c r="H260" s="279"/>
      <c r="I260" s="279"/>
    </row>
    <row r="261" spans="1:9">
      <c r="A261" s="206"/>
      <c r="B261" s="207"/>
      <c r="C261" s="222"/>
      <c r="D261" s="222"/>
      <c r="E261" s="279"/>
      <c r="F261" s="279"/>
      <c r="H261" s="279"/>
      <c r="I261" s="279"/>
    </row>
    <row r="262" spans="1:9">
      <c r="A262" s="206"/>
      <c r="B262" s="207"/>
      <c r="C262" s="222"/>
      <c r="D262" s="222"/>
      <c r="E262" s="279"/>
      <c r="F262" s="279"/>
      <c r="H262" s="279"/>
      <c r="I262" s="279"/>
    </row>
    <row r="263" spans="1:9">
      <c r="A263" s="206"/>
      <c r="B263" s="207"/>
      <c r="C263" s="222"/>
      <c r="D263" s="222"/>
      <c r="E263" s="279"/>
      <c r="F263" s="279"/>
      <c r="H263" s="279"/>
      <c r="I263" s="279"/>
    </row>
    <row r="264" spans="1:9">
      <c r="A264" s="206"/>
      <c r="B264" s="207"/>
      <c r="C264" s="222"/>
      <c r="D264" s="222"/>
      <c r="E264" s="279"/>
      <c r="F264" s="279"/>
      <c r="H264" s="279"/>
      <c r="I264" s="279"/>
    </row>
    <row r="265" spans="1:9">
      <c r="A265" s="206"/>
      <c r="B265" s="207"/>
      <c r="C265" s="222"/>
      <c r="D265" s="222"/>
      <c r="E265" s="279"/>
      <c r="F265" s="279"/>
      <c r="H265" s="279"/>
      <c r="I265" s="279"/>
    </row>
    <row r="266" spans="1:9">
      <c r="A266" s="206"/>
      <c r="B266" s="207"/>
      <c r="C266" s="222"/>
      <c r="D266" s="222"/>
      <c r="E266" s="279"/>
      <c r="F266" s="279"/>
      <c r="H266" s="279"/>
      <c r="I266" s="279"/>
    </row>
    <row r="267" spans="1:9">
      <c r="A267" s="206"/>
      <c r="B267" s="207"/>
      <c r="C267" s="222"/>
      <c r="D267" s="222"/>
      <c r="E267" s="279"/>
      <c r="F267" s="279"/>
      <c r="H267" s="279"/>
      <c r="I267" s="279"/>
    </row>
    <row r="268" spans="1:9">
      <c r="A268" s="206"/>
      <c r="B268" s="207"/>
      <c r="C268" s="222"/>
      <c r="D268" s="222"/>
      <c r="E268" s="279"/>
      <c r="F268" s="279"/>
      <c r="H268" s="279"/>
      <c r="I268" s="279"/>
    </row>
    <row r="269" spans="1:9">
      <c r="A269" s="206"/>
      <c r="B269" s="207"/>
      <c r="C269" s="222"/>
      <c r="D269" s="222"/>
      <c r="E269" s="279"/>
      <c r="F269" s="279"/>
      <c r="H269" s="279"/>
      <c r="I269" s="279"/>
    </row>
    <row r="270" spans="1:9">
      <c r="A270" s="206"/>
      <c r="B270" s="207"/>
      <c r="C270" s="222"/>
      <c r="D270" s="222"/>
      <c r="E270" s="279"/>
      <c r="F270" s="279"/>
      <c r="H270" s="279"/>
      <c r="I270" s="279"/>
    </row>
    <row r="271" spans="1:9">
      <c r="A271" s="206"/>
      <c r="B271" s="207"/>
      <c r="C271" s="222"/>
      <c r="D271" s="222"/>
      <c r="E271" s="279"/>
      <c r="F271" s="279"/>
      <c r="H271" s="279"/>
      <c r="I271" s="279"/>
    </row>
    <row r="272" spans="1:9">
      <c r="A272" s="206"/>
      <c r="B272" s="207"/>
      <c r="C272" s="222"/>
      <c r="D272" s="222"/>
      <c r="E272" s="279"/>
      <c r="F272" s="279"/>
      <c r="H272" s="279"/>
      <c r="I272" s="279"/>
    </row>
    <row r="273" spans="1:9">
      <c r="A273" s="206"/>
      <c r="B273" s="207"/>
      <c r="C273" s="222"/>
      <c r="D273" s="222"/>
      <c r="E273" s="279"/>
      <c r="F273" s="279"/>
      <c r="H273" s="279"/>
      <c r="I273" s="279"/>
    </row>
    <row r="274" spans="1:9">
      <c r="A274" s="206"/>
      <c r="B274" s="207"/>
      <c r="C274" s="222"/>
      <c r="D274" s="222"/>
      <c r="E274" s="279"/>
      <c r="F274" s="279"/>
      <c r="H274" s="279"/>
      <c r="I274" s="279"/>
    </row>
    <row r="275" spans="1:9">
      <c r="A275" s="206"/>
      <c r="B275" s="207"/>
      <c r="C275" s="222"/>
      <c r="D275" s="222"/>
      <c r="E275" s="279"/>
      <c r="F275" s="279"/>
      <c r="H275" s="279"/>
      <c r="I275" s="279"/>
    </row>
    <row r="276" spans="1:9">
      <c r="A276" s="206"/>
      <c r="B276" s="207"/>
      <c r="C276" s="222"/>
      <c r="D276" s="222"/>
      <c r="E276" s="279"/>
      <c r="F276" s="279"/>
      <c r="H276" s="279"/>
      <c r="I276" s="279"/>
    </row>
    <row r="277" spans="1:9">
      <c r="A277" s="206"/>
      <c r="B277" s="207"/>
      <c r="C277" s="222"/>
      <c r="D277" s="222"/>
      <c r="E277" s="279"/>
      <c r="F277" s="279"/>
      <c r="H277" s="279"/>
      <c r="I277" s="279"/>
    </row>
    <row r="278" spans="1:9">
      <c r="A278" s="206"/>
      <c r="B278" s="207"/>
      <c r="C278" s="222"/>
      <c r="D278" s="222"/>
      <c r="E278" s="279"/>
      <c r="F278" s="279"/>
      <c r="H278" s="279"/>
      <c r="I278" s="279"/>
    </row>
    <row r="279" spans="1:9">
      <c r="A279" s="206"/>
      <c r="B279" s="207"/>
      <c r="C279" s="222"/>
      <c r="D279" s="222"/>
      <c r="E279" s="279"/>
      <c r="F279" s="279"/>
      <c r="H279" s="279"/>
      <c r="I279" s="279"/>
    </row>
    <row r="280" spans="1:9">
      <c r="A280" s="206"/>
      <c r="B280" s="207"/>
      <c r="C280" s="222"/>
      <c r="D280" s="222"/>
      <c r="E280" s="279"/>
      <c r="F280" s="279"/>
      <c r="H280" s="279"/>
      <c r="I280" s="279"/>
    </row>
    <row r="281" spans="1:9">
      <c r="A281" s="206"/>
      <c r="B281" s="207"/>
      <c r="C281" s="222"/>
      <c r="D281" s="222"/>
      <c r="E281" s="279"/>
      <c r="F281" s="279"/>
      <c r="H281" s="279"/>
      <c r="I281" s="279"/>
    </row>
    <row r="282" spans="1:9">
      <c r="A282" s="206"/>
      <c r="B282" s="207"/>
      <c r="C282" s="222"/>
      <c r="D282" s="222"/>
      <c r="E282" s="279"/>
      <c r="F282" s="279"/>
      <c r="H282" s="279"/>
      <c r="I282" s="279"/>
    </row>
    <row r="283" spans="1:9">
      <c r="A283" s="206"/>
      <c r="B283" s="207"/>
      <c r="C283" s="222"/>
      <c r="D283" s="222"/>
      <c r="E283" s="279"/>
      <c r="F283" s="279"/>
      <c r="H283" s="279"/>
      <c r="I283" s="279"/>
    </row>
    <row r="284" spans="1:9">
      <c r="A284" s="206"/>
      <c r="B284" s="207"/>
      <c r="C284" s="222"/>
      <c r="D284" s="222"/>
      <c r="E284" s="279"/>
      <c r="F284" s="279"/>
      <c r="H284" s="279"/>
      <c r="I284" s="279"/>
    </row>
    <row r="285" spans="1:9">
      <c r="A285" s="206"/>
      <c r="B285" s="207"/>
      <c r="C285" s="222"/>
      <c r="D285" s="222"/>
      <c r="E285" s="279"/>
      <c r="F285" s="279"/>
      <c r="H285" s="279"/>
      <c r="I285" s="279"/>
    </row>
    <row r="286" spans="1:9">
      <c r="A286" s="148"/>
      <c r="B286" s="154"/>
      <c r="C286" s="222"/>
      <c r="D286" s="222"/>
      <c r="E286" s="279"/>
      <c r="F286" s="279"/>
      <c r="H286" s="279"/>
      <c r="I286" s="279"/>
    </row>
    <row r="287" spans="1:9">
      <c r="A287" s="148"/>
      <c r="B287" s="154"/>
      <c r="C287" s="222"/>
      <c r="D287" s="222"/>
      <c r="E287" s="279"/>
      <c r="F287" s="279"/>
      <c r="H287" s="279"/>
      <c r="I287" s="279"/>
    </row>
    <row r="288" spans="1:9">
      <c r="A288" s="148"/>
      <c r="B288" s="154"/>
      <c r="C288" s="222"/>
      <c r="D288" s="222"/>
      <c r="E288" s="279"/>
      <c r="F288" s="279"/>
      <c r="H288" s="279"/>
      <c r="I288" s="279"/>
    </row>
    <row r="289" spans="1:9">
      <c r="A289" s="148"/>
      <c r="B289" s="154"/>
      <c r="C289" s="222"/>
      <c r="D289" s="222"/>
      <c r="E289" s="279"/>
      <c r="F289" s="279"/>
      <c r="H289" s="279"/>
      <c r="I289" s="279"/>
    </row>
    <row r="290" spans="1:9">
      <c r="A290" s="148"/>
      <c r="B290" s="154"/>
      <c r="C290" s="222"/>
      <c r="D290" s="222"/>
      <c r="E290" s="279"/>
      <c r="F290" s="279"/>
      <c r="H290" s="279"/>
      <c r="I290" s="279"/>
    </row>
    <row r="291" spans="1:9">
      <c r="A291" s="148"/>
      <c r="B291" s="154"/>
      <c r="C291" s="222"/>
      <c r="D291" s="222"/>
      <c r="E291" s="279"/>
      <c r="F291" s="279"/>
      <c r="H291" s="279"/>
      <c r="I291" s="279"/>
    </row>
    <row r="292" spans="1:9">
      <c r="A292" s="148"/>
      <c r="B292" s="154"/>
      <c r="C292" s="222"/>
      <c r="D292" s="222"/>
      <c r="E292" s="279"/>
      <c r="F292" s="279"/>
      <c r="H292" s="279"/>
      <c r="I292" s="279"/>
    </row>
  </sheetData>
  <mergeCells count="6">
    <mergeCell ref="A3:F3"/>
    <mergeCell ref="A4:F4"/>
    <mergeCell ref="A7:A8"/>
    <mergeCell ref="B7:B8"/>
    <mergeCell ref="E7:E8"/>
    <mergeCell ref="F7:F8"/>
  </mergeCells>
  <phoneticPr fontId="3" type="noConversion"/>
  <pageMargins left="0.44117647058823528" right="0.12" top="0.40625" bottom="0.85416666666666663" header="0.5" footer="0.5"/>
  <pageSetup paperSize="5" scale="97" fitToHeight="0" orientation="portrait" r:id="rId1"/>
  <headerFooter alignWithMargins="0"/>
  <rowBreaks count="3" manualBreakCount="3">
    <brk id="89" max="5" man="1"/>
    <brk id="124" max="5" man="1"/>
    <brk id="185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C103"/>
  <sheetViews>
    <sheetView topLeftCell="A41" zoomScale="80" zoomScaleNormal="80" zoomScaleSheetLayoutView="70" workbookViewId="0">
      <pane xSplit="3" topLeftCell="J1" activePane="topRight" state="frozen"/>
      <selection activeCell="C240" sqref="C240"/>
      <selection pane="topRight" activeCell="C240" sqref="C240"/>
    </sheetView>
  </sheetViews>
  <sheetFormatPr defaultRowHeight="14.25"/>
  <cols>
    <col min="1" max="1" width="4.140625" style="14" customWidth="1"/>
    <col min="2" max="2" width="34.42578125" style="14" customWidth="1"/>
    <col min="3" max="3" width="16" style="14" bestFit="1" customWidth="1"/>
    <col min="4" max="5" width="14.42578125" style="14" customWidth="1"/>
    <col min="6" max="6" width="1.42578125" style="14" customWidth="1"/>
    <col min="7" max="8" width="15.85546875" style="14" customWidth="1"/>
    <col min="9" max="9" width="1.42578125" style="14" customWidth="1"/>
    <col min="10" max="10" width="13.140625" style="14" customWidth="1"/>
    <col min="11" max="11" width="12.85546875" style="14" customWidth="1"/>
    <col min="12" max="12" width="1.7109375" style="14" customWidth="1"/>
    <col min="13" max="13" width="13.140625" style="14" customWidth="1"/>
    <col min="14" max="14" width="13" style="14" customWidth="1"/>
    <col min="15" max="15" width="1.85546875" style="18" customWidth="1"/>
    <col min="16" max="16" width="14.42578125" style="18" customWidth="1"/>
    <col min="17" max="17" width="14.85546875" style="14" customWidth="1"/>
    <col min="18" max="18" width="1.7109375" style="1" customWidth="1"/>
    <col min="19" max="19" width="14.42578125" style="14" customWidth="1"/>
    <col min="20" max="20" width="14.85546875" style="14" customWidth="1"/>
    <col min="21" max="21" width="2.140625" style="14" customWidth="1"/>
    <col min="22" max="22" width="14.42578125" style="14" customWidth="1"/>
    <col min="23" max="23" width="14.85546875" style="14" bestFit="1" customWidth="1"/>
    <col min="24" max="24" width="2" style="14" customWidth="1"/>
    <col min="25" max="25" width="14.42578125" style="14" customWidth="1"/>
    <col min="26" max="26" width="16.7109375" style="14" customWidth="1"/>
    <col min="27" max="27" width="1.5703125" style="14" customWidth="1"/>
    <col min="28" max="28" width="14.42578125" style="14" bestFit="1" customWidth="1"/>
    <col min="29" max="29" width="18" style="14" customWidth="1"/>
    <col min="30" max="30" width="1.5703125" style="14" customWidth="1"/>
    <col min="31" max="32" width="16.28515625" style="14" customWidth="1"/>
    <col min="33" max="33" width="1.5703125" style="14" customWidth="1"/>
    <col min="34" max="35" width="16.28515625" style="14" customWidth="1"/>
    <col min="36" max="36" width="1.5703125" style="14" customWidth="1"/>
    <col min="37" max="37" width="17.7109375" style="14" customWidth="1"/>
    <col min="38" max="38" width="16.28515625" style="14" customWidth="1"/>
    <col min="39" max="39" width="1.7109375" style="14" customWidth="1"/>
    <col min="40" max="40" width="17.28515625" style="14" customWidth="1"/>
    <col min="41" max="41" width="17.7109375" style="14" customWidth="1"/>
    <col min="42" max="43" width="16.28515625" style="14" customWidth="1"/>
    <col min="44" max="44" width="1.5703125" style="14" customWidth="1"/>
    <col min="45" max="45" width="12.85546875" style="14" bestFit="1" customWidth="1"/>
    <col min="46" max="46" width="15.85546875" style="14" bestFit="1" customWidth="1"/>
    <col min="47" max="47" width="1.5703125" style="14" customWidth="1"/>
    <col min="48" max="48" width="12.85546875" style="14" bestFit="1" customWidth="1"/>
    <col min="49" max="49" width="15.85546875" style="14" bestFit="1" customWidth="1"/>
    <col min="50" max="50" width="2.140625" style="14" customWidth="1"/>
    <col min="51" max="51" width="13.5703125" style="14" customWidth="1"/>
    <col min="52" max="52" width="12.85546875" style="14" bestFit="1" customWidth="1"/>
    <col min="53" max="53" width="9.42578125" style="14" customWidth="1"/>
    <col min="54" max="54" width="1.7109375" style="14" customWidth="1"/>
    <col min="55" max="16384" width="9.140625" style="14"/>
  </cols>
  <sheetData>
    <row r="2" spans="2:45" ht="15">
      <c r="B2" s="8" t="s">
        <v>153</v>
      </c>
      <c r="C2" s="8"/>
    </row>
    <row r="3" spans="2:45" ht="15">
      <c r="B3" s="8" t="s">
        <v>445</v>
      </c>
      <c r="C3" s="8"/>
    </row>
    <row r="4" spans="2:45">
      <c r="AQ4" s="1"/>
      <c r="AS4" s="1"/>
    </row>
    <row r="5" spans="2:45" s="71" customFormat="1" ht="15" customHeight="1">
      <c r="B5" s="474" t="s">
        <v>128</v>
      </c>
      <c r="C5" s="474" t="s">
        <v>110</v>
      </c>
      <c r="D5" s="476" t="s">
        <v>177</v>
      </c>
      <c r="E5" s="488"/>
      <c r="F5" s="80"/>
      <c r="G5" s="476" t="s">
        <v>177</v>
      </c>
      <c r="H5" s="477"/>
      <c r="I5" s="69"/>
      <c r="J5" s="476" t="s">
        <v>177</v>
      </c>
      <c r="K5" s="477"/>
      <c r="L5" s="69"/>
      <c r="M5" s="476" t="s">
        <v>177</v>
      </c>
      <c r="N5" s="477"/>
      <c r="O5" s="70"/>
      <c r="P5" s="476" t="s">
        <v>177</v>
      </c>
      <c r="Q5" s="477"/>
      <c r="R5" s="114"/>
      <c r="S5" s="476" t="s">
        <v>177</v>
      </c>
      <c r="T5" s="477"/>
      <c r="U5" s="110"/>
      <c r="V5" s="476" t="s">
        <v>177</v>
      </c>
      <c r="W5" s="477"/>
      <c r="X5" s="110"/>
      <c r="Y5" s="476" t="s">
        <v>177</v>
      </c>
      <c r="Z5" s="477"/>
      <c r="AA5" s="110"/>
      <c r="AB5" s="476" t="s">
        <v>177</v>
      </c>
      <c r="AC5" s="477"/>
      <c r="AD5" s="110"/>
      <c r="AE5" s="476" t="s">
        <v>177</v>
      </c>
      <c r="AF5" s="477"/>
      <c r="AG5" s="110"/>
      <c r="AH5" s="476" t="s">
        <v>177</v>
      </c>
      <c r="AI5" s="477"/>
      <c r="AJ5" s="110"/>
      <c r="AK5" s="476" t="s">
        <v>177</v>
      </c>
      <c r="AL5" s="477"/>
      <c r="AN5" s="476" t="s">
        <v>152</v>
      </c>
      <c r="AO5" s="477"/>
      <c r="AP5" s="110"/>
      <c r="AQ5" s="110"/>
      <c r="AR5" s="114"/>
      <c r="AS5" s="114"/>
    </row>
    <row r="6" spans="2:45" s="71" customFormat="1" ht="15" customHeight="1">
      <c r="B6" s="475"/>
      <c r="C6" s="475"/>
      <c r="D6" s="479" t="s">
        <v>159</v>
      </c>
      <c r="E6" s="487"/>
      <c r="F6" s="75"/>
      <c r="G6" s="479" t="s">
        <v>160</v>
      </c>
      <c r="H6" s="480"/>
      <c r="I6" s="72"/>
      <c r="J6" s="487" t="s">
        <v>129</v>
      </c>
      <c r="K6" s="487"/>
      <c r="L6" s="72"/>
      <c r="M6" s="487" t="s">
        <v>130</v>
      </c>
      <c r="N6" s="480"/>
      <c r="O6" s="73"/>
      <c r="P6" s="479" t="s">
        <v>155</v>
      </c>
      <c r="Q6" s="480"/>
      <c r="R6" s="111"/>
      <c r="S6" s="479" t="s">
        <v>178</v>
      </c>
      <c r="T6" s="480"/>
      <c r="U6" s="111"/>
      <c r="V6" s="479" t="s">
        <v>131</v>
      </c>
      <c r="W6" s="480"/>
      <c r="X6" s="111"/>
      <c r="Y6" s="479" t="s">
        <v>166</v>
      </c>
      <c r="Z6" s="480"/>
      <c r="AA6" s="111"/>
      <c r="AB6" s="479" t="s">
        <v>167</v>
      </c>
      <c r="AC6" s="480"/>
      <c r="AD6" s="111"/>
      <c r="AE6" s="479" t="s">
        <v>168</v>
      </c>
      <c r="AF6" s="480"/>
      <c r="AG6" s="111"/>
      <c r="AH6" s="479" t="s">
        <v>170</v>
      </c>
      <c r="AI6" s="480"/>
      <c r="AJ6" s="111"/>
      <c r="AK6" s="479" t="s">
        <v>171</v>
      </c>
      <c r="AL6" s="480"/>
      <c r="AM6" s="74"/>
      <c r="AN6" s="479" t="s">
        <v>171</v>
      </c>
      <c r="AO6" s="480"/>
      <c r="AP6" s="111"/>
      <c r="AQ6" s="111"/>
      <c r="AR6" s="111"/>
      <c r="AS6" s="114"/>
    </row>
    <row r="7" spans="2:45" s="71" customFormat="1">
      <c r="B7" s="76"/>
      <c r="C7" s="76"/>
      <c r="D7" s="77" t="s">
        <v>142</v>
      </c>
      <c r="E7" s="77" t="s">
        <v>143</v>
      </c>
      <c r="F7" s="80"/>
      <c r="G7" s="77" t="s">
        <v>142</v>
      </c>
      <c r="H7" s="77" t="s">
        <v>143</v>
      </c>
      <c r="I7" s="68"/>
      <c r="J7" s="77" t="s">
        <v>142</v>
      </c>
      <c r="K7" s="77" t="s">
        <v>143</v>
      </c>
      <c r="L7" s="68"/>
      <c r="M7" s="77" t="s">
        <v>142</v>
      </c>
      <c r="N7" s="77" t="s">
        <v>143</v>
      </c>
      <c r="O7" s="78"/>
      <c r="P7" s="77" t="s">
        <v>142</v>
      </c>
      <c r="Q7" s="77" t="s">
        <v>143</v>
      </c>
      <c r="R7" s="115"/>
      <c r="S7" s="77" t="s">
        <v>142</v>
      </c>
      <c r="T7" s="77" t="s">
        <v>143</v>
      </c>
      <c r="U7" s="115"/>
      <c r="V7" s="77" t="s">
        <v>142</v>
      </c>
      <c r="W7" s="77" t="s">
        <v>143</v>
      </c>
      <c r="X7" s="115"/>
      <c r="Y7" s="77" t="s">
        <v>142</v>
      </c>
      <c r="Z7" s="77" t="s">
        <v>143</v>
      </c>
      <c r="AA7" s="115"/>
      <c r="AB7" s="77" t="s">
        <v>142</v>
      </c>
      <c r="AC7" s="77" t="s">
        <v>143</v>
      </c>
      <c r="AD7" s="115"/>
      <c r="AE7" s="77" t="s">
        <v>142</v>
      </c>
      <c r="AF7" s="77" t="s">
        <v>143</v>
      </c>
      <c r="AG7" s="115"/>
      <c r="AH7" s="77" t="s">
        <v>142</v>
      </c>
      <c r="AI7" s="77" t="s">
        <v>143</v>
      </c>
      <c r="AJ7" s="115"/>
      <c r="AK7" s="77" t="s">
        <v>142</v>
      </c>
      <c r="AL7" s="77" t="s">
        <v>143</v>
      </c>
      <c r="AM7" s="79"/>
      <c r="AN7" s="77" t="s">
        <v>142</v>
      </c>
      <c r="AO7" s="77" t="s">
        <v>143</v>
      </c>
      <c r="AP7" s="115"/>
      <c r="AQ7" s="115"/>
      <c r="AR7" s="115"/>
      <c r="AS7" s="114"/>
    </row>
    <row r="8" spans="2:45" s="71" customFormat="1">
      <c r="B8" s="327"/>
      <c r="C8" s="327"/>
      <c r="D8" s="327"/>
      <c r="E8" s="327"/>
      <c r="F8" s="114"/>
      <c r="G8" s="327"/>
      <c r="H8" s="327"/>
      <c r="I8" s="114"/>
      <c r="J8" s="327"/>
      <c r="K8" s="327"/>
      <c r="L8" s="114"/>
      <c r="M8" s="327"/>
      <c r="N8" s="327"/>
      <c r="O8" s="330"/>
      <c r="P8" s="114"/>
      <c r="Q8" s="114"/>
      <c r="R8" s="114"/>
      <c r="S8" s="114"/>
      <c r="T8" s="327"/>
      <c r="U8" s="114"/>
      <c r="V8" s="114"/>
      <c r="W8" s="327"/>
      <c r="X8" s="114"/>
      <c r="Y8" s="114"/>
      <c r="Z8" s="327"/>
      <c r="AA8" s="114"/>
      <c r="AB8" s="114"/>
      <c r="AC8" s="327"/>
      <c r="AD8" s="114"/>
      <c r="AE8" s="76"/>
      <c r="AF8" s="76"/>
      <c r="AG8" s="114"/>
      <c r="AH8" s="76"/>
      <c r="AI8" s="76"/>
      <c r="AJ8" s="114"/>
      <c r="AK8" s="76"/>
      <c r="AL8" s="76"/>
      <c r="AN8" s="76"/>
      <c r="AO8" s="76"/>
      <c r="AP8" s="114"/>
      <c r="AQ8" s="114"/>
      <c r="AR8" s="114"/>
      <c r="AS8" s="114"/>
    </row>
    <row r="9" spans="2:45" s="71" customFormat="1" ht="15">
      <c r="B9" s="375" t="s">
        <v>413</v>
      </c>
      <c r="C9" s="328" t="s">
        <v>316</v>
      </c>
      <c r="D9" s="404">
        <f>D46</f>
        <v>2651.33</v>
      </c>
      <c r="E9" s="403">
        <f>E46</f>
        <v>2651.33</v>
      </c>
      <c r="F9" s="88"/>
      <c r="G9" s="83">
        <f>G46-D46</f>
        <v>2200</v>
      </c>
      <c r="H9" s="402">
        <f>H46-E9</f>
        <v>0</v>
      </c>
      <c r="I9" s="83"/>
      <c r="J9" s="329">
        <f>J46-G46</f>
        <v>960</v>
      </c>
      <c r="K9" s="402">
        <f>K46-H9-E9</f>
        <v>1260</v>
      </c>
      <c r="L9" s="83"/>
      <c r="M9" s="329">
        <f>M46-J46</f>
        <v>8820</v>
      </c>
      <c r="N9" s="402">
        <f>N46-K9-H9-E9</f>
        <v>10720</v>
      </c>
      <c r="O9" s="85"/>
      <c r="P9" s="86">
        <f>P46-M46</f>
        <v>2542.8000000000011</v>
      </c>
      <c r="Q9" s="402">
        <f>Q46-N9-K9-H9-E9</f>
        <v>2160.0000000000018</v>
      </c>
      <c r="R9" s="83"/>
      <c r="S9" s="86">
        <f>S46-P46</f>
        <v>144.02999999999884</v>
      </c>
      <c r="T9" s="402">
        <f>T46-Q9-N9-K9-H9-E9</f>
        <v>0</v>
      </c>
      <c r="U9" s="238"/>
      <c r="V9" s="86">
        <f>V46-S46</f>
        <v>12230.95</v>
      </c>
      <c r="W9" s="402">
        <f>W46-T9-Q9-N9-K9-H9-E9</f>
        <v>12231.000000000002</v>
      </c>
      <c r="X9" s="238"/>
      <c r="Y9" s="86">
        <f>Y46-V46</f>
        <v>-29549.11</v>
      </c>
      <c r="Z9" s="402">
        <f>Z46-W9-T9-Q9-N9-K9-H9-E9</f>
        <v>-29022.33</v>
      </c>
      <c r="AA9" s="238"/>
      <c r="AB9" s="86">
        <f>AB46-Y46</f>
        <v>0</v>
      </c>
      <c r="AC9" s="402">
        <f>AC46-Z9-W9-T9-Q9-N9-K9-H9-E9</f>
        <v>0</v>
      </c>
      <c r="AD9" s="238"/>
      <c r="AE9" s="86">
        <f>AE46-AB46</f>
        <v>0</v>
      </c>
      <c r="AF9" s="402">
        <f>AF46-AC9-Z9-W9-T9-Q9-N9-K9-H9-E9</f>
        <v>0</v>
      </c>
      <c r="AG9" s="238"/>
      <c r="AH9" s="86">
        <f>AH46-AE46</f>
        <v>0</v>
      </c>
      <c r="AI9" s="402">
        <f>AI46-AF9-AC9-Z9-W9-T9-Q9-N9-K9-H9-E9</f>
        <v>0</v>
      </c>
      <c r="AJ9" s="238"/>
      <c r="AK9" s="86">
        <f>AK46-AH46</f>
        <v>0</v>
      </c>
      <c r="AL9" s="402">
        <f>AL46-AI9-AF9-AC9-Z9-W9-T9-Q9-N9-K9-H9-E9</f>
        <v>0</v>
      </c>
      <c r="AM9" s="87"/>
      <c r="AN9" s="86">
        <f>D9+G9+J9+M9+P9+S9+V9+Y9+AE9+AB9+AH9+AK9</f>
        <v>0</v>
      </c>
      <c r="AO9" s="402">
        <f>E9+H9+K9+N9+Q9+T9+W9+Z9+AF9+AC9+AI9+AL9</f>
        <v>0</v>
      </c>
      <c r="AP9" s="238"/>
      <c r="AQ9" s="238"/>
      <c r="AR9" s="116"/>
      <c r="AS9" s="114"/>
    </row>
    <row r="10" spans="2:45" s="71" customFormat="1" ht="15">
      <c r="B10" s="89" t="s">
        <v>414</v>
      </c>
      <c r="C10" s="11" t="s">
        <v>416</v>
      </c>
      <c r="D10" s="82">
        <f>D47</f>
        <v>-20.25</v>
      </c>
      <c r="E10" s="402">
        <f>E47</f>
        <v>11625.9</v>
      </c>
      <c r="F10" s="88"/>
      <c r="G10" s="230">
        <f t="shared" ref="G10:G16" si="0">G47-D47</f>
        <v>243.76</v>
      </c>
      <c r="H10" s="402">
        <f>H47-E10</f>
        <v>-171.1299999999992</v>
      </c>
      <c r="I10" s="83"/>
      <c r="J10" s="84">
        <f t="shared" ref="J10:J16" si="1">J47-G47</f>
        <v>8.2300000000000182</v>
      </c>
      <c r="K10" s="402">
        <f>K47-H10-E10</f>
        <v>-721.06999999999971</v>
      </c>
      <c r="L10" s="83"/>
      <c r="M10" s="84">
        <f t="shared" ref="M10:M16" si="2">M47-J47</f>
        <v>56.599999999999966</v>
      </c>
      <c r="N10" s="402">
        <f>N47-K10-H10-E10</f>
        <v>630</v>
      </c>
      <c r="O10" s="85"/>
      <c r="P10" s="86">
        <f t="shared" ref="P10:P16" si="3">P47-M47</f>
        <v>86.79000000000002</v>
      </c>
      <c r="Q10" s="402">
        <f>Q47-N10-K10-H10-E10</f>
        <v>0</v>
      </c>
      <c r="R10" s="116"/>
      <c r="S10" s="90">
        <f t="shared" ref="S10:S16" si="4">S47-P47</f>
        <v>89.840000000000032</v>
      </c>
      <c r="T10" s="402">
        <f>T47-Q10-N10-K10-H10-E10</f>
        <v>0</v>
      </c>
      <c r="U10" s="238"/>
      <c r="V10" s="90">
        <f t="shared" ref="V10:V16" si="5">V47-S47</f>
        <v>40.17999999999995</v>
      </c>
      <c r="W10" s="402">
        <f>W47-T10-Q10-N10-K10-H10-E10</f>
        <v>0</v>
      </c>
      <c r="X10" s="238"/>
      <c r="Y10" s="90">
        <f t="shared" ref="Y10:Y16" si="6">Y47-V47</f>
        <v>-505.15</v>
      </c>
      <c r="Z10" s="402">
        <f>Z47-W10-T10-Q10-N10-K10-H10-E10</f>
        <v>-11363.7</v>
      </c>
      <c r="AA10" s="238"/>
      <c r="AB10" s="90">
        <f>AB47-Y47</f>
        <v>0</v>
      </c>
      <c r="AC10" s="402">
        <f>AC47-Z10-W10-T10-Q10-N10-K10-H10-E10</f>
        <v>0</v>
      </c>
      <c r="AD10" s="238"/>
      <c r="AE10" s="86">
        <f>AE47-AB47</f>
        <v>0</v>
      </c>
      <c r="AF10" s="402">
        <f>AF47-AC10-Z10-W10-T10-Q10-N10-K10-H10-E10</f>
        <v>0</v>
      </c>
      <c r="AG10" s="238"/>
      <c r="AH10" s="86">
        <f t="shared" ref="AH10:AH16" si="7">AH47-AE47</f>
        <v>0</v>
      </c>
      <c r="AI10" s="402">
        <f>AI47-AF10-AC10-Z10-W10-T10-Q10-N10-K10-H10-E10</f>
        <v>0</v>
      </c>
      <c r="AJ10" s="238"/>
      <c r="AK10" s="86">
        <f t="shared" ref="AK10:AK16" si="8">AK47-AH47</f>
        <v>0</v>
      </c>
      <c r="AL10" s="402">
        <f>AL47-AI10-AF10-AC10-Z10-W10-T10-Q10-N10-K10-H10-E10</f>
        <v>0</v>
      </c>
      <c r="AM10" s="87"/>
      <c r="AN10" s="86">
        <f t="shared" ref="AN10:AN19" si="9">D10+G10+J10+M10+P10+S10+V10+Y10+AE10+AB10+AH10+AK10</f>
        <v>0</v>
      </c>
      <c r="AO10" s="402">
        <f>E10+H10+K10+N10+Q10+T10+W10+Z10+AF10+AC10+AI10+AL10</f>
        <v>0</v>
      </c>
      <c r="AP10" s="238"/>
      <c r="AQ10" s="238"/>
      <c r="AR10" s="116"/>
      <c r="AS10" s="114"/>
    </row>
    <row r="11" spans="2:45" s="71" customFormat="1" ht="15">
      <c r="B11" s="89" t="s">
        <v>134</v>
      </c>
      <c r="C11" s="11" t="s">
        <v>417</v>
      </c>
      <c r="D11" s="82">
        <f t="shared" ref="D11:E17" si="10">D48</f>
        <v>5543.73</v>
      </c>
      <c r="E11" s="91">
        <f>E48</f>
        <v>5543.73</v>
      </c>
      <c r="F11" s="88"/>
      <c r="G11" s="230">
        <f t="shared" si="0"/>
        <v>1348.0700000000006</v>
      </c>
      <c r="H11" s="91">
        <f t="shared" ref="H11:H19" si="11">H48-E11</f>
        <v>1348.0600000000004</v>
      </c>
      <c r="I11" s="83"/>
      <c r="J11" s="84">
        <f t="shared" si="1"/>
        <v>872.05999999999949</v>
      </c>
      <c r="K11" s="91">
        <f t="shared" ref="K11:K19" si="12">K48-H11-E11</f>
        <v>872.06999999999971</v>
      </c>
      <c r="L11" s="83"/>
      <c r="M11" s="84">
        <f t="shared" si="2"/>
        <v>1657.79</v>
      </c>
      <c r="N11" s="86">
        <f t="shared" ref="N11:N19" si="13">N48-K11-H11-E11</f>
        <v>1657.7799999999997</v>
      </c>
      <c r="O11" s="85"/>
      <c r="P11" s="86">
        <f t="shared" si="3"/>
        <v>1353.7000000000007</v>
      </c>
      <c r="Q11" s="86">
        <f t="shared" ref="Q11:Q19" si="14">Q48-N11-K11-H11-E11</f>
        <v>1232.0999999999995</v>
      </c>
      <c r="R11" s="116"/>
      <c r="S11" s="86">
        <f t="shared" si="4"/>
        <v>1189.92</v>
      </c>
      <c r="T11" s="86">
        <f t="shared" ref="T11:T19" si="15">T48-Q11-N11-K11-H11-E11</f>
        <v>1189.9200000000028</v>
      </c>
      <c r="U11" s="116"/>
      <c r="V11" s="86">
        <f t="shared" si="5"/>
        <v>1942.8799999999992</v>
      </c>
      <c r="W11" s="86">
        <f t="shared" ref="W11:W19" si="16">W48-T11-Q11-N11-K11-H11-E11</f>
        <v>1942.8900000000003</v>
      </c>
      <c r="X11" s="116"/>
      <c r="Y11" s="86">
        <f t="shared" si="6"/>
        <v>-13908.15</v>
      </c>
      <c r="Z11" s="86">
        <f t="shared" ref="Z11:Z19" si="17">Z48-W11-T11-Q11-N11-K11-H11-E11</f>
        <v>-13786.550000000003</v>
      </c>
      <c r="AA11" s="116"/>
      <c r="AB11" s="86">
        <f t="shared" ref="AB11:AB16" si="18">AB48-Y48</f>
        <v>0</v>
      </c>
      <c r="AC11" s="86">
        <f t="shared" ref="AC11:AC19" si="19">AC48-Z11-W11-T11-Q11-N11-K11-H11-E11</f>
        <v>0</v>
      </c>
      <c r="AD11" s="116"/>
      <c r="AE11" s="86">
        <f t="shared" ref="AE11:AE16" si="20">AE48-AB48</f>
        <v>0</v>
      </c>
      <c r="AF11" s="86">
        <f t="shared" ref="AF11:AF19" si="21">AF48-AC11-Z11-W11-T11-Q11-N11-K11-H11-E11</f>
        <v>0</v>
      </c>
      <c r="AG11" s="116"/>
      <c r="AH11" s="86">
        <f t="shared" si="7"/>
        <v>0</v>
      </c>
      <c r="AI11" s="86">
        <f t="shared" ref="AI11:AI19" si="22">AI48-AF11-AC11-Z11-W11-T11-Q11-N11-K11-H11-E11</f>
        <v>0</v>
      </c>
      <c r="AJ11" s="116"/>
      <c r="AK11" s="86">
        <f t="shared" si="8"/>
        <v>0</v>
      </c>
      <c r="AL11" s="86">
        <f t="shared" ref="AL11:AL19" si="23">AL48-AI11-AF11-AC11-Z11-W11-T11-Q11-N11-K11-H11-E11</f>
        <v>0</v>
      </c>
      <c r="AM11" s="87"/>
      <c r="AN11" s="86">
        <f t="shared" si="9"/>
        <v>0</v>
      </c>
      <c r="AO11" s="86">
        <f>E11+H11+K11+N11+Q11+T11+W11+Z11+AF11+AC11+AI11+AL11</f>
        <v>-3.637978807091713E-12</v>
      </c>
      <c r="AP11" s="116"/>
      <c r="AQ11" s="116"/>
      <c r="AR11" s="116"/>
      <c r="AS11" s="114"/>
    </row>
    <row r="12" spans="2:45" s="71" customFormat="1" ht="15">
      <c r="B12" s="89" t="s">
        <v>415</v>
      </c>
      <c r="C12" s="11" t="s">
        <v>419</v>
      </c>
      <c r="D12" s="82">
        <f t="shared" si="10"/>
        <v>420</v>
      </c>
      <c r="E12" s="91">
        <f t="shared" si="10"/>
        <v>420</v>
      </c>
      <c r="F12" s="88"/>
      <c r="G12" s="230">
        <f t="shared" si="0"/>
        <v>700</v>
      </c>
      <c r="H12" s="91">
        <f t="shared" si="11"/>
        <v>700</v>
      </c>
      <c r="I12" s="83"/>
      <c r="J12" s="84">
        <f t="shared" si="1"/>
        <v>1080</v>
      </c>
      <c r="K12" s="91">
        <f t="shared" si="12"/>
        <v>1180</v>
      </c>
      <c r="L12" s="83"/>
      <c r="M12" s="84">
        <f t="shared" si="2"/>
        <v>0</v>
      </c>
      <c r="N12" s="86">
        <f t="shared" si="13"/>
        <v>-100</v>
      </c>
      <c r="O12" s="85"/>
      <c r="P12" s="86">
        <f t="shared" si="3"/>
        <v>1230</v>
      </c>
      <c r="Q12" s="86">
        <f t="shared" si="14"/>
        <v>1230</v>
      </c>
      <c r="R12" s="116"/>
      <c r="S12" s="86">
        <f t="shared" si="4"/>
        <v>1230</v>
      </c>
      <c r="T12" s="86">
        <f t="shared" si="15"/>
        <v>1230</v>
      </c>
      <c r="U12" s="116"/>
      <c r="V12" s="86">
        <f t="shared" si="5"/>
        <v>0</v>
      </c>
      <c r="W12" s="86">
        <f t="shared" si="16"/>
        <v>0</v>
      </c>
      <c r="X12" s="116"/>
      <c r="Y12" s="86">
        <f t="shared" si="6"/>
        <v>-4660</v>
      </c>
      <c r="Z12" s="86">
        <f t="shared" si="17"/>
        <v>-4660</v>
      </c>
      <c r="AA12" s="116"/>
      <c r="AB12" s="86">
        <f t="shared" si="18"/>
        <v>0</v>
      </c>
      <c r="AC12" s="86">
        <f t="shared" si="19"/>
        <v>0</v>
      </c>
      <c r="AD12" s="116"/>
      <c r="AE12" s="86">
        <f t="shared" si="20"/>
        <v>0</v>
      </c>
      <c r="AF12" s="86">
        <f t="shared" si="21"/>
        <v>0</v>
      </c>
      <c r="AG12" s="116"/>
      <c r="AH12" s="86">
        <f t="shared" si="7"/>
        <v>0</v>
      </c>
      <c r="AI12" s="86">
        <f t="shared" si="22"/>
        <v>0</v>
      </c>
      <c r="AJ12" s="116"/>
      <c r="AK12" s="86">
        <f t="shared" si="8"/>
        <v>0</v>
      </c>
      <c r="AL12" s="86">
        <f t="shared" si="23"/>
        <v>0</v>
      </c>
      <c r="AM12" s="87"/>
      <c r="AN12" s="86">
        <f t="shared" si="9"/>
        <v>0</v>
      </c>
      <c r="AO12" s="86">
        <f t="shared" ref="AO12:AO19" si="24">E12+H12+K12+N12+Q12+T12+W12+Z12+AF12+AC12+AI12+AL12</f>
        <v>0</v>
      </c>
      <c r="AP12" s="116"/>
      <c r="AQ12" s="116"/>
      <c r="AR12" s="116"/>
      <c r="AS12" s="114"/>
    </row>
    <row r="13" spans="2:45" s="71" customFormat="1" ht="15">
      <c r="B13" s="89" t="s">
        <v>127</v>
      </c>
      <c r="C13" s="11" t="s">
        <v>418</v>
      </c>
      <c r="D13" s="82">
        <f t="shared" si="10"/>
        <v>1720</v>
      </c>
      <c r="E13" s="91">
        <f t="shared" si="10"/>
        <v>2580</v>
      </c>
      <c r="F13" s="88"/>
      <c r="G13" s="230">
        <f t="shared" si="0"/>
        <v>0</v>
      </c>
      <c r="H13" s="91">
        <f t="shared" si="11"/>
        <v>0</v>
      </c>
      <c r="I13" s="83"/>
      <c r="J13" s="84">
        <f t="shared" si="1"/>
        <v>0</v>
      </c>
      <c r="K13" s="91">
        <f t="shared" si="12"/>
        <v>0</v>
      </c>
      <c r="L13" s="83"/>
      <c r="M13" s="84">
        <f>M50-J50</f>
        <v>240</v>
      </c>
      <c r="N13" s="86">
        <f t="shared" si="13"/>
        <v>240</v>
      </c>
      <c r="O13" s="85"/>
      <c r="P13" s="86">
        <f t="shared" si="3"/>
        <v>0</v>
      </c>
      <c r="Q13" s="86">
        <f t="shared" si="14"/>
        <v>-2580</v>
      </c>
      <c r="R13" s="116"/>
      <c r="S13" s="86">
        <f t="shared" si="4"/>
        <v>1360</v>
      </c>
      <c r="T13" s="86">
        <f t="shared" si="15"/>
        <v>0</v>
      </c>
      <c r="U13" s="116"/>
      <c r="V13" s="86">
        <f t="shared" si="5"/>
        <v>0</v>
      </c>
      <c r="W13" s="86">
        <f t="shared" si="16"/>
        <v>2580</v>
      </c>
      <c r="X13" s="116"/>
      <c r="Y13" s="86">
        <f t="shared" si="6"/>
        <v>-3320</v>
      </c>
      <c r="Z13" s="86">
        <f t="shared" si="17"/>
        <v>-2820</v>
      </c>
      <c r="AA13" s="116"/>
      <c r="AB13" s="86">
        <f t="shared" si="18"/>
        <v>0</v>
      </c>
      <c r="AC13" s="86">
        <f t="shared" si="19"/>
        <v>0</v>
      </c>
      <c r="AD13" s="116"/>
      <c r="AE13" s="86">
        <f t="shared" si="20"/>
        <v>0</v>
      </c>
      <c r="AF13" s="86">
        <f t="shared" si="21"/>
        <v>0</v>
      </c>
      <c r="AG13" s="116"/>
      <c r="AH13" s="86">
        <f t="shared" si="7"/>
        <v>0</v>
      </c>
      <c r="AI13" s="86">
        <f t="shared" si="22"/>
        <v>0</v>
      </c>
      <c r="AJ13" s="116"/>
      <c r="AK13" s="86">
        <f t="shared" si="8"/>
        <v>0</v>
      </c>
      <c r="AL13" s="86">
        <f t="shared" si="23"/>
        <v>0</v>
      </c>
      <c r="AM13" s="87"/>
      <c r="AN13" s="86">
        <f t="shared" si="9"/>
        <v>0</v>
      </c>
      <c r="AO13" s="86">
        <f t="shared" si="24"/>
        <v>0</v>
      </c>
      <c r="AP13" s="116"/>
      <c r="AQ13" s="116"/>
      <c r="AR13" s="116"/>
      <c r="AS13" s="114"/>
    </row>
    <row r="14" spans="2:45" s="71" customFormat="1" ht="28.5">
      <c r="B14" s="89" t="s">
        <v>451</v>
      </c>
      <c r="C14" s="11" t="s">
        <v>452</v>
      </c>
      <c r="D14" s="82">
        <f t="shared" si="10"/>
        <v>0</v>
      </c>
      <c r="E14" s="91">
        <f t="shared" si="10"/>
        <v>0</v>
      </c>
      <c r="F14" s="88"/>
      <c r="G14" s="230">
        <f t="shared" si="0"/>
        <v>37000</v>
      </c>
      <c r="H14" s="91">
        <f t="shared" si="11"/>
        <v>0</v>
      </c>
      <c r="I14" s="83"/>
      <c r="J14" s="84">
        <f t="shared" si="1"/>
        <v>0</v>
      </c>
      <c r="K14" s="91">
        <f t="shared" si="12"/>
        <v>0</v>
      </c>
      <c r="L14" s="83"/>
      <c r="M14" s="84">
        <f t="shared" si="2"/>
        <v>0</v>
      </c>
      <c r="N14" s="86">
        <f t="shared" si="13"/>
        <v>0</v>
      </c>
      <c r="O14" s="85"/>
      <c r="P14" s="86">
        <f t="shared" si="3"/>
        <v>0</v>
      </c>
      <c r="Q14" s="86">
        <f t="shared" si="14"/>
        <v>0</v>
      </c>
      <c r="R14" s="116"/>
      <c r="S14" s="86">
        <f t="shared" si="4"/>
        <v>0</v>
      </c>
      <c r="T14" s="86">
        <f t="shared" si="15"/>
        <v>0</v>
      </c>
      <c r="U14" s="116"/>
      <c r="V14" s="86">
        <f t="shared" si="5"/>
        <v>0</v>
      </c>
      <c r="W14" s="86">
        <f t="shared" si="16"/>
        <v>0</v>
      </c>
      <c r="X14" s="116"/>
      <c r="Y14" s="86">
        <f t="shared" si="6"/>
        <v>-37000</v>
      </c>
      <c r="Z14" s="86">
        <f t="shared" si="17"/>
        <v>0</v>
      </c>
      <c r="AA14" s="116"/>
      <c r="AB14" s="86">
        <f t="shared" si="18"/>
        <v>0</v>
      </c>
      <c r="AC14" s="86">
        <f t="shared" si="19"/>
        <v>0</v>
      </c>
      <c r="AD14" s="116"/>
      <c r="AE14" s="86">
        <f t="shared" si="20"/>
        <v>0</v>
      </c>
      <c r="AF14" s="86">
        <f t="shared" si="21"/>
        <v>0</v>
      </c>
      <c r="AG14" s="116"/>
      <c r="AH14" s="86">
        <f t="shared" si="7"/>
        <v>0</v>
      </c>
      <c r="AI14" s="86">
        <f t="shared" si="22"/>
        <v>0</v>
      </c>
      <c r="AJ14" s="116"/>
      <c r="AK14" s="86">
        <f t="shared" si="8"/>
        <v>0</v>
      </c>
      <c r="AL14" s="86">
        <f t="shared" si="23"/>
        <v>0</v>
      </c>
      <c r="AM14" s="87"/>
      <c r="AN14" s="86">
        <f t="shared" si="9"/>
        <v>0</v>
      </c>
      <c r="AO14" s="86">
        <f t="shared" si="24"/>
        <v>0</v>
      </c>
      <c r="AP14" s="116"/>
      <c r="AQ14" s="116"/>
      <c r="AR14" s="116"/>
      <c r="AS14" s="114"/>
    </row>
    <row r="15" spans="2:45" s="71" customFormat="1" ht="15">
      <c r="B15" s="89" t="s">
        <v>467</v>
      </c>
      <c r="C15" s="11" t="s">
        <v>466</v>
      </c>
      <c r="D15" s="82">
        <f t="shared" si="10"/>
        <v>0</v>
      </c>
      <c r="E15" s="91">
        <f t="shared" si="10"/>
        <v>0</v>
      </c>
      <c r="F15" s="88"/>
      <c r="G15" s="230">
        <f t="shared" si="0"/>
        <v>0</v>
      </c>
      <c r="H15" s="91">
        <f t="shared" si="11"/>
        <v>0</v>
      </c>
      <c r="I15" s="83"/>
      <c r="J15" s="84">
        <f t="shared" si="1"/>
        <v>0</v>
      </c>
      <c r="K15" s="91">
        <f t="shared" si="12"/>
        <v>0</v>
      </c>
      <c r="L15" s="83"/>
      <c r="M15" s="84">
        <f t="shared" si="2"/>
        <v>0</v>
      </c>
      <c r="N15" s="86">
        <f t="shared" si="13"/>
        <v>0</v>
      </c>
      <c r="O15" s="85"/>
      <c r="P15" s="86">
        <f t="shared" si="3"/>
        <v>41.85</v>
      </c>
      <c r="Q15" s="86">
        <f t="shared" si="14"/>
        <v>0</v>
      </c>
      <c r="R15" s="116"/>
      <c r="S15" s="86">
        <f t="shared" si="4"/>
        <v>41.85</v>
      </c>
      <c r="T15" s="86">
        <f t="shared" si="15"/>
        <v>0</v>
      </c>
      <c r="U15" s="116"/>
      <c r="V15" s="86">
        <f t="shared" si="5"/>
        <v>41.849999999999994</v>
      </c>
      <c r="W15" s="86">
        <f t="shared" si="16"/>
        <v>0</v>
      </c>
      <c r="X15" s="116"/>
      <c r="Y15" s="86">
        <f t="shared" si="6"/>
        <v>-125.55</v>
      </c>
      <c r="Z15" s="86">
        <f t="shared" si="17"/>
        <v>0</v>
      </c>
      <c r="AA15" s="116"/>
      <c r="AB15" s="86">
        <f t="shared" si="18"/>
        <v>0</v>
      </c>
      <c r="AC15" s="86">
        <f t="shared" si="19"/>
        <v>0</v>
      </c>
      <c r="AD15" s="116"/>
      <c r="AE15" s="86">
        <f t="shared" si="20"/>
        <v>0</v>
      </c>
      <c r="AF15" s="86">
        <f t="shared" si="21"/>
        <v>0</v>
      </c>
      <c r="AG15" s="116"/>
      <c r="AH15" s="86">
        <f t="shared" si="7"/>
        <v>0</v>
      </c>
      <c r="AI15" s="86">
        <f t="shared" si="22"/>
        <v>0</v>
      </c>
      <c r="AJ15" s="116"/>
      <c r="AK15" s="86">
        <f t="shared" si="8"/>
        <v>0</v>
      </c>
      <c r="AL15" s="86">
        <f t="shared" si="23"/>
        <v>0</v>
      </c>
      <c r="AM15" s="87"/>
      <c r="AN15" s="86">
        <f>D15+G15+J15+M15+P15+S15+V15+Y15+AE15+AB15+AH15+AK15</f>
        <v>0</v>
      </c>
      <c r="AO15" s="86">
        <f t="shared" si="24"/>
        <v>0</v>
      </c>
      <c r="AP15" s="116"/>
      <c r="AQ15" s="116"/>
      <c r="AR15" s="116"/>
      <c r="AS15" s="114"/>
    </row>
    <row r="16" spans="2:45" s="71" customFormat="1" ht="15">
      <c r="B16" s="89"/>
      <c r="C16" s="11"/>
      <c r="D16" s="82">
        <f t="shared" si="10"/>
        <v>0</v>
      </c>
      <c r="E16" s="91">
        <f t="shared" si="10"/>
        <v>0</v>
      </c>
      <c r="F16" s="88"/>
      <c r="G16" s="230">
        <f t="shared" si="0"/>
        <v>0</v>
      </c>
      <c r="H16" s="91">
        <f t="shared" si="11"/>
        <v>0</v>
      </c>
      <c r="I16" s="83"/>
      <c r="J16" s="84">
        <f t="shared" si="1"/>
        <v>0</v>
      </c>
      <c r="K16" s="91">
        <f t="shared" si="12"/>
        <v>0</v>
      </c>
      <c r="L16" s="83"/>
      <c r="M16" s="84">
        <f t="shared" si="2"/>
        <v>0</v>
      </c>
      <c r="N16" s="86">
        <f t="shared" si="13"/>
        <v>0</v>
      </c>
      <c r="O16" s="85"/>
      <c r="P16" s="86">
        <f t="shared" si="3"/>
        <v>0</v>
      </c>
      <c r="Q16" s="86">
        <f t="shared" si="14"/>
        <v>0</v>
      </c>
      <c r="R16" s="116"/>
      <c r="S16" s="86">
        <f t="shared" si="4"/>
        <v>0</v>
      </c>
      <c r="T16" s="86">
        <f t="shared" si="15"/>
        <v>0</v>
      </c>
      <c r="U16" s="116"/>
      <c r="V16" s="86">
        <f t="shared" si="5"/>
        <v>0</v>
      </c>
      <c r="W16" s="86">
        <f t="shared" si="16"/>
        <v>0</v>
      </c>
      <c r="X16" s="116"/>
      <c r="Y16" s="86">
        <f t="shared" si="6"/>
        <v>0</v>
      </c>
      <c r="Z16" s="86">
        <f t="shared" si="17"/>
        <v>0</v>
      </c>
      <c r="AA16" s="116"/>
      <c r="AB16" s="86">
        <f t="shared" si="18"/>
        <v>0</v>
      </c>
      <c r="AC16" s="86">
        <f t="shared" si="19"/>
        <v>0</v>
      </c>
      <c r="AD16" s="116"/>
      <c r="AE16" s="86">
        <f t="shared" si="20"/>
        <v>0</v>
      </c>
      <c r="AF16" s="86">
        <f t="shared" si="21"/>
        <v>0</v>
      </c>
      <c r="AG16" s="116"/>
      <c r="AH16" s="86">
        <f t="shared" si="7"/>
        <v>0</v>
      </c>
      <c r="AI16" s="86">
        <f t="shared" si="22"/>
        <v>0</v>
      </c>
      <c r="AJ16" s="116"/>
      <c r="AK16" s="86">
        <f t="shared" si="8"/>
        <v>0</v>
      </c>
      <c r="AL16" s="86">
        <f t="shared" si="23"/>
        <v>0</v>
      </c>
      <c r="AM16" s="87"/>
      <c r="AN16" s="86">
        <f t="shared" si="9"/>
        <v>0</v>
      </c>
      <c r="AO16" s="86">
        <f t="shared" si="24"/>
        <v>0</v>
      </c>
      <c r="AP16" s="116"/>
      <c r="AQ16" s="116"/>
      <c r="AR16" s="116"/>
      <c r="AS16" s="114"/>
    </row>
    <row r="17" spans="2:55" s="71" customFormat="1" ht="15">
      <c r="B17" s="89"/>
      <c r="C17" s="11"/>
      <c r="D17" s="82">
        <f t="shared" si="10"/>
        <v>0</v>
      </c>
      <c r="E17" s="91">
        <f t="shared" si="10"/>
        <v>0</v>
      </c>
      <c r="F17" s="88"/>
      <c r="G17" s="230">
        <f t="shared" ref="G17" si="25">G54-D54</f>
        <v>0</v>
      </c>
      <c r="H17" s="91">
        <f t="shared" si="11"/>
        <v>0</v>
      </c>
      <c r="I17" s="83"/>
      <c r="J17" s="84">
        <f t="shared" ref="J17" si="26">J54-G54</f>
        <v>0</v>
      </c>
      <c r="K17" s="91">
        <f t="shared" si="12"/>
        <v>0</v>
      </c>
      <c r="L17" s="83"/>
      <c r="M17" s="84">
        <f t="shared" ref="M17" si="27">M54-J54</f>
        <v>0</v>
      </c>
      <c r="N17" s="86">
        <f t="shared" si="13"/>
        <v>0</v>
      </c>
      <c r="O17" s="85"/>
      <c r="P17" s="86">
        <f t="shared" ref="P17" si="28">P54-M54</f>
        <v>0</v>
      </c>
      <c r="Q17" s="86">
        <f t="shared" si="14"/>
        <v>0</v>
      </c>
      <c r="R17" s="116"/>
      <c r="S17" s="86">
        <f t="shared" ref="S17" si="29">S54-P54</f>
        <v>0</v>
      </c>
      <c r="T17" s="86">
        <f t="shared" si="15"/>
        <v>0</v>
      </c>
      <c r="U17" s="116"/>
      <c r="V17" s="86">
        <f t="shared" ref="V17" si="30">V54-S54</f>
        <v>0</v>
      </c>
      <c r="W17" s="86">
        <f t="shared" si="16"/>
        <v>0</v>
      </c>
      <c r="X17" s="116"/>
      <c r="Y17" s="86">
        <f t="shared" ref="Y17" si="31">Y54-V54</f>
        <v>0</v>
      </c>
      <c r="Z17" s="86">
        <f t="shared" si="17"/>
        <v>0</v>
      </c>
      <c r="AA17" s="116"/>
      <c r="AB17" s="86">
        <f t="shared" ref="AB17" si="32">AB54-Y54</f>
        <v>0</v>
      </c>
      <c r="AC17" s="86">
        <f t="shared" si="19"/>
        <v>0</v>
      </c>
      <c r="AD17" s="116"/>
      <c r="AE17" s="86">
        <f t="shared" ref="AE17" si="33">AE54-AB54</f>
        <v>0</v>
      </c>
      <c r="AF17" s="86">
        <f t="shared" si="21"/>
        <v>0</v>
      </c>
      <c r="AG17" s="116"/>
      <c r="AH17" s="86">
        <f t="shared" ref="AH17" si="34">AH54-AE54</f>
        <v>0</v>
      </c>
      <c r="AI17" s="86">
        <f t="shared" si="22"/>
        <v>0</v>
      </c>
      <c r="AJ17" s="116"/>
      <c r="AK17" s="86">
        <f t="shared" ref="AK17" si="35">AK54-AH54</f>
        <v>0</v>
      </c>
      <c r="AL17" s="86">
        <f t="shared" si="23"/>
        <v>0</v>
      </c>
      <c r="AM17" s="87"/>
      <c r="AN17" s="86">
        <f t="shared" ref="AN17" si="36">D17+G17+J17+M17+P17+S17+V17+Y17+AE17+AB17+AH17+AK17</f>
        <v>0</v>
      </c>
      <c r="AO17" s="86">
        <f t="shared" ref="AO17" si="37">E17+H17+K17+N17+Q17+T17+W17+Z17+AF17+AC17+AI17+AL17</f>
        <v>0</v>
      </c>
      <c r="AP17" s="116"/>
      <c r="AQ17" s="116"/>
      <c r="AR17" s="116"/>
      <c r="AS17" s="114"/>
    </row>
    <row r="18" spans="2:55" s="71" customFormat="1" ht="15">
      <c r="B18" s="89"/>
      <c r="C18" s="11"/>
      <c r="D18" s="82">
        <f>D55</f>
        <v>0</v>
      </c>
      <c r="E18" s="91">
        <f>E55</f>
        <v>0</v>
      </c>
      <c r="F18" s="88"/>
      <c r="G18" s="230">
        <f>G55-D55</f>
        <v>0</v>
      </c>
      <c r="H18" s="91">
        <f t="shared" si="11"/>
        <v>0</v>
      </c>
      <c r="I18" s="83"/>
      <c r="J18" s="84">
        <f>J55-G55</f>
        <v>0</v>
      </c>
      <c r="K18" s="91">
        <f t="shared" si="12"/>
        <v>0</v>
      </c>
      <c r="L18" s="83"/>
      <c r="M18" s="84">
        <f>M55-J55</f>
        <v>0</v>
      </c>
      <c r="N18" s="86">
        <f t="shared" si="13"/>
        <v>0</v>
      </c>
      <c r="O18" s="85"/>
      <c r="P18" s="86">
        <f>P55-M55</f>
        <v>0</v>
      </c>
      <c r="Q18" s="86">
        <f t="shared" si="14"/>
        <v>0</v>
      </c>
      <c r="R18" s="116"/>
      <c r="S18" s="86">
        <f>S55-P55</f>
        <v>0</v>
      </c>
      <c r="T18" s="86">
        <f t="shared" si="15"/>
        <v>0</v>
      </c>
      <c r="U18" s="116"/>
      <c r="V18" s="86">
        <f>V55-S55</f>
        <v>0</v>
      </c>
      <c r="W18" s="86">
        <f t="shared" si="16"/>
        <v>0</v>
      </c>
      <c r="X18" s="83"/>
      <c r="Y18" s="86">
        <f>Y55-V55</f>
        <v>0</v>
      </c>
      <c r="Z18" s="86">
        <f t="shared" si="17"/>
        <v>0</v>
      </c>
      <c r="AA18" s="83"/>
      <c r="AB18" s="86">
        <f>AB55-Y55</f>
        <v>0</v>
      </c>
      <c r="AC18" s="86">
        <f t="shared" si="19"/>
        <v>0</v>
      </c>
      <c r="AD18" s="83"/>
      <c r="AE18" s="86">
        <f>AE55-AB55</f>
        <v>0</v>
      </c>
      <c r="AF18" s="86">
        <f t="shared" si="21"/>
        <v>0</v>
      </c>
      <c r="AG18" s="83"/>
      <c r="AH18" s="86">
        <f>AH55-AE55</f>
        <v>0</v>
      </c>
      <c r="AI18" s="86">
        <f t="shared" si="22"/>
        <v>0</v>
      </c>
      <c r="AJ18" s="83"/>
      <c r="AK18" s="86">
        <f>AK55-AH55</f>
        <v>0</v>
      </c>
      <c r="AL18" s="86">
        <f t="shared" si="23"/>
        <v>0</v>
      </c>
      <c r="AM18" s="83"/>
      <c r="AN18" s="86">
        <f t="shared" si="9"/>
        <v>0</v>
      </c>
      <c r="AO18" s="86">
        <f t="shared" si="24"/>
        <v>0</v>
      </c>
      <c r="AP18" s="116"/>
      <c r="AQ18" s="116"/>
      <c r="AR18" s="116"/>
      <c r="AS18" s="114"/>
    </row>
    <row r="19" spans="2:55" s="71" customFormat="1" ht="15">
      <c r="B19" s="89"/>
      <c r="C19" s="11"/>
      <c r="D19" s="82">
        <f>D56</f>
        <v>0</v>
      </c>
      <c r="E19" s="91">
        <f>E56</f>
        <v>0</v>
      </c>
      <c r="F19" s="88"/>
      <c r="G19" s="230">
        <f>G56-D56</f>
        <v>0</v>
      </c>
      <c r="H19" s="91">
        <f t="shared" si="11"/>
        <v>0</v>
      </c>
      <c r="I19" s="83"/>
      <c r="J19" s="84">
        <f>J56-G56</f>
        <v>0</v>
      </c>
      <c r="K19" s="91">
        <f t="shared" si="12"/>
        <v>0</v>
      </c>
      <c r="L19" s="83"/>
      <c r="M19" s="84">
        <f>M56-J56</f>
        <v>0</v>
      </c>
      <c r="N19" s="86">
        <f t="shared" si="13"/>
        <v>0</v>
      </c>
      <c r="O19" s="85"/>
      <c r="P19" s="86">
        <f>P56-M56</f>
        <v>0</v>
      </c>
      <c r="Q19" s="86">
        <f t="shared" si="14"/>
        <v>0</v>
      </c>
      <c r="R19" s="116"/>
      <c r="S19" s="86">
        <f>S56-P56</f>
        <v>0</v>
      </c>
      <c r="T19" s="86">
        <f t="shared" si="15"/>
        <v>0</v>
      </c>
      <c r="U19" s="116"/>
      <c r="V19" s="86">
        <f>V56-S56</f>
        <v>0</v>
      </c>
      <c r="W19" s="86">
        <f t="shared" si="16"/>
        <v>0</v>
      </c>
      <c r="X19" s="83"/>
      <c r="Y19" s="86">
        <f>Y56-V56</f>
        <v>0</v>
      </c>
      <c r="Z19" s="86">
        <f t="shared" si="17"/>
        <v>0</v>
      </c>
      <c r="AA19" s="83"/>
      <c r="AB19" s="86">
        <f>AB56-Y56</f>
        <v>0</v>
      </c>
      <c r="AC19" s="86">
        <f t="shared" si="19"/>
        <v>0</v>
      </c>
      <c r="AD19" s="83"/>
      <c r="AE19" s="86">
        <f>AE56-AB56</f>
        <v>0</v>
      </c>
      <c r="AF19" s="86">
        <f t="shared" si="21"/>
        <v>0</v>
      </c>
      <c r="AG19" s="83"/>
      <c r="AH19" s="86">
        <f>AH56-AE56</f>
        <v>0</v>
      </c>
      <c r="AI19" s="86">
        <f t="shared" si="22"/>
        <v>0</v>
      </c>
      <c r="AJ19" s="83"/>
      <c r="AK19" s="86">
        <f>AK56-AH56</f>
        <v>0</v>
      </c>
      <c r="AL19" s="86">
        <f t="shared" si="23"/>
        <v>0</v>
      </c>
      <c r="AM19" s="83"/>
      <c r="AN19" s="86">
        <f t="shared" si="9"/>
        <v>0</v>
      </c>
      <c r="AO19" s="86">
        <f t="shared" si="24"/>
        <v>0</v>
      </c>
      <c r="AP19" s="116"/>
      <c r="AQ19" s="116"/>
      <c r="AR19" s="116"/>
      <c r="AS19" s="114"/>
    </row>
    <row r="20" spans="2:55" s="71" customFormat="1">
      <c r="B20" s="76"/>
      <c r="C20" s="76"/>
      <c r="D20" s="86"/>
      <c r="E20" s="91"/>
      <c r="F20" s="88"/>
      <c r="G20" s="86"/>
      <c r="H20" s="91"/>
      <c r="I20" s="83"/>
      <c r="J20" s="84"/>
      <c r="K20" s="91"/>
      <c r="L20" s="83"/>
      <c r="M20" s="84"/>
      <c r="N20" s="86"/>
      <c r="O20" s="85"/>
      <c r="P20" s="86"/>
      <c r="Q20" s="86"/>
      <c r="R20" s="116"/>
      <c r="S20" s="86"/>
      <c r="T20" s="86"/>
      <c r="U20" s="116"/>
      <c r="V20" s="86"/>
      <c r="W20" s="86"/>
      <c r="X20" s="83"/>
      <c r="Y20" s="86"/>
      <c r="Z20" s="86"/>
      <c r="AA20" s="83"/>
      <c r="AB20" s="86"/>
      <c r="AC20" s="86"/>
      <c r="AD20" s="83"/>
      <c r="AE20" s="86"/>
      <c r="AF20" s="86"/>
      <c r="AG20" s="83"/>
      <c r="AH20" s="86"/>
      <c r="AI20" s="86"/>
      <c r="AJ20" s="83"/>
      <c r="AK20" s="86"/>
      <c r="AL20" s="86"/>
      <c r="AM20" s="83"/>
      <c r="AN20" s="86"/>
      <c r="AO20" s="86"/>
      <c r="AP20" s="116"/>
      <c r="AQ20" s="116"/>
      <c r="AR20" s="116"/>
      <c r="AS20" s="114"/>
    </row>
    <row r="21" spans="2:55" s="71" customFormat="1" ht="15">
      <c r="B21" s="92" t="s">
        <v>132</v>
      </c>
      <c r="C21" s="76"/>
      <c r="D21" s="93">
        <f>SUM(D9:D19)</f>
        <v>10314.81</v>
      </c>
      <c r="E21" s="94">
        <f>SUM(E9:E19)</f>
        <v>22820.959999999999</v>
      </c>
      <c r="F21" s="98"/>
      <c r="G21" s="93">
        <f>SUM(G9:G19)</f>
        <v>41491.83</v>
      </c>
      <c r="H21" s="94">
        <f>SUM(H9:H19)</f>
        <v>1876.9300000000012</v>
      </c>
      <c r="I21" s="95"/>
      <c r="J21" s="96">
        <f>SUM(J9:J19)</f>
        <v>2920.2899999999995</v>
      </c>
      <c r="K21" s="94">
        <f>SUM(K9:K19)</f>
        <v>2591</v>
      </c>
      <c r="L21" s="95"/>
      <c r="M21" s="96">
        <f t="shared" ref="M21:T21" si="38">SUM(M9:M19)</f>
        <v>10774.39</v>
      </c>
      <c r="N21" s="93">
        <f t="shared" si="38"/>
        <v>13147.779999999999</v>
      </c>
      <c r="O21" s="97"/>
      <c r="P21" s="93">
        <f t="shared" si="38"/>
        <v>5255.1400000000021</v>
      </c>
      <c r="Q21" s="93">
        <f t="shared" si="38"/>
        <v>2042.1000000000013</v>
      </c>
      <c r="R21" s="117">
        <f t="shared" si="38"/>
        <v>0</v>
      </c>
      <c r="S21" s="93">
        <f t="shared" si="38"/>
        <v>4055.639999999999</v>
      </c>
      <c r="T21" s="93">
        <f t="shared" si="38"/>
        <v>2419.9200000000028</v>
      </c>
      <c r="U21" s="117"/>
      <c r="V21" s="93">
        <f>SUM(V9:V19)</f>
        <v>14255.86</v>
      </c>
      <c r="W21" s="93">
        <f>SUM(W9:W19)</f>
        <v>16753.890000000003</v>
      </c>
      <c r="X21" s="95"/>
      <c r="Y21" s="93">
        <f>SUM(Y9:Y19)</f>
        <v>-89067.96</v>
      </c>
      <c r="Z21" s="93">
        <f>SUM(Z9:Z19)</f>
        <v>-61652.58</v>
      </c>
      <c r="AA21" s="95"/>
      <c r="AB21" s="93">
        <f>SUM(AB9:AB19)</f>
        <v>0</v>
      </c>
      <c r="AC21" s="93">
        <f>SUM(AC9:AC19)</f>
        <v>0</v>
      </c>
      <c r="AD21" s="95"/>
      <c r="AE21" s="93">
        <f>SUM(AE9:AE19)</f>
        <v>0</v>
      </c>
      <c r="AF21" s="93">
        <f>SUM(AF9:AF19)</f>
        <v>0</v>
      </c>
      <c r="AG21" s="95"/>
      <c r="AH21" s="93">
        <f>SUM(AH9:AH19)</f>
        <v>0</v>
      </c>
      <c r="AI21" s="93">
        <f>SUM(AI9:AI19)</f>
        <v>0</v>
      </c>
      <c r="AJ21" s="95"/>
      <c r="AK21" s="93">
        <f>SUM(AK9:AK19)</f>
        <v>0</v>
      </c>
      <c r="AL21" s="93">
        <f>SUM(AL9:AL19)</f>
        <v>0</v>
      </c>
      <c r="AM21" s="95">
        <f>SUM(AM9:AM19)</f>
        <v>0</v>
      </c>
      <c r="AN21" s="93">
        <f>SUM(AN9:AN19)</f>
        <v>0</v>
      </c>
      <c r="AO21" s="93">
        <f>SUM(AO9:AO19)</f>
        <v>-3.637978807091713E-12</v>
      </c>
      <c r="AP21" s="117"/>
      <c r="AQ21" s="117"/>
      <c r="AR21" s="117">
        <f>SUM(AR9:AR19)</f>
        <v>0</v>
      </c>
      <c r="AS21" s="118"/>
    </row>
    <row r="22" spans="2:55" s="71" customFormat="1" ht="15">
      <c r="B22" s="99" t="s">
        <v>148</v>
      </c>
      <c r="C22" s="76"/>
      <c r="D22" s="76"/>
      <c r="E22" s="100">
        <f>D21-E21</f>
        <v>-12506.15</v>
      </c>
      <c r="F22" s="104"/>
      <c r="G22" s="76"/>
      <c r="H22" s="100">
        <f>G21-H21</f>
        <v>39614.9</v>
      </c>
      <c r="I22" s="101"/>
      <c r="J22" s="102"/>
      <c r="K22" s="100">
        <f>J21-K21</f>
        <v>329.28999999999951</v>
      </c>
      <c r="L22" s="69"/>
      <c r="M22" s="81"/>
      <c r="N22" s="103">
        <f>M21-N21</f>
        <v>-2373.3899999999994</v>
      </c>
      <c r="O22" s="70"/>
      <c r="P22" s="76"/>
      <c r="Q22" s="103">
        <f>P21-Q21</f>
        <v>3213.0400000000009</v>
      </c>
      <c r="R22" s="118">
        <f>Q21-R21</f>
        <v>2042.1000000000013</v>
      </c>
      <c r="S22" s="103"/>
      <c r="T22" s="103">
        <f>S21-T21</f>
        <v>1635.7199999999962</v>
      </c>
      <c r="U22" s="118"/>
      <c r="V22" s="103"/>
      <c r="W22" s="103">
        <f>V21-W21</f>
        <v>-2498.0300000000025</v>
      </c>
      <c r="X22" s="101"/>
      <c r="Y22" s="103"/>
      <c r="Z22" s="103">
        <f>Y21-Z21</f>
        <v>-27415.380000000005</v>
      </c>
      <c r="AA22" s="101"/>
      <c r="AB22" s="103"/>
      <c r="AC22" s="103">
        <f>AB21-AC21</f>
        <v>0</v>
      </c>
      <c r="AD22" s="101"/>
      <c r="AE22" s="103"/>
      <c r="AF22" s="103">
        <f>AE21-AF21</f>
        <v>0</v>
      </c>
      <c r="AG22" s="101"/>
      <c r="AH22" s="103"/>
      <c r="AI22" s="103">
        <f>AH21-AI21</f>
        <v>0</v>
      </c>
      <c r="AJ22" s="101"/>
      <c r="AK22" s="103"/>
      <c r="AL22" s="103">
        <f>AK21-AL21</f>
        <v>0</v>
      </c>
      <c r="AM22" s="101">
        <f>T21-AM21</f>
        <v>2419.9200000000028</v>
      </c>
      <c r="AN22" s="103"/>
      <c r="AO22" s="103">
        <f>AN21-AO21</f>
        <v>3.637978807091713E-12</v>
      </c>
      <c r="AP22" s="118"/>
      <c r="AQ22" s="118"/>
      <c r="AR22" s="118">
        <f>S21-AR21</f>
        <v>4055.639999999999</v>
      </c>
      <c r="AS22" s="114"/>
    </row>
    <row r="23" spans="2:55" ht="14.25" hidden="1" customHeight="1">
      <c r="L23" s="1"/>
      <c r="U23" s="1"/>
      <c r="AQ23" s="1"/>
      <c r="BC23" s="39"/>
    </row>
    <row r="24" spans="2:55" ht="14.25" hidden="1" customHeight="1">
      <c r="L24" s="1"/>
      <c r="U24" s="1"/>
      <c r="AQ24" s="1"/>
      <c r="BC24" s="39"/>
    </row>
    <row r="25" spans="2:55" ht="15" hidden="1" customHeight="1">
      <c r="B25" s="481" t="s">
        <v>128</v>
      </c>
      <c r="C25" s="481" t="s">
        <v>110</v>
      </c>
      <c r="D25" s="495" t="s">
        <v>152</v>
      </c>
      <c r="E25" s="492"/>
      <c r="F25" s="27"/>
      <c r="G25" s="492" t="s">
        <v>152</v>
      </c>
      <c r="H25" s="493"/>
      <c r="I25" s="59"/>
      <c r="J25" s="495" t="s">
        <v>152</v>
      </c>
      <c r="K25" s="493"/>
      <c r="L25" s="1"/>
      <c r="M25" s="495" t="s">
        <v>152</v>
      </c>
      <c r="N25" s="493"/>
      <c r="P25" s="495" t="s">
        <v>152</v>
      </c>
      <c r="Q25" s="493"/>
      <c r="S25" s="476" t="s">
        <v>152</v>
      </c>
      <c r="T25" s="488"/>
      <c r="U25" s="110"/>
      <c r="V25" s="476"/>
      <c r="W25" s="488"/>
      <c r="X25" s="110"/>
      <c r="Y25" s="476"/>
      <c r="Z25" s="488"/>
      <c r="AA25" s="110"/>
      <c r="AB25" s="476"/>
      <c r="AC25" s="488"/>
      <c r="AD25" s="110"/>
      <c r="AE25" s="110"/>
      <c r="AF25" s="110"/>
      <c r="AG25" s="110"/>
      <c r="AH25" s="110"/>
      <c r="AI25" s="110"/>
      <c r="AJ25" s="110"/>
      <c r="AK25" s="110"/>
      <c r="AL25" s="110"/>
      <c r="AN25" s="476" t="s">
        <v>152</v>
      </c>
      <c r="AO25" s="488"/>
      <c r="AP25" s="112"/>
      <c r="AQ25" s="122"/>
      <c r="AR25" s="122"/>
      <c r="AS25" s="1"/>
      <c r="BC25" s="39"/>
    </row>
    <row r="26" spans="2:55" ht="15" hidden="1" customHeight="1">
      <c r="B26" s="482"/>
      <c r="C26" s="482"/>
      <c r="D26" s="483" t="s">
        <v>131</v>
      </c>
      <c r="E26" s="484"/>
      <c r="F26" s="28"/>
      <c r="G26" s="484" t="s">
        <v>166</v>
      </c>
      <c r="H26" s="494"/>
      <c r="I26" s="60"/>
      <c r="J26" s="483" t="s">
        <v>167</v>
      </c>
      <c r="K26" s="494"/>
      <c r="L26" s="60"/>
      <c r="M26" s="483" t="s">
        <v>168</v>
      </c>
      <c r="N26" s="494"/>
      <c r="P26" s="483" t="s">
        <v>170</v>
      </c>
      <c r="Q26" s="494"/>
      <c r="S26" s="483" t="s">
        <v>171</v>
      </c>
      <c r="T26" s="484"/>
      <c r="U26" s="60"/>
      <c r="V26" s="483"/>
      <c r="W26" s="484"/>
      <c r="X26" s="60"/>
      <c r="Y26" s="483"/>
      <c r="Z26" s="484"/>
      <c r="AA26" s="60"/>
      <c r="AB26" s="483"/>
      <c r="AC26" s="484"/>
      <c r="AD26" s="60"/>
      <c r="AE26" s="60"/>
      <c r="AF26" s="60"/>
      <c r="AG26" s="60"/>
      <c r="AH26" s="60"/>
      <c r="AI26" s="60"/>
      <c r="AJ26" s="60"/>
      <c r="AK26" s="60"/>
      <c r="AL26" s="60"/>
      <c r="AN26" s="483" t="s">
        <v>171</v>
      </c>
      <c r="AO26" s="484"/>
      <c r="AP26" s="113"/>
      <c r="AQ26" s="123"/>
      <c r="AR26" s="123"/>
      <c r="AS26" s="1"/>
      <c r="BC26" s="39"/>
    </row>
    <row r="27" spans="2:55" ht="14.25" hidden="1" customHeight="1">
      <c r="B27" s="29"/>
      <c r="C27" s="29"/>
      <c r="D27" s="30" t="s">
        <v>142</v>
      </c>
      <c r="E27" s="31" t="s">
        <v>143</v>
      </c>
      <c r="F27" s="26"/>
      <c r="G27" s="32" t="s">
        <v>142</v>
      </c>
      <c r="H27" s="30" t="s">
        <v>143</v>
      </c>
      <c r="I27" s="6"/>
      <c r="J27" s="30" t="s">
        <v>142</v>
      </c>
      <c r="K27" s="30" t="s">
        <v>143</v>
      </c>
      <c r="L27" s="6"/>
      <c r="M27" s="30" t="s">
        <v>142</v>
      </c>
      <c r="N27" s="30" t="s">
        <v>143</v>
      </c>
      <c r="P27" s="30" t="s">
        <v>142</v>
      </c>
      <c r="Q27" s="31" t="s">
        <v>143</v>
      </c>
      <c r="S27" s="32" t="s">
        <v>142</v>
      </c>
      <c r="T27" s="119" t="s">
        <v>143</v>
      </c>
      <c r="U27" s="124"/>
      <c r="V27" s="32"/>
      <c r="W27" s="119"/>
      <c r="X27" s="124"/>
      <c r="Y27" s="32"/>
      <c r="Z27" s="119"/>
      <c r="AA27" s="124"/>
      <c r="AB27" s="32"/>
      <c r="AC27" s="119"/>
      <c r="AD27" s="124"/>
      <c r="AE27" s="124"/>
      <c r="AF27" s="124"/>
      <c r="AG27" s="124"/>
      <c r="AH27" s="124"/>
      <c r="AI27" s="124"/>
      <c r="AJ27" s="124"/>
      <c r="AK27" s="124"/>
      <c r="AL27" s="124"/>
      <c r="AN27" s="30" t="s">
        <v>142</v>
      </c>
      <c r="AO27" s="108" t="s">
        <v>143</v>
      </c>
      <c r="AP27" s="119"/>
      <c r="AQ27" s="124"/>
      <c r="AR27" s="6"/>
      <c r="AS27" s="1"/>
      <c r="BC27" s="39"/>
    </row>
    <row r="28" spans="2:55" ht="14.25" hidden="1" customHeight="1">
      <c r="B28" s="29"/>
      <c r="C28" s="33"/>
      <c r="D28" s="29"/>
      <c r="E28" s="34"/>
      <c r="F28" s="27"/>
      <c r="G28" s="35"/>
      <c r="H28" s="29"/>
      <c r="I28" s="1"/>
      <c r="J28" s="29"/>
      <c r="K28" s="29"/>
      <c r="L28" s="1"/>
      <c r="M28" s="29"/>
      <c r="N28" s="29"/>
      <c r="P28" s="29"/>
      <c r="Q28" s="34"/>
      <c r="S28" s="35"/>
      <c r="T28" s="34"/>
      <c r="U28" s="1"/>
      <c r="V28" s="35"/>
      <c r="W28" s="34"/>
      <c r="X28" s="1"/>
      <c r="Y28" s="35"/>
      <c r="Z28" s="34"/>
      <c r="AA28" s="1"/>
      <c r="AB28" s="35"/>
      <c r="AC28" s="34"/>
      <c r="AD28" s="1"/>
      <c r="AE28" s="1"/>
      <c r="AF28" s="1"/>
      <c r="AG28" s="1"/>
      <c r="AH28" s="1"/>
      <c r="AI28" s="1"/>
      <c r="AJ28" s="1"/>
      <c r="AK28" s="1"/>
      <c r="AL28" s="1"/>
      <c r="AN28" s="29"/>
      <c r="AO28" s="29"/>
      <c r="AP28" s="34"/>
      <c r="AQ28" s="1"/>
      <c r="AR28" s="1"/>
      <c r="AS28" s="1"/>
      <c r="BC28" s="39"/>
    </row>
    <row r="29" spans="2:55" ht="15" hidden="1" customHeight="1">
      <c r="B29" s="478" t="s">
        <v>133</v>
      </c>
      <c r="C29" s="13" t="s">
        <v>125</v>
      </c>
      <c r="D29" s="38"/>
      <c r="E29" s="489"/>
      <c r="F29" s="36"/>
      <c r="G29" s="37"/>
      <c r="H29" s="485"/>
      <c r="I29" s="64"/>
      <c r="J29" s="38"/>
      <c r="K29" s="485"/>
      <c r="L29" s="61"/>
      <c r="M29" s="38"/>
      <c r="N29" s="485"/>
      <c r="P29" s="38"/>
      <c r="Q29" s="489"/>
      <c r="S29" s="37"/>
      <c r="T29" s="120"/>
      <c r="U29" s="61"/>
      <c r="V29" s="37"/>
      <c r="W29" s="120"/>
      <c r="X29" s="61"/>
      <c r="Y29" s="37"/>
      <c r="Z29" s="120"/>
      <c r="AA29" s="61"/>
      <c r="AB29" s="37"/>
      <c r="AC29" s="120"/>
      <c r="AD29" s="61"/>
      <c r="AE29" s="61"/>
      <c r="AF29" s="61"/>
      <c r="AG29" s="61"/>
      <c r="AH29" s="61"/>
      <c r="AI29" s="61"/>
      <c r="AJ29" s="61"/>
      <c r="AK29" s="61"/>
      <c r="AL29" s="61"/>
      <c r="AN29" s="38"/>
      <c r="AO29" s="107"/>
      <c r="AP29" s="120"/>
      <c r="AQ29" s="61"/>
      <c r="AR29" s="491">
        <f>1500+65490</f>
        <v>66990</v>
      </c>
      <c r="AS29" s="1"/>
      <c r="BC29" s="39"/>
    </row>
    <row r="30" spans="2:55" ht="15" hidden="1" customHeight="1">
      <c r="B30" s="478"/>
      <c r="C30" s="12" t="s">
        <v>126</v>
      </c>
      <c r="D30" s="38"/>
      <c r="E30" s="490"/>
      <c r="F30" s="36"/>
      <c r="G30" s="37"/>
      <c r="H30" s="486"/>
      <c r="I30" s="64"/>
      <c r="J30" s="38"/>
      <c r="K30" s="486"/>
      <c r="L30" s="61"/>
      <c r="M30" s="38"/>
      <c r="N30" s="486"/>
      <c r="P30" s="38"/>
      <c r="Q30" s="490"/>
      <c r="S30" s="37"/>
      <c r="T30" s="121"/>
      <c r="U30" s="61"/>
      <c r="V30" s="37"/>
      <c r="W30" s="121"/>
      <c r="X30" s="61"/>
      <c r="Y30" s="37"/>
      <c r="Z30" s="121"/>
      <c r="AA30" s="61"/>
      <c r="AB30" s="37"/>
      <c r="AC30" s="121"/>
      <c r="AD30" s="61"/>
      <c r="AE30" s="61"/>
      <c r="AF30" s="61"/>
      <c r="AG30" s="61"/>
      <c r="AH30" s="61"/>
      <c r="AI30" s="61"/>
      <c r="AJ30" s="61"/>
      <c r="AK30" s="61"/>
      <c r="AL30" s="61"/>
      <c r="AN30" s="38"/>
      <c r="AO30" s="41"/>
      <c r="AP30" s="121"/>
      <c r="AQ30" s="61"/>
      <c r="AR30" s="491"/>
      <c r="AS30" s="1"/>
      <c r="BC30" s="39"/>
    </row>
    <row r="31" spans="2:55" ht="15" hidden="1" customHeight="1">
      <c r="B31" s="40" t="s">
        <v>134</v>
      </c>
      <c r="C31" s="12" t="s">
        <v>135</v>
      </c>
      <c r="D31" s="38"/>
      <c r="E31" s="42"/>
      <c r="F31" s="36"/>
      <c r="G31" s="37"/>
      <c r="H31" s="38"/>
      <c r="I31" s="61"/>
      <c r="J31" s="38"/>
      <c r="K31" s="38"/>
      <c r="L31" s="61"/>
      <c r="M31" s="38"/>
      <c r="N31" s="38"/>
      <c r="P31" s="38"/>
      <c r="Q31" s="42"/>
      <c r="S31" s="37"/>
      <c r="T31" s="42"/>
      <c r="U31" s="61"/>
      <c r="V31" s="37"/>
      <c r="W31" s="42"/>
      <c r="X31" s="61"/>
      <c r="Y31" s="37"/>
      <c r="Z31" s="42"/>
      <c r="AA31" s="61"/>
      <c r="AB31" s="37"/>
      <c r="AC31" s="42"/>
      <c r="AD31" s="61"/>
      <c r="AE31" s="61"/>
      <c r="AF31" s="61"/>
      <c r="AG31" s="61"/>
      <c r="AH31" s="61"/>
      <c r="AI31" s="61"/>
      <c r="AJ31" s="61"/>
      <c r="AK31" s="61"/>
      <c r="AL31" s="61"/>
      <c r="AN31" s="38"/>
      <c r="AO31" s="38"/>
      <c r="AP31" s="42"/>
      <c r="AQ31" s="61"/>
      <c r="AR31" s="61">
        <v>9451.4</v>
      </c>
      <c r="AS31" s="1"/>
      <c r="BC31" s="39"/>
    </row>
    <row r="32" spans="2:55" ht="15" hidden="1" customHeight="1">
      <c r="B32" s="40" t="s">
        <v>136</v>
      </c>
      <c r="C32" s="11" t="s">
        <v>137</v>
      </c>
      <c r="D32" s="38"/>
      <c r="E32" s="42"/>
      <c r="F32" s="36"/>
      <c r="G32" s="37"/>
      <c r="H32" s="38"/>
      <c r="I32" s="61"/>
      <c r="J32" s="38"/>
      <c r="K32" s="38"/>
      <c r="L32" s="61"/>
      <c r="M32" s="38"/>
      <c r="N32" s="38"/>
      <c r="P32" s="38"/>
      <c r="Q32" s="42"/>
      <c r="S32" s="37"/>
      <c r="T32" s="42"/>
      <c r="U32" s="61"/>
      <c r="V32" s="37"/>
      <c r="W32" s="42"/>
      <c r="X32" s="61"/>
      <c r="Y32" s="37"/>
      <c r="Z32" s="42"/>
      <c r="AA32" s="61"/>
      <c r="AB32" s="37"/>
      <c r="AC32" s="42"/>
      <c r="AD32" s="61"/>
      <c r="AE32" s="61"/>
      <c r="AF32" s="61"/>
      <c r="AG32" s="61"/>
      <c r="AH32" s="61"/>
      <c r="AI32" s="61"/>
      <c r="AJ32" s="61"/>
      <c r="AK32" s="61"/>
      <c r="AL32" s="61"/>
      <c r="AN32" s="38"/>
      <c r="AO32" s="38"/>
      <c r="AP32" s="42"/>
      <c r="AQ32" s="61"/>
      <c r="AR32" s="61">
        <v>1804.68</v>
      </c>
      <c r="AS32" s="1"/>
      <c r="BC32" s="39"/>
    </row>
    <row r="33" spans="2:55" ht="15" hidden="1" customHeight="1">
      <c r="B33" s="40" t="s">
        <v>138</v>
      </c>
      <c r="C33" s="11" t="s">
        <v>139</v>
      </c>
      <c r="D33" s="38"/>
      <c r="E33" s="42"/>
      <c r="F33" s="36"/>
      <c r="G33" s="37"/>
      <c r="H33" s="38"/>
      <c r="I33" s="61"/>
      <c r="J33" s="38"/>
      <c r="K33" s="38"/>
      <c r="L33" s="61"/>
      <c r="M33" s="38"/>
      <c r="N33" s="38"/>
      <c r="P33" s="38"/>
      <c r="Q33" s="42"/>
      <c r="S33" s="37"/>
      <c r="T33" s="42"/>
      <c r="U33" s="61"/>
      <c r="V33" s="37"/>
      <c r="W33" s="42"/>
      <c r="X33" s="61"/>
      <c r="Y33" s="37"/>
      <c r="Z33" s="42"/>
      <c r="AA33" s="61"/>
      <c r="AB33" s="37"/>
      <c r="AC33" s="42"/>
      <c r="AD33" s="61"/>
      <c r="AE33" s="61"/>
      <c r="AF33" s="61"/>
      <c r="AG33" s="61"/>
      <c r="AH33" s="61"/>
      <c r="AI33" s="61"/>
      <c r="AJ33" s="61"/>
      <c r="AK33" s="61"/>
      <c r="AL33" s="61"/>
      <c r="AN33" s="38"/>
      <c r="AO33" s="38"/>
      <c r="AP33" s="42"/>
      <c r="AQ33" s="61"/>
      <c r="AR33" s="61">
        <v>1480</v>
      </c>
      <c r="AS33" s="1"/>
      <c r="BC33" s="39"/>
    </row>
    <row r="34" spans="2:55" ht="15" hidden="1" customHeight="1">
      <c r="B34" s="40" t="s">
        <v>144</v>
      </c>
      <c r="C34" s="11" t="s">
        <v>145</v>
      </c>
      <c r="D34" s="38"/>
      <c r="E34" s="42"/>
      <c r="F34" s="36"/>
      <c r="G34" s="37"/>
      <c r="H34" s="38"/>
      <c r="I34" s="61"/>
      <c r="J34" s="38"/>
      <c r="K34" s="38"/>
      <c r="L34" s="61"/>
      <c r="M34" s="38"/>
      <c r="N34" s="38"/>
      <c r="P34" s="38"/>
      <c r="Q34" s="42"/>
      <c r="S34" s="37"/>
      <c r="T34" s="42"/>
      <c r="U34" s="61"/>
      <c r="V34" s="37"/>
      <c r="W34" s="42"/>
      <c r="X34" s="61"/>
      <c r="Y34" s="37"/>
      <c r="Z34" s="42"/>
      <c r="AA34" s="61"/>
      <c r="AB34" s="37"/>
      <c r="AC34" s="42"/>
      <c r="AD34" s="61"/>
      <c r="AE34" s="61"/>
      <c r="AF34" s="61"/>
      <c r="AG34" s="61"/>
      <c r="AH34" s="61"/>
      <c r="AI34" s="61"/>
      <c r="AJ34" s="61"/>
      <c r="AK34" s="61"/>
      <c r="AL34" s="61"/>
      <c r="AN34" s="38"/>
      <c r="AO34" s="38"/>
      <c r="AP34" s="42"/>
      <c r="AQ34" s="61"/>
      <c r="AR34" s="61"/>
      <c r="AS34" s="1"/>
      <c r="BC34" s="39"/>
    </row>
    <row r="35" spans="2:55" ht="15" hidden="1" customHeight="1">
      <c r="B35" s="40" t="s">
        <v>127</v>
      </c>
      <c r="C35" s="11" t="s">
        <v>165</v>
      </c>
      <c r="D35" s="38"/>
      <c r="E35" s="42"/>
      <c r="F35" s="36"/>
      <c r="G35" s="37"/>
      <c r="H35" s="38"/>
      <c r="I35" s="61"/>
      <c r="J35" s="38"/>
      <c r="K35" s="38"/>
      <c r="L35" s="61"/>
      <c r="M35" s="38"/>
      <c r="N35" s="38"/>
      <c r="P35" s="38"/>
      <c r="Q35" s="42"/>
      <c r="S35" s="37"/>
      <c r="T35" s="42"/>
      <c r="U35" s="61"/>
      <c r="V35" s="37"/>
      <c r="W35" s="42"/>
      <c r="X35" s="61"/>
      <c r="Y35" s="37"/>
      <c r="Z35" s="42"/>
      <c r="AA35" s="61"/>
      <c r="AB35" s="37"/>
      <c r="AC35" s="42"/>
      <c r="AD35" s="61"/>
      <c r="AE35" s="61"/>
      <c r="AF35" s="61"/>
      <c r="AG35" s="61"/>
      <c r="AH35" s="61"/>
      <c r="AI35" s="61"/>
      <c r="AJ35" s="61"/>
      <c r="AK35" s="61"/>
      <c r="AL35" s="61"/>
      <c r="AN35" s="38"/>
      <c r="AO35" s="38"/>
      <c r="AP35" s="42"/>
      <c r="AQ35" s="61"/>
      <c r="AR35" s="61"/>
      <c r="AS35" s="1"/>
      <c r="BC35" s="39"/>
    </row>
    <row r="36" spans="2:55" ht="15" hidden="1" customHeight="1">
      <c r="B36" s="40" t="s">
        <v>140</v>
      </c>
      <c r="C36" s="11" t="s">
        <v>147</v>
      </c>
      <c r="D36" s="38"/>
      <c r="E36" s="42"/>
      <c r="F36" s="36"/>
      <c r="G36" s="37"/>
      <c r="H36" s="38"/>
      <c r="I36" s="61"/>
      <c r="J36" s="38"/>
      <c r="K36" s="38"/>
      <c r="L36" s="61"/>
      <c r="M36" s="38"/>
      <c r="N36" s="38"/>
      <c r="P36" s="38"/>
      <c r="Q36" s="42"/>
      <c r="S36" s="37"/>
      <c r="T36" s="42"/>
      <c r="U36" s="61"/>
      <c r="V36" s="37"/>
      <c r="W36" s="42"/>
      <c r="X36" s="61"/>
      <c r="Y36" s="37"/>
      <c r="Z36" s="42"/>
      <c r="AA36" s="61"/>
      <c r="AB36" s="37"/>
      <c r="AC36" s="42"/>
      <c r="AD36" s="61"/>
      <c r="AE36" s="61"/>
      <c r="AF36" s="61"/>
      <c r="AG36" s="61"/>
      <c r="AH36" s="61"/>
      <c r="AI36" s="61"/>
      <c r="AJ36" s="61"/>
      <c r="AK36" s="61"/>
      <c r="AL36" s="61"/>
      <c r="AN36" s="38"/>
      <c r="AO36" s="38"/>
      <c r="AP36" s="42"/>
      <c r="AQ36" s="61"/>
      <c r="AR36" s="61">
        <v>731526.6</v>
      </c>
      <c r="AS36" s="1"/>
      <c r="BC36" s="39"/>
    </row>
    <row r="37" spans="2:55" ht="15" hidden="1" customHeight="1">
      <c r="B37" s="40" t="s">
        <v>141</v>
      </c>
      <c r="C37" s="11" t="s">
        <v>146</v>
      </c>
      <c r="D37" s="38"/>
      <c r="E37" s="42"/>
      <c r="F37" s="36"/>
      <c r="G37" s="37"/>
      <c r="H37" s="38"/>
      <c r="I37" s="61"/>
      <c r="J37" s="38"/>
      <c r="K37" s="38"/>
      <c r="L37" s="61"/>
      <c r="M37" s="38"/>
      <c r="N37" s="38"/>
      <c r="P37" s="38"/>
      <c r="Q37" s="42"/>
      <c r="S37" s="37"/>
      <c r="T37" s="42"/>
      <c r="U37" s="61"/>
      <c r="V37" s="37"/>
      <c r="W37" s="42"/>
      <c r="X37" s="61"/>
      <c r="Y37" s="37"/>
      <c r="Z37" s="42"/>
      <c r="AA37" s="61"/>
      <c r="AB37" s="37"/>
      <c r="AC37" s="42"/>
      <c r="AD37" s="61"/>
      <c r="AE37" s="61"/>
      <c r="AF37" s="61"/>
      <c r="AG37" s="61"/>
      <c r="AH37" s="61"/>
      <c r="AI37" s="61"/>
      <c r="AJ37" s="61"/>
      <c r="AK37" s="61"/>
      <c r="AL37" s="61"/>
      <c r="AN37" s="38"/>
      <c r="AO37" s="38"/>
      <c r="AP37" s="42"/>
      <c r="AQ37" s="61"/>
      <c r="AR37" s="61">
        <v>46050</v>
      </c>
      <c r="AS37" s="1"/>
      <c r="BC37" s="39"/>
    </row>
    <row r="38" spans="2:55" ht="14.25" hidden="1" customHeight="1">
      <c r="B38" s="29"/>
      <c r="C38" s="29"/>
      <c r="D38" s="38"/>
      <c r="E38" s="42"/>
      <c r="F38" s="36"/>
      <c r="G38" s="37"/>
      <c r="H38" s="38"/>
      <c r="I38" s="61"/>
      <c r="J38" s="38"/>
      <c r="K38" s="38"/>
      <c r="L38" s="61"/>
      <c r="M38" s="38"/>
      <c r="N38" s="38"/>
      <c r="P38" s="38"/>
      <c r="Q38" s="42"/>
      <c r="S38" s="37"/>
      <c r="T38" s="42"/>
      <c r="U38" s="61"/>
      <c r="V38" s="37"/>
      <c r="W38" s="42"/>
      <c r="X38" s="61"/>
      <c r="Y38" s="37"/>
      <c r="Z38" s="42"/>
      <c r="AA38" s="61"/>
      <c r="AB38" s="37"/>
      <c r="AC38" s="42"/>
      <c r="AD38" s="61"/>
      <c r="AE38" s="61"/>
      <c r="AF38" s="61"/>
      <c r="AG38" s="61"/>
      <c r="AH38" s="61"/>
      <c r="AI38" s="61"/>
      <c r="AJ38" s="61"/>
      <c r="AK38" s="61"/>
      <c r="AL38" s="61"/>
      <c r="AN38" s="38"/>
      <c r="AO38" s="38"/>
      <c r="AP38" s="42"/>
      <c r="AQ38" s="61"/>
      <c r="AR38" s="61"/>
      <c r="AS38" s="1"/>
      <c r="BC38" s="39"/>
    </row>
    <row r="39" spans="2:55" ht="15" hidden="1" customHeight="1">
      <c r="B39" s="43" t="s">
        <v>132</v>
      </c>
      <c r="C39" s="29"/>
      <c r="D39" s="44">
        <f>SUM(D29:D37)</f>
        <v>0</v>
      </c>
      <c r="E39" s="45">
        <f>SUM(E29:E37)</f>
        <v>0</v>
      </c>
      <c r="F39" s="46"/>
      <c r="G39" s="47">
        <f>SUM(G29:G37)</f>
        <v>0</v>
      </c>
      <c r="H39" s="44">
        <f>SUM(H29:H37)</f>
        <v>0</v>
      </c>
      <c r="I39" s="62"/>
      <c r="J39" s="44">
        <f>SUM(J29:J37)</f>
        <v>0</v>
      </c>
      <c r="K39" s="44">
        <f>SUM(K29:K37)</f>
        <v>0</v>
      </c>
      <c r="L39" s="62">
        <f>SUM(L29:L37)</f>
        <v>0</v>
      </c>
      <c r="M39" s="44">
        <f>SUM(M29:M37)</f>
        <v>0</v>
      </c>
      <c r="N39" s="44">
        <f>SUM(N29:N37)</f>
        <v>0</v>
      </c>
      <c r="P39" s="44">
        <f>SUM(P29:P37)</f>
        <v>0</v>
      </c>
      <c r="Q39" s="45">
        <f>SUM(Q29:Q37)</f>
        <v>0</v>
      </c>
      <c r="S39" s="47">
        <f>SUM(S29:S37)</f>
        <v>0</v>
      </c>
      <c r="T39" s="45">
        <f>SUM(T29:T37)</f>
        <v>0</v>
      </c>
      <c r="U39" s="62"/>
      <c r="V39" s="47"/>
      <c r="W39" s="45"/>
      <c r="X39" s="62"/>
      <c r="Y39" s="47"/>
      <c r="Z39" s="45"/>
      <c r="AA39" s="62"/>
      <c r="AB39" s="47"/>
      <c r="AC39" s="45"/>
      <c r="AD39" s="62"/>
      <c r="AE39" s="62"/>
      <c r="AF39" s="62"/>
      <c r="AG39" s="62"/>
      <c r="AH39" s="62"/>
      <c r="AI39" s="62"/>
      <c r="AJ39" s="62"/>
      <c r="AK39" s="62"/>
      <c r="AL39" s="62"/>
      <c r="AN39" s="44">
        <f>SUM(AN29:AN37)</f>
        <v>0</v>
      </c>
      <c r="AO39" s="44">
        <f>SUM(AO29:AO37)</f>
        <v>0</v>
      </c>
      <c r="AP39" s="45"/>
      <c r="AQ39" s="62"/>
      <c r="AR39" s="62">
        <f>SUM(AR29:AR37)</f>
        <v>857302.67999999993</v>
      </c>
      <c r="AS39" s="1"/>
      <c r="BC39" s="39"/>
    </row>
    <row r="40" spans="2:55" ht="15" hidden="1" customHeight="1">
      <c r="B40" s="48" t="s">
        <v>148</v>
      </c>
      <c r="C40" s="29"/>
      <c r="D40" s="52"/>
      <c r="E40" s="49">
        <f>D39-E39</f>
        <v>0</v>
      </c>
      <c r="F40" s="50"/>
      <c r="G40" s="51"/>
      <c r="H40" s="52">
        <f>G39-H39</f>
        <v>0</v>
      </c>
      <c r="I40" s="63"/>
      <c r="J40" s="52"/>
      <c r="K40" s="52">
        <f>J39-K39</f>
        <v>0</v>
      </c>
      <c r="L40" s="63">
        <f>K39-L39</f>
        <v>0</v>
      </c>
      <c r="M40" s="52"/>
      <c r="N40" s="52">
        <f>M39-N39</f>
        <v>0</v>
      </c>
      <c r="P40" s="52"/>
      <c r="Q40" s="49">
        <f>P39-Q39</f>
        <v>0</v>
      </c>
      <c r="S40" s="51"/>
      <c r="T40" s="49">
        <f>S39-T39</f>
        <v>0</v>
      </c>
      <c r="U40" s="63"/>
      <c r="V40" s="51"/>
      <c r="W40" s="49"/>
      <c r="X40" s="63"/>
      <c r="Y40" s="51"/>
      <c r="Z40" s="49"/>
      <c r="AA40" s="63"/>
      <c r="AB40" s="51"/>
      <c r="AC40" s="49"/>
      <c r="AD40" s="63"/>
      <c r="AE40" s="63"/>
      <c r="AF40" s="63"/>
      <c r="AG40" s="63"/>
      <c r="AH40" s="63"/>
      <c r="AI40" s="63"/>
      <c r="AJ40" s="63"/>
      <c r="AK40" s="63"/>
      <c r="AL40" s="63"/>
      <c r="AN40" s="52"/>
      <c r="AO40" s="52">
        <f>AN39-AO39</f>
        <v>0</v>
      </c>
      <c r="AP40" s="49"/>
      <c r="AQ40" s="63"/>
      <c r="AR40" s="63">
        <f>S39-AR39</f>
        <v>-857302.67999999993</v>
      </c>
      <c r="AS40" s="1"/>
      <c r="BC40" s="39"/>
    </row>
    <row r="41" spans="2:55">
      <c r="L41" s="1"/>
      <c r="N41" s="53"/>
      <c r="U41" s="1"/>
      <c r="AQ41" s="1"/>
      <c r="AR41" s="1"/>
      <c r="AS41" s="1"/>
    </row>
    <row r="42" spans="2:55" s="71" customFormat="1" ht="15" customHeight="1">
      <c r="B42" s="474" t="s">
        <v>128</v>
      </c>
      <c r="C42" s="474" t="s">
        <v>110</v>
      </c>
      <c r="D42" s="476" t="s">
        <v>193</v>
      </c>
      <c r="E42" s="488"/>
      <c r="F42" s="80"/>
      <c r="G42" s="476" t="s">
        <v>193</v>
      </c>
      <c r="H42" s="488"/>
      <c r="I42" s="69"/>
      <c r="J42" s="476" t="s">
        <v>193</v>
      </c>
      <c r="K42" s="488"/>
      <c r="L42" s="69"/>
      <c r="M42" s="476" t="s">
        <v>193</v>
      </c>
      <c r="N42" s="488"/>
      <c r="O42" s="70"/>
      <c r="P42" s="476" t="s">
        <v>193</v>
      </c>
      <c r="Q42" s="477"/>
      <c r="R42" s="114"/>
      <c r="S42" s="476" t="s">
        <v>193</v>
      </c>
      <c r="T42" s="477"/>
      <c r="U42" s="110"/>
      <c r="V42" s="476" t="s">
        <v>193</v>
      </c>
      <c r="W42" s="477"/>
      <c r="X42" s="110"/>
      <c r="Y42" s="476" t="s">
        <v>193</v>
      </c>
      <c r="Z42" s="477"/>
      <c r="AA42" s="110"/>
      <c r="AB42" s="476" t="s">
        <v>193</v>
      </c>
      <c r="AC42" s="477"/>
      <c r="AD42" s="110"/>
      <c r="AE42" s="476" t="s">
        <v>193</v>
      </c>
      <c r="AF42" s="477"/>
      <c r="AG42" s="110"/>
      <c r="AH42" s="476" t="s">
        <v>193</v>
      </c>
      <c r="AI42" s="477"/>
      <c r="AJ42" s="110"/>
      <c r="AK42" s="476" t="s">
        <v>193</v>
      </c>
      <c r="AL42" s="477"/>
      <c r="AN42" s="476" t="s">
        <v>152</v>
      </c>
      <c r="AO42" s="477"/>
      <c r="AP42" s="110"/>
      <c r="AQ42" s="110"/>
      <c r="AR42" s="114"/>
      <c r="AS42" s="114"/>
    </row>
    <row r="43" spans="2:55" s="71" customFormat="1" ht="15" customHeight="1">
      <c r="B43" s="475"/>
      <c r="C43" s="475"/>
      <c r="D43" s="479" t="s">
        <v>159</v>
      </c>
      <c r="E43" s="487"/>
      <c r="F43" s="75"/>
      <c r="G43" s="479" t="s">
        <v>160</v>
      </c>
      <c r="H43" s="480"/>
      <c r="I43" s="72"/>
      <c r="J43" s="487" t="s">
        <v>129</v>
      </c>
      <c r="K43" s="487"/>
      <c r="L43" s="72"/>
      <c r="M43" s="487" t="s">
        <v>130</v>
      </c>
      <c r="N43" s="480"/>
      <c r="O43" s="73"/>
      <c r="P43" s="479" t="s">
        <v>155</v>
      </c>
      <c r="Q43" s="480"/>
      <c r="R43" s="111"/>
      <c r="S43" s="479" t="s">
        <v>178</v>
      </c>
      <c r="T43" s="480"/>
      <c r="U43" s="111"/>
      <c r="V43" s="479" t="s">
        <v>131</v>
      </c>
      <c r="W43" s="480"/>
      <c r="X43" s="111"/>
      <c r="Y43" s="479" t="s">
        <v>166</v>
      </c>
      <c r="Z43" s="480"/>
      <c r="AA43" s="111"/>
      <c r="AB43" s="479" t="s">
        <v>167</v>
      </c>
      <c r="AC43" s="480"/>
      <c r="AD43" s="111"/>
      <c r="AE43" s="479" t="s">
        <v>168</v>
      </c>
      <c r="AF43" s="480"/>
      <c r="AG43" s="111"/>
      <c r="AH43" s="479" t="s">
        <v>170</v>
      </c>
      <c r="AI43" s="480"/>
      <c r="AJ43" s="111"/>
      <c r="AK43" s="479" t="s">
        <v>171</v>
      </c>
      <c r="AL43" s="480"/>
      <c r="AM43" s="74"/>
      <c r="AN43" s="479" t="s">
        <v>171</v>
      </c>
      <c r="AO43" s="480"/>
      <c r="AP43" s="111"/>
      <c r="AQ43" s="111"/>
      <c r="AR43" s="111"/>
      <c r="AS43" s="114"/>
    </row>
    <row r="44" spans="2:55" s="71" customFormat="1">
      <c r="B44" s="76"/>
      <c r="C44" s="76"/>
      <c r="D44" s="77" t="s">
        <v>142</v>
      </c>
      <c r="E44" s="77" t="s">
        <v>143</v>
      </c>
      <c r="F44" s="80"/>
      <c r="G44" s="77" t="s">
        <v>142</v>
      </c>
      <c r="H44" s="77" t="s">
        <v>143</v>
      </c>
      <c r="I44" s="68"/>
      <c r="J44" s="77" t="s">
        <v>142</v>
      </c>
      <c r="K44" s="77" t="s">
        <v>143</v>
      </c>
      <c r="L44" s="68"/>
      <c r="M44" s="77" t="s">
        <v>142</v>
      </c>
      <c r="N44" s="77" t="s">
        <v>143</v>
      </c>
      <c r="O44" s="78"/>
      <c r="P44" s="77" t="s">
        <v>142</v>
      </c>
      <c r="Q44" s="77" t="s">
        <v>143</v>
      </c>
      <c r="R44" s="115"/>
      <c r="S44" s="77" t="s">
        <v>142</v>
      </c>
      <c r="T44" s="77" t="s">
        <v>143</v>
      </c>
      <c r="U44" s="115"/>
      <c r="V44" s="77" t="s">
        <v>142</v>
      </c>
      <c r="W44" s="77" t="s">
        <v>143</v>
      </c>
      <c r="X44" s="115"/>
      <c r="Y44" s="77" t="s">
        <v>142</v>
      </c>
      <c r="Z44" s="77" t="s">
        <v>143</v>
      </c>
      <c r="AA44" s="115"/>
      <c r="AB44" s="77" t="s">
        <v>142</v>
      </c>
      <c r="AC44" s="77" t="s">
        <v>143</v>
      </c>
      <c r="AD44" s="115"/>
      <c r="AE44" s="77" t="s">
        <v>142</v>
      </c>
      <c r="AF44" s="77" t="s">
        <v>143</v>
      </c>
      <c r="AG44" s="115"/>
      <c r="AH44" s="77" t="s">
        <v>142</v>
      </c>
      <c r="AI44" s="77" t="s">
        <v>143</v>
      </c>
      <c r="AJ44" s="115"/>
      <c r="AK44" s="77" t="s">
        <v>142</v>
      </c>
      <c r="AL44" s="77" t="s">
        <v>143</v>
      </c>
      <c r="AM44" s="79"/>
      <c r="AN44" s="77" t="s">
        <v>142</v>
      </c>
      <c r="AO44" s="77" t="s">
        <v>143</v>
      </c>
      <c r="AP44" s="115"/>
      <c r="AQ44" s="115"/>
      <c r="AR44" s="115"/>
      <c r="AS44" s="114"/>
    </row>
    <row r="45" spans="2:55" s="1" customFormat="1">
      <c r="B45" s="331"/>
      <c r="C45" s="331"/>
      <c r="D45" s="331"/>
      <c r="E45" s="331"/>
      <c r="G45" s="245"/>
      <c r="H45" s="245"/>
      <c r="J45" s="245"/>
      <c r="K45" s="245"/>
      <c r="M45" s="245"/>
      <c r="N45" s="246"/>
      <c r="O45" s="3"/>
      <c r="P45" s="332"/>
      <c r="Q45" s="331"/>
    </row>
    <row r="46" spans="2:55" s="71" customFormat="1" ht="15">
      <c r="B46" s="375" t="s">
        <v>413</v>
      </c>
      <c r="C46" s="376" t="s">
        <v>316</v>
      </c>
      <c r="D46" s="275">
        <v>2651.33</v>
      </c>
      <c r="E46" s="402">
        <v>2651.33</v>
      </c>
      <c r="F46" s="116"/>
      <c r="G46" s="86">
        <v>4851.33</v>
      </c>
      <c r="H46" s="405">
        <v>2651.33</v>
      </c>
      <c r="I46" s="275"/>
      <c r="J46" s="329">
        <v>5811.33</v>
      </c>
      <c r="K46" s="405">
        <v>3911.33</v>
      </c>
      <c r="L46" s="275"/>
      <c r="M46" s="329">
        <v>14631.33</v>
      </c>
      <c r="N46" s="405">
        <v>14631.33</v>
      </c>
      <c r="O46" s="85"/>
      <c r="P46" s="90">
        <v>17174.13</v>
      </c>
      <c r="Q46" s="405">
        <v>16791.330000000002</v>
      </c>
      <c r="R46" s="116"/>
      <c r="S46" s="405">
        <v>17318.16</v>
      </c>
      <c r="T46" s="405">
        <v>16791.330000000002</v>
      </c>
      <c r="U46" s="238"/>
      <c r="V46" s="86">
        <v>29549.11</v>
      </c>
      <c r="W46" s="405">
        <v>29022.33</v>
      </c>
      <c r="X46" s="238"/>
      <c r="Y46" s="86"/>
      <c r="Z46" s="496"/>
      <c r="AA46" s="238"/>
      <c r="AB46" s="86"/>
      <c r="AC46" s="496"/>
      <c r="AD46" s="238"/>
      <c r="AE46" s="86"/>
      <c r="AF46" s="496"/>
      <c r="AG46" s="238"/>
      <c r="AH46" s="86"/>
      <c r="AI46" s="496"/>
      <c r="AJ46" s="238"/>
      <c r="AK46" s="86"/>
      <c r="AL46" s="496"/>
      <c r="AM46" s="87"/>
      <c r="AN46" s="116"/>
      <c r="AO46" s="249"/>
      <c r="AP46" s="238"/>
      <c r="AQ46" s="238"/>
      <c r="AR46" s="116"/>
      <c r="AS46" s="114"/>
    </row>
    <row r="47" spans="2:55" s="71" customFormat="1" ht="15">
      <c r="B47" s="89" t="s">
        <v>414</v>
      </c>
      <c r="C47" s="376" t="s">
        <v>416</v>
      </c>
      <c r="D47" s="86">
        <v>-20.25</v>
      </c>
      <c r="E47" s="405">
        <v>11625.9</v>
      </c>
      <c r="F47" s="116"/>
      <c r="G47" s="86">
        <v>223.51</v>
      </c>
      <c r="H47" s="405">
        <v>11454.77</v>
      </c>
      <c r="I47" s="275"/>
      <c r="J47" s="84">
        <v>231.74</v>
      </c>
      <c r="K47" s="405">
        <v>10733.7</v>
      </c>
      <c r="L47" s="275"/>
      <c r="M47" s="84">
        <v>288.33999999999997</v>
      </c>
      <c r="N47" s="405">
        <v>11363.7</v>
      </c>
      <c r="O47" s="85"/>
      <c r="P47" s="86">
        <v>375.13</v>
      </c>
      <c r="Q47" s="405">
        <v>11363.7</v>
      </c>
      <c r="R47" s="116"/>
      <c r="S47" s="405">
        <v>464.97</v>
      </c>
      <c r="T47" s="405">
        <v>11363.7</v>
      </c>
      <c r="U47" s="238"/>
      <c r="V47" s="86">
        <v>505.15</v>
      </c>
      <c r="W47" s="405">
        <v>11363.7</v>
      </c>
      <c r="X47" s="238"/>
      <c r="Y47" s="86"/>
      <c r="Z47" s="496"/>
      <c r="AA47" s="238"/>
      <c r="AB47" s="86"/>
      <c r="AC47" s="496"/>
      <c r="AD47" s="238"/>
      <c r="AE47" s="86"/>
      <c r="AF47" s="496"/>
      <c r="AG47" s="238"/>
      <c r="AH47" s="86"/>
      <c r="AI47" s="496"/>
      <c r="AJ47" s="238"/>
      <c r="AK47" s="86"/>
      <c r="AL47" s="496"/>
      <c r="AM47" s="87"/>
      <c r="AN47" s="116"/>
      <c r="AO47" s="249"/>
      <c r="AP47" s="238"/>
      <c r="AQ47" s="238"/>
      <c r="AR47" s="116"/>
      <c r="AS47" s="114"/>
    </row>
    <row r="48" spans="2:55" s="71" customFormat="1" ht="15">
      <c r="B48" s="89" t="s">
        <v>134</v>
      </c>
      <c r="C48" s="376" t="s">
        <v>417</v>
      </c>
      <c r="D48" s="90">
        <v>5543.73</v>
      </c>
      <c r="E48" s="86">
        <v>5543.73</v>
      </c>
      <c r="F48" s="116"/>
      <c r="G48" s="86">
        <v>6891.8</v>
      </c>
      <c r="H48" s="86">
        <v>6891.79</v>
      </c>
      <c r="I48" s="275"/>
      <c r="J48" s="84">
        <v>7763.86</v>
      </c>
      <c r="K48" s="86">
        <v>7763.86</v>
      </c>
      <c r="L48" s="275"/>
      <c r="M48" s="84">
        <v>9421.65</v>
      </c>
      <c r="N48" s="86">
        <v>9421.64</v>
      </c>
      <c r="O48" s="85"/>
      <c r="P48" s="86">
        <v>10775.35</v>
      </c>
      <c r="Q48" s="86">
        <v>10653.74</v>
      </c>
      <c r="R48" s="116"/>
      <c r="S48" s="86">
        <v>11965.27</v>
      </c>
      <c r="T48" s="86">
        <v>11843.66</v>
      </c>
      <c r="U48" s="116"/>
      <c r="V48" s="86">
        <v>13908.15</v>
      </c>
      <c r="W48" s="86">
        <v>13786.55</v>
      </c>
      <c r="X48" s="116"/>
      <c r="Y48" s="86"/>
      <c r="Z48" s="86"/>
      <c r="AA48" s="116"/>
      <c r="AB48" s="86"/>
      <c r="AC48" s="86"/>
      <c r="AD48" s="116"/>
      <c r="AE48" s="86"/>
      <c r="AF48" s="86"/>
      <c r="AG48" s="116"/>
      <c r="AH48" s="86"/>
      <c r="AI48" s="86"/>
      <c r="AJ48" s="116"/>
      <c r="AK48" s="86"/>
      <c r="AL48" s="86"/>
      <c r="AM48" s="87"/>
      <c r="AN48" s="116"/>
      <c r="AO48" s="116"/>
      <c r="AP48" s="116"/>
      <c r="AQ48" s="116"/>
      <c r="AR48" s="116"/>
      <c r="AS48" s="114"/>
    </row>
    <row r="49" spans="2:45" s="71" customFormat="1" ht="15">
      <c r="B49" s="89" t="s">
        <v>415</v>
      </c>
      <c r="C49" s="376" t="s">
        <v>419</v>
      </c>
      <c r="D49" s="86">
        <v>420</v>
      </c>
      <c r="E49" s="86">
        <v>420</v>
      </c>
      <c r="F49" s="116"/>
      <c r="G49" s="86">
        <v>1120</v>
      </c>
      <c r="H49" s="86">
        <v>1120</v>
      </c>
      <c r="I49" s="275"/>
      <c r="J49" s="84">
        <v>2200</v>
      </c>
      <c r="K49" s="86">
        <f>2090+210</f>
        <v>2300</v>
      </c>
      <c r="L49" s="275"/>
      <c r="M49" s="84">
        <v>2200</v>
      </c>
      <c r="N49" s="86">
        <f>2090+110</f>
        <v>2200</v>
      </c>
      <c r="O49" s="85"/>
      <c r="P49" s="86">
        <v>3430</v>
      </c>
      <c r="Q49" s="86">
        <f>3070+360</f>
        <v>3430</v>
      </c>
      <c r="R49" s="116"/>
      <c r="S49" s="86">
        <v>4660</v>
      </c>
      <c r="T49" s="86">
        <f>4300+360</f>
        <v>4660</v>
      </c>
      <c r="U49" s="116"/>
      <c r="V49" s="86">
        <v>4660</v>
      </c>
      <c r="W49" s="86">
        <f>4300+360</f>
        <v>4660</v>
      </c>
      <c r="X49" s="116"/>
      <c r="Y49" s="86"/>
      <c r="Z49" s="86"/>
      <c r="AA49" s="116"/>
      <c r="AB49" s="86"/>
      <c r="AC49" s="86"/>
      <c r="AD49" s="116"/>
      <c r="AE49" s="86"/>
      <c r="AF49" s="86"/>
      <c r="AG49" s="116"/>
      <c r="AH49" s="86"/>
      <c r="AI49" s="86"/>
      <c r="AJ49" s="116"/>
      <c r="AK49" s="86"/>
      <c r="AL49" s="86"/>
      <c r="AM49" s="87"/>
      <c r="AN49" s="116"/>
      <c r="AO49" s="116"/>
      <c r="AP49" s="116"/>
      <c r="AQ49" s="116"/>
      <c r="AR49" s="116"/>
      <c r="AS49" s="114"/>
    </row>
    <row r="50" spans="2:45" s="71" customFormat="1" ht="15">
      <c r="B50" s="89" t="s">
        <v>127</v>
      </c>
      <c r="C50" s="376" t="s">
        <v>418</v>
      </c>
      <c r="D50" s="86">
        <v>1720</v>
      </c>
      <c r="E50" s="86">
        <v>2580</v>
      </c>
      <c r="F50" s="116"/>
      <c r="G50" s="86">
        <v>1720</v>
      </c>
      <c r="H50" s="86">
        <v>2580</v>
      </c>
      <c r="I50" s="275"/>
      <c r="J50" s="84">
        <v>1720</v>
      </c>
      <c r="K50" s="86">
        <v>2580</v>
      </c>
      <c r="L50" s="275"/>
      <c r="M50" s="84">
        <v>1960</v>
      </c>
      <c r="N50" s="86">
        <f>240+2580</f>
        <v>2820</v>
      </c>
      <c r="O50" s="85"/>
      <c r="P50" s="86">
        <v>1960</v>
      </c>
      <c r="Q50" s="86">
        <v>240</v>
      </c>
      <c r="R50" s="116"/>
      <c r="S50" s="86">
        <v>3320</v>
      </c>
      <c r="T50" s="86">
        <v>240</v>
      </c>
      <c r="U50" s="116"/>
      <c r="V50" s="86">
        <v>3320</v>
      </c>
      <c r="W50" s="86">
        <f>240+2580</f>
        <v>2820</v>
      </c>
      <c r="X50" s="116"/>
      <c r="Y50" s="86"/>
      <c r="Z50" s="86"/>
      <c r="AA50" s="116"/>
      <c r="AB50" s="86"/>
      <c r="AC50" s="86"/>
      <c r="AD50" s="116"/>
      <c r="AE50" s="86"/>
      <c r="AF50" s="86"/>
      <c r="AG50" s="116"/>
      <c r="AH50" s="86"/>
      <c r="AI50" s="86"/>
      <c r="AJ50" s="116"/>
      <c r="AK50" s="86"/>
      <c r="AL50" s="86"/>
      <c r="AM50" s="87"/>
      <c r="AN50" s="116"/>
      <c r="AO50" s="116"/>
      <c r="AP50" s="116"/>
      <c r="AQ50" s="116"/>
      <c r="AR50" s="116"/>
      <c r="AS50" s="114"/>
    </row>
    <row r="51" spans="2:45" s="71" customFormat="1" ht="28.5">
      <c r="B51" s="89" t="s">
        <v>451</v>
      </c>
      <c r="C51" s="11" t="s">
        <v>452</v>
      </c>
      <c r="D51" s="86"/>
      <c r="E51" s="86"/>
      <c r="F51" s="116"/>
      <c r="G51" s="86">
        <v>37000</v>
      </c>
      <c r="H51" s="86"/>
      <c r="I51" s="275"/>
      <c r="J51" s="84">
        <v>37000</v>
      </c>
      <c r="K51" s="86"/>
      <c r="L51" s="275"/>
      <c r="M51" s="84">
        <v>37000</v>
      </c>
      <c r="N51" s="86"/>
      <c r="O51" s="85"/>
      <c r="P51" s="86">
        <v>37000</v>
      </c>
      <c r="Q51" s="86"/>
      <c r="R51" s="116"/>
      <c r="S51" s="91">
        <v>37000</v>
      </c>
      <c r="T51" s="86"/>
      <c r="U51" s="116"/>
      <c r="V51" s="86">
        <v>37000</v>
      </c>
      <c r="W51" s="445"/>
      <c r="X51" s="116"/>
      <c r="Y51" s="86"/>
      <c r="Z51" s="86"/>
      <c r="AA51" s="116"/>
      <c r="AB51" s="86"/>
      <c r="AC51" s="86"/>
      <c r="AD51" s="116"/>
      <c r="AE51" s="86"/>
      <c r="AF51" s="86"/>
      <c r="AG51" s="116"/>
      <c r="AH51" s="86"/>
      <c r="AI51" s="86"/>
      <c r="AJ51" s="116"/>
      <c r="AK51" s="86"/>
      <c r="AL51" s="86"/>
      <c r="AM51" s="87"/>
      <c r="AN51" s="116"/>
      <c r="AO51" s="116"/>
      <c r="AP51" s="116"/>
      <c r="AQ51" s="116"/>
      <c r="AR51" s="116"/>
      <c r="AS51" s="114"/>
    </row>
    <row r="52" spans="2:45" s="71" customFormat="1" ht="15">
      <c r="B52" s="89" t="s">
        <v>467</v>
      </c>
      <c r="C52" s="11" t="s">
        <v>466</v>
      </c>
      <c r="D52" s="86"/>
      <c r="E52" s="86"/>
      <c r="F52" s="116"/>
      <c r="G52" s="86"/>
      <c r="H52" s="86"/>
      <c r="I52" s="275"/>
      <c r="J52" s="84"/>
      <c r="K52" s="86"/>
      <c r="L52" s="275"/>
      <c r="M52" s="84"/>
      <c r="N52" s="86"/>
      <c r="O52" s="85"/>
      <c r="P52" s="86">
        <v>41.85</v>
      </c>
      <c r="Q52" s="86"/>
      <c r="R52" s="116"/>
      <c r="S52" s="91">
        <v>83.7</v>
      </c>
      <c r="T52" s="86"/>
      <c r="U52" s="116"/>
      <c r="V52" s="86">
        <v>125.55</v>
      </c>
      <c r="W52" s="86"/>
      <c r="X52" s="116"/>
      <c r="Y52" s="86"/>
      <c r="Z52" s="86"/>
      <c r="AA52" s="116"/>
      <c r="AB52" s="86"/>
      <c r="AC52" s="86"/>
      <c r="AD52" s="116"/>
      <c r="AE52" s="86"/>
      <c r="AF52" s="86"/>
      <c r="AG52" s="116"/>
      <c r="AH52" s="86"/>
      <c r="AI52" s="86"/>
      <c r="AJ52" s="116"/>
      <c r="AK52" s="86"/>
      <c r="AL52" s="86"/>
      <c r="AM52" s="87"/>
      <c r="AN52" s="116"/>
      <c r="AO52" s="116"/>
      <c r="AP52" s="116"/>
      <c r="AQ52" s="116"/>
      <c r="AR52" s="116"/>
      <c r="AS52" s="114"/>
    </row>
    <row r="53" spans="2:45" s="71" customFormat="1" ht="15">
      <c r="B53" s="89"/>
      <c r="C53" s="11"/>
      <c r="D53" s="86"/>
      <c r="E53" s="86"/>
      <c r="F53" s="116"/>
      <c r="G53" s="86"/>
      <c r="H53" s="86"/>
      <c r="I53" s="275"/>
      <c r="J53" s="84"/>
      <c r="K53" s="86"/>
      <c r="L53" s="275"/>
      <c r="M53" s="84"/>
      <c r="N53" s="86"/>
      <c r="O53" s="85"/>
      <c r="P53" s="86"/>
      <c r="Q53" s="86"/>
      <c r="R53" s="116"/>
      <c r="S53" s="91"/>
      <c r="T53" s="86"/>
      <c r="U53" s="116"/>
      <c r="V53" s="86"/>
      <c r="W53" s="86"/>
      <c r="X53" s="116"/>
      <c r="Y53" s="86"/>
      <c r="Z53" s="86"/>
      <c r="AA53" s="116"/>
      <c r="AB53" s="86"/>
      <c r="AC53" s="86"/>
      <c r="AD53" s="116"/>
      <c r="AE53" s="86"/>
      <c r="AF53" s="86"/>
      <c r="AG53" s="116"/>
      <c r="AH53" s="86"/>
      <c r="AI53" s="86"/>
      <c r="AJ53" s="116"/>
      <c r="AK53" s="86"/>
      <c r="AL53" s="86"/>
      <c r="AM53" s="87"/>
      <c r="AN53" s="116"/>
      <c r="AO53" s="116"/>
      <c r="AP53" s="116"/>
      <c r="AQ53" s="116"/>
      <c r="AR53" s="116"/>
      <c r="AS53" s="114"/>
    </row>
    <row r="54" spans="2:45" s="71" customFormat="1" ht="15">
      <c r="B54" s="89"/>
      <c r="C54" s="11"/>
      <c r="D54" s="86"/>
      <c r="E54" s="86"/>
      <c r="F54" s="116"/>
      <c r="G54" s="86"/>
      <c r="H54" s="86"/>
      <c r="I54" s="275"/>
      <c r="J54" s="84"/>
      <c r="K54" s="86"/>
      <c r="L54" s="275"/>
      <c r="M54" s="84"/>
      <c r="N54" s="86"/>
      <c r="O54" s="85"/>
      <c r="P54" s="86"/>
      <c r="Q54" s="86"/>
      <c r="R54" s="116"/>
      <c r="S54" s="86"/>
      <c r="T54" s="90"/>
      <c r="U54" s="116"/>
      <c r="V54" s="86"/>
      <c r="W54" s="86"/>
      <c r="X54" s="116"/>
      <c r="Y54" s="86"/>
      <c r="Z54" s="86"/>
      <c r="AA54" s="116"/>
      <c r="AB54" s="86"/>
      <c r="AC54" s="86"/>
      <c r="AD54" s="116"/>
      <c r="AE54" s="86"/>
      <c r="AF54" s="86"/>
      <c r="AG54" s="116"/>
      <c r="AH54" s="86"/>
      <c r="AI54" s="86"/>
      <c r="AJ54" s="116"/>
      <c r="AK54" s="86"/>
      <c r="AL54" s="86"/>
      <c r="AM54" s="87"/>
      <c r="AN54" s="116"/>
      <c r="AO54" s="116"/>
      <c r="AP54" s="116"/>
      <c r="AQ54" s="116"/>
      <c r="AR54" s="116"/>
      <c r="AS54" s="114"/>
    </row>
    <row r="55" spans="2:45" s="71" customFormat="1" ht="15">
      <c r="B55" s="89"/>
      <c r="C55" s="11"/>
      <c r="D55" s="86"/>
      <c r="E55" s="86"/>
      <c r="F55" s="116"/>
      <c r="G55" s="86"/>
      <c r="H55" s="86"/>
      <c r="I55" s="275"/>
      <c r="J55" s="84"/>
      <c r="K55" s="86"/>
      <c r="L55" s="275"/>
      <c r="M55" s="84"/>
      <c r="N55" s="86"/>
      <c r="O55" s="85"/>
      <c r="P55" s="86"/>
      <c r="Q55" s="86"/>
      <c r="R55" s="116"/>
      <c r="S55" s="86"/>
      <c r="T55" s="86"/>
      <c r="U55" s="116"/>
      <c r="V55" s="86"/>
      <c r="W55" s="86"/>
      <c r="X55" s="275"/>
      <c r="Y55" s="86"/>
      <c r="Z55" s="86"/>
      <c r="AA55" s="275"/>
      <c r="AB55" s="86"/>
      <c r="AC55" s="86"/>
      <c r="AD55" s="275"/>
      <c r="AE55" s="86"/>
      <c r="AF55" s="86"/>
      <c r="AG55" s="275"/>
      <c r="AH55" s="86"/>
      <c r="AI55" s="86"/>
      <c r="AJ55" s="275"/>
      <c r="AK55" s="86"/>
      <c r="AL55" s="86"/>
      <c r="AM55" s="116"/>
      <c r="AN55" s="116"/>
      <c r="AO55" s="116"/>
      <c r="AP55" s="116"/>
      <c r="AQ55" s="116"/>
      <c r="AR55" s="116"/>
      <c r="AS55" s="114"/>
    </row>
    <row r="56" spans="2:45" s="71" customFormat="1" ht="15">
      <c r="B56" s="89"/>
      <c r="C56" s="11"/>
      <c r="D56" s="86"/>
      <c r="E56" s="86"/>
      <c r="F56" s="116"/>
      <c r="G56" s="86"/>
      <c r="H56" s="86"/>
      <c r="I56" s="275"/>
      <c r="J56" s="84"/>
      <c r="K56" s="86"/>
      <c r="L56" s="275"/>
      <c r="M56" s="84"/>
      <c r="N56" s="86"/>
      <c r="O56" s="85"/>
      <c r="P56" s="86"/>
      <c r="Q56" s="86"/>
      <c r="R56" s="116"/>
      <c r="S56" s="86"/>
      <c r="T56" s="86"/>
      <c r="U56" s="116"/>
      <c r="V56" s="86"/>
      <c r="W56" s="86"/>
      <c r="X56" s="275"/>
      <c r="Y56" s="86"/>
      <c r="Z56" s="86"/>
      <c r="AA56" s="275"/>
      <c r="AB56" s="86"/>
      <c r="AC56" s="86"/>
      <c r="AD56" s="275"/>
      <c r="AE56" s="86"/>
      <c r="AF56" s="86"/>
      <c r="AG56" s="275"/>
      <c r="AH56" s="86"/>
      <c r="AI56" s="86"/>
      <c r="AJ56" s="275"/>
      <c r="AK56" s="86"/>
      <c r="AL56" s="86"/>
      <c r="AM56" s="116"/>
      <c r="AN56" s="116"/>
      <c r="AO56" s="116"/>
      <c r="AP56" s="116"/>
      <c r="AQ56" s="116"/>
      <c r="AR56" s="116"/>
      <c r="AS56" s="114"/>
    </row>
    <row r="57" spans="2:45" s="1" customFormat="1" ht="15">
      <c r="B57" s="274"/>
      <c r="C57" s="273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P57" s="116"/>
      <c r="Q57" s="116"/>
      <c r="R57" s="116"/>
      <c r="S57" s="116"/>
      <c r="T57" s="116"/>
      <c r="V57" s="116"/>
      <c r="W57" s="116"/>
      <c r="Y57" s="116"/>
      <c r="Z57" s="116"/>
      <c r="AB57" s="116"/>
      <c r="AC57" s="116"/>
    </row>
    <row r="58" spans="2:45" s="1" customFormat="1">
      <c r="B58" s="276" t="s">
        <v>132</v>
      </c>
      <c r="D58" s="116">
        <f>SUM(D46:D56)</f>
        <v>10314.81</v>
      </c>
      <c r="E58" s="116">
        <f t="shared" ref="E58:R58" si="39">SUM(E46:E56)</f>
        <v>22820.959999999999</v>
      </c>
      <c r="F58" s="116">
        <f t="shared" si="39"/>
        <v>0</v>
      </c>
      <c r="G58" s="116">
        <f t="shared" si="39"/>
        <v>51806.64</v>
      </c>
      <c r="H58" s="116">
        <f t="shared" si="39"/>
        <v>24697.89</v>
      </c>
      <c r="I58" s="116">
        <f t="shared" si="39"/>
        <v>0</v>
      </c>
      <c r="J58" s="116">
        <f>SUM(J46:J56)</f>
        <v>54726.93</v>
      </c>
      <c r="K58" s="116">
        <f t="shared" si="39"/>
        <v>27288.89</v>
      </c>
      <c r="L58" s="116">
        <f t="shared" si="39"/>
        <v>0</v>
      </c>
      <c r="M58" s="116">
        <f t="shared" si="39"/>
        <v>65501.32</v>
      </c>
      <c r="N58" s="116">
        <f t="shared" si="39"/>
        <v>40436.67</v>
      </c>
      <c r="O58" s="116"/>
      <c r="P58" s="116">
        <f t="shared" si="39"/>
        <v>70756.460000000006</v>
      </c>
      <c r="Q58" s="116">
        <f t="shared" si="39"/>
        <v>42478.770000000004</v>
      </c>
      <c r="R58" s="116">
        <f t="shared" si="39"/>
        <v>0</v>
      </c>
      <c r="S58" s="116">
        <f>SUM(S46:S56)</f>
        <v>74812.099999999991</v>
      </c>
      <c r="T58" s="116">
        <f>SUM(T46:T56)</f>
        <v>44898.69</v>
      </c>
      <c r="V58" s="116">
        <f>SUM(V46:V56)</f>
        <v>89067.96</v>
      </c>
      <c r="W58" s="116">
        <f>SUM(W46:W56)</f>
        <v>61652.58</v>
      </c>
      <c r="Y58" s="116">
        <f>SUM(Y46:Y56)</f>
        <v>0</v>
      </c>
      <c r="Z58" s="116">
        <f>SUM(Z46:Z56)</f>
        <v>0</v>
      </c>
      <c r="AB58" s="116">
        <f>SUM(AB46:AB56)</f>
        <v>0</v>
      </c>
      <c r="AC58" s="116">
        <f>SUM(AC46:AC56)</f>
        <v>0</v>
      </c>
      <c r="AE58" s="235">
        <f>SUM(AE46:AE56)</f>
        <v>0</v>
      </c>
      <c r="AF58" s="235">
        <f>SUM(AF46:AF56)</f>
        <v>0</v>
      </c>
      <c r="AH58" s="235">
        <f>SUM(AH46:AH56)</f>
        <v>0</v>
      </c>
      <c r="AI58" s="235">
        <f>SUM(AI46:AI56)</f>
        <v>0</v>
      </c>
      <c r="AK58" s="235">
        <f>SUM(AK46:AK56)</f>
        <v>0</v>
      </c>
      <c r="AL58" s="235">
        <f>SUM(AL46:AL56)</f>
        <v>0</v>
      </c>
    </row>
    <row r="59" spans="2:45" s="1" customFormat="1" ht="15">
      <c r="B59" s="274"/>
      <c r="C59" s="273"/>
      <c r="D59" s="116"/>
      <c r="E59" s="116">
        <f>+D58-E58</f>
        <v>-12506.15</v>
      </c>
      <c r="F59" s="116"/>
      <c r="G59" s="116"/>
      <c r="H59" s="116">
        <f>+G58-H58</f>
        <v>27108.75</v>
      </c>
      <c r="I59" s="116"/>
      <c r="J59" s="116"/>
      <c r="K59" s="116">
        <f>+J58-K58</f>
        <v>27438.04</v>
      </c>
      <c r="L59" s="116"/>
      <c r="M59" s="116"/>
      <c r="N59" s="116">
        <f>+M58-N58</f>
        <v>25064.65</v>
      </c>
      <c r="R59" s="116"/>
      <c r="S59" s="324" t="s">
        <v>194</v>
      </c>
      <c r="T59" s="116">
        <f>+S58-T58</f>
        <v>29913.409999999989</v>
      </c>
      <c r="V59" s="324" t="s">
        <v>194</v>
      </c>
      <c r="W59" s="116">
        <f>+V58-W58</f>
        <v>27415.380000000005</v>
      </c>
      <c r="Y59" s="324"/>
      <c r="Z59" s="116">
        <f>+Y58-Z58</f>
        <v>0</v>
      </c>
      <c r="AB59" s="324"/>
      <c r="AC59" s="116">
        <f>+AB58-AC58</f>
        <v>0</v>
      </c>
      <c r="AF59" s="235">
        <f>+AE58-AF58</f>
        <v>0</v>
      </c>
      <c r="AI59" s="235">
        <f>+AH58-AI58</f>
        <v>0</v>
      </c>
      <c r="AL59" s="235">
        <f>+AK58-AL58</f>
        <v>0</v>
      </c>
    </row>
    <row r="60" spans="2:45" s="1" customFormat="1">
      <c r="B60" s="114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P60" s="116"/>
      <c r="Q60" s="116"/>
      <c r="R60" s="116"/>
      <c r="S60" s="116"/>
      <c r="T60" s="116"/>
      <c r="V60" s="116"/>
      <c r="W60" s="116"/>
      <c r="Y60" s="116"/>
      <c r="Z60" s="116"/>
      <c r="AB60" s="116"/>
      <c r="AC60" s="116"/>
    </row>
    <row r="61" spans="2:45" s="1" customFormat="1" ht="15">
      <c r="B61" s="247"/>
      <c r="C61" s="114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P61" s="117"/>
      <c r="Q61" s="117"/>
      <c r="R61" s="117"/>
      <c r="S61" s="117"/>
      <c r="T61" s="117"/>
      <c r="V61" s="117"/>
      <c r="W61" s="117"/>
      <c r="Y61" s="117"/>
      <c r="Z61" s="117"/>
      <c r="AB61" s="117"/>
      <c r="AC61" s="117"/>
    </row>
    <row r="62" spans="2:45" s="1" customFormat="1" ht="15">
      <c r="B62" s="248"/>
      <c r="C62" s="114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P62" s="118"/>
      <c r="Q62" s="118"/>
      <c r="R62" s="118"/>
      <c r="S62" s="118"/>
      <c r="T62" s="118"/>
      <c r="V62" s="118"/>
      <c r="W62" s="118"/>
      <c r="Y62" s="118"/>
      <c r="Z62" s="118"/>
      <c r="AB62" s="118"/>
      <c r="AC62" s="118"/>
    </row>
    <row r="63" spans="2:45" s="1" customFormat="1">
      <c r="N63" s="63"/>
      <c r="O63" s="3"/>
      <c r="P63" s="3"/>
    </row>
    <row r="64" spans="2:45" s="1" customFormat="1">
      <c r="N64" s="63"/>
      <c r="O64" s="3"/>
      <c r="P64" s="3"/>
    </row>
    <row r="65" spans="2:45" s="1" customFormat="1">
      <c r="N65" s="63"/>
      <c r="O65" s="3"/>
      <c r="P65" s="3"/>
    </row>
    <row r="66" spans="2:45" s="1" customFormat="1">
      <c r="N66" s="63"/>
      <c r="O66" s="3"/>
      <c r="P66" s="3"/>
    </row>
    <row r="67" spans="2:45" s="1" customFormat="1">
      <c r="N67" s="63"/>
      <c r="O67" s="3"/>
      <c r="P67" s="3"/>
    </row>
    <row r="68" spans="2:45" s="1" customFormat="1">
      <c r="O68" s="3"/>
      <c r="P68" s="3"/>
      <c r="S68" s="261"/>
      <c r="T68" s="124"/>
      <c r="U68" s="124"/>
      <c r="V68" s="261"/>
      <c r="W68" s="124"/>
      <c r="X68" s="124"/>
      <c r="Y68" s="261"/>
      <c r="Z68" s="124"/>
      <c r="AA68" s="124"/>
      <c r="AB68" s="261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N68" s="261"/>
      <c r="AO68" s="124"/>
      <c r="AP68" s="124"/>
      <c r="AQ68" s="124"/>
    </row>
    <row r="69" spans="2:45" s="1" customFormat="1">
      <c r="D69" s="6"/>
      <c r="E69" s="6"/>
      <c r="G69" s="6"/>
      <c r="H69" s="6"/>
      <c r="J69" s="6"/>
      <c r="K69" s="6"/>
      <c r="L69" s="6"/>
      <c r="M69" s="6"/>
      <c r="N69" s="6"/>
      <c r="O69" s="3"/>
      <c r="P69" s="6"/>
      <c r="Q69" s="6"/>
      <c r="S69" s="6"/>
      <c r="T69" s="4"/>
      <c r="U69" s="124"/>
      <c r="V69" s="6"/>
      <c r="W69" s="4"/>
      <c r="X69" s="124"/>
      <c r="Y69" s="6"/>
      <c r="Z69" s="4"/>
      <c r="AA69" s="124"/>
      <c r="AB69" s="6"/>
      <c r="AC69" s="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P69" s="124"/>
      <c r="AQ69" s="124"/>
      <c r="AR69" s="124"/>
      <c r="AS69" s="124"/>
    </row>
    <row r="70" spans="2:45" s="1" customFormat="1">
      <c r="D70" s="6"/>
      <c r="E70" s="6"/>
      <c r="G70" s="6"/>
      <c r="H70" s="6"/>
      <c r="K70" s="4"/>
      <c r="O70" s="3"/>
      <c r="U70" s="63"/>
      <c r="X70" s="63"/>
      <c r="AA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P70" s="63"/>
      <c r="AQ70" s="63"/>
      <c r="AR70" s="63"/>
      <c r="AS70" s="63"/>
    </row>
    <row r="71" spans="2:45" s="1" customFormat="1">
      <c r="D71" s="262"/>
      <c r="E71" s="231"/>
      <c r="G71" s="54"/>
      <c r="H71" s="54"/>
      <c r="J71" s="235"/>
      <c r="K71" s="233"/>
      <c r="M71" s="235"/>
      <c r="N71" s="235"/>
      <c r="O71" s="3"/>
      <c r="P71" s="235"/>
      <c r="Q71" s="235"/>
      <c r="S71" s="235"/>
      <c r="T71" s="54"/>
      <c r="U71" s="63"/>
      <c r="V71" s="235"/>
      <c r="W71" s="54"/>
      <c r="X71" s="63"/>
      <c r="Y71" s="235"/>
      <c r="Z71" s="54"/>
      <c r="AA71" s="63"/>
      <c r="AB71" s="235"/>
      <c r="AC71" s="54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P71" s="63"/>
      <c r="AQ71" s="63"/>
      <c r="AR71" s="63"/>
      <c r="AS71" s="63"/>
    </row>
    <row r="72" spans="2:45" s="1" customFormat="1">
      <c r="D72" s="262"/>
      <c r="E72" s="235"/>
      <c r="F72" s="228"/>
      <c r="G72" s="54"/>
      <c r="H72" s="54"/>
      <c r="J72" s="235"/>
      <c r="K72" s="233"/>
      <c r="M72" s="235"/>
      <c r="N72" s="235"/>
      <c r="O72" s="3"/>
      <c r="P72" s="235"/>
      <c r="Q72" s="235"/>
      <c r="S72" s="235"/>
      <c r="T72" s="54"/>
      <c r="U72" s="63"/>
      <c r="V72" s="235"/>
      <c r="W72" s="54"/>
      <c r="X72" s="63"/>
      <c r="Y72" s="235"/>
      <c r="Z72" s="54"/>
      <c r="AA72" s="63"/>
      <c r="AB72" s="235"/>
      <c r="AC72" s="54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P72" s="63"/>
      <c r="AQ72" s="63"/>
      <c r="AR72" s="63"/>
      <c r="AS72" s="63"/>
    </row>
    <row r="73" spans="2:45" s="1" customFormat="1">
      <c r="D73" s="263"/>
      <c r="F73" s="228"/>
      <c r="G73" s="229"/>
      <c r="H73" s="54"/>
      <c r="J73" s="235"/>
      <c r="K73" s="233"/>
      <c r="M73" s="235"/>
      <c r="N73" s="235"/>
      <c r="O73" s="3"/>
      <c r="P73" s="235"/>
      <c r="Q73" s="235"/>
      <c r="S73" s="235"/>
      <c r="T73" s="54"/>
      <c r="U73" s="63"/>
      <c r="V73" s="235"/>
      <c r="W73" s="54"/>
      <c r="X73" s="63"/>
      <c r="Y73" s="235"/>
      <c r="Z73" s="54"/>
      <c r="AA73" s="63"/>
      <c r="AB73" s="235"/>
      <c r="AC73" s="54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P73" s="63"/>
      <c r="AQ73" s="63"/>
      <c r="AR73" s="63"/>
      <c r="AS73" s="63"/>
    </row>
    <row r="74" spans="2:45" s="1" customFormat="1">
      <c r="D74" s="56"/>
      <c r="E74" s="57"/>
      <c r="F74" s="228"/>
      <c r="G74" s="57"/>
      <c r="H74" s="57"/>
      <c r="I74" s="57"/>
      <c r="J74" s="235"/>
      <c r="K74" s="57"/>
      <c r="L74" s="57"/>
      <c r="M74" s="57"/>
      <c r="N74" s="57"/>
      <c r="O74" s="3"/>
      <c r="P74" s="57"/>
      <c r="Q74" s="57"/>
      <c r="R74" s="57"/>
      <c r="S74" s="235"/>
      <c r="T74" s="57"/>
      <c r="U74" s="57"/>
      <c r="V74" s="235"/>
      <c r="W74" s="57"/>
      <c r="X74" s="57"/>
      <c r="Y74" s="235"/>
      <c r="Z74" s="57"/>
      <c r="AA74" s="57"/>
      <c r="AB74" s="235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P74" s="57"/>
      <c r="AQ74" s="57"/>
      <c r="AR74" s="57"/>
      <c r="AS74" s="57"/>
    </row>
    <row r="75" spans="2:45" s="1" customFormat="1">
      <c r="D75" s="56"/>
      <c r="E75" s="226"/>
      <c r="F75" s="227"/>
      <c r="G75" s="57"/>
      <c r="H75" s="57"/>
      <c r="I75" s="57"/>
      <c r="J75" s="57"/>
      <c r="L75" s="57"/>
      <c r="N75" s="3"/>
      <c r="O75" s="3"/>
      <c r="P75" s="3"/>
    </row>
    <row r="76" spans="2:45" s="1" customFormat="1">
      <c r="O76" s="3"/>
      <c r="P76" s="3"/>
    </row>
    <row r="77" spans="2:45" s="1" customFormat="1">
      <c r="O77" s="3"/>
      <c r="P77" s="3"/>
    </row>
    <row r="78" spans="2:45" s="1" customFormat="1">
      <c r="O78" s="3"/>
      <c r="P78" s="3"/>
    </row>
    <row r="79" spans="2:45" s="1" customFormat="1">
      <c r="O79" s="3"/>
      <c r="P79" s="3"/>
    </row>
    <row r="80" spans="2:45" s="1" customFormat="1" ht="15">
      <c r="B80" s="264"/>
      <c r="O80" s="3"/>
      <c r="P80" s="3"/>
    </row>
    <row r="81" spans="2:43" s="1" customFormat="1" ht="15">
      <c r="B81" s="264"/>
      <c r="E81" s="6"/>
      <c r="F81" s="6"/>
      <c r="G81" s="6"/>
      <c r="H81" s="6"/>
      <c r="I81" s="6"/>
      <c r="J81" s="6"/>
      <c r="K81" s="6"/>
      <c r="L81" s="6"/>
      <c r="M81" s="6"/>
      <c r="O81" s="3"/>
      <c r="P81" s="3"/>
      <c r="R81" s="124"/>
      <c r="AM81" s="124"/>
    </row>
    <row r="82" spans="2:43" s="1" customFormat="1" ht="15">
      <c r="B82" s="264"/>
      <c r="E82" s="6"/>
      <c r="F82" s="6"/>
      <c r="G82" s="6"/>
      <c r="H82" s="6"/>
      <c r="I82" s="6"/>
      <c r="J82" s="6"/>
      <c r="K82" s="6"/>
      <c r="L82" s="6"/>
      <c r="M82" s="6"/>
      <c r="O82" s="3"/>
      <c r="P82" s="3"/>
    </row>
    <row r="83" spans="2:43" s="1" customFormat="1" ht="15">
      <c r="B83" s="244"/>
      <c r="C83" s="244"/>
      <c r="D83" s="244"/>
      <c r="E83" s="5"/>
      <c r="F83" s="5"/>
      <c r="G83" s="5"/>
      <c r="H83" s="5"/>
      <c r="I83" s="5"/>
      <c r="J83" s="5"/>
      <c r="K83" s="5"/>
      <c r="M83" s="59"/>
      <c r="N83" s="59"/>
      <c r="O83" s="3"/>
      <c r="P83" s="59"/>
      <c r="Q83" s="59"/>
      <c r="S83" s="59"/>
      <c r="T83" s="59"/>
      <c r="U83" s="5"/>
      <c r="V83" s="59"/>
      <c r="W83" s="59"/>
      <c r="X83" s="5"/>
      <c r="Y83" s="59"/>
      <c r="Z83" s="59"/>
      <c r="AA83" s="5"/>
      <c r="AB83" s="59"/>
      <c r="AC83" s="59"/>
      <c r="AD83" s="5"/>
      <c r="AE83" s="5"/>
      <c r="AF83" s="5"/>
      <c r="AG83" s="5"/>
      <c r="AH83" s="5"/>
      <c r="AI83" s="5"/>
      <c r="AJ83" s="5"/>
      <c r="AK83" s="5"/>
      <c r="AL83" s="5"/>
      <c r="AN83" s="5"/>
      <c r="AO83" s="5"/>
      <c r="AP83" s="5"/>
      <c r="AQ83" s="5"/>
    </row>
    <row r="84" spans="2:43" s="1" customFormat="1" ht="15">
      <c r="B84" s="244"/>
      <c r="C84" s="244"/>
      <c r="D84" s="244"/>
      <c r="E84" s="244"/>
      <c r="F84" s="244"/>
      <c r="G84" s="244"/>
      <c r="H84" s="244"/>
      <c r="I84" s="244"/>
      <c r="J84" s="244"/>
      <c r="M84" s="244"/>
      <c r="N84" s="244"/>
      <c r="O84" s="3"/>
      <c r="P84" s="3"/>
      <c r="Q84" s="3"/>
      <c r="AP84" s="244"/>
      <c r="AQ84" s="244"/>
    </row>
    <row r="85" spans="2:43" s="1" customFormat="1">
      <c r="B85" s="3"/>
      <c r="C85" s="3"/>
      <c r="D85" s="3"/>
      <c r="E85" s="3"/>
      <c r="F85" s="3"/>
      <c r="G85" s="3"/>
      <c r="H85" s="3"/>
      <c r="I85" s="3"/>
      <c r="J85" s="3"/>
      <c r="M85" s="3"/>
      <c r="N85" s="3"/>
      <c r="O85" s="3"/>
      <c r="P85" s="3"/>
      <c r="Q85" s="3"/>
      <c r="AP85" s="3"/>
      <c r="AQ85" s="3"/>
    </row>
    <row r="86" spans="2:43" s="1" customFormat="1">
      <c r="B86" s="3"/>
      <c r="C86" s="3"/>
      <c r="D86" s="272"/>
      <c r="E86" s="272"/>
      <c r="F86" s="268"/>
      <c r="G86" s="268"/>
      <c r="H86" s="2"/>
      <c r="I86" s="3"/>
      <c r="J86" s="2"/>
      <c r="K86" s="63"/>
      <c r="M86" s="2"/>
      <c r="N86" s="2"/>
      <c r="O86" s="3"/>
      <c r="P86" s="2"/>
      <c r="Q86" s="2"/>
      <c r="S86" s="63"/>
      <c r="T86" s="234"/>
      <c r="U86" s="63"/>
      <c r="V86" s="63"/>
      <c r="W86" s="234"/>
      <c r="X86" s="63"/>
      <c r="Y86" s="63"/>
      <c r="Z86" s="234"/>
      <c r="AA86" s="63"/>
      <c r="AB86" s="63"/>
      <c r="AC86" s="234"/>
      <c r="AD86" s="63"/>
      <c r="AE86" s="63"/>
      <c r="AF86" s="63"/>
      <c r="AG86" s="63"/>
      <c r="AH86" s="63"/>
      <c r="AI86" s="63"/>
      <c r="AJ86" s="63"/>
      <c r="AK86" s="63"/>
      <c r="AL86" s="63"/>
      <c r="AN86" s="63"/>
      <c r="AO86" s="63"/>
      <c r="AP86" s="24"/>
      <c r="AQ86" s="24"/>
    </row>
    <row r="87" spans="2:43" s="1" customFormat="1">
      <c r="B87" s="3"/>
      <c r="C87" s="3"/>
      <c r="D87" s="3"/>
      <c r="E87" s="3"/>
      <c r="F87" s="3"/>
      <c r="G87" s="3"/>
      <c r="H87" s="3"/>
      <c r="I87" s="3"/>
      <c r="J87" s="3"/>
      <c r="M87" s="3"/>
      <c r="N87" s="3"/>
      <c r="O87" s="3"/>
      <c r="P87" s="3"/>
      <c r="Q87" s="3"/>
      <c r="AN87" s="63"/>
      <c r="AP87" s="24"/>
      <c r="AQ87" s="24"/>
    </row>
    <row r="88" spans="2:43" s="1" customFormat="1">
      <c r="B88" s="265"/>
      <c r="C88" s="3"/>
      <c r="D88" s="3"/>
      <c r="E88" s="3"/>
      <c r="F88" s="3"/>
      <c r="G88" s="3"/>
      <c r="H88" s="3"/>
      <c r="I88" s="3"/>
      <c r="J88" s="3"/>
      <c r="M88" s="3"/>
      <c r="N88" s="3"/>
      <c r="O88" s="3"/>
      <c r="P88" s="3"/>
      <c r="Q88" s="3"/>
      <c r="AN88" s="63"/>
      <c r="AP88" s="24"/>
      <c r="AQ88" s="24"/>
    </row>
    <row r="89" spans="2:43" s="1" customFormat="1">
      <c r="B89" s="266"/>
      <c r="C89" s="3"/>
      <c r="D89" s="268"/>
      <c r="E89" s="268"/>
      <c r="F89" s="268"/>
      <c r="G89" s="268"/>
      <c r="H89" s="24"/>
      <c r="I89" s="3"/>
      <c r="J89" s="24"/>
      <c r="M89" s="2"/>
      <c r="N89" s="2"/>
      <c r="O89" s="3"/>
      <c r="P89" s="2"/>
      <c r="Q89" s="2"/>
      <c r="AN89" s="63"/>
      <c r="AP89" s="24"/>
      <c r="AQ89" s="24"/>
    </row>
    <row r="90" spans="2:43" s="1" customFormat="1">
      <c r="B90" s="3"/>
      <c r="C90" s="3"/>
      <c r="D90" s="3"/>
      <c r="E90" s="3"/>
      <c r="F90" s="3"/>
      <c r="G90" s="3"/>
      <c r="H90" s="3"/>
      <c r="I90" s="3"/>
      <c r="J90" s="3"/>
      <c r="M90" s="3"/>
      <c r="N90" s="3"/>
      <c r="O90" s="3"/>
      <c r="P90" s="3"/>
      <c r="Q90" s="3"/>
      <c r="AN90" s="63"/>
      <c r="AP90" s="24"/>
      <c r="AQ90" s="24"/>
    </row>
    <row r="91" spans="2:43" s="1" customFormat="1">
      <c r="B91" s="265"/>
      <c r="C91" s="3"/>
      <c r="D91" s="3"/>
      <c r="E91" s="3"/>
      <c r="F91" s="3"/>
      <c r="G91" s="3"/>
      <c r="H91" s="3"/>
      <c r="I91" s="3"/>
      <c r="J91" s="3"/>
      <c r="M91" s="3"/>
      <c r="N91" s="3"/>
      <c r="O91" s="3"/>
      <c r="P91" s="3"/>
      <c r="Q91" s="3"/>
      <c r="AN91" s="63"/>
      <c r="AP91" s="24"/>
      <c r="AQ91" s="24"/>
    </row>
    <row r="92" spans="2:43" s="1" customFormat="1">
      <c r="B92" s="267"/>
      <c r="C92" s="3"/>
      <c r="D92" s="268"/>
      <c r="E92" s="268"/>
      <c r="F92" s="268"/>
      <c r="G92" s="268"/>
      <c r="H92" s="24"/>
      <c r="I92" s="3"/>
      <c r="J92" s="24"/>
      <c r="K92" s="235"/>
      <c r="M92" s="24"/>
      <c r="N92" s="24"/>
      <c r="O92" s="3"/>
      <c r="P92" s="2"/>
      <c r="Q92" s="2"/>
      <c r="S92" s="234"/>
      <c r="T92" s="234"/>
      <c r="V92" s="234"/>
      <c r="W92" s="234"/>
      <c r="Y92" s="234"/>
      <c r="Z92" s="234"/>
      <c r="AB92" s="234"/>
      <c r="AC92" s="234"/>
      <c r="AN92" s="118"/>
      <c r="AP92" s="24"/>
      <c r="AQ92" s="24"/>
    </row>
    <row r="93" spans="2:43" s="1" customFormat="1">
      <c r="B93" s="3"/>
      <c r="C93" s="3"/>
      <c r="D93" s="3"/>
      <c r="E93" s="3"/>
      <c r="F93" s="3"/>
      <c r="G93" s="3"/>
      <c r="H93" s="3"/>
      <c r="I93" s="3"/>
      <c r="J93" s="3"/>
      <c r="M93" s="3"/>
      <c r="N93" s="3"/>
      <c r="O93" s="3"/>
      <c r="P93" s="3"/>
      <c r="Q93" s="3"/>
      <c r="AP93" s="24"/>
      <c r="AQ93" s="24"/>
    </row>
    <row r="94" spans="2:43" s="1" customFormat="1">
      <c r="B94" s="3"/>
      <c r="C94" s="3"/>
      <c r="D94" s="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35"/>
      <c r="U94" s="24"/>
      <c r="V94" s="24"/>
      <c r="W94" s="235"/>
      <c r="X94" s="24"/>
      <c r="Y94" s="24"/>
      <c r="Z94" s="235"/>
      <c r="AA94" s="24"/>
      <c r="AB94" s="24"/>
      <c r="AC94" s="235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2:43" s="1" customFormat="1">
      <c r="B95" s="3"/>
      <c r="C95" s="3"/>
      <c r="D95" s="3"/>
      <c r="E95" s="24"/>
      <c r="F95" s="24"/>
      <c r="G95" s="24"/>
      <c r="H95" s="24"/>
      <c r="I95" s="24"/>
      <c r="M95" s="232"/>
      <c r="O95" s="3"/>
      <c r="P95" s="3"/>
      <c r="AP95" s="2"/>
      <c r="AQ95" s="2"/>
    </row>
    <row r="96" spans="2:43" s="1" customFormat="1">
      <c r="M96" s="235"/>
      <c r="O96" s="3"/>
      <c r="P96" s="3"/>
      <c r="T96" s="269"/>
      <c r="W96" s="269"/>
      <c r="Z96" s="269"/>
      <c r="AC96" s="269"/>
      <c r="AP96" s="235"/>
      <c r="AQ96" s="235"/>
    </row>
    <row r="97" spans="8:44" s="1" customFormat="1" ht="15">
      <c r="H97" s="234"/>
      <c r="M97" s="228"/>
      <c r="O97" s="3"/>
      <c r="R97" s="235"/>
      <c r="AM97" s="235"/>
      <c r="AN97" s="270"/>
      <c r="AP97" s="63"/>
      <c r="AQ97" s="63"/>
      <c r="AR97" s="271"/>
    </row>
    <row r="98" spans="8:44" s="1" customFormat="1">
      <c r="J98" s="234"/>
      <c r="O98" s="270"/>
      <c r="P98" s="3"/>
    </row>
    <row r="99" spans="8:44" s="1" customFormat="1">
      <c r="O99" s="3"/>
      <c r="P99" s="3"/>
    </row>
    <row r="100" spans="8:44" s="1" customFormat="1">
      <c r="O100" s="3"/>
      <c r="P100" s="3"/>
    </row>
    <row r="101" spans="8:44" s="1" customFormat="1">
      <c r="O101" s="3"/>
      <c r="P101" s="3"/>
    </row>
    <row r="102" spans="8:44" s="1" customFormat="1">
      <c r="O102" s="3"/>
      <c r="P102" s="3"/>
    </row>
    <row r="103" spans="8:44" s="1" customFormat="1">
      <c r="O103" s="3"/>
      <c r="P103" s="3"/>
    </row>
  </sheetData>
  <mergeCells count="90">
    <mergeCell ref="AL46:AL47"/>
    <mergeCell ref="AK43:AL43"/>
    <mergeCell ref="Z46:Z47"/>
    <mergeCell ref="AN42:AO42"/>
    <mergeCell ref="M42:N42"/>
    <mergeCell ref="P42:Q42"/>
    <mergeCell ref="S42:T42"/>
    <mergeCell ref="V42:W42"/>
    <mergeCell ref="Y42:Z42"/>
    <mergeCell ref="AK42:AL42"/>
    <mergeCell ref="M43:N43"/>
    <mergeCell ref="P43:Q43"/>
    <mergeCell ref="AN43:AO43"/>
    <mergeCell ref="S43:T43"/>
    <mergeCell ref="V43:W43"/>
    <mergeCell ref="Y43:Z43"/>
    <mergeCell ref="AI46:AI47"/>
    <mergeCell ref="AB42:AC42"/>
    <mergeCell ref="AE42:AF42"/>
    <mergeCell ref="AH42:AI42"/>
    <mergeCell ref="AB43:AC43"/>
    <mergeCell ref="AE43:AF43"/>
    <mergeCell ref="AH43:AI43"/>
    <mergeCell ref="AC46:AC47"/>
    <mergeCell ref="AF46:AF47"/>
    <mergeCell ref="B42:B43"/>
    <mergeCell ref="C42:C43"/>
    <mergeCell ref="D42:E42"/>
    <mergeCell ref="G42:H42"/>
    <mergeCell ref="J42:K42"/>
    <mergeCell ref="D43:E43"/>
    <mergeCell ref="G43:H43"/>
    <mergeCell ref="J43:K43"/>
    <mergeCell ref="J6:K6"/>
    <mergeCell ref="M5:N5"/>
    <mergeCell ref="AE5:AF5"/>
    <mergeCell ref="AE6:AF6"/>
    <mergeCell ref="V6:W6"/>
    <mergeCell ref="J5:K5"/>
    <mergeCell ref="V5:W5"/>
    <mergeCell ref="S6:T6"/>
    <mergeCell ref="P5:Q5"/>
    <mergeCell ref="S5:T5"/>
    <mergeCell ref="Y6:Z6"/>
    <mergeCell ref="AB5:AC5"/>
    <mergeCell ref="AB6:AC6"/>
    <mergeCell ref="AN5:AO5"/>
    <mergeCell ref="AN6:AO6"/>
    <mergeCell ref="P6:Q6"/>
    <mergeCell ref="M6:N6"/>
    <mergeCell ref="Y5:Z5"/>
    <mergeCell ref="AK5:AL5"/>
    <mergeCell ref="AK6:AL6"/>
    <mergeCell ref="AH5:AI5"/>
    <mergeCell ref="AH6:AI6"/>
    <mergeCell ref="P26:Q26"/>
    <mergeCell ref="N29:N30"/>
    <mergeCell ref="V25:W25"/>
    <mergeCell ref="V26:W26"/>
    <mergeCell ref="AB25:AC25"/>
    <mergeCell ref="AB26:AC26"/>
    <mergeCell ref="Y25:Z25"/>
    <mergeCell ref="Y26:Z26"/>
    <mergeCell ref="AN25:AO25"/>
    <mergeCell ref="AN26:AO26"/>
    <mergeCell ref="E29:E30"/>
    <mergeCell ref="AR29:AR30"/>
    <mergeCell ref="S25:T25"/>
    <mergeCell ref="S26:T26"/>
    <mergeCell ref="G25:H25"/>
    <mergeCell ref="G26:H26"/>
    <mergeCell ref="D25:E25"/>
    <mergeCell ref="M26:N26"/>
    <mergeCell ref="M25:N25"/>
    <mergeCell ref="Q29:Q30"/>
    <mergeCell ref="P25:Q25"/>
    <mergeCell ref="K29:K30"/>
    <mergeCell ref="J25:K25"/>
    <mergeCell ref="J26:K26"/>
    <mergeCell ref="B5:B6"/>
    <mergeCell ref="G5:H5"/>
    <mergeCell ref="B29:B30"/>
    <mergeCell ref="G6:H6"/>
    <mergeCell ref="B25:B26"/>
    <mergeCell ref="C25:C26"/>
    <mergeCell ref="D26:E26"/>
    <mergeCell ref="H29:H30"/>
    <mergeCell ref="C5:C6"/>
    <mergeCell ref="D6:E6"/>
    <mergeCell ref="D5:E5"/>
  </mergeCells>
  <pageMargins left="0.25" right="0.25" top="0.75" bottom="0.75" header="0.3" footer="0.3"/>
  <pageSetup paperSize="258" scale="64" orientation="landscape" r:id="rId1"/>
  <rowBreaks count="2" manualBreakCount="2">
    <brk id="60" max="40" man="1"/>
    <brk id="61" max="40" man="1"/>
  </rowBreaks>
  <colBreaks count="2" manualBreakCount="2">
    <brk id="44" max="83" man="1"/>
    <brk id="50" max="6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32"/>
  <sheetViews>
    <sheetView view="pageBreakPreview" zoomScaleSheetLayoutView="100" workbookViewId="0">
      <selection activeCell="C240" sqref="C240"/>
    </sheetView>
  </sheetViews>
  <sheetFormatPr defaultRowHeight="12.75"/>
  <cols>
    <col min="1" max="1" width="1.7109375" customWidth="1"/>
    <col min="2" max="2" width="47" customWidth="1"/>
    <col min="3" max="3" width="14.5703125" style="7" customWidth="1"/>
    <col min="4" max="4" width="15.7109375" style="7" bestFit="1" customWidth="1"/>
    <col min="5" max="6" width="15.7109375" style="7" customWidth="1"/>
    <col min="7" max="7" width="12.7109375" style="7" customWidth="1"/>
    <col min="8" max="8" width="14.5703125" style="7" customWidth="1"/>
    <col min="9" max="9" width="13.42578125" style="7" customWidth="1"/>
    <col min="10" max="10" width="12.7109375" style="7" customWidth="1"/>
    <col min="11" max="11" width="16.140625" style="7" customWidth="1"/>
    <col min="12" max="12" width="14.28515625" style="7" customWidth="1"/>
    <col min="13" max="13" width="14.42578125" style="7" customWidth="1"/>
    <col min="14" max="14" width="15" style="7" customWidth="1"/>
    <col min="15" max="15" width="16.5703125" style="7" bestFit="1" customWidth="1"/>
    <col min="16" max="16" width="2.28515625" style="7" customWidth="1"/>
    <col min="17" max="17" width="15.7109375" bestFit="1" customWidth="1"/>
    <col min="18" max="18" width="12.28515625" bestFit="1" customWidth="1"/>
  </cols>
  <sheetData>
    <row r="1" spans="2:42" s="14" customFormat="1" ht="14.25">
      <c r="B1" s="14" t="s">
        <v>149</v>
      </c>
      <c r="C1" s="15"/>
      <c r="D1" s="15"/>
      <c r="E1" s="15"/>
      <c r="F1" s="15"/>
      <c r="G1" s="15"/>
      <c r="H1" s="15"/>
      <c r="I1" s="15"/>
      <c r="J1" s="15"/>
      <c r="K1" s="19"/>
      <c r="L1" s="15"/>
      <c r="M1" s="250"/>
      <c r="N1" s="250"/>
      <c r="O1" s="250"/>
      <c r="P1" s="250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I1" s="109"/>
      <c r="AJ1" s="67"/>
      <c r="AK1" s="67"/>
      <c r="AL1" s="124"/>
    </row>
    <row r="2" spans="2:42" s="14" customFormat="1" ht="14.25">
      <c r="C2" s="251" t="str">
        <f>$C$16</f>
        <v>JANUARY</v>
      </c>
      <c r="D2" s="251" t="str">
        <f>$D$16</f>
        <v>FEBRUARY</v>
      </c>
      <c r="E2" s="251" t="s">
        <v>129</v>
      </c>
      <c r="F2" s="251" t="s">
        <v>130</v>
      </c>
      <c r="G2" s="251" t="s">
        <v>155</v>
      </c>
      <c r="H2" s="251" t="s">
        <v>178</v>
      </c>
      <c r="I2" s="251" t="s">
        <v>131</v>
      </c>
      <c r="J2" s="251" t="s">
        <v>166</v>
      </c>
      <c r="K2" s="251" t="s">
        <v>167</v>
      </c>
      <c r="L2" s="251" t="s">
        <v>168</v>
      </c>
      <c r="M2" s="251" t="s">
        <v>170</v>
      </c>
      <c r="N2" s="251" t="s">
        <v>171</v>
      </c>
      <c r="O2" s="243" t="s">
        <v>132</v>
      </c>
      <c r="P2" s="243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K2" s="67"/>
      <c r="AL2" s="124"/>
      <c r="AM2" s="67"/>
      <c r="AN2" s="67"/>
    </row>
    <row r="3" spans="2:42" s="14" customFormat="1" ht="14.25">
      <c r="C3" s="251"/>
      <c r="D3" s="251"/>
      <c r="E3" s="251"/>
      <c r="F3" s="251"/>
      <c r="G3" s="15"/>
      <c r="H3" s="243"/>
      <c r="I3" s="15"/>
      <c r="J3" s="15"/>
      <c r="K3" s="15"/>
      <c r="L3" s="15"/>
      <c r="M3" s="15"/>
      <c r="N3" s="15"/>
      <c r="O3" s="15"/>
      <c r="P3" s="15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53"/>
      <c r="AL3" s="63"/>
      <c r="AM3" s="53"/>
      <c r="AN3" s="53"/>
    </row>
    <row r="4" spans="2:42" s="14" customFormat="1" ht="14.25">
      <c r="B4" s="14" t="s">
        <v>150</v>
      </c>
      <c r="C4" s="66">
        <f>64257.81+22561.48</f>
        <v>86819.29</v>
      </c>
      <c r="D4" s="252">
        <f>63229.31+23001.22</f>
        <v>86230.53</v>
      </c>
      <c r="E4" s="253">
        <f>59922.34+23001.02</f>
        <v>82923.360000000001</v>
      </c>
      <c r="F4" s="253">
        <v>71694.78</v>
      </c>
      <c r="G4" s="15">
        <f>45905.61+0.27+18645.62+0.44</f>
        <v>64551.94</v>
      </c>
      <c r="H4" s="252">
        <f>42820.89+15821.99-0.27</f>
        <v>58642.61</v>
      </c>
      <c r="I4" s="15">
        <f>38708.48+13080.85</f>
        <v>51789.33</v>
      </c>
      <c r="J4" s="15"/>
      <c r="K4" s="15"/>
      <c r="L4" s="15"/>
      <c r="M4" s="15"/>
      <c r="N4" s="15"/>
      <c r="O4" s="253">
        <f>C4+D4+E4+F4+G4+H4+I4+J4+K4+L4+M4+N4</f>
        <v>502651.83999999997</v>
      </c>
      <c r="P4" s="2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K4" s="53"/>
      <c r="AL4" s="63"/>
      <c r="AM4" s="53"/>
      <c r="AN4" s="53"/>
    </row>
    <row r="5" spans="2:42" s="14" customFormat="1" ht="14.25">
      <c r="B5" s="14" t="s">
        <v>151</v>
      </c>
      <c r="C5" s="66">
        <f>12335.83+20000</f>
        <v>32335.83</v>
      </c>
      <c r="D5" s="252"/>
      <c r="E5" s="253"/>
      <c r="F5" s="253">
        <v>13094.49</v>
      </c>
      <c r="G5" s="15">
        <f>20000+28783.87+9873.76+7000</f>
        <v>65657.63</v>
      </c>
      <c r="H5" s="252">
        <f>5482.48+27240+5000</f>
        <v>37722.479999999996</v>
      </c>
      <c r="I5" s="15">
        <f>34266.55+8500+2000+26042.53+14763.17</f>
        <v>85572.25</v>
      </c>
      <c r="J5" s="15"/>
      <c r="K5" s="15"/>
      <c r="L5" s="15"/>
      <c r="M5" s="15"/>
      <c r="N5" s="15"/>
      <c r="O5" s="253">
        <f>C5+D5+E5+F5+G5+H5+I5+J5+K5+L5+M5+N5</f>
        <v>234382.68</v>
      </c>
      <c r="P5" s="253"/>
      <c r="Q5" s="53">
        <v>234382.68</v>
      </c>
      <c r="R5" s="53">
        <f>O5-Q5</f>
        <v>0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K5" s="53"/>
      <c r="AL5" s="63"/>
      <c r="AM5" s="53"/>
      <c r="AN5" s="53"/>
    </row>
    <row r="6" spans="2:42" s="14" customFormat="1" ht="14.25">
      <c r="B6" s="14" t="s">
        <v>188</v>
      </c>
      <c r="C6" s="65"/>
      <c r="D6" s="235"/>
      <c r="E6" s="254"/>
      <c r="F6" s="253"/>
      <c r="G6" s="15"/>
      <c r="H6" s="252"/>
      <c r="I6" s="235"/>
      <c r="J6" s="235"/>
      <c r="K6" s="235"/>
      <c r="L6" s="235"/>
      <c r="M6" s="242"/>
      <c r="N6" s="235"/>
      <c r="O6" s="253">
        <f>C6+D6+E6+F6+G6+H6+I6+J6+K6+L6+M6+N6</f>
        <v>0</v>
      </c>
      <c r="P6" s="25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1"/>
      <c r="AK6" s="63"/>
      <c r="AL6" s="63"/>
      <c r="AM6" s="63"/>
      <c r="AN6" s="63"/>
      <c r="AO6" s="1"/>
      <c r="AP6" s="1"/>
    </row>
    <row r="7" spans="2:42" s="14" customFormat="1" ht="15" thickBot="1">
      <c r="B7" s="14" t="s">
        <v>132</v>
      </c>
      <c r="C7" s="55">
        <f t="shared" ref="C7:N7" si="0">SUM(C4:C6)</f>
        <v>119155.12</v>
      </c>
      <c r="D7" s="237">
        <f t="shared" si="0"/>
        <v>86230.53</v>
      </c>
      <c r="E7" s="237">
        <f t="shared" si="0"/>
        <v>82923.360000000001</v>
      </c>
      <c r="F7" s="237">
        <f t="shared" si="0"/>
        <v>84789.27</v>
      </c>
      <c r="G7" s="237">
        <f t="shared" si="0"/>
        <v>130209.57</v>
      </c>
      <c r="H7" s="237">
        <f t="shared" si="0"/>
        <v>96365.09</v>
      </c>
      <c r="I7" s="237">
        <f t="shared" si="0"/>
        <v>137361.58000000002</v>
      </c>
      <c r="J7" s="237">
        <f t="shared" si="0"/>
        <v>0</v>
      </c>
      <c r="K7" s="237">
        <f t="shared" si="0"/>
        <v>0</v>
      </c>
      <c r="L7" s="237">
        <f t="shared" si="0"/>
        <v>0</v>
      </c>
      <c r="M7" s="237">
        <f t="shared" si="0"/>
        <v>0</v>
      </c>
      <c r="N7" s="237">
        <f t="shared" si="0"/>
        <v>0</v>
      </c>
      <c r="O7" s="237">
        <f>SUM(O4:O6)</f>
        <v>737034.52</v>
      </c>
      <c r="P7" s="235"/>
      <c r="Q7" s="57">
        <v>737034.52</v>
      </c>
      <c r="R7" s="53">
        <f>O7-Q7</f>
        <v>0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1"/>
      <c r="AK7" s="57"/>
      <c r="AL7" s="57"/>
      <c r="AM7" s="57"/>
      <c r="AN7" s="57"/>
      <c r="AO7" s="1"/>
      <c r="AP7" s="1"/>
    </row>
    <row r="8" spans="2:42" s="14" customFormat="1" ht="15" thickTop="1">
      <c r="C8" s="56"/>
      <c r="D8" s="226"/>
      <c r="E8" s="235"/>
      <c r="F8" s="235"/>
      <c r="G8" s="235"/>
      <c r="H8" s="235"/>
      <c r="I8" s="235"/>
      <c r="J8" s="2"/>
      <c r="K8" s="2"/>
      <c r="L8" s="235"/>
      <c r="M8" s="235"/>
      <c r="N8" s="235"/>
      <c r="O8" s="235"/>
      <c r="P8" s="23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2" s="14" customFormat="1" ht="14.25">
      <c r="C9" s="15"/>
      <c r="D9" s="15"/>
      <c r="E9" s="15"/>
      <c r="F9" s="15"/>
      <c r="G9" s="15"/>
      <c r="H9" s="15"/>
      <c r="I9" s="15"/>
      <c r="J9" s="15"/>
      <c r="K9" s="19"/>
      <c r="L9" s="15"/>
      <c r="M9" s="15"/>
      <c r="N9" s="15"/>
      <c r="O9" s="15"/>
      <c r="P9" s="15"/>
      <c r="AL9" s="1"/>
    </row>
    <row r="10" spans="2:42" s="14" customFormat="1" ht="14.25">
      <c r="C10" s="15"/>
      <c r="D10" s="15"/>
      <c r="E10" s="15"/>
      <c r="F10" s="15"/>
      <c r="G10" s="15"/>
      <c r="H10" s="15"/>
      <c r="I10" s="15"/>
      <c r="J10" s="15"/>
      <c r="K10" s="19"/>
      <c r="L10" s="15"/>
      <c r="M10" s="15"/>
      <c r="N10" s="15"/>
      <c r="O10" s="15"/>
      <c r="P10" s="15"/>
      <c r="AL10" s="1"/>
    </row>
    <row r="11" spans="2:42" s="14" customFormat="1" ht="14.25">
      <c r="C11" s="15"/>
      <c r="D11" s="15"/>
      <c r="E11" s="15"/>
      <c r="F11" s="15"/>
      <c r="G11" s="15"/>
      <c r="H11" s="15"/>
      <c r="I11" s="15"/>
      <c r="J11" s="15"/>
      <c r="K11" s="19"/>
      <c r="L11" s="15"/>
      <c r="M11" s="15"/>
      <c r="N11" s="15"/>
      <c r="O11" s="15"/>
      <c r="P11" s="15"/>
      <c r="AL11" s="1"/>
    </row>
    <row r="12" spans="2:42" s="14" customFormat="1" ht="14.25">
      <c r="C12" s="15"/>
      <c r="D12" s="15"/>
      <c r="E12" s="15"/>
      <c r="F12" s="15"/>
      <c r="G12" s="15"/>
      <c r="H12" s="15"/>
      <c r="I12" s="15"/>
      <c r="J12" s="15"/>
      <c r="K12" s="19"/>
      <c r="L12" s="15"/>
      <c r="M12" s="15"/>
      <c r="N12" s="15"/>
      <c r="O12" s="15"/>
      <c r="P12" s="15"/>
      <c r="AL12" s="1"/>
    </row>
    <row r="13" spans="2:42" s="14" customFormat="1" ht="15">
      <c r="B13" s="8" t="s">
        <v>428</v>
      </c>
      <c r="C13" s="15"/>
      <c r="D13" s="15"/>
      <c r="E13" s="15"/>
      <c r="F13" s="15"/>
      <c r="G13" s="15"/>
      <c r="H13" s="15"/>
      <c r="I13" s="15"/>
      <c r="J13" s="15"/>
      <c r="K13" s="19"/>
      <c r="L13" s="15"/>
      <c r="M13" s="15"/>
      <c r="N13" s="15"/>
      <c r="O13" s="15"/>
      <c r="P13" s="15"/>
      <c r="AL13" s="1"/>
    </row>
    <row r="14" spans="2:42" s="14" customFormat="1" ht="15">
      <c r="B14" s="8" t="s">
        <v>156</v>
      </c>
      <c r="C14" s="15"/>
      <c r="D14" s="251"/>
      <c r="E14" s="251"/>
      <c r="F14" s="251"/>
      <c r="G14" s="251"/>
      <c r="H14" s="251"/>
      <c r="I14" s="251"/>
      <c r="J14" s="15"/>
      <c r="K14" s="19"/>
      <c r="L14" s="15"/>
      <c r="M14" s="15"/>
      <c r="N14" s="15"/>
      <c r="O14" s="15"/>
      <c r="P14" s="15"/>
      <c r="AH14" s="67"/>
      <c r="AL14" s="1"/>
    </row>
    <row r="15" spans="2:42" s="14" customFormat="1" ht="15">
      <c r="B15" s="8"/>
      <c r="C15" s="15"/>
      <c r="D15" s="251"/>
      <c r="E15" s="251"/>
      <c r="F15" s="251"/>
      <c r="G15" s="251"/>
      <c r="H15" s="251"/>
      <c r="I15" s="251"/>
      <c r="J15" s="15"/>
      <c r="K15" s="19"/>
      <c r="L15" s="15"/>
      <c r="M15" s="15"/>
      <c r="N15" s="15"/>
      <c r="O15" s="15"/>
      <c r="P15" s="15"/>
      <c r="AL15" s="1"/>
    </row>
    <row r="16" spans="2:42" s="14" customFormat="1" ht="15">
      <c r="B16" s="16"/>
      <c r="C16" s="255" t="s">
        <v>159</v>
      </c>
      <c r="D16" s="255" t="s">
        <v>160</v>
      </c>
      <c r="E16" s="255" t="s">
        <v>129</v>
      </c>
      <c r="F16" s="255" t="s">
        <v>130</v>
      </c>
      <c r="G16" s="255" t="s">
        <v>155</v>
      </c>
      <c r="H16" s="256" t="s">
        <v>178</v>
      </c>
      <c r="I16" s="256" t="s">
        <v>131</v>
      </c>
      <c r="J16" s="256" t="s">
        <v>166</v>
      </c>
      <c r="K16" s="256" t="s">
        <v>167</v>
      </c>
      <c r="L16" s="256" t="s">
        <v>168</v>
      </c>
      <c r="M16" s="256" t="s">
        <v>170</v>
      </c>
      <c r="N16" s="256" t="s">
        <v>171</v>
      </c>
      <c r="O16" s="255" t="s">
        <v>132</v>
      </c>
      <c r="P16" s="25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I16" s="17"/>
      <c r="AJ16" s="17"/>
      <c r="AK16" s="17"/>
      <c r="AL16" s="5"/>
    </row>
    <row r="17" spans="2:39" s="14" customFormat="1" ht="15">
      <c r="B17" s="16" t="s">
        <v>157</v>
      </c>
      <c r="C17" s="257"/>
      <c r="D17" s="257"/>
      <c r="E17" s="257"/>
      <c r="F17" s="257"/>
      <c r="G17" s="15"/>
      <c r="H17" s="257"/>
      <c r="I17" s="257"/>
      <c r="J17" s="19"/>
      <c r="K17" s="19"/>
      <c r="L17" s="15"/>
      <c r="M17" s="15"/>
      <c r="N17" s="15"/>
      <c r="O17" s="257"/>
      <c r="P17" s="257"/>
      <c r="AK17" s="16"/>
      <c r="AL17" s="244"/>
    </row>
    <row r="18" spans="2:39" s="14" customFormat="1" ht="14.25">
      <c r="B18" s="18"/>
      <c r="C18" s="19"/>
      <c r="D18" s="19"/>
      <c r="E18" s="19"/>
      <c r="F18" s="19"/>
      <c r="G18" s="15"/>
      <c r="H18" s="19"/>
      <c r="I18" s="19"/>
      <c r="J18" s="19"/>
      <c r="K18" s="19"/>
      <c r="L18" s="15"/>
      <c r="M18" s="15"/>
      <c r="N18" s="15"/>
      <c r="O18" s="19"/>
      <c r="P18" s="19"/>
      <c r="AK18" s="18"/>
      <c r="AL18" s="3"/>
    </row>
    <row r="19" spans="2:39" s="14" customFormat="1" ht="14.25">
      <c r="B19" s="18" t="s">
        <v>158</v>
      </c>
      <c r="C19" s="239">
        <v>8761137.0700000003</v>
      </c>
      <c r="D19" s="239">
        <f>'FEB''16'!D16-C19</f>
        <v>7604605.0699999984</v>
      </c>
      <c r="E19" s="19">
        <f>'MAR''16'!D16-D19-C19</f>
        <v>12064726.240000002</v>
      </c>
      <c r="F19" s="19">
        <f>'APR''16'!D16-E19-D19-C19</f>
        <v>2313648.4299999978</v>
      </c>
      <c r="G19" s="15">
        <f>'MAY''16'!D16-F19-E19-D19-C19</f>
        <v>797835.77000000514</v>
      </c>
      <c r="H19" s="19">
        <f>'JUN''16'!D16-G19-F19-E19-D19-C19</f>
        <v>4911388.8799999971</v>
      </c>
      <c r="I19" s="19">
        <f>'JUL''16'!D16-'EV &amp; RPT'!H19-'EV &amp; RPT'!G19-'EV &amp; RPT'!E19-'EV &amp; RPT'!D19-'EV &amp; RPT'!F19-'EV &amp; RPT'!C19</f>
        <v>940104.87000000104</v>
      </c>
      <c r="J19" s="19"/>
      <c r="K19" s="19"/>
      <c r="L19" s="15"/>
      <c r="M19" s="15"/>
      <c r="N19" s="15"/>
      <c r="O19" s="19">
        <f>C19+D19+E19+F19+G19+H19+I19+J19+K19+L19+M19+N19</f>
        <v>37393446.329999998</v>
      </c>
      <c r="P19" s="19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I19" s="53"/>
      <c r="AJ19" s="53"/>
      <c r="AK19" s="20"/>
      <c r="AL19" s="24"/>
    </row>
    <row r="20" spans="2:39" s="14" customFormat="1" ht="14.25">
      <c r="B20" s="18"/>
      <c r="C20" s="19"/>
      <c r="D20" s="19"/>
      <c r="E20" s="19"/>
      <c r="F20" s="19"/>
      <c r="G20" s="15"/>
      <c r="H20" s="19"/>
      <c r="I20" s="19"/>
      <c r="J20" s="19"/>
      <c r="K20" s="19"/>
      <c r="L20" s="15"/>
      <c r="M20" s="15"/>
      <c r="N20" s="15"/>
      <c r="O20" s="19"/>
      <c r="P20" s="19"/>
      <c r="AI20" s="53"/>
      <c r="AK20" s="20"/>
      <c r="AL20" s="24"/>
    </row>
    <row r="21" spans="2:39" s="14" customFormat="1" ht="15">
      <c r="B21" s="21" t="s">
        <v>429</v>
      </c>
      <c r="C21" s="19"/>
      <c r="D21" s="19"/>
      <c r="E21" s="19"/>
      <c r="F21" s="19"/>
      <c r="G21" s="15"/>
      <c r="H21" s="19"/>
      <c r="I21" s="19"/>
      <c r="J21" s="19"/>
      <c r="K21" s="19"/>
      <c r="L21" s="15"/>
      <c r="M21" s="15"/>
      <c r="N21" s="15"/>
      <c r="O21" s="19"/>
      <c r="P21" s="19"/>
      <c r="AI21" s="53"/>
      <c r="AK21" s="20"/>
      <c r="AL21" s="24"/>
    </row>
    <row r="22" spans="2:39" s="14" customFormat="1" ht="14.25">
      <c r="B22" s="22" t="s">
        <v>430</v>
      </c>
      <c r="C22" s="19"/>
      <c r="D22" s="239">
        <v>2474247.88</v>
      </c>
      <c r="E22" s="19"/>
      <c r="F22" s="19"/>
      <c r="G22" s="15"/>
      <c r="H22" s="19"/>
      <c r="I22" s="19"/>
      <c r="J22" s="19"/>
      <c r="K22" s="19"/>
      <c r="L22" s="15"/>
      <c r="M22" s="15"/>
      <c r="N22" s="15"/>
      <c r="O22" s="19">
        <f>C22+D22+E22+F22+G22+H22+I22+J22+K22+L22+M22+N22</f>
        <v>2474247.88</v>
      </c>
      <c r="P22" s="19"/>
      <c r="AI22" s="53"/>
      <c r="AK22" s="20"/>
      <c r="AL22" s="24"/>
    </row>
    <row r="23" spans="2:39" s="14" customFormat="1" ht="14.25">
      <c r="B23" s="18"/>
      <c r="C23" s="19"/>
      <c r="D23" s="19"/>
      <c r="E23" s="19"/>
      <c r="F23" s="19"/>
      <c r="G23" s="15"/>
      <c r="H23" s="19"/>
      <c r="I23" s="19"/>
      <c r="J23" s="19"/>
      <c r="K23" s="19"/>
      <c r="L23" s="15"/>
      <c r="M23" s="15"/>
      <c r="N23" s="15"/>
      <c r="O23" s="19"/>
      <c r="P23" s="19"/>
      <c r="AI23" s="53"/>
      <c r="AK23" s="20"/>
      <c r="AL23" s="24"/>
    </row>
    <row r="24" spans="2:39" s="14" customFormat="1" ht="15">
      <c r="B24" s="21" t="s">
        <v>163</v>
      </c>
      <c r="C24" s="19"/>
      <c r="D24" s="19"/>
      <c r="E24" s="19"/>
      <c r="F24" s="19"/>
      <c r="G24" s="15"/>
      <c r="H24" s="19"/>
      <c r="I24" s="19"/>
      <c r="J24" s="19"/>
      <c r="K24" s="19"/>
      <c r="L24" s="15"/>
      <c r="M24" s="15"/>
      <c r="N24" s="15"/>
      <c r="O24" s="2"/>
      <c r="P24" s="2"/>
      <c r="AI24" s="53"/>
      <c r="AK24" s="20"/>
      <c r="AL24" s="24"/>
    </row>
    <row r="25" spans="2:39" s="14" customFormat="1" ht="14.25">
      <c r="B25" s="23" t="s">
        <v>453</v>
      </c>
      <c r="C25" s="239">
        <f>6554.86-655.62</f>
        <v>5899.24</v>
      </c>
      <c r="D25" s="239">
        <f>13738.89-1374-C25</f>
        <v>6465.65</v>
      </c>
      <c r="E25" s="19">
        <f>24177.77-2417.92-D25-C25</f>
        <v>9394.9599999999991</v>
      </c>
      <c r="F25" s="19">
        <f>56943.55-5694.56-E25-D25-C25</f>
        <v>29489.140000000007</v>
      </c>
      <c r="G25" s="15">
        <f>61859.81-6186.22-F25-E25-D25-C25</f>
        <v>4424.5999999999913</v>
      </c>
      <c r="H25" s="19">
        <f>74457.1-7445.98-G25-F25-E25-D25-C25</f>
        <v>11337.530000000012</v>
      </c>
      <c r="I25" s="19">
        <f>78420.96-7842.4-H25-G25-F25-E25-D25-C25</f>
        <v>3567.4400000000023</v>
      </c>
      <c r="J25" s="19"/>
      <c r="K25" s="19"/>
      <c r="L25" s="15"/>
      <c r="M25" s="15"/>
      <c r="N25" s="15"/>
      <c r="O25" s="19">
        <f>C25+D25+E25+F25+G25+H25+I25+J25+K25+L25+M25+N25</f>
        <v>70578.560000000012</v>
      </c>
      <c r="P25" s="19"/>
      <c r="Q25" s="335"/>
      <c r="AI25" s="105"/>
      <c r="AK25" s="20"/>
      <c r="AL25" s="24"/>
    </row>
    <row r="26" spans="2:39" s="14" customFormat="1" ht="14.25">
      <c r="B26" s="18"/>
      <c r="C26" s="19"/>
      <c r="D26" s="19"/>
      <c r="E26" s="19"/>
      <c r="F26" s="19"/>
      <c r="G26" s="15"/>
      <c r="H26" s="19"/>
      <c r="I26" s="19"/>
      <c r="J26" s="19"/>
      <c r="K26" s="19"/>
      <c r="L26" s="15"/>
      <c r="M26" s="15"/>
      <c r="N26" s="15"/>
      <c r="O26" s="2"/>
      <c r="P26" s="2"/>
      <c r="AK26" s="20"/>
      <c r="AL26" s="24"/>
    </row>
    <row r="27" spans="2:39" s="14" customFormat="1" ht="15" thickBot="1">
      <c r="B27" s="18" t="s">
        <v>161</v>
      </c>
      <c r="C27" s="258">
        <f>C19-C22+C25</f>
        <v>8767036.3100000005</v>
      </c>
      <c r="D27" s="258">
        <f t="shared" ref="D27:N27" si="1">D19-D22+D25</f>
        <v>5136822.8399999989</v>
      </c>
      <c r="E27" s="258">
        <f t="shared" si="1"/>
        <v>12074121.200000003</v>
      </c>
      <c r="F27" s="258">
        <f t="shared" si="1"/>
        <v>2343137.569999998</v>
      </c>
      <c r="G27" s="258">
        <f t="shared" si="1"/>
        <v>802260.37000000512</v>
      </c>
      <c r="H27" s="258">
        <f t="shared" si="1"/>
        <v>4922726.4099999974</v>
      </c>
      <c r="I27" s="258">
        <f t="shared" si="1"/>
        <v>943672.31000000099</v>
      </c>
      <c r="J27" s="258">
        <f t="shared" si="1"/>
        <v>0</v>
      </c>
      <c r="K27" s="258">
        <f t="shared" si="1"/>
        <v>0</v>
      </c>
      <c r="L27" s="258">
        <f t="shared" si="1"/>
        <v>0</v>
      </c>
      <c r="M27" s="237">
        <f t="shared" si="1"/>
        <v>0</v>
      </c>
      <c r="N27" s="237">
        <f t="shared" si="1"/>
        <v>0</v>
      </c>
      <c r="O27" s="258">
        <f>O19-O22+O25</f>
        <v>34989777.009999998</v>
      </c>
      <c r="P27" s="2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:39" s="14" customFormat="1" ht="15" thickTop="1">
      <c r="B28" s="18"/>
      <c r="C28" s="2"/>
      <c r="D28" s="2"/>
      <c r="E28" s="2"/>
      <c r="F28" s="15"/>
      <c r="G28" s="15"/>
      <c r="H28" s="259"/>
      <c r="I28" s="15"/>
      <c r="J28" s="19"/>
      <c r="K28" s="15"/>
      <c r="L28" s="15"/>
      <c r="M28" s="15"/>
      <c r="N28" s="15"/>
      <c r="O28" s="2"/>
      <c r="P28" s="2"/>
      <c r="AK28" s="2"/>
      <c r="AL28" s="2"/>
    </row>
    <row r="29" spans="2:39" s="14" customFormat="1" ht="14.25">
      <c r="B29" s="14" t="s">
        <v>195</v>
      </c>
      <c r="C29" s="278"/>
      <c r="D29" s="15"/>
      <c r="E29" s="15"/>
      <c r="F29" s="15"/>
      <c r="G29" s="15"/>
      <c r="H29" s="235"/>
      <c r="I29" s="15"/>
      <c r="J29" s="19"/>
      <c r="K29" s="15"/>
      <c r="L29" s="497" t="s">
        <v>162</v>
      </c>
      <c r="M29" s="497"/>
      <c r="N29" s="497"/>
      <c r="O29" s="235">
        <v>34989777.109999999</v>
      </c>
      <c r="P29" s="235"/>
      <c r="AK29" s="15"/>
      <c r="AL29" s="235"/>
    </row>
    <row r="30" spans="2:39" s="14" customFormat="1" ht="15">
      <c r="C30" s="15"/>
      <c r="D30" s="15"/>
      <c r="E30" s="15"/>
      <c r="F30" s="15"/>
      <c r="G30" s="15"/>
      <c r="H30" s="260"/>
      <c r="I30" s="15"/>
      <c r="J30" s="235"/>
      <c r="K30" s="15"/>
      <c r="L30" s="15"/>
      <c r="M30" s="15"/>
      <c r="N30" s="15"/>
      <c r="O30" s="19"/>
      <c r="P30" s="19"/>
      <c r="AH30" s="15"/>
      <c r="AI30" s="58"/>
      <c r="AK30" s="53"/>
      <c r="AL30" s="63"/>
      <c r="AM30" s="106" t="s">
        <v>169</v>
      </c>
    </row>
    <row r="31" spans="2:39" s="14" customFormat="1" ht="15">
      <c r="D31" s="15"/>
      <c r="E31" s="322"/>
      <c r="F31" s="278"/>
      <c r="G31" s="15"/>
      <c r="H31" s="15"/>
      <c r="I31" s="15"/>
      <c r="J31" s="19"/>
      <c r="K31" s="15"/>
      <c r="L31" s="15"/>
      <c r="M31" s="497" t="s">
        <v>176</v>
      </c>
      <c r="N31" s="497"/>
      <c r="O31" s="235">
        <f>O27-O29</f>
        <v>-0.10000000149011612</v>
      </c>
      <c r="P31" s="262" t="s">
        <v>169</v>
      </c>
      <c r="AL31" s="1"/>
    </row>
    <row r="32" spans="2:39" s="14" customFormat="1" ht="14.25">
      <c r="B32" s="14" t="s">
        <v>164</v>
      </c>
      <c r="C32" s="15"/>
      <c r="D32" s="15"/>
      <c r="E32" s="15"/>
      <c r="F32" s="15"/>
      <c r="G32" s="15"/>
      <c r="H32" s="15"/>
      <c r="I32" s="15"/>
      <c r="J32" s="15"/>
      <c r="K32" s="19"/>
      <c r="L32" s="15"/>
      <c r="M32" s="15"/>
      <c r="N32" s="15"/>
      <c r="O32" s="15"/>
      <c r="P32" s="15"/>
      <c r="AL32" s="1"/>
    </row>
  </sheetData>
  <mergeCells count="2">
    <mergeCell ref="M31:N31"/>
    <mergeCell ref="L29:N29"/>
  </mergeCells>
  <pageMargins left="0.25" right="0.25" top="0.75" bottom="0.75" header="0.3" footer="0.3"/>
  <pageSetup paperSize="258" scale="10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7"/>
  <sheetViews>
    <sheetView topLeftCell="A110" zoomScale="115" zoomScaleNormal="115" zoomScaleSheetLayoutView="12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79" customWidth="1"/>
    <col min="12" max="12" width="9.2851562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198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337"/>
      <c r="C6" s="307"/>
      <c r="D6" s="334"/>
      <c r="E6" s="307"/>
      <c r="F6" s="308"/>
      <c r="H6" s="281" t="s">
        <v>154</v>
      </c>
      <c r="I6" s="211" t="s">
        <v>176</v>
      </c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291975</v>
      </c>
      <c r="E11" s="140" t="str">
        <f>IF((D11-C11)&gt;0,D11-C11,"")</f>
        <v/>
      </c>
      <c r="F11" s="175">
        <f>IF((D11-C11)&gt;0,"",D11-C11)</f>
        <v>-88025</v>
      </c>
      <c r="H11" s="280">
        <v>291975</v>
      </c>
      <c r="I11" s="282">
        <f>D11-H11</f>
        <v>0</v>
      </c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2" si="0">IF((D12-C12)&gt;0,D12-C12,"")</f>
        <v/>
      </c>
      <c r="F12" s="141">
        <f t="shared" ref="F12:F32" si="1">IF((D12-C12)&gt;0,"",D12-C12)</f>
        <v>0</v>
      </c>
      <c r="I12" s="282">
        <f t="shared" ref="I12:I32" si="2">D12-H12</f>
        <v>0</v>
      </c>
    </row>
    <row r="13" spans="1:13">
      <c r="A13" s="137" t="s">
        <v>50</v>
      </c>
      <c r="B13" s="338" t="s">
        <v>203</v>
      </c>
      <c r="C13" s="316">
        <v>5000000</v>
      </c>
      <c r="D13" s="365">
        <v>3000829.49</v>
      </c>
      <c r="E13" s="140" t="str">
        <f t="shared" si="0"/>
        <v/>
      </c>
      <c r="F13" s="175">
        <f t="shared" si="1"/>
        <v>-1999170.5099999998</v>
      </c>
      <c r="H13" s="280">
        <v>3000826.4</v>
      </c>
      <c r="I13" s="282">
        <f t="shared" si="2"/>
        <v>3.0900000003166497</v>
      </c>
      <c r="J13" s="284"/>
      <c r="K13" s="285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1201244.8</v>
      </c>
      <c r="E14" s="140" t="str">
        <f t="shared" si="0"/>
        <v/>
      </c>
      <c r="F14" s="175">
        <f t="shared" si="1"/>
        <v>-298755.19999999995</v>
      </c>
      <c r="H14" s="280">
        <v>1201244.8</v>
      </c>
      <c r="I14" s="282">
        <f t="shared" si="2"/>
        <v>0</v>
      </c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</row>
    <row r="16" spans="1:13">
      <c r="A16" s="137" t="s">
        <v>217</v>
      </c>
      <c r="B16" s="338" t="s">
        <v>220</v>
      </c>
      <c r="C16" s="316">
        <v>45000000</v>
      </c>
      <c r="D16" s="380">
        <f>9734619.96-973482.89</f>
        <v>8761137.0700000003</v>
      </c>
      <c r="E16" s="140" t="str">
        <f t="shared" si="0"/>
        <v/>
      </c>
      <c r="F16" s="175">
        <f t="shared" si="1"/>
        <v>-36238862.93</v>
      </c>
      <c r="H16" s="280">
        <v>8767036.3300000001</v>
      </c>
      <c r="I16" s="283">
        <f t="shared" si="2"/>
        <v>-5899.2599999997765</v>
      </c>
      <c r="J16" s="284"/>
    </row>
    <row r="17" spans="1:11">
      <c r="A17" s="137" t="s">
        <v>218</v>
      </c>
      <c r="B17" s="338" t="s">
        <v>221</v>
      </c>
      <c r="C17" s="316">
        <v>7500000</v>
      </c>
      <c r="D17" s="365">
        <v>2024214.76</v>
      </c>
      <c r="E17" s="140" t="str">
        <f t="shared" si="0"/>
        <v/>
      </c>
      <c r="F17" s="175">
        <f t="shared" si="1"/>
        <v>-5475785.2400000002</v>
      </c>
      <c r="H17" s="280">
        <v>2024214.77</v>
      </c>
      <c r="I17" s="282">
        <f t="shared" si="2"/>
        <v>-1.0000000009313226E-2</v>
      </c>
      <c r="K17" s="287"/>
    </row>
    <row r="18" spans="1:11">
      <c r="A18" s="313" t="s">
        <v>222</v>
      </c>
      <c r="B18" s="338" t="s">
        <v>223</v>
      </c>
      <c r="C18" s="316">
        <v>200000</v>
      </c>
      <c r="D18" s="365">
        <v>26364.29</v>
      </c>
      <c r="E18" s="140" t="str">
        <f t="shared" si="0"/>
        <v/>
      </c>
      <c r="F18" s="175">
        <f t="shared" si="1"/>
        <v>-173635.71</v>
      </c>
      <c r="H18" s="280">
        <v>26364.29</v>
      </c>
      <c r="I18" s="282">
        <f t="shared" si="2"/>
        <v>0</v>
      </c>
    </row>
    <row r="19" spans="1:11">
      <c r="A19" s="313" t="s">
        <v>401</v>
      </c>
      <c r="B19" s="338" t="s">
        <v>215</v>
      </c>
      <c r="C19" s="316">
        <v>6000000</v>
      </c>
      <c r="D19" s="365">
        <v>1014868.08</v>
      </c>
      <c r="E19" s="140" t="str">
        <f t="shared" si="0"/>
        <v/>
      </c>
      <c r="F19" s="175">
        <f t="shared" si="1"/>
        <v>-4985131.92</v>
      </c>
      <c r="H19" s="280">
        <v>1014868.08</v>
      </c>
      <c r="I19" s="282">
        <f t="shared" si="2"/>
        <v>0</v>
      </c>
    </row>
    <row r="20" spans="1:11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</row>
    <row r="21" spans="1:11">
      <c r="A21" s="313" t="s">
        <v>47</v>
      </c>
      <c r="B21" s="338" t="s">
        <v>200</v>
      </c>
      <c r="C21" s="316">
        <v>170000000</v>
      </c>
      <c r="D21" s="365">
        <v>95122112.049999997</v>
      </c>
      <c r="E21" s="140" t="str">
        <f t="shared" si="0"/>
        <v/>
      </c>
      <c r="F21" s="175">
        <f t="shared" si="1"/>
        <v>-74877887.950000003</v>
      </c>
      <c r="H21" s="280">
        <v>95122112.049999997</v>
      </c>
      <c r="I21" s="282">
        <f t="shared" si="2"/>
        <v>0</v>
      </c>
    </row>
    <row r="22" spans="1:11">
      <c r="A22" s="137" t="s">
        <v>48</v>
      </c>
      <c r="B22" s="338" t="s">
        <v>201</v>
      </c>
      <c r="C22" s="316">
        <v>3000000</v>
      </c>
      <c r="D22" s="365">
        <v>2122288.46</v>
      </c>
      <c r="E22" s="140" t="str">
        <f t="shared" si="0"/>
        <v/>
      </c>
      <c r="F22" s="175">
        <f t="shared" si="1"/>
        <v>-877711.54</v>
      </c>
      <c r="H22" s="280">
        <v>2122288.46</v>
      </c>
      <c r="I22" s="282">
        <f t="shared" si="2"/>
        <v>0</v>
      </c>
    </row>
    <row r="23" spans="1:11">
      <c r="A23" s="313" t="s">
        <v>190</v>
      </c>
      <c r="B23" s="338" t="s">
        <v>225</v>
      </c>
      <c r="C23" s="316">
        <v>2700000</v>
      </c>
      <c r="D23" s="365">
        <v>453521.25</v>
      </c>
      <c r="E23" s="140" t="str">
        <f t="shared" si="0"/>
        <v/>
      </c>
      <c r="F23" s="175">
        <f t="shared" si="1"/>
        <v>-2246478.75</v>
      </c>
      <c r="H23" s="280">
        <v>443115.54</v>
      </c>
      <c r="I23" s="282">
        <f>D23-H23</f>
        <v>10405.710000000021</v>
      </c>
    </row>
    <row r="24" spans="1:11">
      <c r="A24" s="313" t="s">
        <v>33</v>
      </c>
      <c r="B24" s="338" t="s">
        <v>224</v>
      </c>
      <c r="C24" s="316">
        <v>1500000</v>
      </c>
      <c r="D24" s="365">
        <v>909100</v>
      </c>
      <c r="E24" s="140" t="str">
        <f t="shared" si="0"/>
        <v/>
      </c>
      <c r="F24" s="141">
        <f t="shared" si="1"/>
        <v>-590900</v>
      </c>
      <c r="H24" s="280">
        <v>909100</v>
      </c>
      <c r="I24" s="282">
        <f t="shared" si="2"/>
        <v>0</v>
      </c>
    </row>
    <row r="25" spans="1:11">
      <c r="A25" s="313" t="s">
        <v>31</v>
      </c>
      <c r="B25" s="338" t="s">
        <v>197</v>
      </c>
      <c r="C25" s="316">
        <v>2700000</v>
      </c>
      <c r="D25" s="365">
        <v>27040.799999999999</v>
      </c>
      <c r="E25" s="140" t="str">
        <f t="shared" si="0"/>
        <v/>
      </c>
      <c r="F25" s="175">
        <f t="shared" si="1"/>
        <v>-2672959.2000000002</v>
      </c>
      <c r="H25" s="280">
        <v>27040.799999999999</v>
      </c>
      <c r="I25" s="282">
        <f t="shared" si="2"/>
        <v>0</v>
      </c>
      <c r="J25" s="288">
        <v>2253653.39</v>
      </c>
    </row>
    <row r="26" spans="1:11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</row>
    <row r="27" spans="1:11">
      <c r="A27" s="313" t="s">
        <v>206</v>
      </c>
      <c r="B27" s="338" t="s">
        <v>208</v>
      </c>
      <c r="C27" s="316">
        <v>3300000</v>
      </c>
      <c r="D27" s="365">
        <v>662449.63</v>
      </c>
      <c r="E27" s="140" t="str">
        <f t="shared" si="0"/>
        <v/>
      </c>
      <c r="F27" s="175">
        <f t="shared" si="1"/>
        <v>-2637550.37</v>
      </c>
      <c r="H27" s="280">
        <v>662449.63</v>
      </c>
      <c r="I27" s="282">
        <f t="shared" si="2"/>
        <v>0</v>
      </c>
    </row>
    <row r="28" spans="1:11">
      <c r="A28" s="137" t="s">
        <v>207</v>
      </c>
      <c r="B28" s="338" t="s">
        <v>209</v>
      </c>
      <c r="C28" s="316">
        <v>586250</v>
      </c>
      <c r="D28" s="333">
        <v>62945</v>
      </c>
      <c r="E28" s="140" t="str">
        <f t="shared" si="0"/>
        <v/>
      </c>
      <c r="F28" s="175">
        <f t="shared" si="1"/>
        <v>-523305</v>
      </c>
      <c r="H28" s="280">
        <v>62945</v>
      </c>
      <c r="I28" s="282">
        <f t="shared" si="2"/>
        <v>0</v>
      </c>
    </row>
    <row r="29" spans="1:11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</row>
    <row r="30" spans="1:11">
      <c r="A30" s="313" t="s">
        <v>227</v>
      </c>
      <c r="B30" s="138" t="s">
        <v>229</v>
      </c>
      <c r="C30" s="316">
        <v>4000000</v>
      </c>
      <c r="D30" s="365">
        <v>745082.93</v>
      </c>
      <c r="E30" s="140" t="str">
        <f>IF((D30-C30)&gt;0,D30-C30,"")</f>
        <v/>
      </c>
      <c r="F30" s="141">
        <f>IF((D30-C30)&gt;0,"",D30-C30)</f>
        <v>-3254917.07</v>
      </c>
      <c r="H30" s="280">
        <v>745082.91</v>
      </c>
      <c r="I30" s="282">
        <f>D30-H30</f>
        <v>2.0000000018626451E-2</v>
      </c>
    </row>
    <row r="31" spans="1:11">
      <c r="A31" s="313" t="s">
        <v>426</v>
      </c>
      <c r="B31" s="338" t="s">
        <v>427</v>
      </c>
      <c r="C31" s="316">
        <v>5600000</v>
      </c>
      <c r="D31" s="365">
        <v>1830717.4399999999</v>
      </c>
      <c r="E31" s="140" t="str">
        <f t="shared" si="0"/>
        <v/>
      </c>
      <c r="F31" s="175">
        <f t="shared" si="1"/>
        <v>-3769282.5600000001</v>
      </c>
      <c r="H31" s="280">
        <v>1830717.4399999999</v>
      </c>
      <c r="I31" s="282">
        <f t="shared" si="2"/>
        <v>0</v>
      </c>
      <c r="J31" s="284"/>
    </row>
    <row r="32" spans="1:11">
      <c r="A32" s="313"/>
      <c r="B32" s="338"/>
      <c r="C32" s="356"/>
      <c r="D32" s="356"/>
      <c r="E32" s="140" t="str">
        <f t="shared" si="0"/>
        <v/>
      </c>
      <c r="F32" s="175">
        <f t="shared" si="1"/>
        <v>0</v>
      </c>
      <c r="I32" s="282">
        <f t="shared" si="2"/>
        <v>0</v>
      </c>
    </row>
    <row r="33" spans="1:9" ht="13.5" thickBot="1">
      <c r="A33" s="137" t="s">
        <v>34</v>
      </c>
      <c r="B33" s="138"/>
      <c r="C33" s="188">
        <f>SUM(C11:C32)</f>
        <v>258966250</v>
      </c>
      <c r="D33" s="399">
        <f>SUM(D11:D32)</f>
        <v>118255891.04999998</v>
      </c>
      <c r="E33" s="189">
        <f>SUM(E11:E32)</f>
        <v>0</v>
      </c>
      <c r="F33" s="409">
        <f>SUM(F11:F32)</f>
        <v>-140710358.95000002</v>
      </c>
      <c r="H33" s="289">
        <f>SUM(H11:H32)</f>
        <v>118251381.49999999</v>
      </c>
      <c r="I33" s="290">
        <f>SUM(I11:I32)</f>
        <v>4509.5500000005704</v>
      </c>
    </row>
    <row r="34" spans="1:9" ht="13.5" thickTop="1">
      <c r="A34" s="355" t="s">
        <v>397</v>
      </c>
      <c r="B34" s="147"/>
      <c r="C34" s="148"/>
      <c r="D34" s="382"/>
      <c r="E34" s="150"/>
      <c r="F34" s="151"/>
      <c r="I34" s="282"/>
    </row>
    <row r="35" spans="1:9">
      <c r="A35" s="137" t="s">
        <v>53</v>
      </c>
      <c r="B35" s="138" t="s">
        <v>236</v>
      </c>
      <c r="C35" s="139"/>
      <c r="D35" s="365"/>
      <c r="E35" s="140" t="str">
        <f t="shared" ref="E35:E99" si="3">IF((D35-C35)&gt;0,D35-C35,"")</f>
        <v/>
      </c>
      <c r="F35" s="175">
        <f t="shared" ref="F35:F99" si="4">IF((D35-C35)&gt;0,"",D35-C35)</f>
        <v>0</v>
      </c>
      <c r="I35" s="282"/>
    </row>
    <row r="36" spans="1:9">
      <c r="A36" s="137" t="s">
        <v>65</v>
      </c>
      <c r="B36" s="138" t="s">
        <v>245</v>
      </c>
      <c r="C36" s="139">
        <v>500000</v>
      </c>
      <c r="D36" s="365">
        <v>5900</v>
      </c>
      <c r="E36" s="140" t="str">
        <f t="shared" si="3"/>
        <v/>
      </c>
      <c r="F36" s="175">
        <f t="shared" si="4"/>
        <v>-494100</v>
      </c>
      <c r="H36" s="280">
        <v>5900</v>
      </c>
      <c r="I36" s="282">
        <f t="shared" ref="I36:I99" si="5">D36-H36</f>
        <v>0</v>
      </c>
    </row>
    <row r="37" spans="1:9">
      <c r="A37" s="137" t="s">
        <v>66</v>
      </c>
      <c r="B37" s="138" t="s">
        <v>246</v>
      </c>
      <c r="C37" s="139">
        <v>5100000</v>
      </c>
      <c r="D37" s="365">
        <v>850421.1</v>
      </c>
      <c r="E37" s="140" t="str">
        <f t="shared" si="3"/>
        <v/>
      </c>
      <c r="F37" s="175">
        <f t="shared" si="4"/>
        <v>-4249578.9000000004</v>
      </c>
      <c r="H37" s="280">
        <v>1063026.3799999999</v>
      </c>
      <c r="I37" s="282">
        <f>D37-H37</f>
        <v>-212605.27999999991</v>
      </c>
    </row>
    <row r="38" spans="1:9">
      <c r="A38" s="137" t="s">
        <v>67</v>
      </c>
      <c r="B38" s="138" t="s">
        <v>247</v>
      </c>
      <c r="C38" s="139">
        <v>100000</v>
      </c>
      <c r="D38" s="365">
        <v>1190</v>
      </c>
      <c r="E38" s="140" t="str">
        <f t="shared" si="3"/>
        <v/>
      </c>
      <c r="F38" s="175">
        <f t="shared" si="4"/>
        <v>-98810</v>
      </c>
      <c r="H38" s="280">
        <v>1190</v>
      </c>
      <c r="I38" s="282">
        <f t="shared" si="5"/>
        <v>0</v>
      </c>
    </row>
    <row r="39" spans="1:9">
      <c r="A39" s="137" t="s">
        <v>68</v>
      </c>
      <c r="B39" s="138" t="s">
        <v>248</v>
      </c>
      <c r="C39" s="139">
        <v>3200000</v>
      </c>
      <c r="D39" s="365">
        <v>210052.94</v>
      </c>
      <c r="E39" s="140" t="str">
        <f t="shared" si="3"/>
        <v/>
      </c>
      <c r="F39" s="175">
        <f t="shared" si="4"/>
        <v>-2989947.06</v>
      </c>
      <c r="H39" s="280">
        <v>210052.94</v>
      </c>
      <c r="I39" s="282">
        <f t="shared" si="5"/>
        <v>0</v>
      </c>
    </row>
    <row r="40" spans="1:9">
      <c r="A40" s="137" t="s">
        <v>69</v>
      </c>
      <c r="B40" s="138" t="s">
        <v>249</v>
      </c>
      <c r="C40" s="139">
        <v>1200000</v>
      </c>
      <c r="D40" s="365">
        <v>7050</v>
      </c>
      <c r="E40" s="140" t="str">
        <f t="shared" si="3"/>
        <v/>
      </c>
      <c r="F40" s="175">
        <f t="shared" si="4"/>
        <v>-1192950</v>
      </c>
      <c r="H40" s="280">
        <v>7050</v>
      </c>
      <c r="I40" s="282">
        <f t="shared" si="5"/>
        <v>0</v>
      </c>
    </row>
    <row r="41" spans="1:9">
      <c r="A41" s="137" t="s">
        <v>56</v>
      </c>
      <c r="B41" s="138" t="s">
        <v>237</v>
      </c>
      <c r="C41" s="139">
        <v>11000000</v>
      </c>
      <c r="D41" s="365">
        <v>9245899.25</v>
      </c>
      <c r="E41" s="140" t="str">
        <f t="shared" si="3"/>
        <v/>
      </c>
      <c r="F41" s="175">
        <f t="shared" si="4"/>
        <v>-1754100.75</v>
      </c>
      <c r="H41" s="280">
        <v>9245899.25</v>
      </c>
      <c r="I41" s="282">
        <f t="shared" si="5"/>
        <v>0</v>
      </c>
    </row>
    <row r="42" spans="1:9">
      <c r="A42" s="137" t="s">
        <v>57</v>
      </c>
      <c r="B42" s="138" t="s">
        <v>238</v>
      </c>
      <c r="C42" s="139">
        <v>50000</v>
      </c>
      <c r="D42" s="365">
        <v>3453</v>
      </c>
      <c r="E42" s="140" t="str">
        <f t="shared" si="3"/>
        <v/>
      </c>
      <c r="F42" s="175">
        <f t="shared" si="4"/>
        <v>-46547</v>
      </c>
      <c r="H42" s="280">
        <v>3453</v>
      </c>
      <c r="I42" s="282">
        <f t="shared" si="5"/>
        <v>0</v>
      </c>
    </row>
    <row r="43" spans="1:9">
      <c r="A43" s="137" t="s">
        <v>58</v>
      </c>
      <c r="B43" s="138" t="s">
        <v>239</v>
      </c>
      <c r="C43" s="139">
        <v>180000</v>
      </c>
      <c r="D43" s="365">
        <v>187750</v>
      </c>
      <c r="E43" s="140">
        <f t="shared" si="3"/>
        <v>7750</v>
      </c>
      <c r="F43" s="175" t="str">
        <f t="shared" si="4"/>
        <v/>
      </c>
      <c r="H43" s="280">
        <v>187750</v>
      </c>
      <c r="I43" s="282">
        <f t="shared" si="5"/>
        <v>0</v>
      </c>
    </row>
    <row r="44" spans="1:9">
      <c r="A44" s="137" t="s">
        <v>54</v>
      </c>
      <c r="B44" s="138" t="s">
        <v>241</v>
      </c>
      <c r="C44" s="139"/>
      <c r="D44" s="365"/>
      <c r="E44" s="140" t="str">
        <f t="shared" si="3"/>
        <v/>
      </c>
      <c r="F44" s="175">
        <f t="shared" si="4"/>
        <v>0</v>
      </c>
      <c r="I44" s="282">
        <f t="shared" si="5"/>
        <v>0</v>
      </c>
    </row>
    <row r="45" spans="1:9">
      <c r="A45" s="137" t="s">
        <v>55</v>
      </c>
      <c r="B45" s="138" t="s">
        <v>242</v>
      </c>
      <c r="C45" s="139">
        <v>100000</v>
      </c>
      <c r="D45" s="365">
        <v>8895</v>
      </c>
      <c r="E45" s="140" t="str">
        <f t="shared" si="3"/>
        <v/>
      </c>
      <c r="F45" s="175">
        <f t="shared" si="4"/>
        <v>-91105</v>
      </c>
      <c r="G45" s="323" t="s">
        <v>422</v>
      </c>
      <c r="I45" s="282">
        <f t="shared" si="5"/>
        <v>8895</v>
      </c>
    </row>
    <row r="46" spans="1:9">
      <c r="A46" s="137" t="s">
        <v>59</v>
      </c>
      <c r="B46" s="138" t="s">
        <v>243</v>
      </c>
      <c r="C46" s="139">
        <v>50000</v>
      </c>
      <c r="D46" s="365">
        <v>1850</v>
      </c>
      <c r="E46" s="140" t="str">
        <f t="shared" si="3"/>
        <v/>
      </c>
      <c r="F46" s="175">
        <f t="shared" si="4"/>
        <v>-48150</v>
      </c>
      <c r="H46" s="280">
        <v>1850</v>
      </c>
      <c r="I46" s="282">
        <f t="shared" si="5"/>
        <v>0</v>
      </c>
    </row>
    <row r="47" spans="1:9">
      <c r="A47" s="137" t="s">
        <v>60</v>
      </c>
      <c r="B47" s="138" t="s">
        <v>244</v>
      </c>
      <c r="C47" s="139">
        <v>1000000</v>
      </c>
      <c r="D47" s="365">
        <v>104400</v>
      </c>
      <c r="E47" s="140" t="str">
        <f t="shared" si="3"/>
        <v/>
      </c>
      <c r="F47" s="175">
        <f t="shared" si="4"/>
        <v>-895600</v>
      </c>
      <c r="H47" s="280">
        <v>104400</v>
      </c>
      <c r="I47" s="282">
        <f t="shared" si="5"/>
        <v>0</v>
      </c>
    </row>
    <row r="48" spans="1:9">
      <c r="A48" s="137" t="s">
        <v>276</v>
      </c>
      <c r="B48" s="138" t="s">
        <v>235</v>
      </c>
      <c r="C48" s="139"/>
      <c r="D48" s="365"/>
      <c r="E48" s="140" t="str">
        <f t="shared" si="3"/>
        <v/>
      </c>
      <c r="F48" s="175">
        <f t="shared" si="4"/>
        <v>0</v>
      </c>
      <c r="I48" s="282">
        <f t="shared" si="5"/>
        <v>0</v>
      </c>
    </row>
    <row r="49" spans="1:9">
      <c r="A49" s="137" t="s">
        <v>277</v>
      </c>
      <c r="B49" s="138" t="s">
        <v>282</v>
      </c>
      <c r="C49" s="139">
        <v>1350000</v>
      </c>
      <c r="D49" s="365">
        <v>152640</v>
      </c>
      <c r="E49" s="140" t="str">
        <f t="shared" si="3"/>
        <v/>
      </c>
      <c r="F49" s="175">
        <f t="shared" si="4"/>
        <v>-1197360</v>
      </c>
      <c r="H49" s="280">
        <v>152640</v>
      </c>
      <c r="I49" s="282">
        <f t="shared" si="5"/>
        <v>0</v>
      </c>
    </row>
    <row r="50" spans="1:9">
      <c r="A50" s="137" t="s">
        <v>278</v>
      </c>
      <c r="B50" s="138" t="s">
        <v>283</v>
      </c>
      <c r="C50" s="139">
        <v>850000</v>
      </c>
      <c r="D50" s="365">
        <v>61400</v>
      </c>
      <c r="E50" s="140" t="str">
        <f t="shared" si="3"/>
        <v/>
      </c>
      <c r="F50" s="175">
        <f t="shared" si="4"/>
        <v>-788600</v>
      </c>
      <c r="H50" s="280">
        <v>61400</v>
      </c>
      <c r="I50" s="282">
        <f t="shared" si="5"/>
        <v>0</v>
      </c>
    </row>
    <row r="51" spans="1:9">
      <c r="A51" s="137" t="s">
        <v>279</v>
      </c>
      <c r="B51" s="138" t="s">
        <v>284</v>
      </c>
      <c r="C51" s="139">
        <v>5000</v>
      </c>
      <c r="D51" s="365"/>
      <c r="E51" s="140" t="str">
        <f t="shared" si="3"/>
        <v/>
      </c>
      <c r="F51" s="175">
        <f t="shared" si="4"/>
        <v>-5000</v>
      </c>
      <c r="I51" s="282">
        <f t="shared" si="5"/>
        <v>0</v>
      </c>
    </row>
    <row r="52" spans="1:9">
      <c r="A52" s="137" t="s">
        <v>280</v>
      </c>
      <c r="B52" s="138" t="s">
        <v>285</v>
      </c>
      <c r="C52" s="139">
        <v>70000</v>
      </c>
      <c r="D52" s="365">
        <v>1400</v>
      </c>
      <c r="E52" s="140" t="str">
        <f t="shared" si="3"/>
        <v/>
      </c>
      <c r="F52" s="175">
        <f t="shared" si="4"/>
        <v>-68600</v>
      </c>
      <c r="H52" s="280">
        <v>1400</v>
      </c>
      <c r="I52" s="282">
        <f t="shared" si="5"/>
        <v>0</v>
      </c>
    </row>
    <row r="53" spans="1:9">
      <c r="A53" s="137" t="s">
        <v>281</v>
      </c>
      <c r="B53" s="138" t="s">
        <v>286</v>
      </c>
      <c r="C53" s="139">
        <v>555000</v>
      </c>
      <c r="D53" s="365">
        <v>73180</v>
      </c>
      <c r="E53" s="140" t="str">
        <f t="shared" si="3"/>
        <v/>
      </c>
      <c r="F53" s="175">
        <f t="shared" si="4"/>
        <v>-481820</v>
      </c>
      <c r="H53" s="280">
        <v>73180</v>
      </c>
      <c r="I53" s="282">
        <f t="shared" si="5"/>
        <v>0</v>
      </c>
    </row>
    <row r="54" spans="1:9">
      <c r="A54" s="137" t="s">
        <v>71</v>
      </c>
      <c r="B54" s="138" t="s">
        <v>287</v>
      </c>
      <c r="C54" s="139">
        <v>500</v>
      </c>
      <c r="D54" s="365"/>
      <c r="E54" s="140" t="str">
        <f t="shared" si="3"/>
        <v/>
      </c>
      <c r="F54" s="175">
        <f t="shared" si="4"/>
        <v>-500</v>
      </c>
      <c r="I54" s="282">
        <f t="shared" si="5"/>
        <v>0</v>
      </c>
    </row>
    <row r="55" spans="1:9">
      <c r="A55" s="137" t="s">
        <v>72</v>
      </c>
      <c r="B55" s="138" t="s">
        <v>288</v>
      </c>
      <c r="C55" s="139">
        <v>2500</v>
      </c>
      <c r="D55" s="365">
        <v>2100</v>
      </c>
      <c r="E55" s="140" t="str">
        <f t="shared" si="3"/>
        <v/>
      </c>
      <c r="F55" s="175">
        <f t="shared" si="4"/>
        <v>-400</v>
      </c>
      <c r="H55" s="280">
        <v>2100</v>
      </c>
      <c r="I55" s="282">
        <f t="shared" si="5"/>
        <v>0</v>
      </c>
    </row>
    <row r="56" spans="1:9">
      <c r="A56" s="137" t="s">
        <v>73</v>
      </c>
      <c r="B56" s="138" t="s">
        <v>289</v>
      </c>
      <c r="C56" s="139">
        <v>3000000</v>
      </c>
      <c r="D56" s="365">
        <v>151290</v>
      </c>
      <c r="E56" s="140" t="str">
        <f t="shared" si="3"/>
        <v/>
      </c>
      <c r="F56" s="175">
        <f t="shared" si="4"/>
        <v>-2848710</v>
      </c>
      <c r="H56" s="280">
        <v>151290</v>
      </c>
      <c r="I56" s="282">
        <f t="shared" si="5"/>
        <v>0</v>
      </c>
    </row>
    <row r="57" spans="1:9">
      <c r="A57" s="313" t="s">
        <v>402</v>
      </c>
      <c r="B57" s="138" t="s">
        <v>290</v>
      </c>
      <c r="C57" s="139">
        <v>60000</v>
      </c>
      <c r="D57" s="365">
        <v>2200</v>
      </c>
      <c r="E57" s="140" t="str">
        <f t="shared" si="3"/>
        <v/>
      </c>
      <c r="F57" s="175">
        <f t="shared" si="4"/>
        <v>-57800</v>
      </c>
      <c r="H57" s="280">
        <v>2200</v>
      </c>
      <c r="I57" s="282">
        <f t="shared" si="5"/>
        <v>0</v>
      </c>
    </row>
    <row r="58" spans="1:9">
      <c r="A58" s="137" t="s">
        <v>74</v>
      </c>
      <c r="B58" s="138" t="s">
        <v>291</v>
      </c>
      <c r="C58" s="139">
        <v>5000</v>
      </c>
      <c r="D58" s="365">
        <v>100</v>
      </c>
      <c r="E58" s="140" t="str">
        <f t="shared" si="3"/>
        <v/>
      </c>
      <c r="F58" s="175">
        <f t="shared" si="4"/>
        <v>-4900</v>
      </c>
      <c r="H58" s="280">
        <v>100</v>
      </c>
      <c r="I58" s="282">
        <f t="shared" si="5"/>
        <v>0</v>
      </c>
    </row>
    <row r="59" spans="1:9">
      <c r="A59" s="137" t="s">
        <v>75</v>
      </c>
      <c r="B59" s="138" t="s">
        <v>292</v>
      </c>
      <c r="C59" s="139">
        <v>100000</v>
      </c>
      <c r="D59" s="365">
        <v>30000</v>
      </c>
      <c r="E59" s="140" t="str">
        <f t="shared" si="3"/>
        <v/>
      </c>
      <c r="F59" s="175">
        <f t="shared" si="4"/>
        <v>-70000</v>
      </c>
      <c r="H59" s="280">
        <v>30000</v>
      </c>
      <c r="I59" s="282">
        <f t="shared" si="5"/>
        <v>0</v>
      </c>
    </row>
    <row r="60" spans="1:9">
      <c r="A60" s="137" t="s">
        <v>76</v>
      </c>
      <c r="B60" s="138" t="s">
        <v>293</v>
      </c>
      <c r="C60" s="139">
        <v>100000</v>
      </c>
      <c r="D60" s="365">
        <v>8300</v>
      </c>
      <c r="E60" s="140" t="str">
        <f t="shared" si="3"/>
        <v/>
      </c>
      <c r="F60" s="175">
        <f t="shared" si="4"/>
        <v>-91700</v>
      </c>
      <c r="H60" s="280">
        <v>8300</v>
      </c>
      <c r="I60" s="282">
        <f t="shared" si="5"/>
        <v>0</v>
      </c>
    </row>
    <row r="61" spans="1:9">
      <c r="A61" s="137" t="s">
        <v>77</v>
      </c>
      <c r="B61" s="138" t="s">
        <v>294</v>
      </c>
      <c r="C61" s="139">
        <v>180000</v>
      </c>
      <c r="D61" s="365">
        <v>11810</v>
      </c>
      <c r="E61" s="140" t="str">
        <f t="shared" si="3"/>
        <v/>
      </c>
      <c r="F61" s="175">
        <f t="shared" si="4"/>
        <v>-168190</v>
      </c>
      <c r="H61" s="280">
        <v>11810</v>
      </c>
      <c r="I61" s="282">
        <f t="shared" si="5"/>
        <v>0</v>
      </c>
    </row>
    <row r="62" spans="1:9">
      <c r="A62" s="137" t="s">
        <v>78</v>
      </c>
      <c r="B62" s="138" t="s">
        <v>295</v>
      </c>
      <c r="C62" s="139">
        <v>500</v>
      </c>
      <c r="D62" s="365"/>
      <c r="E62" s="140" t="str">
        <f t="shared" si="3"/>
        <v/>
      </c>
      <c r="F62" s="175">
        <f t="shared" si="4"/>
        <v>-500</v>
      </c>
      <c r="I62" s="282">
        <f t="shared" si="5"/>
        <v>0</v>
      </c>
    </row>
    <row r="63" spans="1:9">
      <c r="A63" s="137" t="s">
        <v>79</v>
      </c>
      <c r="B63" s="138" t="s">
        <v>296</v>
      </c>
      <c r="C63" s="139">
        <v>50000</v>
      </c>
      <c r="D63" s="365">
        <v>650</v>
      </c>
      <c r="E63" s="140" t="str">
        <f t="shared" si="3"/>
        <v/>
      </c>
      <c r="F63" s="175">
        <f t="shared" si="4"/>
        <v>-49350</v>
      </c>
      <c r="H63" s="280">
        <v>650</v>
      </c>
      <c r="I63" s="282">
        <f t="shared" si="5"/>
        <v>0</v>
      </c>
    </row>
    <row r="64" spans="1:9">
      <c r="A64" s="137" t="s">
        <v>80</v>
      </c>
      <c r="B64" s="138" t="s">
        <v>297</v>
      </c>
      <c r="C64" s="139">
        <v>20000</v>
      </c>
      <c r="D64" s="365"/>
      <c r="E64" s="140" t="str">
        <f t="shared" si="3"/>
        <v/>
      </c>
      <c r="F64" s="175">
        <f t="shared" si="4"/>
        <v>-20000</v>
      </c>
      <c r="I64" s="282">
        <f t="shared" si="5"/>
        <v>0</v>
      </c>
    </row>
    <row r="65" spans="1:10">
      <c r="A65" s="137" t="s">
        <v>299</v>
      </c>
      <c r="B65" s="138" t="s">
        <v>300</v>
      </c>
      <c r="C65" s="139"/>
      <c r="D65" s="365"/>
      <c r="E65" s="140" t="str">
        <f t="shared" si="3"/>
        <v/>
      </c>
      <c r="F65" s="175">
        <f t="shared" si="4"/>
        <v>0</v>
      </c>
      <c r="I65" s="282">
        <f t="shared" si="5"/>
        <v>0</v>
      </c>
    </row>
    <row r="66" spans="1:10">
      <c r="A66" s="137" t="s">
        <v>81</v>
      </c>
      <c r="B66" s="138" t="s">
        <v>301</v>
      </c>
      <c r="C66" s="139">
        <v>730000</v>
      </c>
      <c r="D66" s="365">
        <v>592820</v>
      </c>
      <c r="E66" s="140" t="str">
        <f t="shared" si="3"/>
        <v/>
      </c>
      <c r="F66" s="175">
        <f t="shared" si="4"/>
        <v>-137180</v>
      </c>
      <c r="H66" s="280">
        <v>592820</v>
      </c>
      <c r="I66" s="282">
        <f t="shared" si="5"/>
        <v>0</v>
      </c>
    </row>
    <row r="67" spans="1:10">
      <c r="A67" s="137" t="s">
        <v>82</v>
      </c>
      <c r="B67" s="138" t="s">
        <v>302</v>
      </c>
      <c r="C67" s="139">
        <v>6700000</v>
      </c>
      <c r="D67" s="365">
        <v>3794307.28</v>
      </c>
      <c r="E67" s="140" t="str">
        <f t="shared" si="3"/>
        <v/>
      </c>
      <c r="F67" s="175">
        <f t="shared" si="4"/>
        <v>-2905692.72</v>
      </c>
      <c r="H67" s="280">
        <v>3794307.28</v>
      </c>
      <c r="I67" s="282">
        <f t="shared" si="5"/>
        <v>0</v>
      </c>
    </row>
    <row r="68" spans="1:10">
      <c r="A68" s="137" t="s">
        <v>83</v>
      </c>
      <c r="B68" s="138" t="s">
        <v>303</v>
      </c>
      <c r="C68" s="139">
        <v>2100000</v>
      </c>
      <c r="D68" s="365">
        <v>1736189</v>
      </c>
      <c r="E68" s="140" t="str">
        <f t="shared" si="3"/>
        <v/>
      </c>
      <c r="F68" s="175">
        <f t="shared" si="4"/>
        <v>-363811</v>
      </c>
      <c r="H68" s="280">
        <v>1736189</v>
      </c>
      <c r="I68" s="282">
        <f t="shared" si="5"/>
        <v>0</v>
      </c>
    </row>
    <row r="69" spans="1:10">
      <c r="A69" s="313" t="s">
        <v>403</v>
      </c>
      <c r="B69" s="138" t="s">
        <v>212</v>
      </c>
      <c r="C69" s="139">
        <v>5500000</v>
      </c>
      <c r="D69" s="365">
        <v>3901780</v>
      </c>
      <c r="E69" s="140" t="str">
        <f t="shared" si="3"/>
        <v/>
      </c>
      <c r="F69" s="175">
        <f t="shared" si="4"/>
        <v>-1598220</v>
      </c>
      <c r="H69" s="280">
        <v>3901780</v>
      </c>
      <c r="I69" s="282">
        <f t="shared" si="5"/>
        <v>0</v>
      </c>
    </row>
    <row r="70" spans="1:10">
      <c r="A70" s="313" t="s">
        <v>408</v>
      </c>
      <c r="B70" s="338" t="s">
        <v>409</v>
      </c>
      <c r="C70" s="139"/>
      <c r="D70" s="365"/>
      <c r="E70" s="140" t="str">
        <f t="shared" si="3"/>
        <v/>
      </c>
      <c r="F70" s="175">
        <f t="shared" si="4"/>
        <v>0</v>
      </c>
      <c r="I70" s="282">
        <f t="shared" si="5"/>
        <v>0</v>
      </c>
    </row>
    <row r="71" spans="1:10">
      <c r="A71" s="313" t="s">
        <v>404</v>
      </c>
      <c r="B71" s="138" t="s">
        <v>231</v>
      </c>
      <c r="C71" s="139">
        <v>200000</v>
      </c>
      <c r="D71" s="365"/>
      <c r="E71" s="140" t="str">
        <f t="shared" si="3"/>
        <v/>
      </c>
      <c r="F71" s="175">
        <f t="shared" si="4"/>
        <v>-200000</v>
      </c>
      <c r="I71" s="282">
        <f t="shared" si="5"/>
        <v>0</v>
      </c>
    </row>
    <row r="72" spans="1:10">
      <c r="A72" s="313" t="s">
        <v>405</v>
      </c>
      <c r="B72" s="138" t="s">
        <v>232</v>
      </c>
      <c r="C72" s="139">
        <v>70000</v>
      </c>
      <c r="D72" s="365">
        <v>2400</v>
      </c>
      <c r="E72" s="140" t="str">
        <f t="shared" si="3"/>
        <v/>
      </c>
      <c r="F72" s="175">
        <f t="shared" si="4"/>
        <v>-67600</v>
      </c>
      <c r="H72" s="280">
        <v>2400</v>
      </c>
      <c r="I72" s="282">
        <f t="shared" si="5"/>
        <v>0</v>
      </c>
    </row>
    <row r="73" spans="1:10">
      <c r="A73" s="313" t="s">
        <v>406</v>
      </c>
      <c r="B73" s="138" t="s">
        <v>233</v>
      </c>
      <c r="C73" s="139">
        <v>30000</v>
      </c>
      <c r="D73" s="365"/>
      <c r="E73" s="140" t="str">
        <f t="shared" si="3"/>
        <v/>
      </c>
      <c r="F73" s="175">
        <f t="shared" si="4"/>
        <v>-30000</v>
      </c>
      <c r="I73" s="282">
        <f t="shared" si="5"/>
        <v>0</v>
      </c>
    </row>
    <row r="74" spans="1:10">
      <c r="A74" s="313" t="s">
        <v>407</v>
      </c>
      <c r="B74" s="138" t="s">
        <v>234</v>
      </c>
      <c r="C74" s="139">
        <v>550000</v>
      </c>
      <c r="D74" s="365">
        <v>522336.6</v>
      </c>
      <c r="E74" s="140" t="str">
        <f t="shared" si="3"/>
        <v/>
      </c>
      <c r="F74" s="175">
        <f t="shared" si="4"/>
        <v>-27663.400000000023</v>
      </c>
      <c r="H74" s="280">
        <v>522336.6</v>
      </c>
      <c r="I74" s="282">
        <f t="shared" si="5"/>
        <v>0</v>
      </c>
    </row>
    <row r="75" spans="1:10">
      <c r="A75" s="137" t="s">
        <v>85</v>
      </c>
      <c r="B75" s="138" t="s">
        <v>240</v>
      </c>
      <c r="C75" s="139"/>
      <c r="D75" s="365"/>
      <c r="E75" s="140" t="str">
        <f t="shared" si="3"/>
        <v/>
      </c>
      <c r="F75" s="175">
        <f t="shared" si="4"/>
        <v>0</v>
      </c>
      <c r="I75" s="282">
        <f t="shared" si="5"/>
        <v>0</v>
      </c>
    </row>
    <row r="76" spans="1:10">
      <c r="A76" s="137" t="s">
        <v>250</v>
      </c>
      <c r="B76" s="138" t="s">
        <v>251</v>
      </c>
      <c r="C76" s="139">
        <v>600000</v>
      </c>
      <c r="D76" s="365">
        <v>39878</v>
      </c>
      <c r="E76" s="140" t="str">
        <f t="shared" si="3"/>
        <v/>
      </c>
      <c r="F76" s="175">
        <f t="shared" si="4"/>
        <v>-560122</v>
      </c>
      <c r="H76" s="280">
        <v>39878</v>
      </c>
      <c r="I76" s="282">
        <f t="shared" si="5"/>
        <v>0</v>
      </c>
    </row>
    <row r="77" spans="1:10">
      <c r="A77" s="137" t="s">
        <v>253</v>
      </c>
      <c r="B77" s="138" t="s">
        <v>252</v>
      </c>
      <c r="C77" s="139">
        <v>150000</v>
      </c>
      <c r="D77" s="365">
        <v>65000</v>
      </c>
      <c r="E77" s="140" t="str">
        <f t="shared" si="3"/>
        <v/>
      </c>
      <c r="F77" s="175">
        <f t="shared" si="4"/>
        <v>-85000</v>
      </c>
      <c r="H77" s="280">
        <v>65000</v>
      </c>
      <c r="I77" s="282">
        <f t="shared" si="5"/>
        <v>0</v>
      </c>
    </row>
    <row r="78" spans="1:10">
      <c r="A78" s="137" t="s">
        <v>89</v>
      </c>
      <c r="B78" s="138" t="s">
        <v>256</v>
      </c>
      <c r="C78" s="139">
        <v>600000</v>
      </c>
      <c r="D78" s="365">
        <v>331168.77</v>
      </c>
      <c r="E78" s="140" t="str">
        <f t="shared" si="3"/>
        <v/>
      </c>
      <c r="F78" s="175">
        <f t="shared" si="4"/>
        <v>-268831.23</v>
      </c>
      <c r="H78" s="280">
        <v>331178.77</v>
      </c>
      <c r="I78" s="282">
        <f t="shared" si="5"/>
        <v>-10</v>
      </c>
      <c r="J78" s="279" t="s">
        <v>425</v>
      </c>
    </row>
    <row r="79" spans="1:10">
      <c r="A79" s="137" t="s">
        <v>172</v>
      </c>
      <c r="B79" s="338" t="s">
        <v>257</v>
      </c>
      <c r="C79" s="316">
        <v>13000000</v>
      </c>
      <c r="D79" s="365">
        <v>7105425.29</v>
      </c>
      <c r="E79" s="140" t="str">
        <f t="shared" si="3"/>
        <v/>
      </c>
      <c r="F79" s="175">
        <f t="shared" si="4"/>
        <v>-5894574.71</v>
      </c>
      <c r="H79" s="280">
        <v>7105415.29</v>
      </c>
      <c r="I79" s="282">
        <f t="shared" si="5"/>
        <v>10</v>
      </c>
      <c r="J79" s="279" t="s">
        <v>425</v>
      </c>
    </row>
    <row r="80" spans="1:10">
      <c r="A80" s="137" t="s">
        <v>90</v>
      </c>
      <c r="B80" s="338" t="s">
        <v>258</v>
      </c>
      <c r="C80" s="316">
        <v>8000000</v>
      </c>
      <c r="D80" s="365">
        <v>2455920</v>
      </c>
      <c r="E80" s="140" t="str">
        <f t="shared" si="3"/>
        <v/>
      </c>
      <c r="F80" s="175">
        <f t="shared" si="4"/>
        <v>-5544080</v>
      </c>
      <c r="H80" s="280">
        <v>2455920</v>
      </c>
      <c r="I80" s="282">
        <f t="shared" si="5"/>
        <v>0</v>
      </c>
    </row>
    <row r="81" spans="1:10">
      <c r="A81" s="137" t="s">
        <v>91</v>
      </c>
      <c r="B81" s="338" t="s">
        <v>259</v>
      </c>
      <c r="C81" s="316">
        <v>2500000</v>
      </c>
      <c r="D81" s="365">
        <v>989598.18</v>
      </c>
      <c r="E81" s="140" t="str">
        <f t="shared" si="3"/>
        <v/>
      </c>
      <c r="F81" s="175">
        <f t="shared" si="4"/>
        <v>-1510401.8199999998</v>
      </c>
      <c r="H81" s="280">
        <v>989598.18</v>
      </c>
      <c r="I81" s="282">
        <f t="shared" si="5"/>
        <v>0</v>
      </c>
    </row>
    <row r="82" spans="1:10">
      <c r="A82" s="137" t="s">
        <v>254</v>
      </c>
      <c r="B82" s="338" t="s">
        <v>260</v>
      </c>
      <c r="C82" s="316">
        <v>1600000</v>
      </c>
      <c r="D82" s="365">
        <v>174450</v>
      </c>
      <c r="E82" s="140" t="str">
        <f t="shared" si="3"/>
        <v/>
      </c>
      <c r="F82" s="175">
        <f t="shared" si="4"/>
        <v>-1425550</v>
      </c>
      <c r="H82" s="280">
        <v>174450</v>
      </c>
      <c r="I82" s="282">
        <f t="shared" si="5"/>
        <v>0</v>
      </c>
    </row>
    <row r="83" spans="1:10">
      <c r="A83" s="137" t="s">
        <v>255</v>
      </c>
      <c r="B83" s="338" t="s">
        <v>261</v>
      </c>
      <c r="C83" s="316">
        <v>5500000</v>
      </c>
      <c r="D83" s="365">
        <v>1035373</v>
      </c>
      <c r="E83" s="140" t="str">
        <f t="shared" si="3"/>
        <v/>
      </c>
      <c r="F83" s="175">
        <f t="shared" si="4"/>
        <v>-4464627</v>
      </c>
      <c r="H83" s="280">
        <v>1040513</v>
      </c>
      <c r="I83" s="282">
        <f t="shared" si="5"/>
        <v>-5140</v>
      </c>
    </row>
    <row r="84" spans="1:10">
      <c r="A84" s="137" t="s">
        <v>263</v>
      </c>
      <c r="B84" s="338" t="s">
        <v>262</v>
      </c>
      <c r="C84" s="316">
        <v>5500000</v>
      </c>
      <c r="D84" s="365">
        <v>1044581.63</v>
      </c>
      <c r="E84" s="140" t="str">
        <f t="shared" si="3"/>
        <v/>
      </c>
      <c r="F84" s="175">
        <f t="shared" si="4"/>
        <v>-4455418.37</v>
      </c>
      <c r="H84" s="280">
        <v>1044581.63</v>
      </c>
      <c r="I84" s="282">
        <f t="shared" si="5"/>
        <v>0</v>
      </c>
    </row>
    <row r="85" spans="1:10">
      <c r="A85" s="137" t="s">
        <v>265</v>
      </c>
      <c r="B85" s="338" t="s">
        <v>266</v>
      </c>
      <c r="C85" s="316">
        <v>3500000</v>
      </c>
      <c r="D85" s="365">
        <v>409690</v>
      </c>
      <c r="E85" s="140" t="str">
        <f t="shared" si="3"/>
        <v/>
      </c>
      <c r="F85" s="175">
        <f t="shared" si="4"/>
        <v>-3090310</v>
      </c>
      <c r="H85" s="280">
        <v>409690</v>
      </c>
      <c r="I85" s="282">
        <f t="shared" si="5"/>
        <v>0</v>
      </c>
    </row>
    <row r="86" spans="1:10">
      <c r="A86" s="137" t="s">
        <v>84</v>
      </c>
      <c r="B86" s="338" t="s">
        <v>268</v>
      </c>
      <c r="C86" s="316">
        <v>2700000</v>
      </c>
      <c r="D86" s="365">
        <v>2327750</v>
      </c>
      <c r="E86" s="140" t="str">
        <f t="shared" si="3"/>
        <v/>
      </c>
      <c r="F86" s="175">
        <f t="shared" si="4"/>
        <v>-372250</v>
      </c>
      <c r="H86" s="280">
        <v>2327750</v>
      </c>
      <c r="I86" s="282">
        <f t="shared" si="5"/>
        <v>0</v>
      </c>
    </row>
    <row r="87" spans="1:10">
      <c r="A87" s="137" t="s">
        <v>267</v>
      </c>
      <c r="B87" s="338" t="s">
        <v>269</v>
      </c>
      <c r="C87" s="316">
        <v>2000000</v>
      </c>
      <c r="D87" s="365">
        <v>1558910</v>
      </c>
      <c r="E87" s="140" t="str">
        <f t="shared" si="3"/>
        <v/>
      </c>
      <c r="F87" s="175">
        <f t="shared" si="4"/>
        <v>-441090</v>
      </c>
      <c r="H87" s="280">
        <v>1559010</v>
      </c>
      <c r="I87" s="282">
        <f t="shared" si="5"/>
        <v>-100</v>
      </c>
      <c r="J87" s="279" t="s">
        <v>425</v>
      </c>
    </row>
    <row r="88" spans="1:10">
      <c r="A88" s="137" t="s">
        <v>264</v>
      </c>
      <c r="B88" s="338" t="s">
        <v>270</v>
      </c>
      <c r="C88" s="316">
        <v>2000000</v>
      </c>
      <c r="D88" s="365">
        <v>1522601</v>
      </c>
      <c r="E88" s="140" t="str">
        <f t="shared" si="3"/>
        <v/>
      </c>
      <c r="F88" s="175">
        <f t="shared" si="4"/>
        <v>-477399</v>
      </c>
      <c r="H88" s="280">
        <v>1522501</v>
      </c>
      <c r="I88" s="282">
        <f t="shared" si="5"/>
        <v>100</v>
      </c>
      <c r="J88" s="279" t="s">
        <v>425</v>
      </c>
    </row>
    <row r="89" spans="1:10">
      <c r="A89" s="137" t="s">
        <v>86</v>
      </c>
      <c r="B89" s="338" t="s">
        <v>272</v>
      </c>
      <c r="C89" s="316">
        <v>150000</v>
      </c>
      <c r="D89" s="365">
        <v>9500</v>
      </c>
      <c r="E89" s="140" t="str">
        <f t="shared" si="3"/>
        <v/>
      </c>
      <c r="F89" s="175">
        <f t="shared" si="4"/>
        <v>-140500</v>
      </c>
      <c r="H89" s="280">
        <v>9500</v>
      </c>
      <c r="I89" s="282">
        <f t="shared" si="5"/>
        <v>0</v>
      </c>
    </row>
    <row r="90" spans="1:10">
      <c r="A90" s="137" t="s">
        <v>87</v>
      </c>
      <c r="B90" s="338" t="s">
        <v>273</v>
      </c>
      <c r="C90" s="316">
        <v>450000</v>
      </c>
      <c r="D90" s="365">
        <v>10500</v>
      </c>
      <c r="E90" s="140" t="str">
        <f t="shared" si="3"/>
        <v/>
      </c>
      <c r="F90" s="175">
        <f t="shared" si="4"/>
        <v>-439500</v>
      </c>
      <c r="H90" s="280">
        <v>10500</v>
      </c>
      <c r="I90" s="282">
        <f t="shared" si="5"/>
        <v>0</v>
      </c>
    </row>
    <row r="91" spans="1:10">
      <c r="A91" s="137" t="s">
        <v>88</v>
      </c>
      <c r="B91" s="338" t="s">
        <v>274</v>
      </c>
      <c r="C91" s="316">
        <v>2000000</v>
      </c>
      <c r="D91" s="365">
        <v>1192790</v>
      </c>
      <c r="E91" s="140" t="str">
        <f t="shared" si="3"/>
        <v/>
      </c>
      <c r="F91" s="175">
        <f t="shared" si="4"/>
        <v>-807210</v>
      </c>
      <c r="H91" s="280">
        <v>1192790</v>
      </c>
      <c r="I91" s="282">
        <f t="shared" si="5"/>
        <v>0</v>
      </c>
    </row>
    <row r="92" spans="1:10">
      <c r="A92" s="137" t="s">
        <v>271</v>
      </c>
      <c r="B92" s="338" t="s">
        <v>275</v>
      </c>
      <c r="C92" s="316">
        <v>100000</v>
      </c>
      <c r="D92" s="365">
        <v>2500</v>
      </c>
      <c r="E92" s="140" t="str">
        <f t="shared" si="3"/>
        <v/>
      </c>
      <c r="F92" s="175">
        <f t="shared" si="4"/>
        <v>-97500</v>
      </c>
      <c r="H92" s="280">
        <v>2500</v>
      </c>
      <c r="I92" s="282">
        <f t="shared" si="5"/>
        <v>0</v>
      </c>
    </row>
    <row r="93" spans="1:10">
      <c r="A93" s="137" t="s">
        <v>318</v>
      </c>
      <c r="B93" s="338" t="s">
        <v>319</v>
      </c>
      <c r="C93" s="316">
        <v>350000</v>
      </c>
      <c r="D93" s="365">
        <v>33900</v>
      </c>
      <c r="E93" s="140" t="str">
        <f t="shared" si="3"/>
        <v/>
      </c>
      <c r="F93" s="175">
        <f t="shared" si="4"/>
        <v>-316100</v>
      </c>
      <c r="H93" s="280">
        <v>33900</v>
      </c>
      <c r="I93" s="326">
        <f t="shared" si="5"/>
        <v>0</v>
      </c>
    </row>
    <row r="94" spans="1:10">
      <c r="A94" s="137" t="s">
        <v>321</v>
      </c>
      <c r="B94" s="338" t="s">
        <v>320</v>
      </c>
      <c r="C94" s="316">
        <v>900000</v>
      </c>
      <c r="D94" s="365">
        <v>99056</v>
      </c>
      <c r="E94" s="140" t="str">
        <f t="shared" si="3"/>
        <v/>
      </c>
      <c r="F94" s="175">
        <f t="shared" si="4"/>
        <v>-800944</v>
      </c>
      <c r="H94" s="280">
        <v>99056</v>
      </c>
      <c r="I94" s="282">
        <f t="shared" si="5"/>
        <v>0</v>
      </c>
    </row>
    <row r="95" spans="1:10">
      <c r="A95" s="137" t="s">
        <v>304</v>
      </c>
      <c r="B95" s="338" t="s">
        <v>307</v>
      </c>
      <c r="C95" s="316"/>
      <c r="D95" s="365"/>
      <c r="E95" s="140" t="str">
        <f t="shared" si="3"/>
        <v/>
      </c>
      <c r="F95" s="175">
        <f t="shared" si="4"/>
        <v>0</v>
      </c>
      <c r="I95" s="282">
        <f t="shared" si="5"/>
        <v>0</v>
      </c>
    </row>
    <row r="96" spans="1:10">
      <c r="A96" s="313" t="s">
        <v>305</v>
      </c>
      <c r="B96" s="338" t="s">
        <v>308</v>
      </c>
      <c r="C96" s="316">
        <v>36000</v>
      </c>
      <c r="D96" s="365"/>
      <c r="E96" s="140" t="str">
        <f t="shared" si="3"/>
        <v/>
      </c>
      <c r="F96" s="175">
        <f t="shared" si="4"/>
        <v>-36000</v>
      </c>
      <c r="H96" s="280">
        <v>405</v>
      </c>
      <c r="I96" s="282">
        <f t="shared" si="5"/>
        <v>-405</v>
      </c>
    </row>
    <row r="97" spans="1:11">
      <c r="A97" s="313" t="s">
        <v>306</v>
      </c>
      <c r="B97" s="338" t="s">
        <v>309</v>
      </c>
      <c r="C97" s="316">
        <v>500000</v>
      </c>
      <c r="D97" s="365">
        <v>14652</v>
      </c>
      <c r="E97" s="140" t="str">
        <f t="shared" si="3"/>
        <v/>
      </c>
      <c r="F97" s="175">
        <f t="shared" si="4"/>
        <v>-485348</v>
      </c>
      <c r="H97" s="280">
        <v>14652</v>
      </c>
      <c r="I97" s="282">
        <f t="shared" si="5"/>
        <v>0</v>
      </c>
    </row>
    <row r="98" spans="1:11">
      <c r="A98" s="313" t="s">
        <v>2</v>
      </c>
      <c r="B98" s="338" t="s">
        <v>298</v>
      </c>
      <c r="C98" s="316">
        <v>9000000</v>
      </c>
      <c r="D98" s="365">
        <v>7377090</v>
      </c>
      <c r="E98" s="140" t="str">
        <f t="shared" si="3"/>
        <v/>
      </c>
      <c r="F98" s="175">
        <f t="shared" si="4"/>
        <v>-1622910</v>
      </c>
      <c r="H98" s="280">
        <v>7377090</v>
      </c>
      <c r="I98" s="282">
        <f t="shared" si="5"/>
        <v>0</v>
      </c>
    </row>
    <row r="99" spans="1:11">
      <c r="A99" s="313" t="s">
        <v>3</v>
      </c>
      <c r="B99" s="338" t="s">
        <v>310</v>
      </c>
      <c r="C99" s="316"/>
      <c r="D99" s="365"/>
      <c r="E99" s="140" t="str">
        <f t="shared" si="3"/>
        <v/>
      </c>
      <c r="F99" s="175">
        <f t="shared" si="4"/>
        <v>0</v>
      </c>
      <c r="I99" s="282">
        <f t="shared" si="5"/>
        <v>0</v>
      </c>
    </row>
    <row r="100" spans="1:11">
      <c r="A100" s="313" t="s">
        <v>94</v>
      </c>
      <c r="B100" s="338" t="s">
        <v>311</v>
      </c>
      <c r="C100" s="316">
        <v>700000</v>
      </c>
      <c r="D100" s="365">
        <v>11144.02</v>
      </c>
      <c r="E100" s="140" t="str">
        <f t="shared" ref="E100:E102" si="6">IF((D100-C100)&gt;0,D100-C100,"")</f>
        <v/>
      </c>
      <c r="F100" s="175">
        <f t="shared" ref="F100:F102" si="7">IF((D100-C100)&gt;0,"",D100-C100)</f>
        <v>-688855.98</v>
      </c>
      <c r="G100" s="323" t="s">
        <v>423</v>
      </c>
      <c r="I100" s="282">
        <f t="shared" ref="I100:I102" si="8">D100-H100</f>
        <v>11144.02</v>
      </c>
    </row>
    <row r="101" spans="1:11">
      <c r="A101" s="313" t="s">
        <v>95</v>
      </c>
      <c r="B101" s="338" t="s">
        <v>312</v>
      </c>
      <c r="C101" s="316"/>
      <c r="D101" s="365"/>
      <c r="E101" s="140" t="str">
        <f t="shared" si="6"/>
        <v/>
      </c>
      <c r="F101" s="175">
        <f t="shared" si="7"/>
        <v>0</v>
      </c>
      <c r="I101" s="282">
        <f t="shared" si="8"/>
        <v>0</v>
      </c>
    </row>
    <row r="102" spans="1:11">
      <c r="A102" s="137"/>
      <c r="B102" s="138"/>
      <c r="C102" s="142"/>
      <c r="D102" s="365"/>
      <c r="E102" s="140" t="str">
        <f t="shared" si="6"/>
        <v/>
      </c>
      <c r="F102" s="175">
        <f t="shared" si="7"/>
        <v>0</v>
      </c>
      <c r="I102" s="282">
        <f t="shared" si="8"/>
        <v>0</v>
      </c>
    </row>
    <row r="103" spans="1:11" ht="13.5" thickBot="1">
      <c r="A103" s="137"/>
      <c r="B103" s="147"/>
      <c r="C103" s="172">
        <f>SUM(C34:C102)</f>
        <v>106544500</v>
      </c>
      <c r="D103" s="359">
        <f t="shared" ref="D103:F103" si="9">SUM(D34:D102)</f>
        <v>49483242.060000002</v>
      </c>
      <c r="E103" s="172">
        <f t="shared" si="9"/>
        <v>7750</v>
      </c>
      <c r="F103" s="174">
        <f t="shared" si="9"/>
        <v>-57069007.93999999</v>
      </c>
      <c r="G103" s="153"/>
      <c r="H103" s="291">
        <f>SUM(H79:H102)</f>
        <v>27369822.100000001</v>
      </c>
      <c r="I103" s="291">
        <f>SUM(I35:I102)</f>
        <v>-198111.25999999992</v>
      </c>
    </row>
    <row r="104" spans="1:11" ht="13.5" thickTop="1">
      <c r="A104" s="146" t="s">
        <v>398</v>
      </c>
      <c r="B104" s="147"/>
      <c r="C104" s="153"/>
      <c r="D104" s="316"/>
      <c r="E104" s="140"/>
      <c r="F104" s="175"/>
      <c r="I104" s="282"/>
    </row>
    <row r="105" spans="1:11">
      <c r="A105" s="313" t="s">
        <v>313</v>
      </c>
      <c r="B105" s="338" t="s">
        <v>314</v>
      </c>
      <c r="C105" s="139">
        <v>300000</v>
      </c>
      <c r="D105" s="365"/>
      <c r="E105" s="140" t="str">
        <f t="shared" ref="E105:E106" si="10">IF((D105-C105)&gt;0,D105-C105,"")</f>
        <v/>
      </c>
      <c r="F105" s="175">
        <f t="shared" ref="F105:F106" si="11">IF((D105-C105)&gt;0,"",D105-C105)</f>
        <v>-300000</v>
      </c>
      <c r="I105" s="282">
        <f>D105-H105</f>
        <v>0</v>
      </c>
    </row>
    <row r="106" spans="1:11">
      <c r="A106" s="137"/>
      <c r="B106" s="147"/>
      <c r="C106" s="153"/>
      <c r="D106" s="316"/>
      <c r="E106" s="140" t="str">
        <f t="shared" si="10"/>
        <v/>
      </c>
      <c r="F106" s="175">
        <f t="shared" si="11"/>
        <v>0</v>
      </c>
      <c r="I106" s="282">
        <f t="shared" ref="I106" si="12">D106-H106</f>
        <v>0</v>
      </c>
      <c r="J106" s="284"/>
      <c r="K106" s="287"/>
    </row>
    <row r="107" spans="1:11" ht="13.5" thickBot="1">
      <c r="A107" s="137"/>
      <c r="B107" s="147"/>
      <c r="C107" s="325">
        <f>SUM(C104:C106)</f>
        <v>300000</v>
      </c>
      <c r="D107" s="410">
        <f t="shared" ref="D107:F107" si="13">SUM(D104:D106)</f>
        <v>0</v>
      </c>
      <c r="E107" s="325">
        <f t="shared" si="13"/>
        <v>0</v>
      </c>
      <c r="F107" s="174">
        <f t="shared" si="13"/>
        <v>-300000</v>
      </c>
      <c r="H107" s="292">
        <f>SUM(H106:H106)</f>
        <v>0</v>
      </c>
      <c r="I107" s="291">
        <f>SUM(I106:I106)</f>
        <v>0</v>
      </c>
    </row>
    <row r="108" spans="1:11" ht="13.5" thickTop="1">
      <c r="A108" s="146" t="s">
        <v>399</v>
      </c>
      <c r="B108" s="147"/>
      <c r="C108" s="153"/>
      <c r="D108" s="316"/>
      <c r="E108" s="153"/>
      <c r="F108" s="169"/>
      <c r="I108" s="282"/>
    </row>
    <row r="109" spans="1:11">
      <c r="A109" s="313" t="s">
        <v>4</v>
      </c>
      <c r="B109" s="315" t="s">
        <v>315</v>
      </c>
      <c r="C109" s="153">
        <v>900000</v>
      </c>
      <c r="D109" s="373">
        <v>10314.81</v>
      </c>
      <c r="E109" s="153" t="str">
        <f t="shared" ref="E109:E123" si="14">IF((D109-C109)&gt;0,D109-C109,"")</f>
        <v/>
      </c>
      <c r="F109" s="169">
        <f t="shared" ref="F109:F123" si="15">IF((D109-C109)&gt;0,"",D109-C109)</f>
        <v>-889685.19</v>
      </c>
      <c r="H109" s="280">
        <v>20240.96</v>
      </c>
      <c r="I109" s="283">
        <f t="shared" ref="I109:I119" si="16">D109-H109</f>
        <v>-9926.15</v>
      </c>
    </row>
    <row r="110" spans="1:11">
      <c r="A110" s="313" t="s">
        <v>5</v>
      </c>
      <c r="B110" s="315" t="s">
        <v>317</v>
      </c>
      <c r="C110" s="357">
        <v>20000</v>
      </c>
      <c r="D110" s="316">
        <v>1900</v>
      </c>
      <c r="E110" s="153" t="str">
        <f t="shared" si="14"/>
        <v/>
      </c>
      <c r="F110" s="169">
        <f t="shared" si="15"/>
        <v>-18100</v>
      </c>
      <c r="H110" s="280">
        <v>1900</v>
      </c>
      <c r="I110" s="282">
        <f t="shared" si="16"/>
        <v>0</v>
      </c>
    </row>
    <row r="111" spans="1:11">
      <c r="A111" s="313" t="s">
        <v>96</v>
      </c>
      <c r="B111" s="315"/>
      <c r="C111" s="357"/>
      <c r="D111" s="316"/>
      <c r="E111" s="153" t="str">
        <f t="shared" si="14"/>
        <v/>
      </c>
      <c r="F111" s="169">
        <f t="shared" si="15"/>
        <v>0</v>
      </c>
      <c r="I111" s="282">
        <f t="shared" si="16"/>
        <v>0</v>
      </c>
    </row>
    <row r="112" spans="1:11">
      <c r="A112" s="137" t="s">
        <v>97</v>
      </c>
      <c r="B112" s="315" t="s">
        <v>322</v>
      </c>
      <c r="C112" s="357">
        <v>400000</v>
      </c>
      <c r="D112" s="316">
        <v>81275</v>
      </c>
      <c r="E112" s="153" t="str">
        <f t="shared" si="14"/>
        <v/>
      </c>
      <c r="F112" s="169">
        <f t="shared" si="15"/>
        <v>-318725</v>
      </c>
      <c r="H112" s="280">
        <v>75730</v>
      </c>
      <c r="I112" s="282">
        <f t="shared" si="16"/>
        <v>5545</v>
      </c>
      <c r="J112" s="279" t="s">
        <v>424</v>
      </c>
    </row>
    <row r="113" spans="1:11">
      <c r="A113" s="137" t="s">
        <v>98</v>
      </c>
      <c r="B113" s="315" t="s">
        <v>323</v>
      </c>
      <c r="C113" s="357">
        <v>150000</v>
      </c>
      <c r="D113" s="316">
        <v>27500</v>
      </c>
      <c r="E113" s="140" t="str">
        <f t="shared" si="14"/>
        <v/>
      </c>
      <c r="F113" s="175">
        <f t="shared" si="15"/>
        <v>-122500</v>
      </c>
      <c r="H113" s="280">
        <v>27500</v>
      </c>
      <c r="I113" s="282">
        <f t="shared" si="16"/>
        <v>0</v>
      </c>
    </row>
    <row r="114" spans="1:11">
      <c r="A114" s="137" t="s">
        <v>6</v>
      </c>
      <c r="B114" s="315" t="s">
        <v>324</v>
      </c>
      <c r="C114" s="357">
        <v>300000</v>
      </c>
      <c r="D114" s="316">
        <v>2920</v>
      </c>
      <c r="E114" s="140" t="str">
        <f t="shared" si="14"/>
        <v/>
      </c>
      <c r="F114" s="175">
        <f t="shared" si="15"/>
        <v>-297080</v>
      </c>
      <c r="H114" s="280">
        <v>2920</v>
      </c>
      <c r="I114" s="282">
        <f t="shared" si="16"/>
        <v>0</v>
      </c>
    </row>
    <row r="115" spans="1:11">
      <c r="A115" s="313" t="s">
        <v>36</v>
      </c>
      <c r="B115" s="315" t="s">
        <v>325</v>
      </c>
      <c r="C115" s="357">
        <v>10000</v>
      </c>
      <c r="D115" s="316"/>
      <c r="E115" s="140" t="str">
        <f t="shared" si="14"/>
        <v/>
      </c>
      <c r="F115" s="175">
        <f t="shared" si="15"/>
        <v>-10000</v>
      </c>
      <c r="I115" s="282">
        <f t="shared" si="16"/>
        <v>0</v>
      </c>
    </row>
    <row r="116" spans="1:11">
      <c r="A116" s="137" t="s">
        <v>99</v>
      </c>
      <c r="B116" s="315" t="s">
        <v>326</v>
      </c>
      <c r="C116" s="357">
        <v>800000</v>
      </c>
      <c r="D116" s="373">
        <v>119155.12</v>
      </c>
      <c r="E116" s="140" t="str">
        <f t="shared" si="14"/>
        <v/>
      </c>
      <c r="F116" s="175">
        <f t="shared" si="15"/>
        <v>-680844.88</v>
      </c>
      <c r="H116" s="280">
        <v>32335.83</v>
      </c>
      <c r="I116" s="283">
        <f t="shared" si="16"/>
        <v>86819.29</v>
      </c>
      <c r="J116" s="294"/>
      <c r="K116" s="295"/>
    </row>
    <row r="117" spans="1:11">
      <c r="A117" s="137" t="s">
        <v>101</v>
      </c>
      <c r="B117" s="315" t="s">
        <v>328</v>
      </c>
      <c r="C117" s="357">
        <v>60000</v>
      </c>
      <c r="D117" s="373">
        <v>285643.33</v>
      </c>
      <c r="E117" s="140">
        <f t="shared" si="14"/>
        <v>225643.33000000002</v>
      </c>
      <c r="F117" s="175" t="str">
        <f t="shared" si="15"/>
        <v/>
      </c>
      <c r="I117" s="282">
        <f t="shared" si="16"/>
        <v>285643.33</v>
      </c>
      <c r="J117" s="323" t="s">
        <v>421</v>
      </c>
    </row>
    <row r="118" spans="1:11">
      <c r="A118" s="137" t="s">
        <v>100</v>
      </c>
      <c r="B118" s="147" t="s">
        <v>327</v>
      </c>
      <c r="C118" s="357">
        <v>1500000</v>
      </c>
      <c r="D118" s="316">
        <v>68600</v>
      </c>
      <c r="E118" s="140" t="str">
        <f t="shared" si="14"/>
        <v/>
      </c>
      <c r="F118" s="175">
        <f t="shared" si="15"/>
        <v>-1431400</v>
      </c>
      <c r="H118" s="280">
        <v>68600</v>
      </c>
      <c r="I118" s="282">
        <f t="shared" si="16"/>
        <v>0</v>
      </c>
    </row>
    <row r="119" spans="1:11">
      <c r="A119" s="137"/>
      <c r="B119" s="315"/>
      <c r="C119" s="357"/>
      <c r="D119" s="316"/>
      <c r="E119" s="140" t="str">
        <f t="shared" si="14"/>
        <v/>
      </c>
      <c r="F119" s="175">
        <f t="shared" si="15"/>
        <v>0</v>
      </c>
      <c r="I119" s="282">
        <f t="shared" si="16"/>
        <v>0</v>
      </c>
    </row>
    <row r="120" spans="1:11" ht="13.5" thickBot="1">
      <c r="A120" s="146"/>
      <c r="B120" s="138"/>
      <c r="C120" s="163">
        <f>SUM(C109:C119)</f>
        <v>4140000</v>
      </c>
      <c r="D120" s="384">
        <f>SUM(D109:D119)</f>
        <v>597308.26</v>
      </c>
      <c r="E120" s="163">
        <f t="shared" ref="E120:F120" si="17">SUM(E109:E119)</f>
        <v>225643.33000000002</v>
      </c>
      <c r="F120" s="164">
        <f t="shared" si="17"/>
        <v>-3768335.07</v>
      </c>
      <c r="I120" s="406">
        <f>SUM(I108:I119)</f>
        <v>368081.47000000003</v>
      </c>
    </row>
    <row r="121" spans="1:11" ht="13.5" thickBot="1">
      <c r="A121" s="165" t="s">
        <v>124</v>
      </c>
      <c r="B121" s="166"/>
      <c r="C121" s="167">
        <f>SUM(C120+C107+C103+C33)</f>
        <v>369950750</v>
      </c>
      <c r="D121" s="385">
        <f t="shared" ref="D121:F121" si="18">SUM(D120+D107+D103+D33)</f>
        <v>168336441.36999997</v>
      </c>
      <c r="E121" s="157">
        <f t="shared" si="18"/>
        <v>233393.33000000002</v>
      </c>
      <c r="F121" s="210">
        <f t="shared" si="18"/>
        <v>-201847701.96000001</v>
      </c>
      <c r="I121" s="282"/>
    </row>
    <row r="122" spans="1:11">
      <c r="A122" s="411" t="s">
        <v>35</v>
      </c>
      <c r="B122" s="348" t="s">
        <v>329</v>
      </c>
      <c r="C122" s="358">
        <v>605000000</v>
      </c>
      <c r="D122" s="358">
        <v>50850902</v>
      </c>
      <c r="E122" s="310" t="str">
        <f t="shared" si="14"/>
        <v/>
      </c>
      <c r="F122" s="184">
        <f t="shared" si="15"/>
        <v>-554149098</v>
      </c>
      <c r="I122" s="282">
        <f>D122-H122</f>
        <v>50850902</v>
      </c>
    </row>
    <row r="123" spans="1:11">
      <c r="A123" s="313" t="s">
        <v>45</v>
      </c>
      <c r="B123" s="147"/>
      <c r="C123" s="153"/>
      <c r="D123" s="356"/>
      <c r="E123" s="140" t="str">
        <f t="shared" si="14"/>
        <v/>
      </c>
      <c r="F123" s="175">
        <f t="shared" si="15"/>
        <v>0</v>
      </c>
      <c r="I123" s="282"/>
    </row>
    <row r="124" spans="1:11">
      <c r="A124" s="137"/>
      <c r="B124" s="147"/>
      <c r="C124" s="170">
        <f>SUM(C122:C123)</f>
        <v>605000000</v>
      </c>
      <c r="D124" s="384">
        <f>SUM(D122:D123)</f>
        <v>50850902</v>
      </c>
      <c r="E124" s="163">
        <f t="shared" ref="E124:F124" si="19">SUM(E122:E123)</f>
        <v>0</v>
      </c>
      <c r="F124" s="164">
        <f t="shared" si="19"/>
        <v>-554149098</v>
      </c>
      <c r="I124" s="282"/>
    </row>
    <row r="125" spans="1:11">
      <c r="A125" s="171" t="s">
        <v>102</v>
      </c>
      <c r="B125" s="138"/>
      <c r="C125" s="160">
        <f>+C121+C124</f>
        <v>974950750</v>
      </c>
      <c r="D125" s="316">
        <f>+D121+D124</f>
        <v>219187343.36999997</v>
      </c>
      <c r="E125" s="139">
        <f>+E121+E124</f>
        <v>233393.33000000002</v>
      </c>
      <c r="F125" s="169">
        <f>+F121+F124</f>
        <v>-755996799.96000004</v>
      </c>
      <c r="I125" s="282"/>
    </row>
    <row r="126" spans="1:11" ht="8.25" customHeight="1">
      <c r="A126" s="137"/>
      <c r="B126" s="147"/>
      <c r="C126" s="153"/>
      <c r="D126" s="316"/>
      <c r="E126" s="139"/>
      <c r="F126" s="169"/>
      <c r="I126" s="282"/>
    </row>
    <row r="127" spans="1:11">
      <c r="A127" s="146" t="s">
        <v>103</v>
      </c>
      <c r="B127" s="147"/>
      <c r="C127" s="153"/>
      <c r="D127" s="316"/>
      <c r="E127" s="140"/>
      <c r="F127" s="151"/>
      <c r="I127" s="282"/>
    </row>
    <row r="128" spans="1:11" ht="8.25" customHeight="1">
      <c r="A128" s="137" t="s">
        <v>17</v>
      </c>
      <c r="B128" s="147"/>
      <c r="C128" s="153"/>
      <c r="D128" s="356"/>
      <c r="E128" s="140"/>
      <c r="F128" s="151"/>
      <c r="I128" s="282"/>
    </row>
    <row r="129" spans="1:9">
      <c r="A129" s="146" t="s">
        <v>104</v>
      </c>
      <c r="B129" s="315" t="s">
        <v>330</v>
      </c>
      <c r="C129" s="359">
        <v>15000000</v>
      </c>
      <c r="D129" s="386">
        <v>574000</v>
      </c>
      <c r="E129" s="172">
        <v>0</v>
      </c>
      <c r="F129" s="177">
        <f>IF((D129-C129)&gt;0,"",D129-C129)</f>
        <v>-14426000</v>
      </c>
      <c r="H129" s="280">
        <v>574000</v>
      </c>
      <c r="I129" s="282">
        <f>+D129-H129</f>
        <v>0</v>
      </c>
    </row>
    <row r="130" spans="1:9" ht="7.5" customHeight="1">
      <c r="A130" s="137"/>
      <c r="B130" s="147"/>
      <c r="C130" s="357"/>
      <c r="D130" s="316"/>
      <c r="E130" s="140"/>
      <c r="F130" s="175"/>
      <c r="I130" s="282"/>
    </row>
    <row r="131" spans="1:9">
      <c r="A131" s="146" t="s">
        <v>331</v>
      </c>
      <c r="B131" s="315" t="s">
        <v>332</v>
      </c>
      <c r="C131" s="316"/>
      <c r="D131" s="365"/>
      <c r="E131" s="140" t="str">
        <f t="shared" ref="E131:E147" si="20">IF((D131-C131)&gt;0,D131-C131,"")</f>
        <v/>
      </c>
      <c r="F131" s="175">
        <f t="shared" ref="F131:F147" si="21">IF((D131-C131)&gt;0,"",D131-C131)</f>
        <v>0</v>
      </c>
      <c r="H131" s="280" t="s">
        <v>192</v>
      </c>
      <c r="I131" s="282"/>
    </row>
    <row r="132" spans="1:9">
      <c r="A132" s="313" t="s">
        <v>333</v>
      </c>
      <c r="B132" s="315" t="s">
        <v>334</v>
      </c>
      <c r="C132" s="316">
        <v>5000000</v>
      </c>
      <c r="D132" s="357">
        <v>522883.05</v>
      </c>
      <c r="E132" s="139" t="str">
        <f>IF((D132-C132)&gt;0,D132-C132,"")</f>
        <v/>
      </c>
      <c r="F132" s="175">
        <f t="shared" si="21"/>
        <v>-4477116.95</v>
      </c>
      <c r="H132" s="280">
        <v>427987.48</v>
      </c>
      <c r="I132" s="282">
        <f>+D132-H132</f>
        <v>94895.57</v>
      </c>
    </row>
    <row r="133" spans="1:9">
      <c r="A133" s="137" t="s">
        <v>8</v>
      </c>
      <c r="B133" s="315" t="s">
        <v>335</v>
      </c>
      <c r="C133" s="316">
        <v>25350000</v>
      </c>
      <c r="D133" s="360">
        <v>3879724.17</v>
      </c>
      <c r="E133" s="139" t="str">
        <f>IF((D133-C133)&gt;0,D133-C133,"")</f>
        <v/>
      </c>
      <c r="F133" s="175">
        <f t="shared" si="21"/>
        <v>-21470275.829999998</v>
      </c>
      <c r="H133" s="280">
        <v>3424818.37</v>
      </c>
      <c r="I133" s="282">
        <f t="shared" ref="I133:I147" si="22">+D133-H133</f>
        <v>454905.79999999981</v>
      </c>
    </row>
    <row r="134" spans="1:9">
      <c r="A134" s="171" t="s">
        <v>9</v>
      </c>
      <c r="B134" s="315" t="s">
        <v>336</v>
      </c>
      <c r="C134" s="357">
        <v>8000000</v>
      </c>
      <c r="D134" s="360">
        <v>749046</v>
      </c>
      <c r="E134" s="139" t="str">
        <f t="shared" si="20"/>
        <v/>
      </c>
      <c r="F134" s="175">
        <f t="shared" si="21"/>
        <v>-7250954</v>
      </c>
      <c r="H134" s="280">
        <v>692943</v>
      </c>
      <c r="I134" s="282">
        <f t="shared" si="22"/>
        <v>56103</v>
      </c>
    </row>
    <row r="135" spans="1:9">
      <c r="A135" s="313" t="s">
        <v>344</v>
      </c>
      <c r="B135" s="315" t="s">
        <v>345</v>
      </c>
      <c r="C135" s="360">
        <v>1980000</v>
      </c>
      <c r="D135" s="360"/>
      <c r="E135" s="139" t="str">
        <f t="shared" si="20"/>
        <v/>
      </c>
      <c r="F135" s="175">
        <f t="shared" si="21"/>
        <v>-1980000</v>
      </c>
      <c r="H135" s="280">
        <v>0</v>
      </c>
      <c r="I135" s="282">
        <f t="shared" si="22"/>
        <v>0</v>
      </c>
    </row>
    <row r="136" spans="1:9">
      <c r="A136" s="171" t="s">
        <v>4</v>
      </c>
      <c r="B136" s="315" t="s">
        <v>337</v>
      </c>
      <c r="C136" s="360">
        <v>600000</v>
      </c>
      <c r="D136" s="387">
        <v>235820</v>
      </c>
      <c r="E136" s="139" t="str">
        <f t="shared" si="20"/>
        <v/>
      </c>
      <c r="F136" s="175">
        <f t="shared" si="21"/>
        <v>-364180</v>
      </c>
      <c r="H136" s="280">
        <f>21060+184800</f>
        <v>205860</v>
      </c>
      <c r="I136" s="282">
        <f t="shared" si="22"/>
        <v>29960</v>
      </c>
    </row>
    <row r="137" spans="1:9">
      <c r="A137" s="313" t="s">
        <v>338</v>
      </c>
      <c r="B137" s="315" t="s">
        <v>339</v>
      </c>
      <c r="C137" s="360">
        <v>1400000</v>
      </c>
      <c r="D137" s="387">
        <v>192036</v>
      </c>
      <c r="E137" s="139" t="str">
        <f t="shared" si="20"/>
        <v/>
      </c>
      <c r="F137" s="175">
        <f t="shared" si="21"/>
        <v>-1207964</v>
      </c>
      <c r="H137" s="280">
        <v>64008</v>
      </c>
      <c r="I137" s="282">
        <f t="shared" si="22"/>
        <v>128028</v>
      </c>
    </row>
    <row r="138" spans="1:9">
      <c r="A138" s="137" t="s">
        <v>106</v>
      </c>
      <c r="B138" s="315" t="s">
        <v>340</v>
      </c>
      <c r="C138" s="360">
        <v>400000</v>
      </c>
      <c r="D138" s="387">
        <v>118216.65</v>
      </c>
      <c r="E138" s="139" t="str">
        <f t="shared" si="20"/>
        <v/>
      </c>
      <c r="F138" s="175">
        <f t="shared" si="21"/>
        <v>-281783.34999999998</v>
      </c>
      <c r="H138" s="280">
        <v>90887.28</v>
      </c>
      <c r="I138" s="282">
        <f t="shared" si="22"/>
        <v>27329.369999999995</v>
      </c>
    </row>
    <row r="139" spans="1:9">
      <c r="A139" s="137" t="s">
        <v>10</v>
      </c>
      <c r="B139" s="315" t="s">
        <v>341</v>
      </c>
      <c r="C139" s="316">
        <v>1000000</v>
      </c>
      <c r="D139" s="388">
        <v>520300</v>
      </c>
      <c r="E139" s="139" t="str">
        <f t="shared" si="20"/>
        <v/>
      </c>
      <c r="F139" s="175">
        <f t="shared" si="21"/>
        <v>-479700</v>
      </c>
      <c r="H139" s="280">
        <v>485000</v>
      </c>
      <c r="I139" s="282">
        <f t="shared" si="22"/>
        <v>35300</v>
      </c>
    </row>
    <row r="140" spans="1:9">
      <c r="A140" s="137" t="s">
        <v>28</v>
      </c>
      <c r="B140" s="315" t="s">
        <v>342</v>
      </c>
      <c r="C140" s="316">
        <v>160000</v>
      </c>
      <c r="D140" s="357"/>
      <c r="E140" s="139" t="str">
        <f t="shared" si="20"/>
        <v/>
      </c>
      <c r="F140" s="175">
        <f t="shared" si="21"/>
        <v>-160000</v>
      </c>
      <c r="I140" s="282">
        <f t="shared" si="22"/>
        <v>0</v>
      </c>
    </row>
    <row r="141" spans="1:9">
      <c r="A141" s="137" t="s">
        <v>30</v>
      </c>
      <c r="B141" s="315" t="s">
        <v>343</v>
      </c>
      <c r="C141" s="316">
        <v>170000</v>
      </c>
      <c r="D141" s="388">
        <v>1500</v>
      </c>
      <c r="E141" s="139" t="str">
        <f t="shared" si="20"/>
        <v/>
      </c>
      <c r="F141" s="175">
        <f t="shared" si="21"/>
        <v>-168500</v>
      </c>
      <c r="H141" s="280">
        <v>13500</v>
      </c>
      <c r="I141" s="282">
        <f t="shared" si="22"/>
        <v>-12000</v>
      </c>
    </row>
    <row r="142" spans="1:9">
      <c r="A142" s="313" t="s">
        <v>85</v>
      </c>
      <c r="B142" s="338"/>
      <c r="C142" s="316"/>
      <c r="D142" s="388"/>
      <c r="E142" s="139" t="str">
        <f t="shared" si="20"/>
        <v/>
      </c>
      <c r="F142" s="175">
        <f t="shared" si="21"/>
        <v>0</v>
      </c>
      <c r="I142" s="282"/>
    </row>
    <row r="143" spans="1:9">
      <c r="A143" s="137" t="s">
        <v>89</v>
      </c>
      <c r="B143" s="138" t="s">
        <v>256</v>
      </c>
      <c r="C143" s="316">
        <v>430000</v>
      </c>
      <c r="D143" s="221">
        <v>15100</v>
      </c>
      <c r="E143" s="139" t="str">
        <f t="shared" si="20"/>
        <v/>
      </c>
      <c r="F143" s="175">
        <f t="shared" si="21"/>
        <v>-414900</v>
      </c>
      <c r="H143" s="280">
        <v>136136.47</v>
      </c>
      <c r="I143" s="282">
        <f t="shared" si="22"/>
        <v>-121036.47</v>
      </c>
    </row>
    <row r="144" spans="1:9">
      <c r="A144" s="137" t="s">
        <v>172</v>
      </c>
      <c r="B144" s="138" t="s">
        <v>257</v>
      </c>
      <c r="C144" s="316">
        <v>1000000</v>
      </c>
      <c r="D144" s="221">
        <v>153849.87</v>
      </c>
      <c r="E144" s="139" t="str">
        <f t="shared" si="20"/>
        <v/>
      </c>
      <c r="F144" s="175">
        <f t="shared" si="21"/>
        <v>-846150.13</v>
      </c>
      <c r="H144" s="280">
        <v>14000</v>
      </c>
      <c r="I144" s="282">
        <f t="shared" si="22"/>
        <v>139849.87</v>
      </c>
    </row>
    <row r="145" spans="1:9">
      <c r="A145" s="137" t="s">
        <v>91</v>
      </c>
      <c r="B145" s="138" t="s">
        <v>259</v>
      </c>
      <c r="C145" s="316">
        <v>250000</v>
      </c>
      <c r="D145" s="221">
        <v>40160</v>
      </c>
      <c r="E145" s="139" t="str">
        <f t="shared" si="20"/>
        <v/>
      </c>
      <c r="F145" s="175">
        <f t="shared" si="21"/>
        <v>-209840</v>
      </c>
      <c r="H145" s="280">
        <v>35000</v>
      </c>
      <c r="I145" s="282">
        <f t="shared" si="22"/>
        <v>5160</v>
      </c>
    </row>
    <row r="146" spans="1:9">
      <c r="A146" s="137" t="s">
        <v>255</v>
      </c>
      <c r="B146" s="138" t="s">
        <v>261</v>
      </c>
      <c r="C146" s="316">
        <v>250000</v>
      </c>
      <c r="D146" s="221">
        <v>37760</v>
      </c>
      <c r="E146" s="139" t="str">
        <f t="shared" si="20"/>
        <v/>
      </c>
      <c r="F146" s="175">
        <f t="shared" si="21"/>
        <v>-212240</v>
      </c>
      <c r="H146" s="280">
        <v>35700</v>
      </c>
      <c r="I146" s="282">
        <f t="shared" si="22"/>
        <v>2060</v>
      </c>
    </row>
    <row r="147" spans="1:9">
      <c r="A147" s="137" t="s">
        <v>263</v>
      </c>
      <c r="B147" s="147" t="s">
        <v>262</v>
      </c>
      <c r="C147" s="316">
        <v>610000</v>
      </c>
      <c r="D147" s="221">
        <v>37760</v>
      </c>
      <c r="E147" s="142" t="str">
        <f t="shared" si="20"/>
        <v/>
      </c>
      <c r="F147" s="175">
        <f t="shared" si="21"/>
        <v>-572240</v>
      </c>
      <c r="H147" s="280">
        <v>35700</v>
      </c>
      <c r="I147" s="282">
        <f t="shared" si="22"/>
        <v>2060</v>
      </c>
    </row>
    <row r="148" spans="1:9" ht="13.5" thickBot="1">
      <c r="A148" s="137"/>
      <c r="B148" s="147"/>
      <c r="C148" s="172">
        <f>SUM(C132:C147)</f>
        <v>46600000</v>
      </c>
      <c r="D148" s="359">
        <f>SUM(D132:D147)</f>
        <v>6504155.7400000002</v>
      </c>
      <c r="E148" s="172">
        <f>SUM(E132:E147)</f>
        <v>0</v>
      </c>
      <c r="F148" s="174">
        <f>SUM(F132:F147)</f>
        <v>-40095844.260000005</v>
      </c>
      <c r="H148" s="292">
        <f>SUM(H132:H147)</f>
        <v>5661540.5999999996</v>
      </c>
      <c r="I148" s="292">
        <f>SUM(I132:I147)</f>
        <v>842615.1399999999</v>
      </c>
    </row>
    <row r="149" spans="1:9" ht="13.5" thickTop="1">
      <c r="A149" s="146" t="s">
        <v>395</v>
      </c>
      <c r="B149" s="315" t="s">
        <v>332</v>
      </c>
      <c r="C149" s="153"/>
      <c r="D149" s="360"/>
      <c r="E149" s="163"/>
      <c r="F149" s="151"/>
      <c r="I149" s="282"/>
    </row>
    <row r="150" spans="1:9">
      <c r="A150" s="137" t="s">
        <v>8</v>
      </c>
      <c r="B150" s="315" t="s">
        <v>346</v>
      </c>
      <c r="C150" s="316">
        <v>8000000</v>
      </c>
      <c r="D150" s="317">
        <v>926534.74</v>
      </c>
      <c r="E150" s="139" t="str">
        <f t="shared" ref="E150:E163" si="23">IF((D150-C150)&gt;0,D150-C150,"")</f>
        <v/>
      </c>
      <c r="F150" s="175">
        <f t="shared" ref="F150:F163" si="24">IF((D150-C150)&gt;0,"",D150-C150)</f>
        <v>-7073465.2599999998</v>
      </c>
      <c r="H150" s="280">
        <v>757628.52</v>
      </c>
      <c r="I150" s="282">
        <f>+D150-H150</f>
        <v>168906.21999999997</v>
      </c>
    </row>
    <row r="151" spans="1:9">
      <c r="A151" s="137" t="s">
        <v>106</v>
      </c>
      <c r="B151" s="315" t="s">
        <v>347</v>
      </c>
      <c r="C151" s="316">
        <v>100000</v>
      </c>
      <c r="D151" s="317">
        <v>15143.75</v>
      </c>
      <c r="E151" s="139" t="str">
        <f t="shared" si="23"/>
        <v/>
      </c>
      <c r="F151" s="175">
        <f t="shared" si="24"/>
        <v>-84856.25</v>
      </c>
      <c r="H151" s="280">
        <v>9418.23</v>
      </c>
      <c r="I151" s="282">
        <f t="shared" ref="I151:I163" si="25">+D151-H151</f>
        <v>5725.52</v>
      </c>
    </row>
    <row r="152" spans="1:9">
      <c r="A152" s="137" t="s">
        <v>4</v>
      </c>
      <c r="B152" s="315" t="s">
        <v>348</v>
      </c>
      <c r="C152" s="316">
        <v>30000</v>
      </c>
      <c r="D152" s="317">
        <v>21700</v>
      </c>
      <c r="E152" s="139" t="str">
        <f t="shared" si="23"/>
        <v/>
      </c>
      <c r="F152" s="175">
        <f t="shared" si="24"/>
        <v>-8300</v>
      </c>
      <c r="H152" s="280">
        <f>300+21600</f>
        <v>21900</v>
      </c>
      <c r="I152" s="282">
        <f t="shared" si="25"/>
        <v>-200</v>
      </c>
    </row>
    <row r="153" spans="1:9">
      <c r="A153" s="137" t="s">
        <v>11</v>
      </c>
      <c r="B153" s="315" t="s">
        <v>349</v>
      </c>
      <c r="C153" s="316">
        <v>200000</v>
      </c>
      <c r="D153" s="317">
        <v>1000</v>
      </c>
      <c r="E153" s="139" t="str">
        <f t="shared" si="23"/>
        <v/>
      </c>
      <c r="F153" s="175">
        <f t="shared" si="24"/>
        <v>-199000</v>
      </c>
      <c r="H153" s="280">
        <v>21000</v>
      </c>
      <c r="I153" s="282">
        <f t="shared" si="25"/>
        <v>-20000</v>
      </c>
    </row>
    <row r="154" spans="1:9">
      <c r="A154" s="137" t="s">
        <v>12</v>
      </c>
      <c r="B154" s="315" t="s">
        <v>350</v>
      </c>
      <c r="C154" s="316">
        <v>1100000</v>
      </c>
      <c r="D154" s="317">
        <v>69278</v>
      </c>
      <c r="E154" s="139" t="str">
        <f t="shared" si="23"/>
        <v/>
      </c>
      <c r="F154" s="175">
        <f t="shared" si="24"/>
        <v>-1030722</v>
      </c>
      <c r="H154" s="280">
        <v>72531</v>
      </c>
      <c r="I154" s="282">
        <f t="shared" si="25"/>
        <v>-3253</v>
      </c>
    </row>
    <row r="155" spans="1:9">
      <c r="A155" s="137" t="s">
        <v>28</v>
      </c>
      <c r="B155" s="315" t="s">
        <v>342</v>
      </c>
      <c r="C155" s="316">
        <v>120000</v>
      </c>
      <c r="D155" s="317"/>
      <c r="E155" s="139" t="str">
        <f t="shared" si="23"/>
        <v/>
      </c>
      <c r="F155" s="175">
        <f t="shared" si="24"/>
        <v>-120000</v>
      </c>
      <c r="I155" s="282">
        <f t="shared" si="25"/>
        <v>0</v>
      </c>
    </row>
    <row r="156" spans="1:9">
      <c r="A156" s="137" t="s">
        <v>37</v>
      </c>
      <c r="B156" s="315" t="s">
        <v>351</v>
      </c>
      <c r="C156" s="316">
        <v>6500000</v>
      </c>
      <c r="D156" s="317">
        <v>553677</v>
      </c>
      <c r="E156" s="139" t="str">
        <f t="shared" si="23"/>
        <v/>
      </c>
      <c r="F156" s="175">
        <f t="shared" si="24"/>
        <v>-5946323</v>
      </c>
      <c r="H156" s="280">
        <v>505073</v>
      </c>
      <c r="I156" s="282">
        <f t="shared" si="25"/>
        <v>48604</v>
      </c>
    </row>
    <row r="157" spans="1:9">
      <c r="A157" s="313" t="s">
        <v>85</v>
      </c>
      <c r="B157" s="338"/>
      <c r="C157" s="316"/>
      <c r="D157" s="317"/>
      <c r="E157" s="139" t="str">
        <f t="shared" si="23"/>
        <v/>
      </c>
      <c r="F157" s="175">
        <f t="shared" si="24"/>
        <v>0</v>
      </c>
      <c r="I157" s="282"/>
    </row>
    <row r="158" spans="1:9" ht="13.5" customHeight="1">
      <c r="A158" s="313" t="s">
        <v>352</v>
      </c>
      <c r="B158" s="138" t="s">
        <v>256</v>
      </c>
      <c r="C158" s="316">
        <v>250000</v>
      </c>
      <c r="D158" s="221">
        <v>6955</v>
      </c>
      <c r="E158" s="139" t="str">
        <f t="shared" si="23"/>
        <v/>
      </c>
      <c r="F158" s="175">
        <f t="shared" si="24"/>
        <v>-243045</v>
      </c>
      <c r="H158" s="280">
        <v>9658</v>
      </c>
      <c r="I158" s="282">
        <f>+D158-H158</f>
        <v>-2703</v>
      </c>
    </row>
    <row r="159" spans="1:9">
      <c r="A159" s="313" t="s">
        <v>353</v>
      </c>
      <c r="B159" s="138" t="s">
        <v>257</v>
      </c>
      <c r="C159" s="373">
        <v>50000</v>
      </c>
      <c r="D159" s="389">
        <v>6530</v>
      </c>
      <c r="E159" s="139" t="str">
        <f t="shared" si="23"/>
        <v/>
      </c>
      <c r="F159" s="175">
        <f t="shared" si="24"/>
        <v>-43470</v>
      </c>
      <c r="H159" s="280">
        <v>6490</v>
      </c>
      <c r="I159" s="282">
        <f t="shared" si="25"/>
        <v>40</v>
      </c>
    </row>
    <row r="160" spans="1:9">
      <c r="A160" s="313" t="s">
        <v>354</v>
      </c>
      <c r="B160" s="138" t="s">
        <v>257</v>
      </c>
      <c r="C160" s="373">
        <v>250000</v>
      </c>
      <c r="D160" s="389">
        <v>6855</v>
      </c>
      <c r="E160" s="139" t="str">
        <f t="shared" si="23"/>
        <v/>
      </c>
      <c r="F160" s="175">
        <f t="shared" si="24"/>
        <v>-243145</v>
      </c>
      <c r="H160" s="280">
        <v>9058</v>
      </c>
      <c r="I160" s="282">
        <f t="shared" si="25"/>
        <v>-2203</v>
      </c>
    </row>
    <row r="161" spans="1:10" s="321" customFormat="1">
      <c r="A161" s="352" t="s">
        <v>355</v>
      </c>
      <c r="B161" s="138" t="s">
        <v>259</v>
      </c>
      <c r="C161" s="316">
        <v>20000</v>
      </c>
      <c r="D161" s="221">
        <v>4160</v>
      </c>
      <c r="E161" s="316" t="str">
        <f t="shared" si="23"/>
        <v/>
      </c>
      <c r="F161" s="318">
        <f t="shared" si="24"/>
        <v>-15840</v>
      </c>
      <c r="G161" s="319">
        <v>43933</v>
      </c>
      <c r="H161" s="320">
        <v>3260</v>
      </c>
      <c r="I161" s="25">
        <f t="shared" si="25"/>
        <v>900</v>
      </c>
    </row>
    <row r="162" spans="1:10" s="321" customFormat="1">
      <c r="A162" s="352" t="s">
        <v>356</v>
      </c>
      <c r="B162" s="138" t="s">
        <v>261</v>
      </c>
      <c r="C162" s="316">
        <v>25000</v>
      </c>
      <c r="D162" s="221">
        <v>2160</v>
      </c>
      <c r="E162" s="316" t="str">
        <f t="shared" si="23"/>
        <v/>
      </c>
      <c r="F162" s="318">
        <f t="shared" si="24"/>
        <v>-22840</v>
      </c>
      <c r="H162" s="320">
        <v>2180</v>
      </c>
      <c r="I162" s="25">
        <f t="shared" si="25"/>
        <v>-20</v>
      </c>
    </row>
    <row r="163" spans="1:10">
      <c r="A163" s="313" t="s">
        <v>92</v>
      </c>
      <c r="B163" s="147" t="s">
        <v>262</v>
      </c>
      <c r="C163" s="316">
        <v>25000</v>
      </c>
      <c r="D163" s="390">
        <v>2160</v>
      </c>
      <c r="E163" s="139" t="str">
        <f t="shared" si="23"/>
        <v/>
      </c>
      <c r="F163" s="175">
        <f t="shared" si="24"/>
        <v>-22840</v>
      </c>
      <c r="H163" s="280">
        <v>2180</v>
      </c>
      <c r="I163" s="282">
        <f t="shared" si="25"/>
        <v>-20</v>
      </c>
    </row>
    <row r="164" spans="1:10" ht="13.5" thickBot="1">
      <c r="A164" s="137"/>
      <c r="B164" s="147"/>
      <c r="C164" s="176">
        <f>SUM(C150:C163)</f>
        <v>16670000</v>
      </c>
      <c r="D164" s="359">
        <f t="shared" ref="D164:F164" si="26">SUM(D150:D163)</f>
        <v>1616153.49</v>
      </c>
      <c r="E164" s="173">
        <f>SUM(E150:E163)</f>
        <v>0</v>
      </c>
      <c r="F164" s="177">
        <f t="shared" si="26"/>
        <v>-15053846.51</v>
      </c>
      <c r="H164" s="292">
        <f>SUM(H150:H163)</f>
        <v>1420376.75</v>
      </c>
      <c r="I164" s="292">
        <f>SUM(I150:I163)</f>
        <v>195776.73999999996</v>
      </c>
      <c r="J164" s="297"/>
    </row>
    <row r="165" spans="1:10" ht="13.5" thickTop="1">
      <c r="A165" s="146"/>
      <c r="B165" s="147"/>
      <c r="C165" s="153"/>
      <c r="D165" s="316"/>
      <c r="E165" s="140"/>
      <c r="F165" s="151"/>
      <c r="I165" s="282"/>
    </row>
    <row r="166" spans="1:10">
      <c r="A166" s="146" t="s">
        <v>420</v>
      </c>
      <c r="B166" s="315" t="s">
        <v>358</v>
      </c>
      <c r="C166" s="153"/>
      <c r="D166" s="360"/>
      <c r="E166" s="139"/>
      <c r="F166" s="151"/>
      <c r="H166" s="280" t="s">
        <v>192</v>
      </c>
      <c r="I166" s="282"/>
    </row>
    <row r="167" spans="1:10">
      <c r="A167" s="313" t="s">
        <v>410</v>
      </c>
      <c r="B167" s="315" t="s">
        <v>359</v>
      </c>
      <c r="C167" s="316">
        <v>12100000</v>
      </c>
      <c r="D167" s="391">
        <v>1323540</v>
      </c>
      <c r="E167" s="139" t="str">
        <f t="shared" ref="E167:E180" si="27">IF((D167-C167)&gt;0,D167-C167,"")</f>
        <v/>
      </c>
      <c r="F167" s="175">
        <f t="shared" ref="F167:F180" si="28">IF((D167-C167)&gt;0,"",D167-C167)</f>
        <v>-10776460</v>
      </c>
      <c r="H167" s="280">
        <v>1024740</v>
      </c>
      <c r="I167" s="282">
        <f>+D167-H167</f>
        <v>298800</v>
      </c>
    </row>
    <row r="168" spans="1:10">
      <c r="A168" s="137" t="s">
        <v>14</v>
      </c>
      <c r="B168" s="315" t="s">
        <v>360</v>
      </c>
      <c r="C168" s="316">
        <v>2000000</v>
      </c>
      <c r="D168" s="391">
        <v>177245</v>
      </c>
      <c r="E168" s="139" t="str">
        <f t="shared" si="27"/>
        <v/>
      </c>
      <c r="F168" s="175">
        <f t="shared" si="28"/>
        <v>-1822755</v>
      </c>
      <c r="H168" s="280">
        <v>157270</v>
      </c>
      <c r="I168" s="282">
        <f t="shared" ref="I168:I180" si="29">+D168-H168</f>
        <v>19975</v>
      </c>
    </row>
    <row r="169" spans="1:10">
      <c r="A169" s="137" t="s">
        <v>8</v>
      </c>
      <c r="B169" s="315" t="s">
        <v>361</v>
      </c>
      <c r="C169" s="316">
        <v>2626000</v>
      </c>
      <c r="D169" s="392">
        <v>334273.37</v>
      </c>
      <c r="E169" s="139" t="str">
        <f t="shared" si="27"/>
        <v/>
      </c>
      <c r="F169" s="175">
        <f t="shared" si="28"/>
        <v>-2291726.63</v>
      </c>
      <c r="H169" s="280">
        <v>334433.96999999997</v>
      </c>
      <c r="I169" s="282">
        <f t="shared" si="29"/>
        <v>-160.59999999997672</v>
      </c>
    </row>
    <row r="170" spans="1:10">
      <c r="A170" s="137" t="s">
        <v>15</v>
      </c>
      <c r="B170" s="315" t="s">
        <v>362</v>
      </c>
      <c r="C170" s="316">
        <v>3000000</v>
      </c>
      <c r="D170" s="392">
        <v>266750</v>
      </c>
      <c r="E170" s="139" t="str">
        <f t="shared" si="27"/>
        <v/>
      </c>
      <c r="F170" s="175">
        <f t="shared" si="28"/>
        <v>-2733250</v>
      </c>
      <c r="H170" s="280">
        <v>266606</v>
      </c>
      <c r="I170" s="282">
        <f t="shared" si="29"/>
        <v>144</v>
      </c>
    </row>
    <row r="171" spans="1:10">
      <c r="A171" s="137" t="s">
        <v>4</v>
      </c>
      <c r="B171" s="315" t="s">
        <v>363</v>
      </c>
      <c r="C171" s="316">
        <v>100000</v>
      </c>
      <c r="D171" s="391">
        <v>14800</v>
      </c>
      <c r="E171" s="139" t="str">
        <f t="shared" si="27"/>
        <v/>
      </c>
      <c r="F171" s="175">
        <f t="shared" si="28"/>
        <v>-85200</v>
      </c>
      <c r="H171" s="280">
        <v>14700</v>
      </c>
      <c r="I171" s="282">
        <f t="shared" si="29"/>
        <v>100</v>
      </c>
    </row>
    <row r="172" spans="1:10">
      <c r="A172" s="137" t="s">
        <v>16</v>
      </c>
      <c r="B172" s="315" t="s">
        <v>364</v>
      </c>
      <c r="C172" s="316">
        <v>60000</v>
      </c>
      <c r="D172" s="391">
        <v>22000</v>
      </c>
      <c r="E172" s="139" t="str">
        <f t="shared" si="27"/>
        <v/>
      </c>
      <c r="F172" s="175">
        <f t="shared" si="28"/>
        <v>-38000</v>
      </c>
      <c r="H172" s="280">
        <v>1000</v>
      </c>
      <c r="I172" s="282">
        <f t="shared" si="29"/>
        <v>21000</v>
      </c>
    </row>
    <row r="173" spans="1:10">
      <c r="A173" s="137" t="s">
        <v>106</v>
      </c>
      <c r="B173" s="315" t="s">
        <v>365</v>
      </c>
      <c r="C173" s="316">
        <v>60000</v>
      </c>
      <c r="D173" s="391">
        <v>26024.62</v>
      </c>
      <c r="E173" s="139" t="str">
        <f t="shared" si="27"/>
        <v/>
      </c>
      <c r="F173" s="175">
        <f t="shared" si="28"/>
        <v>-33975.380000000005</v>
      </c>
      <c r="H173" s="280">
        <v>23773.7</v>
      </c>
      <c r="I173" s="282">
        <f t="shared" si="29"/>
        <v>2250.9199999999983</v>
      </c>
    </row>
    <row r="174" spans="1:10">
      <c r="A174" s="137" t="s">
        <v>173</v>
      </c>
      <c r="B174" s="315" t="s">
        <v>366</v>
      </c>
      <c r="C174" s="316">
        <v>300000</v>
      </c>
      <c r="D174" s="391">
        <v>332300</v>
      </c>
      <c r="E174" s="139">
        <f t="shared" si="27"/>
        <v>32300</v>
      </c>
      <c r="F174" s="175" t="str">
        <f t="shared" si="28"/>
        <v/>
      </c>
      <c r="H174" s="280">
        <v>289950</v>
      </c>
      <c r="I174" s="282">
        <f t="shared" si="29"/>
        <v>42350</v>
      </c>
    </row>
    <row r="175" spans="1:10">
      <c r="A175" s="313" t="s">
        <v>85</v>
      </c>
      <c r="B175" s="338"/>
      <c r="C175" s="316"/>
      <c r="D175" s="391"/>
      <c r="E175" s="139" t="str">
        <f t="shared" si="27"/>
        <v/>
      </c>
      <c r="F175" s="175">
        <f t="shared" si="28"/>
        <v>0</v>
      </c>
      <c r="I175" s="282"/>
    </row>
    <row r="176" spans="1:10">
      <c r="A176" s="137" t="s">
        <v>89</v>
      </c>
      <c r="B176" s="138" t="s">
        <v>256</v>
      </c>
      <c r="C176" s="316">
        <v>700000</v>
      </c>
      <c r="D176" s="391">
        <v>70840</v>
      </c>
      <c r="E176" s="139" t="str">
        <f t="shared" si="27"/>
        <v/>
      </c>
      <c r="F176" s="175">
        <f t="shared" si="28"/>
        <v>-629160</v>
      </c>
      <c r="H176" s="280">
        <v>77206</v>
      </c>
      <c r="I176" s="282">
        <f t="shared" si="29"/>
        <v>-6366</v>
      </c>
    </row>
    <row r="177" spans="1:9">
      <c r="A177" s="137" t="s">
        <v>172</v>
      </c>
      <c r="B177" s="138" t="s">
        <v>257</v>
      </c>
      <c r="C177" s="316">
        <v>600000</v>
      </c>
      <c r="D177" s="391">
        <v>88665</v>
      </c>
      <c r="E177" s="139" t="str">
        <f t="shared" si="27"/>
        <v/>
      </c>
      <c r="F177" s="175">
        <f t="shared" si="28"/>
        <v>-511335</v>
      </c>
      <c r="H177" s="280">
        <v>63403</v>
      </c>
      <c r="I177" s="282">
        <f t="shared" si="29"/>
        <v>25262</v>
      </c>
    </row>
    <row r="178" spans="1:9">
      <c r="A178" s="137" t="s">
        <v>91</v>
      </c>
      <c r="B178" s="138" t="s">
        <v>259</v>
      </c>
      <c r="C178" s="316">
        <v>50000</v>
      </c>
      <c r="D178" s="391">
        <v>30830</v>
      </c>
      <c r="E178" s="139" t="str">
        <f t="shared" si="27"/>
        <v/>
      </c>
      <c r="F178" s="175">
        <f t="shared" si="28"/>
        <v>-19170</v>
      </c>
      <c r="H178" s="280">
        <v>26651</v>
      </c>
      <c r="I178" s="282">
        <f t="shared" si="29"/>
        <v>4179</v>
      </c>
    </row>
    <row r="179" spans="1:9">
      <c r="A179" s="137" t="s">
        <v>255</v>
      </c>
      <c r="B179" s="154" t="s">
        <v>261</v>
      </c>
      <c r="C179" s="316">
        <v>50000</v>
      </c>
      <c r="D179" s="391">
        <v>30740</v>
      </c>
      <c r="E179" s="139" t="str">
        <f t="shared" si="27"/>
        <v/>
      </c>
      <c r="F179" s="175">
        <f t="shared" si="28"/>
        <v>-19260</v>
      </c>
      <c r="H179" s="280">
        <v>26500</v>
      </c>
      <c r="I179" s="282">
        <f t="shared" si="29"/>
        <v>4240</v>
      </c>
    </row>
    <row r="180" spans="1:9">
      <c r="A180" s="137" t="s">
        <v>263</v>
      </c>
      <c r="B180" s="138" t="s">
        <v>262</v>
      </c>
      <c r="C180" s="316">
        <v>50000</v>
      </c>
      <c r="D180" s="391">
        <v>30700</v>
      </c>
      <c r="E180" s="139" t="str">
        <f t="shared" si="27"/>
        <v/>
      </c>
      <c r="F180" s="175">
        <f t="shared" si="28"/>
        <v>-19300</v>
      </c>
      <c r="H180" s="280">
        <v>26500</v>
      </c>
      <c r="I180" s="282">
        <f t="shared" si="29"/>
        <v>4200</v>
      </c>
    </row>
    <row r="181" spans="1:9" ht="13.5" thickBot="1">
      <c r="A181" s="155" t="s">
        <v>17</v>
      </c>
      <c r="B181" s="166"/>
      <c r="C181" s="361">
        <f>SUM(C167:C180)</f>
        <v>21696000</v>
      </c>
      <c r="D181" s="393">
        <f t="shared" ref="D181:F181" si="30">SUM(D167:D180)</f>
        <v>2748707.99</v>
      </c>
      <c r="E181" s="178">
        <f>SUM(E167:E180)</f>
        <v>32300</v>
      </c>
      <c r="F181" s="180">
        <f t="shared" si="30"/>
        <v>-18979592.009999998</v>
      </c>
      <c r="H181" s="292">
        <f>SUM(H167:H180)</f>
        <v>2332733.67</v>
      </c>
      <c r="I181" s="292">
        <f>SUM(I167:I180)</f>
        <v>415974.32</v>
      </c>
    </row>
    <row r="182" spans="1:9" s="298" customFormat="1" ht="5.25" customHeight="1">
      <c r="A182" s="312"/>
      <c r="B182" s="159"/>
      <c r="C182" s="362"/>
      <c r="D182" s="362"/>
      <c r="E182" s="209"/>
      <c r="F182" s="184"/>
      <c r="H182" s="299"/>
      <c r="I182" s="282"/>
    </row>
    <row r="183" spans="1:9" s="298" customFormat="1" ht="11.25" customHeight="1" thickBot="1">
      <c r="A183" s="224"/>
      <c r="B183" s="156"/>
      <c r="C183" s="363"/>
      <c r="D183" s="363"/>
      <c r="E183" s="208"/>
      <c r="F183" s="309"/>
      <c r="H183" s="299"/>
      <c r="I183" s="282"/>
    </row>
    <row r="184" spans="1:9" ht="11.25" customHeight="1">
      <c r="A184" s="132" t="s">
        <v>368</v>
      </c>
      <c r="B184" s="315" t="s">
        <v>369</v>
      </c>
      <c r="C184" s="364"/>
      <c r="D184" s="394"/>
      <c r="E184" s="183"/>
      <c r="F184" s="184"/>
      <c r="I184" s="282"/>
    </row>
    <row r="185" spans="1:9">
      <c r="A185" s="137" t="s">
        <v>18</v>
      </c>
      <c r="B185" s="315" t="s">
        <v>370</v>
      </c>
      <c r="C185" s="365">
        <v>1400000</v>
      </c>
      <c r="D185" s="317">
        <v>98430</v>
      </c>
      <c r="E185" s="139" t="str">
        <f t="shared" ref="E185:E198" si="31">IF((D185-C185)&gt;0,D185-C185,"")</f>
        <v/>
      </c>
      <c r="F185" s="175">
        <f t="shared" ref="F185:F198" si="32">IF((D185-C185)&gt;0,"",D185-C185)</f>
        <v>-1301570</v>
      </c>
      <c r="I185" s="282">
        <f>+D185-H185</f>
        <v>98430</v>
      </c>
    </row>
    <row r="186" spans="1:9">
      <c r="A186" s="137" t="s">
        <v>121</v>
      </c>
      <c r="B186" s="315" t="s">
        <v>371</v>
      </c>
      <c r="C186" s="316">
        <v>650000</v>
      </c>
      <c r="D186" s="317">
        <v>48505</v>
      </c>
      <c r="E186" s="139" t="str">
        <f t="shared" si="31"/>
        <v/>
      </c>
      <c r="F186" s="175">
        <f t="shared" si="32"/>
        <v>-601495</v>
      </c>
      <c r="I186" s="282">
        <f t="shared" ref="I186:I196" si="33">+D186-H186</f>
        <v>48505</v>
      </c>
    </row>
    <row r="187" spans="1:9">
      <c r="A187" s="137" t="s">
        <v>122</v>
      </c>
      <c r="B187" s="315" t="s">
        <v>372</v>
      </c>
      <c r="C187" s="316">
        <v>280000</v>
      </c>
      <c r="D187" s="317">
        <v>22555</v>
      </c>
      <c r="E187" s="139" t="str">
        <f t="shared" si="31"/>
        <v/>
      </c>
      <c r="F187" s="175">
        <f t="shared" si="32"/>
        <v>-257445</v>
      </c>
      <c r="I187" s="282">
        <f t="shared" si="33"/>
        <v>22555</v>
      </c>
    </row>
    <row r="188" spans="1:9">
      <c r="A188" s="137" t="s">
        <v>19</v>
      </c>
      <c r="B188" s="315" t="s">
        <v>373</v>
      </c>
      <c r="C188" s="316">
        <v>1400000</v>
      </c>
      <c r="D188" s="317">
        <v>114850</v>
      </c>
      <c r="E188" s="139" t="str">
        <f t="shared" si="31"/>
        <v/>
      </c>
      <c r="F188" s="175">
        <f t="shared" si="32"/>
        <v>-1285150</v>
      </c>
      <c r="I188" s="282">
        <f t="shared" si="33"/>
        <v>114850</v>
      </c>
    </row>
    <row r="189" spans="1:9">
      <c r="A189" s="171" t="s">
        <v>20</v>
      </c>
      <c r="B189" s="315" t="s">
        <v>374</v>
      </c>
      <c r="C189" s="357">
        <v>790000</v>
      </c>
      <c r="D189" s="395">
        <v>62510</v>
      </c>
      <c r="E189" s="139" t="str">
        <f t="shared" si="31"/>
        <v/>
      </c>
      <c r="F189" s="175">
        <f t="shared" si="32"/>
        <v>-727490</v>
      </c>
      <c r="H189" s="280">
        <v>61255</v>
      </c>
      <c r="I189" s="282">
        <f t="shared" si="33"/>
        <v>1255</v>
      </c>
    </row>
    <row r="190" spans="1:9">
      <c r="A190" s="137" t="s">
        <v>9</v>
      </c>
      <c r="B190" s="315" t="s">
        <v>375</v>
      </c>
      <c r="C190" s="316">
        <v>120000</v>
      </c>
      <c r="D190" s="317">
        <v>10274</v>
      </c>
      <c r="E190" s="139" t="str">
        <f t="shared" si="31"/>
        <v/>
      </c>
      <c r="F190" s="175">
        <f t="shared" si="32"/>
        <v>-109726</v>
      </c>
      <c r="H190" s="280">
        <v>9532</v>
      </c>
      <c r="I190" s="282">
        <f t="shared" si="33"/>
        <v>742</v>
      </c>
    </row>
    <row r="191" spans="1:9">
      <c r="A191" s="137" t="s">
        <v>4</v>
      </c>
      <c r="B191" s="315" t="s">
        <v>376</v>
      </c>
      <c r="C191" s="316">
        <v>720000</v>
      </c>
      <c r="D191" s="317">
        <v>52850</v>
      </c>
      <c r="E191" s="139" t="str">
        <f t="shared" si="31"/>
        <v/>
      </c>
      <c r="F191" s="175">
        <f t="shared" si="32"/>
        <v>-667150</v>
      </c>
      <c r="H191" s="280">
        <f>19400+37900</f>
        <v>57300</v>
      </c>
      <c r="I191" s="282">
        <f t="shared" si="33"/>
        <v>-4450</v>
      </c>
    </row>
    <row r="192" spans="1:9">
      <c r="A192" s="313" t="s">
        <v>377</v>
      </c>
      <c r="B192" s="315" t="s">
        <v>378</v>
      </c>
      <c r="C192" s="316">
        <v>620000</v>
      </c>
      <c r="D192" s="317">
        <v>50165</v>
      </c>
      <c r="E192" s="139" t="str">
        <f t="shared" si="31"/>
        <v/>
      </c>
      <c r="F192" s="175">
        <f t="shared" si="32"/>
        <v>-569835</v>
      </c>
      <c r="H192" s="280">
        <v>49045</v>
      </c>
      <c r="I192" s="282">
        <f t="shared" si="33"/>
        <v>1120</v>
      </c>
    </row>
    <row r="193" spans="1:10">
      <c r="A193" s="313" t="s">
        <v>85</v>
      </c>
      <c r="B193" s="338"/>
      <c r="C193" s="316"/>
      <c r="D193" s="317"/>
      <c r="E193" s="139" t="str">
        <f t="shared" si="31"/>
        <v/>
      </c>
      <c r="F193" s="175">
        <f t="shared" si="32"/>
        <v>0</v>
      </c>
      <c r="I193" s="282"/>
    </row>
    <row r="194" spans="1:10">
      <c r="A194" s="137" t="s">
        <v>89</v>
      </c>
      <c r="B194" s="138" t="s">
        <v>256</v>
      </c>
      <c r="C194" s="373">
        <v>5000</v>
      </c>
      <c r="D194" s="396">
        <v>30</v>
      </c>
      <c r="E194" s="139" t="str">
        <f t="shared" si="31"/>
        <v/>
      </c>
      <c r="F194" s="175">
        <f t="shared" si="32"/>
        <v>-4970</v>
      </c>
      <c r="H194" s="280">
        <v>10821</v>
      </c>
      <c r="I194" s="282">
        <f t="shared" si="33"/>
        <v>-10791</v>
      </c>
      <c r="J194" s="286">
        <f>+I194+I215</f>
        <v>-18673.25</v>
      </c>
    </row>
    <row r="195" spans="1:10">
      <c r="A195" s="137" t="s">
        <v>172</v>
      </c>
      <c r="B195" s="138" t="s">
        <v>257</v>
      </c>
      <c r="C195" s="373">
        <v>140000</v>
      </c>
      <c r="D195" s="397">
        <v>10060</v>
      </c>
      <c r="E195" s="139" t="str">
        <f t="shared" si="31"/>
        <v/>
      </c>
      <c r="F195" s="175">
        <f t="shared" si="32"/>
        <v>-129940</v>
      </c>
      <c r="H195" s="280">
        <v>150</v>
      </c>
      <c r="I195" s="282">
        <f t="shared" si="33"/>
        <v>9910</v>
      </c>
      <c r="J195" s="286">
        <f>+I195+I216</f>
        <v>21214.75</v>
      </c>
    </row>
    <row r="196" spans="1:10">
      <c r="A196" s="137" t="s">
        <v>91</v>
      </c>
      <c r="B196" s="138" t="s">
        <v>259</v>
      </c>
      <c r="C196" s="373">
        <v>65000</v>
      </c>
      <c r="D196" s="397">
        <v>5422</v>
      </c>
      <c r="E196" s="139" t="str">
        <f t="shared" si="31"/>
        <v/>
      </c>
      <c r="F196" s="175">
        <f t="shared" si="32"/>
        <v>-59578</v>
      </c>
      <c r="H196" s="280">
        <v>5251</v>
      </c>
      <c r="I196" s="282">
        <f t="shared" si="33"/>
        <v>171</v>
      </c>
      <c r="J196" s="286">
        <f>+I196+I217</f>
        <v>1642</v>
      </c>
    </row>
    <row r="197" spans="1:10">
      <c r="A197" s="137" t="s">
        <v>255</v>
      </c>
      <c r="B197" s="154" t="s">
        <v>261</v>
      </c>
      <c r="C197" s="373">
        <v>10000</v>
      </c>
      <c r="D197" s="380">
        <v>820</v>
      </c>
      <c r="E197" s="139" t="str">
        <f t="shared" si="31"/>
        <v/>
      </c>
      <c r="F197" s="175">
        <f t="shared" si="32"/>
        <v>-9180</v>
      </c>
      <c r="G197" s="288">
        <v>46889</v>
      </c>
      <c r="I197" s="282">
        <f>+G197-H197</f>
        <v>46889</v>
      </c>
      <c r="J197" s="286" t="e">
        <f>+I197+#REF!</f>
        <v>#REF!</v>
      </c>
    </row>
    <row r="198" spans="1:10">
      <c r="A198" s="137" t="s">
        <v>263</v>
      </c>
      <c r="B198" s="138" t="s">
        <v>262</v>
      </c>
      <c r="C198" s="374">
        <v>10000</v>
      </c>
      <c r="D198" s="380">
        <v>820</v>
      </c>
      <c r="E198" s="139" t="str">
        <f t="shared" si="31"/>
        <v/>
      </c>
      <c r="F198" s="175">
        <f t="shared" si="32"/>
        <v>-9180</v>
      </c>
      <c r="G198" s="288">
        <v>9210</v>
      </c>
      <c r="I198" s="282">
        <f>+G198-H198</f>
        <v>9210</v>
      </c>
      <c r="J198" s="286" t="e">
        <f>+I198+#REF!</f>
        <v>#REF!</v>
      </c>
    </row>
    <row r="199" spans="1:10" ht="13.5" thickBot="1">
      <c r="A199" s="137"/>
      <c r="B199" s="147"/>
      <c r="C199" s="359">
        <f>SUM(C185:C198)</f>
        <v>6210000</v>
      </c>
      <c r="D199" s="359">
        <f t="shared" ref="D199:F199" si="34">SUM(D185:D198)</f>
        <v>477291</v>
      </c>
      <c r="E199" s="172">
        <f>SUM(E185:E198)</f>
        <v>0</v>
      </c>
      <c r="F199" s="174">
        <f t="shared" si="34"/>
        <v>-5732709</v>
      </c>
      <c r="G199" s="288">
        <v>16391</v>
      </c>
      <c r="H199" s="292">
        <f>SUM(H185:H198)</f>
        <v>193354</v>
      </c>
      <c r="I199" s="282">
        <f>+G199-H199</f>
        <v>-176963</v>
      </c>
    </row>
    <row r="200" spans="1:10" ht="0.75" customHeight="1" thickTop="1">
      <c r="A200" s="137"/>
      <c r="B200" s="147"/>
      <c r="C200" s="357"/>
      <c r="D200" s="316"/>
      <c r="E200" s="140"/>
      <c r="F200" s="175"/>
      <c r="G200" s="288">
        <v>3120</v>
      </c>
      <c r="I200" s="282">
        <f>+G200-H200</f>
        <v>3120</v>
      </c>
    </row>
    <row r="201" spans="1:10" ht="12" customHeight="1">
      <c r="A201" s="146" t="s">
        <v>367</v>
      </c>
      <c r="B201" s="147"/>
      <c r="C201" s="357"/>
      <c r="D201" s="360"/>
      <c r="E201" s="139"/>
      <c r="F201" s="175"/>
      <c r="G201" s="288">
        <v>3120</v>
      </c>
      <c r="I201" s="282">
        <f>+G201-H201</f>
        <v>3120</v>
      </c>
    </row>
    <row r="202" spans="1:10">
      <c r="A202" s="137" t="s">
        <v>21</v>
      </c>
      <c r="B202" s="315" t="s">
        <v>379</v>
      </c>
      <c r="C202" s="316">
        <v>85000</v>
      </c>
      <c r="D202" s="317">
        <v>10166</v>
      </c>
      <c r="E202" s="139" t="str">
        <f t="shared" ref="E202:E217" si="35">IF((D202-C202)&gt;0,D202-C202,"")</f>
        <v/>
      </c>
      <c r="F202" s="175">
        <f t="shared" ref="F202:F217" si="36">IF((D202-C202)&gt;0,"",D202-C202)</f>
        <v>-74834</v>
      </c>
      <c r="H202" s="280">
        <v>6052</v>
      </c>
      <c r="I202" s="282">
        <f>+D202-H202</f>
        <v>4114</v>
      </c>
    </row>
    <row r="203" spans="1:10">
      <c r="A203" s="137" t="s">
        <v>22</v>
      </c>
      <c r="B203" s="315" t="s">
        <v>380</v>
      </c>
      <c r="C203" s="316">
        <v>400000</v>
      </c>
      <c r="D203" s="317">
        <v>34812.5</v>
      </c>
      <c r="E203" s="139" t="str">
        <f t="shared" si="35"/>
        <v/>
      </c>
      <c r="F203" s="175">
        <f t="shared" si="36"/>
        <v>-365187.5</v>
      </c>
      <c r="H203" s="280">
        <v>26885</v>
      </c>
      <c r="I203" s="282">
        <f t="shared" ref="I203:I217" si="37">+D203-H203</f>
        <v>7927.5</v>
      </c>
    </row>
    <row r="204" spans="1:10">
      <c r="A204" s="137" t="s">
        <v>7</v>
      </c>
      <c r="B204" s="315" t="s">
        <v>381</v>
      </c>
      <c r="C204" s="316">
        <v>300000</v>
      </c>
      <c r="D204" s="317">
        <v>20717.5</v>
      </c>
      <c r="E204" s="139" t="str">
        <f t="shared" si="35"/>
        <v/>
      </c>
      <c r="F204" s="175">
        <f t="shared" si="36"/>
        <v>-279282.5</v>
      </c>
      <c r="H204" s="280">
        <v>12795</v>
      </c>
      <c r="I204" s="282">
        <f t="shared" si="37"/>
        <v>7922.5</v>
      </c>
    </row>
    <row r="205" spans="1:10">
      <c r="A205" s="137" t="s">
        <v>23</v>
      </c>
      <c r="B205" s="315" t="s">
        <v>382</v>
      </c>
      <c r="C205" s="316">
        <v>270000</v>
      </c>
      <c r="D205" s="317">
        <v>24412.5</v>
      </c>
      <c r="E205" s="139" t="str">
        <f t="shared" si="35"/>
        <v/>
      </c>
      <c r="F205" s="175">
        <f t="shared" si="36"/>
        <v>-245587.5</v>
      </c>
      <c r="H205" s="280">
        <v>27310.5</v>
      </c>
      <c r="I205" s="282">
        <f t="shared" si="37"/>
        <v>-2898</v>
      </c>
    </row>
    <row r="206" spans="1:10">
      <c r="A206" s="137" t="s">
        <v>24</v>
      </c>
      <c r="B206" s="315" t="s">
        <v>383</v>
      </c>
      <c r="C206" s="316">
        <v>130000</v>
      </c>
      <c r="D206" s="317">
        <v>6804</v>
      </c>
      <c r="E206" s="139" t="str">
        <f t="shared" si="35"/>
        <v/>
      </c>
      <c r="F206" s="175">
        <f t="shared" si="36"/>
        <v>-123196</v>
      </c>
      <c r="H206" s="280">
        <v>12027.75</v>
      </c>
      <c r="I206" s="282">
        <f t="shared" si="37"/>
        <v>-5223.75</v>
      </c>
    </row>
    <row r="207" spans="1:10">
      <c r="A207" s="137" t="s">
        <v>4</v>
      </c>
      <c r="B207" s="315" t="s">
        <v>384</v>
      </c>
      <c r="C207" s="316">
        <v>60000</v>
      </c>
      <c r="D207" s="317">
        <v>8921.56</v>
      </c>
      <c r="E207" s="139" t="str">
        <f t="shared" si="35"/>
        <v/>
      </c>
      <c r="F207" s="175">
        <f t="shared" si="36"/>
        <v>-51078.44</v>
      </c>
      <c r="H207" s="280">
        <f>600+8800+313.43</f>
        <v>9713.43</v>
      </c>
      <c r="I207" s="282">
        <f t="shared" si="37"/>
        <v>-791.8700000000008</v>
      </c>
    </row>
    <row r="208" spans="1:10">
      <c r="A208" s="313" t="s">
        <v>411</v>
      </c>
      <c r="B208" s="315" t="s">
        <v>412</v>
      </c>
      <c r="C208" s="316"/>
      <c r="D208" s="317">
        <v>813.75</v>
      </c>
      <c r="E208" s="139"/>
      <c r="F208" s="175"/>
      <c r="I208" s="282"/>
    </row>
    <row r="209" spans="1:10">
      <c r="A209" s="137" t="s">
        <v>25</v>
      </c>
      <c r="B209" s="315" t="s">
        <v>385</v>
      </c>
      <c r="C209" s="316">
        <v>900000</v>
      </c>
      <c r="D209" s="317">
        <v>80790</v>
      </c>
      <c r="E209" s="139" t="str">
        <f t="shared" si="35"/>
        <v/>
      </c>
      <c r="F209" s="175">
        <f t="shared" si="36"/>
        <v>-819210</v>
      </c>
      <c r="G209" s="298"/>
      <c r="H209" s="299">
        <v>79860</v>
      </c>
      <c r="I209" s="282">
        <f t="shared" si="37"/>
        <v>930</v>
      </c>
    </row>
    <row r="210" spans="1:10">
      <c r="A210" s="137" t="s">
        <v>29</v>
      </c>
      <c r="B210" s="315" t="s">
        <v>386</v>
      </c>
      <c r="C210" s="316">
        <v>40000</v>
      </c>
      <c r="D210" s="317">
        <v>7649.25</v>
      </c>
      <c r="E210" s="139" t="str">
        <f t="shared" si="35"/>
        <v/>
      </c>
      <c r="F210" s="175">
        <f t="shared" si="36"/>
        <v>-32350.75</v>
      </c>
      <c r="G210" s="298"/>
      <c r="H210" s="299">
        <v>3255</v>
      </c>
      <c r="I210" s="282">
        <f t="shared" si="37"/>
        <v>4394.25</v>
      </c>
    </row>
    <row r="211" spans="1:10">
      <c r="A211" s="313" t="s">
        <v>388</v>
      </c>
      <c r="B211" s="315" t="s">
        <v>387</v>
      </c>
      <c r="C211" s="316">
        <v>23170</v>
      </c>
      <c r="D211" s="317">
        <v>42000</v>
      </c>
      <c r="E211" s="139">
        <f t="shared" si="35"/>
        <v>18830</v>
      </c>
      <c r="F211" s="175" t="str">
        <f t="shared" si="36"/>
        <v/>
      </c>
      <c r="G211" s="298"/>
      <c r="H211" s="299">
        <v>42000</v>
      </c>
      <c r="I211" s="282">
        <f t="shared" si="37"/>
        <v>0</v>
      </c>
    </row>
    <row r="212" spans="1:10">
      <c r="A212" s="137" t="s">
        <v>8</v>
      </c>
      <c r="B212" s="315" t="s">
        <v>389</v>
      </c>
      <c r="C212" s="316">
        <v>115500</v>
      </c>
      <c r="D212" s="398">
        <v>11383.2</v>
      </c>
      <c r="E212" s="139" t="str">
        <f t="shared" si="35"/>
        <v/>
      </c>
      <c r="F212" s="175">
        <f t="shared" si="36"/>
        <v>-104116.8</v>
      </c>
      <c r="G212" s="298"/>
      <c r="H212" s="299">
        <v>12328.2</v>
      </c>
      <c r="I212" s="282">
        <f t="shared" si="37"/>
        <v>-945</v>
      </c>
    </row>
    <row r="213" spans="1:10">
      <c r="A213" s="137" t="s">
        <v>38</v>
      </c>
      <c r="B213" s="315" t="s">
        <v>390</v>
      </c>
      <c r="C213" s="316">
        <v>65000</v>
      </c>
      <c r="D213" s="357">
        <v>5715</v>
      </c>
      <c r="E213" s="139" t="str">
        <f t="shared" si="35"/>
        <v/>
      </c>
      <c r="F213" s="175">
        <f t="shared" si="36"/>
        <v>-59285</v>
      </c>
      <c r="G213" s="298"/>
      <c r="H213" s="299">
        <v>5445</v>
      </c>
      <c r="I213" s="282">
        <f t="shared" si="37"/>
        <v>270</v>
      </c>
    </row>
    <row r="214" spans="1:10">
      <c r="A214" s="137" t="s">
        <v>85</v>
      </c>
      <c r="B214" s="338"/>
      <c r="C214" s="316"/>
      <c r="D214" s="357"/>
      <c r="E214" s="139" t="str">
        <f t="shared" si="35"/>
        <v/>
      </c>
      <c r="F214" s="175">
        <f t="shared" si="36"/>
        <v>0</v>
      </c>
      <c r="G214" s="298"/>
      <c r="H214" s="299"/>
      <c r="I214" s="282"/>
    </row>
    <row r="215" spans="1:10">
      <c r="A215" s="137" t="s">
        <v>89</v>
      </c>
      <c r="B215" s="138" t="s">
        <v>256</v>
      </c>
      <c r="C215" s="373">
        <v>40000</v>
      </c>
      <c r="D215" s="317">
        <v>5850.75</v>
      </c>
      <c r="E215" s="139" t="str">
        <f t="shared" si="35"/>
        <v/>
      </c>
      <c r="F215" s="175">
        <f t="shared" si="36"/>
        <v>-34149.25</v>
      </c>
      <c r="G215" s="298"/>
      <c r="H215" s="299">
        <v>13733</v>
      </c>
      <c r="I215" s="282">
        <f t="shared" si="37"/>
        <v>-7882.25</v>
      </c>
      <c r="J215" s="286">
        <f>+I215+I194</f>
        <v>-18673.25</v>
      </c>
    </row>
    <row r="216" spans="1:10">
      <c r="A216" s="137" t="s">
        <v>172</v>
      </c>
      <c r="B216" s="138" t="s">
        <v>257</v>
      </c>
      <c r="C216" s="373">
        <v>120000</v>
      </c>
      <c r="D216" s="317">
        <v>16638.75</v>
      </c>
      <c r="E216" s="139" t="str">
        <f t="shared" si="35"/>
        <v/>
      </c>
      <c r="F216" s="175">
        <f t="shared" si="36"/>
        <v>-103361.25</v>
      </c>
      <c r="G216" s="298"/>
      <c r="H216" s="299">
        <v>5334</v>
      </c>
      <c r="I216" s="282">
        <f t="shared" si="37"/>
        <v>11304.75</v>
      </c>
      <c r="J216" s="286">
        <f>+I216+I195</f>
        <v>21214.75</v>
      </c>
    </row>
    <row r="217" spans="1:10">
      <c r="A217" s="137" t="s">
        <v>91</v>
      </c>
      <c r="B217" s="138" t="s">
        <v>259</v>
      </c>
      <c r="C217" s="373">
        <v>30000</v>
      </c>
      <c r="D217" s="357">
        <v>4393</v>
      </c>
      <c r="E217" s="139" t="str">
        <f t="shared" si="35"/>
        <v/>
      </c>
      <c r="F217" s="175">
        <f t="shared" si="36"/>
        <v>-25607</v>
      </c>
      <c r="G217" s="298"/>
      <c r="H217" s="299">
        <v>2922</v>
      </c>
      <c r="I217" s="282">
        <f t="shared" si="37"/>
        <v>1471</v>
      </c>
      <c r="J217" s="286">
        <f>+I217+I196</f>
        <v>1642</v>
      </c>
    </row>
    <row r="218" spans="1:10" ht="13.5" thickBot="1">
      <c r="A218" s="137" t="s">
        <v>17</v>
      </c>
      <c r="B218" s="147"/>
      <c r="C218" s="359">
        <f>SUM(C202:C217)</f>
        <v>2578670</v>
      </c>
      <c r="D218" s="359">
        <f t="shared" ref="D218:F218" si="38">SUM(D202:D217)</f>
        <v>281067.76</v>
      </c>
      <c r="E218" s="172">
        <f>SUM(E202:E217)</f>
        <v>18830</v>
      </c>
      <c r="F218" s="174">
        <f t="shared" si="38"/>
        <v>-2317245.9900000002</v>
      </c>
      <c r="G218" s="298"/>
      <c r="H218" s="292">
        <f>SUM(H202:H217)</f>
        <v>259660.88</v>
      </c>
      <c r="I218" s="292">
        <f>SUM(I202:I217)</f>
        <v>20593.129999999997</v>
      </c>
    </row>
    <row r="219" spans="1:10" ht="13.5" thickTop="1">
      <c r="A219" s="146" t="s">
        <v>391</v>
      </c>
      <c r="B219" s="315" t="s">
        <v>392</v>
      </c>
      <c r="C219" s="366"/>
      <c r="D219" s="221"/>
      <c r="E219" s="163"/>
      <c r="F219" s="175"/>
      <c r="G219" s="298"/>
    </row>
    <row r="220" spans="1:10">
      <c r="A220" s="137" t="s">
        <v>27</v>
      </c>
      <c r="B220" s="315" t="s">
        <v>393</v>
      </c>
      <c r="C220" s="316">
        <v>3500000</v>
      </c>
      <c r="D220" s="221">
        <v>254305</v>
      </c>
      <c r="E220" s="139" t="str">
        <f>IF((D220-C220)&gt;0,D220-C220,"")</f>
        <v/>
      </c>
      <c r="F220" s="175">
        <f>IF((D220-C220)&gt;0,"",D220-C220)</f>
        <v>-3245695</v>
      </c>
      <c r="G220" s="298"/>
      <c r="H220" s="280">
        <f>261615+35800</f>
        <v>297415</v>
      </c>
      <c r="I220" s="282">
        <f>+D220-H220</f>
        <v>-43110</v>
      </c>
    </row>
    <row r="221" spans="1:10">
      <c r="A221" s="137" t="s">
        <v>85</v>
      </c>
      <c r="B221" s="338"/>
      <c r="C221" s="316"/>
      <c r="D221" s="221"/>
      <c r="E221" s="139" t="str">
        <f>IF((D221-C221)&gt;0,D221-C221,"")</f>
        <v/>
      </c>
      <c r="F221" s="175">
        <f>IF((D221-C221)&gt;0,"",D221-C221)</f>
        <v>0</v>
      </c>
      <c r="G221" s="298"/>
      <c r="I221" s="282"/>
    </row>
    <row r="222" spans="1:10">
      <c r="A222" s="137" t="s">
        <v>172</v>
      </c>
      <c r="B222" s="138" t="s">
        <v>257</v>
      </c>
      <c r="C222" s="316">
        <v>500000</v>
      </c>
      <c r="D222" s="221">
        <v>43980</v>
      </c>
      <c r="E222" s="139" t="str">
        <f>IF((D222-C222)&gt;0,D222-C222,"")</f>
        <v/>
      </c>
      <c r="F222" s="175">
        <f t="shared" ref="F222:F224" si="39">IF((D222-C222)&gt;0,"",D222-C222)</f>
        <v>-456020</v>
      </c>
      <c r="G222" s="298"/>
      <c r="H222" s="280">
        <v>48300</v>
      </c>
      <c r="I222" s="282">
        <f>+D222-H222</f>
        <v>-4320</v>
      </c>
    </row>
    <row r="223" spans="1:10">
      <c r="A223" s="137" t="s">
        <v>255</v>
      </c>
      <c r="B223" s="138" t="s">
        <v>261</v>
      </c>
      <c r="C223" s="316">
        <v>7000</v>
      </c>
      <c r="D223" s="221">
        <v>1060</v>
      </c>
      <c r="E223" s="139" t="str">
        <f>IF((D223-C223)&gt;0,D223-C223,"")</f>
        <v/>
      </c>
      <c r="F223" s="175">
        <f t="shared" si="39"/>
        <v>-5940</v>
      </c>
      <c r="G223" s="298"/>
      <c r="H223" s="280">
        <v>800</v>
      </c>
      <c r="I223" s="282">
        <f>+D223-H223</f>
        <v>260</v>
      </c>
    </row>
    <row r="224" spans="1:10">
      <c r="A224" s="137" t="s">
        <v>263</v>
      </c>
      <c r="B224" s="138" t="s">
        <v>262</v>
      </c>
      <c r="C224" s="356">
        <v>7000</v>
      </c>
      <c r="D224" s="221">
        <v>1060</v>
      </c>
      <c r="E224" s="139" t="str">
        <f>IF((D224-C224)&gt;0,D224-C224,"")</f>
        <v/>
      </c>
      <c r="F224" s="175">
        <f t="shared" si="39"/>
        <v>-5940</v>
      </c>
      <c r="G224" s="298"/>
      <c r="H224" s="280">
        <v>800</v>
      </c>
      <c r="I224" s="282">
        <f>+D224-H224</f>
        <v>260</v>
      </c>
    </row>
    <row r="225" spans="1:10" ht="13.5" thickBot="1">
      <c r="A225" s="137"/>
      <c r="B225" s="147"/>
      <c r="C225" s="367">
        <f>SUM(C220:C224)</f>
        <v>4014000</v>
      </c>
      <c r="D225" s="399">
        <f t="shared" ref="D225:F225" si="40">SUM(D220:D224)</f>
        <v>300405</v>
      </c>
      <c r="E225" s="189">
        <f>SUM(E220:E224)</f>
        <v>0</v>
      </c>
      <c r="F225" s="190">
        <f t="shared" si="40"/>
        <v>-3713595</v>
      </c>
      <c r="G225" s="298"/>
      <c r="H225" s="292">
        <f>SUM(H220:H224)</f>
        <v>347315</v>
      </c>
      <c r="I225" s="292">
        <f>SUM(I220:I224)</f>
        <v>-46910</v>
      </c>
    </row>
    <row r="226" spans="1:10" ht="13.5" thickTop="1">
      <c r="A226" s="137" t="s">
        <v>123</v>
      </c>
      <c r="B226" s="147"/>
      <c r="C226" s="356">
        <f>SUM(C225+C218+C199+C181+C164+C148+C129)</f>
        <v>112768670</v>
      </c>
      <c r="D226" s="316">
        <f>SUM(D225+D218+D199+D181+D164+D148+D129)</f>
        <v>12501780.98</v>
      </c>
      <c r="E226" s="140">
        <f>+E129+E148+E164+E181+E199+E218+E225</f>
        <v>51130</v>
      </c>
      <c r="F226" s="169">
        <f>SUM(F225+F218+F199+F181+F164+F148+F129)</f>
        <v>-100318832.77000001</v>
      </c>
      <c r="G226" s="298"/>
    </row>
    <row r="227" spans="1:10" ht="13.5" thickBot="1">
      <c r="A227" s="191" t="s">
        <v>107</v>
      </c>
      <c r="B227" s="192"/>
      <c r="C227" s="368">
        <f>+C226+C125</f>
        <v>1087719420</v>
      </c>
      <c r="D227" s="383">
        <f>+D226+D125</f>
        <v>231689124.34999996</v>
      </c>
      <c r="E227" s="193">
        <f>+E226+E125</f>
        <v>284523.33</v>
      </c>
      <c r="F227" s="194">
        <f>+F226+F125</f>
        <v>-856315632.73000002</v>
      </c>
      <c r="G227" s="298"/>
    </row>
    <row r="228" spans="1:10" ht="13.5" thickTop="1">
      <c r="A228" s="171" t="s">
        <v>111</v>
      </c>
      <c r="B228" s="154"/>
      <c r="C228" s="357"/>
      <c r="D228" s="357"/>
      <c r="E228" s="153"/>
      <c r="F228" s="175"/>
      <c r="G228" s="298"/>
      <c r="H228" s="280">
        <f>D33+I239</f>
        <v>119229373.93999998</v>
      </c>
      <c r="I228" s="300">
        <v>121064830.92</v>
      </c>
      <c r="J228" s="286">
        <f>H228-I228</f>
        <v>-1835456.9800000191</v>
      </c>
    </row>
    <row r="229" spans="1:10" ht="11.25" customHeight="1">
      <c r="A229" s="195"/>
      <c r="B229" s="196"/>
      <c r="C229" s="2"/>
      <c r="D229" s="400"/>
      <c r="E229" s="197"/>
      <c r="F229" s="199"/>
    </row>
    <row r="230" spans="1:10" ht="14.25">
      <c r="A230" s="466" t="s">
        <v>196</v>
      </c>
      <c r="B230" s="467"/>
      <c r="C230" s="2"/>
      <c r="D230" s="2"/>
      <c r="E230" s="200"/>
      <c r="F230" s="201"/>
    </row>
    <row r="231" spans="1:10" ht="14.25">
      <c r="A231" s="468" t="s">
        <v>400</v>
      </c>
      <c r="B231" s="469"/>
      <c r="C231" s="3"/>
      <c r="D231" s="401" t="s">
        <v>114</v>
      </c>
      <c r="E231" s="196"/>
      <c r="F231" s="201"/>
    </row>
    <row r="232" spans="1:10" ht="14.25">
      <c r="A232" s="171"/>
      <c r="B232" s="196"/>
      <c r="C232" s="4"/>
      <c r="D232" s="4"/>
      <c r="E232" s="196"/>
      <c r="F232" s="201"/>
    </row>
    <row r="233" spans="1:10" ht="12.75" customHeight="1">
      <c r="A233" s="195"/>
      <c r="B233" s="196"/>
      <c r="C233" s="369"/>
      <c r="D233" s="470" t="s">
        <v>115</v>
      </c>
      <c r="E233" s="470"/>
      <c r="F233" s="471"/>
      <c r="H233" s="296"/>
      <c r="I233" s="240"/>
      <c r="J233" s="240" t="s">
        <v>187</v>
      </c>
    </row>
    <row r="234" spans="1:10" ht="14.25">
      <c r="A234" s="195"/>
      <c r="B234" s="196"/>
      <c r="C234" s="369"/>
      <c r="D234" s="472" t="s">
        <v>116</v>
      </c>
      <c r="E234" s="472"/>
      <c r="F234" s="473"/>
      <c r="H234" s="301" t="s">
        <v>179</v>
      </c>
      <c r="I234" s="302">
        <v>233334680.68000001</v>
      </c>
      <c r="J234" s="240" t="s">
        <v>185</v>
      </c>
    </row>
    <row r="235" spans="1:10" ht="14.25">
      <c r="A235" s="195"/>
      <c r="B235" s="196"/>
      <c r="C235" s="369"/>
      <c r="D235" s="372"/>
      <c r="E235" s="222"/>
      <c r="F235" s="223"/>
      <c r="H235" s="301"/>
      <c r="I235" s="240"/>
      <c r="J235" s="240"/>
    </row>
    <row r="236" spans="1:10" ht="11.25" customHeight="1">
      <c r="A236" s="171" t="s">
        <v>117</v>
      </c>
      <c r="B236" s="196"/>
      <c r="C236" s="369"/>
      <c r="D236" s="369"/>
      <c r="E236" s="148"/>
      <c r="F236" s="223"/>
      <c r="H236" s="301" t="s">
        <v>180</v>
      </c>
      <c r="I236" s="296"/>
      <c r="J236" s="240" t="s">
        <v>185</v>
      </c>
    </row>
    <row r="237" spans="1:10">
      <c r="A237" s="171" t="s">
        <v>118</v>
      </c>
      <c r="B237" s="154"/>
      <c r="C237" s="369"/>
      <c r="D237" s="369"/>
      <c r="E237" s="154"/>
      <c r="F237" s="151"/>
      <c r="H237" s="301" t="s">
        <v>181</v>
      </c>
      <c r="I237" s="241">
        <v>672073.44</v>
      </c>
      <c r="J237" s="240" t="s">
        <v>186</v>
      </c>
    </row>
    <row r="238" spans="1:10" ht="12.75" customHeight="1" thickBot="1">
      <c r="A238" s="224"/>
      <c r="B238" s="156"/>
      <c r="C238" s="370"/>
      <c r="D238" s="370"/>
      <c r="E238" s="225"/>
      <c r="F238" s="205"/>
      <c r="H238" s="301" t="s">
        <v>189</v>
      </c>
      <c r="I238" s="296">
        <v>0</v>
      </c>
      <c r="J238" s="240" t="s">
        <v>184</v>
      </c>
    </row>
    <row r="239" spans="1:10" ht="13.5" customHeight="1">
      <c r="C239" s="371"/>
      <c r="F239" s="196"/>
      <c r="H239" s="301" t="s">
        <v>183</v>
      </c>
      <c r="I239" s="241">
        <v>973482.89</v>
      </c>
      <c r="J239" s="240" t="s">
        <v>185</v>
      </c>
    </row>
    <row r="240" spans="1:10" ht="14.25">
      <c r="A240" s="148"/>
      <c r="B240" s="196"/>
      <c r="C240" s="3"/>
      <c r="D240" s="3"/>
      <c r="E240" s="202"/>
      <c r="F240" s="202"/>
      <c r="H240" s="296"/>
      <c r="I240" s="296">
        <f>I234-I236-I237-I239-I238</f>
        <v>231689124.35000002</v>
      </c>
      <c r="J240" s="240"/>
    </row>
    <row r="241" spans="1:10">
      <c r="A241" s="206"/>
      <c r="B241" s="207"/>
      <c r="C241" s="372"/>
      <c r="D241" s="372"/>
      <c r="H241" s="296"/>
      <c r="I241" s="296"/>
      <c r="J241" s="240"/>
    </row>
    <row r="242" spans="1:10">
      <c r="A242" s="206"/>
      <c r="B242" s="207"/>
      <c r="C242" s="372"/>
      <c r="D242" s="372"/>
      <c r="H242" s="296"/>
      <c r="I242" s="296"/>
      <c r="J242" s="240"/>
    </row>
    <row r="243" spans="1:10">
      <c r="A243" s="206"/>
      <c r="B243" s="207"/>
      <c r="C243" s="372"/>
      <c r="D243" s="372"/>
      <c r="H243" s="296" t="s">
        <v>182</v>
      </c>
      <c r="I243" s="296">
        <f>D227</f>
        <v>231689124.34999996</v>
      </c>
      <c r="J243" s="240"/>
    </row>
    <row r="244" spans="1:10">
      <c r="A244" s="206"/>
      <c r="B244" s="207"/>
      <c r="C244" s="372"/>
      <c r="D244" s="372"/>
      <c r="H244" s="296" t="s">
        <v>176</v>
      </c>
      <c r="I244" s="296">
        <f>I240-I243</f>
        <v>0</v>
      </c>
      <c r="J244" s="240"/>
    </row>
    <row r="245" spans="1:10">
      <c r="A245" s="206"/>
      <c r="B245" s="207"/>
      <c r="C245" s="372"/>
      <c r="D245" s="372"/>
    </row>
    <row r="246" spans="1:10">
      <c r="A246" s="206"/>
      <c r="B246" s="207"/>
      <c r="C246" s="372"/>
      <c r="D246" s="372"/>
    </row>
    <row r="247" spans="1:10">
      <c r="A247" s="206"/>
      <c r="B247" s="207"/>
      <c r="C247" s="372"/>
      <c r="D247" s="372"/>
      <c r="E247" s="279"/>
      <c r="F247" s="279"/>
      <c r="H247" s="279"/>
      <c r="I247" s="279"/>
    </row>
    <row r="248" spans="1:10">
      <c r="A248" s="206"/>
      <c r="B248" s="207"/>
      <c r="C248" s="372"/>
      <c r="D248" s="372"/>
      <c r="E248" s="279"/>
      <c r="F248" s="279"/>
      <c r="H248" s="279"/>
      <c r="I248" s="279"/>
    </row>
    <row r="249" spans="1:10">
      <c r="A249" s="206"/>
      <c r="B249" s="207"/>
      <c r="C249" s="372"/>
      <c r="D249" s="372"/>
      <c r="E249" s="279"/>
      <c r="F249" s="279"/>
      <c r="H249" s="279"/>
      <c r="I249" s="279"/>
    </row>
    <row r="250" spans="1:10">
      <c r="A250" s="206"/>
      <c r="B250" s="207"/>
      <c r="C250" s="372"/>
      <c r="D250" s="372"/>
      <c r="E250" s="279"/>
      <c r="F250" s="279"/>
      <c r="H250" s="279"/>
      <c r="I250" s="279"/>
    </row>
    <row r="251" spans="1:10">
      <c r="A251" s="206"/>
      <c r="B251" s="207"/>
      <c r="C251" s="372"/>
      <c r="D251" s="372"/>
      <c r="E251" s="279"/>
      <c r="F251" s="279"/>
      <c r="H251" s="279"/>
      <c r="I251" s="279"/>
    </row>
    <row r="252" spans="1:10">
      <c r="A252" s="206"/>
      <c r="B252" s="207"/>
      <c r="C252" s="372"/>
      <c r="D252" s="372"/>
      <c r="E252" s="279"/>
      <c r="F252" s="279"/>
      <c r="H252" s="279"/>
      <c r="I252" s="279"/>
    </row>
    <row r="253" spans="1:10">
      <c r="A253" s="206"/>
      <c r="B253" s="207"/>
      <c r="C253" s="372"/>
      <c r="D253" s="372"/>
      <c r="E253" s="279"/>
      <c r="F253" s="279"/>
      <c r="H253" s="279"/>
      <c r="I253" s="279"/>
    </row>
    <row r="254" spans="1:10">
      <c r="A254" s="206"/>
      <c r="B254" s="207"/>
      <c r="C254" s="222"/>
      <c r="D254" s="372"/>
      <c r="E254" s="279"/>
      <c r="F254" s="279"/>
      <c r="H254" s="279"/>
      <c r="I254" s="279"/>
    </row>
    <row r="255" spans="1:10">
      <c r="A255" s="206"/>
      <c r="B255" s="207"/>
      <c r="C255" s="222"/>
      <c r="D255" s="372"/>
      <c r="E255" s="279"/>
      <c r="F255" s="279"/>
      <c r="H255" s="279"/>
      <c r="I255" s="279"/>
    </row>
    <row r="256" spans="1:10">
      <c r="A256" s="206"/>
      <c r="B256" s="207"/>
      <c r="C256" s="22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148"/>
      <c r="B281" s="154"/>
      <c r="C281" s="222"/>
      <c r="D281" s="372"/>
      <c r="E281" s="279"/>
      <c r="F281" s="279"/>
      <c r="H281" s="279"/>
      <c r="I281" s="279"/>
    </row>
    <row r="282" spans="1:9">
      <c r="A282" s="148"/>
      <c r="B282" s="154"/>
      <c r="C282" s="222"/>
      <c r="D282" s="372"/>
      <c r="E282" s="279"/>
      <c r="F282" s="279"/>
      <c r="H282" s="279"/>
      <c r="I282" s="279"/>
    </row>
    <row r="283" spans="1:9">
      <c r="A283" s="148"/>
      <c r="B283" s="154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</sheetData>
  <mergeCells count="10">
    <mergeCell ref="A230:B230"/>
    <mergeCell ref="A231:B231"/>
    <mergeCell ref="D233:F233"/>
    <mergeCell ref="D234:F234"/>
    <mergeCell ref="A3:F3"/>
    <mergeCell ref="A4:F4"/>
    <mergeCell ref="A7:A8"/>
    <mergeCell ref="B7:B8"/>
    <mergeCell ref="E7:E8"/>
    <mergeCell ref="F7:F8"/>
  </mergeCells>
  <pageMargins left="0.44117647058823528" right="0.12" top="0.40625" bottom="0.85416666666666663" header="0.5" footer="0.5"/>
  <pageSetup paperSize="5" scale="97" fitToHeight="0" orientation="portrait" r:id="rId1"/>
  <headerFooter alignWithMargins="0"/>
  <rowBreaks count="2" manualBreakCount="2">
    <brk id="121" max="5" man="1"/>
    <brk id="18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opLeftCell="A199" zoomScaleSheetLayoutView="12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79" customWidth="1"/>
    <col min="12" max="12" width="9.2851562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198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07"/>
      <c r="C6" s="307"/>
      <c r="D6" s="334"/>
      <c r="E6" s="307"/>
      <c r="F6" s="308"/>
      <c r="H6" s="281" t="s">
        <v>154</v>
      </c>
      <c r="I6" s="211" t="s">
        <v>176</v>
      </c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291975</v>
      </c>
      <c r="E11" s="140" t="str">
        <f>IF((D11-C11)&gt;0,D11-C11,"")</f>
        <v/>
      </c>
      <c r="F11" s="175">
        <f>IF((D11-C11)&gt;0,"",D11-C11)</f>
        <v>-88025</v>
      </c>
      <c r="H11" s="280">
        <v>291975</v>
      </c>
      <c r="I11" s="282">
        <f>D11-H11</f>
        <v>0</v>
      </c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2" si="0">IF((D12-C12)&gt;0,D12-C12,"")</f>
        <v/>
      </c>
      <c r="F12" s="141">
        <f t="shared" ref="F12:F32" si="1">IF((D12-C12)&gt;0,"",D12-C12)</f>
        <v>0</v>
      </c>
      <c r="I12" s="282">
        <f t="shared" ref="I12:I32" si="2">D12-H12</f>
        <v>0</v>
      </c>
    </row>
    <row r="13" spans="1:13">
      <c r="A13" s="137" t="s">
        <v>50</v>
      </c>
      <c r="B13" s="338" t="s">
        <v>203</v>
      </c>
      <c r="C13" s="316">
        <v>5000000</v>
      </c>
      <c r="D13" s="365">
        <v>3000829.49</v>
      </c>
      <c r="E13" s="140" t="str">
        <f t="shared" si="0"/>
        <v/>
      </c>
      <c r="F13" s="175">
        <f t="shared" si="1"/>
        <v>-1999170.5099999998</v>
      </c>
      <c r="H13" s="280">
        <v>3000826.4</v>
      </c>
      <c r="I13" s="282">
        <f t="shared" si="2"/>
        <v>3.0900000003166497</v>
      </c>
      <c r="J13" s="284"/>
      <c r="K13" s="285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1201244.8</v>
      </c>
      <c r="E14" s="140" t="str">
        <f t="shared" si="0"/>
        <v/>
      </c>
      <c r="F14" s="175">
        <f t="shared" si="1"/>
        <v>-298755.19999999995</v>
      </c>
      <c r="H14" s="280">
        <v>1201244.8</v>
      </c>
      <c r="I14" s="282">
        <f t="shared" si="2"/>
        <v>0</v>
      </c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</row>
    <row r="16" spans="1:13">
      <c r="A16" s="137" t="s">
        <v>217</v>
      </c>
      <c r="B16" s="338" t="s">
        <v>220</v>
      </c>
      <c r="C16" s="316">
        <v>45000000</v>
      </c>
      <c r="D16" s="380">
        <f>9734619.96-973482.89</f>
        <v>8761137.0700000003</v>
      </c>
      <c r="E16" s="140" t="str">
        <f t="shared" si="0"/>
        <v/>
      </c>
      <c r="F16" s="175">
        <f t="shared" si="1"/>
        <v>-36238862.93</v>
      </c>
      <c r="H16" s="280">
        <v>8767036.3300000001</v>
      </c>
      <c r="I16" s="282">
        <f t="shared" si="2"/>
        <v>-5899.2599999997765</v>
      </c>
      <c r="J16" s="284"/>
    </row>
    <row r="17" spans="1:11">
      <c r="A17" s="137" t="s">
        <v>218</v>
      </c>
      <c r="B17" s="338" t="s">
        <v>221</v>
      </c>
      <c r="C17" s="316">
        <v>7500000</v>
      </c>
      <c r="D17" s="365">
        <v>2024214.76</v>
      </c>
      <c r="E17" s="140" t="str">
        <f t="shared" si="0"/>
        <v/>
      </c>
      <c r="F17" s="175">
        <f t="shared" si="1"/>
        <v>-5475785.2400000002</v>
      </c>
      <c r="H17" s="280">
        <v>2024214.77</v>
      </c>
      <c r="I17" s="282">
        <f t="shared" si="2"/>
        <v>-1.0000000009313226E-2</v>
      </c>
      <c r="K17" s="287"/>
    </row>
    <row r="18" spans="1:11">
      <c r="A18" s="313" t="s">
        <v>222</v>
      </c>
      <c r="B18" s="338" t="s">
        <v>223</v>
      </c>
      <c r="C18" s="316">
        <v>200000</v>
      </c>
      <c r="D18" s="365">
        <v>26364.29</v>
      </c>
      <c r="E18" s="140" t="str">
        <f t="shared" si="0"/>
        <v/>
      </c>
      <c r="F18" s="175">
        <f t="shared" si="1"/>
        <v>-173635.71</v>
      </c>
      <c r="H18" s="280">
        <v>26364.29</v>
      </c>
      <c r="I18" s="282">
        <f t="shared" si="2"/>
        <v>0</v>
      </c>
    </row>
    <row r="19" spans="1:11">
      <c r="A19" s="313" t="s">
        <v>401</v>
      </c>
      <c r="B19" s="338" t="s">
        <v>215</v>
      </c>
      <c r="C19" s="316">
        <v>6000000</v>
      </c>
      <c r="D19" s="365">
        <v>1014868.08</v>
      </c>
      <c r="E19" s="140" t="str">
        <f t="shared" si="0"/>
        <v/>
      </c>
      <c r="F19" s="175">
        <f t="shared" si="1"/>
        <v>-4985131.92</v>
      </c>
      <c r="H19" s="280">
        <v>1014868.08</v>
      </c>
      <c r="I19" s="282">
        <f t="shared" si="2"/>
        <v>0</v>
      </c>
    </row>
    <row r="20" spans="1:11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</row>
    <row r="21" spans="1:11">
      <c r="A21" s="313" t="s">
        <v>47</v>
      </c>
      <c r="B21" s="338" t="s">
        <v>200</v>
      </c>
      <c r="C21" s="316">
        <v>170000000</v>
      </c>
      <c r="D21" s="365">
        <v>95122112.049999997</v>
      </c>
      <c r="E21" s="140" t="str">
        <f t="shared" si="0"/>
        <v/>
      </c>
      <c r="F21" s="175">
        <f t="shared" si="1"/>
        <v>-74877887.950000003</v>
      </c>
      <c r="H21" s="280">
        <v>95122112.049999997</v>
      </c>
      <c r="I21" s="282">
        <f t="shared" si="2"/>
        <v>0</v>
      </c>
    </row>
    <row r="22" spans="1:11">
      <c r="A22" s="137" t="s">
        <v>48</v>
      </c>
      <c r="B22" s="338" t="s">
        <v>201</v>
      </c>
      <c r="C22" s="316">
        <v>3000000</v>
      </c>
      <c r="D22" s="365">
        <v>2122288.46</v>
      </c>
      <c r="E22" s="140" t="str">
        <f t="shared" si="0"/>
        <v/>
      </c>
      <c r="F22" s="175">
        <f t="shared" si="1"/>
        <v>-877711.54</v>
      </c>
      <c r="H22" s="280">
        <v>2122288.46</v>
      </c>
      <c r="I22" s="282">
        <f t="shared" si="2"/>
        <v>0</v>
      </c>
    </row>
    <row r="23" spans="1:11">
      <c r="A23" s="313" t="s">
        <v>190</v>
      </c>
      <c r="B23" s="338" t="s">
        <v>225</v>
      </c>
      <c r="C23" s="316">
        <v>2700000</v>
      </c>
      <c r="D23" s="365">
        <v>453521.25</v>
      </c>
      <c r="E23" s="140" t="str">
        <f t="shared" si="0"/>
        <v/>
      </c>
      <c r="F23" s="175">
        <f t="shared" si="1"/>
        <v>-2246478.75</v>
      </c>
      <c r="H23" s="280">
        <v>443115.54</v>
      </c>
      <c r="I23" s="282">
        <f>D23-H23</f>
        <v>10405.710000000021</v>
      </c>
    </row>
    <row r="24" spans="1:11">
      <c r="A24" s="313" t="s">
        <v>33</v>
      </c>
      <c r="B24" s="338" t="s">
        <v>224</v>
      </c>
      <c r="C24" s="316">
        <v>1500000</v>
      </c>
      <c r="D24" s="365">
        <v>909100</v>
      </c>
      <c r="E24" s="140" t="str">
        <f t="shared" si="0"/>
        <v/>
      </c>
      <c r="F24" s="141">
        <f t="shared" si="1"/>
        <v>-590900</v>
      </c>
      <c r="H24" s="280">
        <v>909100</v>
      </c>
      <c r="I24" s="282">
        <f t="shared" si="2"/>
        <v>0</v>
      </c>
    </row>
    <row r="25" spans="1:11">
      <c r="A25" s="313" t="s">
        <v>31</v>
      </c>
      <c r="B25" s="338" t="s">
        <v>197</v>
      </c>
      <c r="C25" s="316">
        <v>2700000</v>
      </c>
      <c r="D25" s="365">
        <v>27040.799999999999</v>
      </c>
      <c r="E25" s="140" t="str">
        <f t="shared" si="0"/>
        <v/>
      </c>
      <c r="F25" s="175">
        <f t="shared" si="1"/>
        <v>-2672959.2000000002</v>
      </c>
      <c r="H25" s="280">
        <v>27040.799999999999</v>
      </c>
      <c r="I25" s="282">
        <f t="shared" si="2"/>
        <v>0</v>
      </c>
      <c r="J25" s="288">
        <v>2253653.39</v>
      </c>
    </row>
    <row r="26" spans="1:11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</row>
    <row r="27" spans="1:11">
      <c r="A27" s="313" t="s">
        <v>206</v>
      </c>
      <c r="B27" s="338" t="s">
        <v>208</v>
      </c>
      <c r="C27" s="316">
        <v>3300000</v>
      </c>
      <c r="D27" s="365">
        <v>662449.63</v>
      </c>
      <c r="E27" s="140" t="str">
        <f t="shared" si="0"/>
        <v/>
      </c>
      <c r="F27" s="175">
        <f t="shared" si="1"/>
        <v>-2637550.37</v>
      </c>
      <c r="H27" s="280">
        <v>662449.63</v>
      </c>
      <c r="I27" s="282">
        <f t="shared" si="2"/>
        <v>0</v>
      </c>
    </row>
    <row r="28" spans="1:11">
      <c r="A28" s="137" t="s">
        <v>207</v>
      </c>
      <c r="B28" s="338" t="s">
        <v>209</v>
      </c>
      <c r="C28" s="316">
        <v>586250</v>
      </c>
      <c r="D28" s="333">
        <v>62945</v>
      </c>
      <c r="E28" s="140" t="str">
        <f t="shared" si="0"/>
        <v/>
      </c>
      <c r="F28" s="175">
        <f t="shared" si="1"/>
        <v>-523305</v>
      </c>
      <c r="H28" s="280">
        <v>62945</v>
      </c>
      <c r="I28" s="282">
        <f t="shared" si="2"/>
        <v>0</v>
      </c>
    </row>
    <row r="29" spans="1:11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</row>
    <row r="30" spans="1:11">
      <c r="A30" s="313" t="s">
        <v>227</v>
      </c>
      <c r="B30" s="138" t="s">
        <v>229</v>
      </c>
      <c r="C30" s="316">
        <v>4000000</v>
      </c>
      <c r="D30" s="365">
        <v>745082.93</v>
      </c>
      <c r="E30" s="140" t="str">
        <f>IF((D30-C30)&gt;0,D30-C30,"")</f>
        <v/>
      </c>
      <c r="F30" s="141">
        <f>IF((D30-C30)&gt;0,"",D30-C30)</f>
        <v>-3254917.07</v>
      </c>
      <c r="H30" s="280">
        <v>745082.91</v>
      </c>
      <c r="I30" s="282">
        <f>D30-H30</f>
        <v>2.0000000018626451E-2</v>
      </c>
    </row>
    <row r="31" spans="1:11">
      <c r="A31" s="313" t="s">
        <v>426</v>
      </c>
      <c r="B31" s="338" t="s">
        <v>427</v>
      </c>
      <c r="C31" s="316">
        <v>5600000</v>
      </c>
      <c r="D31" s="365">
        <v>1830717.4399999999</v>
      </c>
      <c r="E31" s="140" t="str">
        <f t="shared" si="0"/>
        <v/>
      </c>
      <c r="F31" s="175">
        <f t="shared" si="1"/>
        <v>-3769282.5600000001</v>
      </c>
      <c r="H31" s="280">
        <v>1830717.4399999999</v>
      </c>
      <c r="I31" s="282">
        <f t="shared" si="2"/>
        <v>0</v>
      </c>
      <c r="J31" s="284"/>
    </row>
    <row r="32" spans="1:11">
      <c r="A32" s="313"/>
      <c r="B32" s="338"/>
      <c r="C32" s="356"/>
      <c r="D32" s="356"/>
      <c r="E32" s="140" t="str">
        <f t="shared" si="0"/>
        <v/>
      </c>
      <c r="F32" s="175">
        <f t="shared" si="1"/>
        <v>0</v>
      </c>
      <c r="I32" s="282">
        <f t="shared" si="2"/>
        <v>0</v>
      </c>
    </row>
    <row r="33" spans="1:9" ht="13.5" thickBot="1">
      <c r="A33" s="137" t="s">
        <v>34</v>
      </c>
      <c r="B33" s="138"/>
      <c r="C33" s="143">
        <f>SUM(C11:C32)</f>
        <v>258966250</v>
      </c>
      <c r="D33" s="381">
        <f>SUM(D11:D32)</f>
        <v>118255891.04999998</v>
      </c>
      <c r="E33" s="144">
        <f>SUM(E11:E32)</f>
        <v>0</v>
      </c>
      <c r="F33" s="145">
        <f>SUM(F11:F32)</f>
        <v>-140710358.95000002</v>
      </c>
      <c r="H33" s="289">
        <f>SUM(H11:H32)</f>
        <v>118251381.49999999</v>
      </c>
      <c r="I33" s="290">
        <f>SUM(I11:I32)</f>
        <v>4509.5500000005704</v>
      </c>
    </row>
    <row r="34" spans="1:9" ht="13.5" thickTop="1">
      <c r="A34" s="355" t="s">
        <v>397</v>
      </c>
      <c r="B34" s="147"/>
      <c r="C34" s="148"/>
      <c r="D34" s="382"/>
      <c r="E34" s="150"/>
      <c r="F34" s="151"/>
      <c r="I34" s="282"/>
    </row>
    <row r="35" spans="1:9">
      <c r="A35" s="137" t="s">
        <v>53</v>
      </c>
      <c r="B35" s="138" t="s">
        <v>236</v>
      </c>
      <c r="C35" s="139"/>
      <c r="D35" s="365"/>
      <c r="E35" s="140" t="str">
        <f t="shared" ref="E35:E103" si="3">IF((D35-C35)&gt;0,D35-C35,"")</f>
        <v/>
      </c>
      <c r="F35" s="175">
        <f t="shared" ref="F35:F103" si="4">IF((D35-C35)&gt;0,"",D35-C35)</f>
        <v>0</v>
      </c>
      <c r="I35" s="282"/>
    </row>
    <row r="36" spans="1:9">
      <c r="A36" s="137" t="s">
        <v>65</v>
      </c>
      <c r="B36" s="138" t="s">
        <v>245</v>
      </c>
      <c r="C36" s="139">
        <v>500000</v>
      </c>
      <c r="D36" s="365">
        <v>5900</v>
      </c>
      <c r="E36" s="140" t="str">
        <f t="shared" si="3"/>
        <v/>
      </c>
      <c r="F36" s="175">
        <f t="shared" si="4"/>
        <v>-494100</v>
      </c>
      <c r="H36" s="280">
        <v>5900</v>
      </c>
      <c r="I36" s="282">
        <f t="shared" ref="I36:I103" si="5">D36-H36</f>
        <v>0</v>
      </c>
    </row>
    <row r="37" spans="1:9">
      <c r="A37" s="137" t="s">
        <v>66</v>
      </c>
      <c r="B37" s="138" t="s">
        <v>246</v>
      </c>
      <c r="C37" s="139">
        <v>5100000</v>
      </c>
      <c r="D37" s="365">
        <v>850421.1</v>
      </c>
      <c r="E37" s="140" t="str">
        <f t="shared" si="3"/>
        <v/>
      </c>
      <c r="F37" s="175">
        <f t="shared" si="4"/>
        <v>-4249578.9000000004</v>
      </c>
      <c r="H37" s="280">
        <v>1063026.3799999999</v>
      </c>
      <c r="I37" s="282">
        <f>D37-H37</f>
        <v>-212605.27999999991</v>
      </c>
    </row>
    <row r="38" spans="1:9">
      <c r="A38" s="137" t="s">
        <v>67</v>
      </c>
      <c r="B38" s="138" t="s">
        <v>247</v>
      </c>
      <c r="C38" s="139">
        <v>100000</v>
      </c>
      <c r="D38" s="365">
        <v>1190</v>
      </c>
      <c r="E38" s="140" t="str">
        <f t="shared" si="3"/>
        <v/>
      </c>
      <c r="F38" s="175">
        <f t="shared" si="4"/>
        <v>-98810</v>
      </c>
      <c r="H38" s="280">
        <v>1190</v>
      </c>
      <c r="I38" s="282">
        <f t="shared" si="5"/>
        <v>0</v>
      </c>
    </row>
    <row r="39" spans="1:9">
      <c r="A39" s="137" t="s">
        <v>68</v>
      </c>
      <c r="B39" s="138" t="s">
        <v>248</v>
      </c>
      <c r="C39" s="139">
        <v>3200000</v>
      </c>
      <c r="D39" s="365">
        <v>210052.94</v>
      </c>
      <c r="E39" s="140" t="str">
        <f t="shared" si="3"/>
        <v/>
      </c>
      <c r="F39" s="175">
        <f t="shared" si="4"/>
        <v>-2989947.06</v>
      </c>
      <c r="H39" s="280">
        <v>210052.94</v>
      </c>
      <c r="I39" s="282">
        <f t="shared" si="5"/>
        <v>0</v>
      </c>
    </row>
    <row r="40" spans="1:9">
      <c r="A40" s="137" t="s">
        <v>69</v>
      </c>
      <c r="B40" s="138" t="s">
        <v>249</v>
      </c>
      <c r="C40" s="139">
        <v>1200000</v>
      </c>
      <c r="D40" s="365">
        <v>7050</v>
      </c>
      <c r="E40" s="140" t="str">
        <f t="shared" si="3"/>
        <v/>
      </c>
      <c r="F40" s="175">
        <f t="shared" si="4"/>
        <v>-1192950</v>
      </c>
      <c r="H40" s="280">
        <v>7050</v>
      </c>
      <c r="I40" s="282">
        <f t="shared" si="5"/>
        <v>0</v>
      </c>
    </row>
    <row r="41" spans="1:9">
      <c r="A41" s="137" t="s">
        <v>56</v>
      </c>
      <c r="B41" s="138" t="s">
        <v>237</v>
      </c>
      <c r="C41" s="139">
        <v>11000000</v>
      </c>
      <c r="D41" s="365">
        <v>9245899.25</v>
      </c>
      <c r="E41" s="140" t="str">
        <f t="shared" si="3"/>
        <v/>
      </c>
      <c r="F41" s="175">
        <f t="shared" si="4"/>
        <v>-1754100.75</v>
      </c>
      <c r="H41" s="280">
        <v>9245899.25</v>
      </c>
      <c r="I41" s="282">
        <f t="shared" si="5"/>
        <v>0</v>
      </c>
    </row>
    <row r="42" spans="1:9">
      <c r="A42" s="137" t="s">
        <v>57</v>
      </c>
      <c r="B42" s="138" t="s">
        <v>238</v>
      </c>
      <c r="C42" s="139">
        <v>50000</v>
      </c>
      <c r="D42" s="365">
        <v>3453</v>
      </c>
      <c r="E42" s="140" t="str">
        <f t="shared" si="3"/>
        <v/>
      </c>
      <c r="F42" s="175">
        <f t="shared" si="4"/>
        <v>-46547</v>
      </c>
      <c r="H42" s="280">
        <v>3453</v>
      </c>
      <c r="I42" s="282">
        <f t="shared" si="5"/>
        <v>0</v>
      </c>
    </row>
    <row r="43" spans="1:9">
      <c r="A43" s="137" t="s">
        <v>58</v>
      </c>
      <c r="B43" s="138" t="s">
        <v>239</v>
      </c>
      <c r="C43" s="139">
        <v>180000</v>
      </c>
      <c r="D43" s="365">
        <v>187750</v>
      </c>
      <c r="E43" s="140">
        <f t="shared" si="3"/>
        <v>7750</v>
      </c>
      <c r="F43" s="175" t="str">
        <f t="shared" si="4"/>
        <v/>
      </c>
      <c r="H43" s="280">
        <v>187750</v>
      </c>
      <c r="I43" s="282">
        <f t="shared" si="5"/>
        <v>0</v>
      </c>
    </row>
    <row r="44" spans="1:9">
      <c r="A44" s="137" t="s">
        <v>54</v>
      </c>
      <c r="B44" s="138" t="s">
        <v>241</v>
      </c>
      <c r="C44" s="139"/>
      <c r="D44" s="365"/>
      <c r="E44" s="140" t="str">
        <f t="shared" si="3"/>
        <v/>
      </c>
      <c r="F44" s="175">
        <f t="shared" si="4"/>
        <v>0</v>
      </c>
      <c r="I44" s="282">
        <f t="shared" si="5"/>
        <v>0</v>
      </c>
    </row>
    <row r="45" spans="1:9">
      <c r="A45" s="137" t="s">
        <v>55</v>
      </c>
      <c r="B45" s="138" t="s">
        <v>242</v>
      </c>
      <c r="C45" s="139">
        <v>100000</v>
      </c>
      <c r="D45" s="365">
        <v>8895</v>
      </c>
      <c r="E45" s="140" t="str">
        <f t="shared" si="3"/>
        <v/>
      </c>
      <c r="F45" s="175">
        <f t="shared" si="4"/>
        <v>-91105</v>
      </c>
      <c r="G45" s="323" t="s">
        <v>422</v>
      </c>
      <c r="I45" s="282">
        <f t="shared" si="5"/>
        <v>8895</v>
      </c>
    </row>
    <row r="46" spans="1:9">
      <c r="A46" s="137" t="s">
        <v>59</v>
      </c>
      <c r="B46" s="138" t="s">
        <v>243</v>
      </c>
      <c r="C46" s="139">
        <v>50000</v>
      </c>
      <c r="D46" s="365">
        <v>1850</v>
      </c>
      <c r="E46" s="140" t="str">
        <f t="shared" si="3"/>
        <v/>
      </c>
      <c r="F46" s="175">
        <f t="shared" si="4"/>
        <v>-48150</v>
      </c>
      <c r="H46" s="280">
        <v>1850</v>
      </c>
      <c r="I46" s="282">
        <f t="shared" si="5"/>
        <v>0</v>
      </c>
    </row>
    <row r="47" spans="1:9">
      <c r="A47" s="137" t="s">
        <v>60</v>
      </c>
      <c r="B47" s="138" t="s">
        <v>244</v>
      </c>
      <c r="C47" s="139">
        <v>1000000</v>
      </c>
      <c r="D47" s="365">
        <v>104400</v>
      </c>
      <c r="E47" s="140" t="str">
        <f t="shared" si="3"/>
        <v/>
      </c>
      <c r="F47" s="175">
        <f t="shared" si="4"/>
        <v>-895600</v>
      </c>
      <c r="H47" s="280">
        <v>104400</v>
      </c>
      <c r="I47" s="282">
        <f t="shared" si="5"/>
        <v>0</v>
      </c>
    </row>
    <row r="48" spans="1:9">
      <c r="A48" s="137" t="s">
        <v>276</v>
      </c>
      <c r="B48" s="138" t="s">
        <v>235</v>
      </c>
      <c r="C48" s="139"/>
      <c r="D48" s="365"/>
      <c r="E48" s="140" t="str">
        <f t="shared" si="3"/>
        <v/>
      </c>
      <c r="F48" s="175">
        <f t="shared" si="4"/>
        <v>0</v>
      </c>
      <c r="I48" s="282">
        <f t="shared" si="5"/>
        <v>0</v>
      </c>
    </row>
    <row r="49" spans="1:9">
      <c r="A49" s="137" t="s">
        <v>277</v>
      </c>
      <c r="B49" s="138" t="s">
        <v>282</v>
      </c>
      <c r="C49" s="139">
        <v>1350000</v>
      </c>
      <c r="D49" s="365">
        <v>152640</v>
      </c>
      <c r="E49" s="140" t="str">
        <f t="shared" si="3"/>
        <v/>
      </c>
      <c r="F49" s="175">
        <f t="shared" si="4"/>
        <v>-1197360</v>
      </c>
      <c r="H49" s="280">
        <v>152640</v>
      </c>
      <c r="I49" s="282">
        <f t="shared" si="5"/>
        <v>0</v>
      </c>
    </row>
    <row r="50" spans="1:9">
      <c r="A50" s="137" t="s">
        <v>278</v>
      </c>
      <c r="B50" s="138" t="s">
        <v>283</v>
      </c>
      <c r="C50" s="139">
        <v>850000</v>
      </c>
      <c r="D50" s="365">
        <v>61400</v>
      </c>
      <c r="E50" s="140" t="str">
        <f t="shared" si="3"/>
        <v/>
      </c>
      <c r="F50" s="175">
        <f t="shared" si="4"/>
        <v>-788600</v>
      </c>
      <c r="H50" s="280">
        <v>61400</v>
      </c>
      <c r="I50" s="282">
        <f t="shared" si="5"/>
        <v>0</v>
      </c>
    </row>
    <row r="51" spans="1:9">
      <c r="A51" s="137" t="s">
        <v>279</v>
      </c>
      <c r="B51" s="138" t="s">
        <v>284</v>
      </c>
      <c r="C51" s="139">
        <v>5000</v>
      </c>
      <c r="D51" s="365"/>
      <c r="E51" s="140" t="str">
        <f t="shared" si="3"/>
        <v/>
      </c>
      <c r="F51" s="175">
        <f t="shared" si="4"/>
        <v>-5000</v>
      </c>
      <c r="I51" s="282">
        <f t="shared" si="5"/>
        <v>0</v>
      </c>
    </row>
    <row r="52" spans="1:9">
      <c r="A52" s="137" t="s">
        <v>280</v>
      </c>
      <c r="B52" s="138" t="s">
        <v>285</v>
      </c>
      <c r="C52" s="139">
        <v>70000</v>
      </c>
      <c r="D52" s="365">
        <v>1400</v>
      </c>
      <c r="E52" s="140" t="str">
        <f t="shared" si="3"/>
        <v/>
      </c>
      <c r="F52" s="175">
        <f t="shared" si="4"/>
        <v>-68600</v>
      </c>
      <c r="H52" s="280">
        <v>1400</v>
      </c>
      <c r="I52" s="282">
        <f t="shared" si="5"/>
        <v>0</v>
      </c>
    </row>
    <row r="53" spans="1:9">
      <c r="A53" s="137" t="s">
        <v>71</v>
      </c>
      <c r="B53" s="138" t="s">
        <v>287</v>
      </c>
      <c r="C53" s="139">
        <v>500</v>
      </c>
      <c r="D53" s="365"/>
      <c r="E53" s="140" t="str">
        <f t="shared" si="3"/>
        <v/>
      </c>
      <c r="F53" s="175">
        <f t="shared" si="4"/>
        <v>-500</v>
      </c>
      <c r="I53" s="282">
        <f t="shared" si="5"/>
        <v>0</v>
      </c>
    </row>
    <row r="54" spans="1:9">
      <c r="A54" s="137" t="s">
        <v>72</v>
      </c>
      <c r="B54" s="138" t="s">
        <v>288</v>
      </c>
      <c r="C54" s="139">
        <v>2500</v>
      </c>
      <c r="D54" s="365">
        <v>2100</v>
      </c>
      <c r="E54" s="140" t="str">
        <f t="shared" si="3"/>
        <v/>
      </c>
      <c r="F54" s="175">
        <f t="shared" si="4"/>
        <v>-400</v>
      </c>
      <c r="H54" s="280">
        <v>2100</v>
      </c>
      <c r="I54" s="282">
        <f t="shared" si="5"/>
        <v>0</v>
      </c>
    </row>
    <row r="55" spans="1:9">
      <c r="A55" s="137" t="s">
        <v>73</v>
      </c>
      <c r="B55" s="138" t="s">
        <v>289</v>
      </c>
      <c r="C55" s="139">
        <v>3000000</v>
      </c>
      <c r="D55" s="365">
        <v>151290</v>
      </c>
      <c r="E55" s="140" t="str">
        <f t="shared" si="3"/>
        <v/>
      </c>
      <c r="F55" s="175">
        <f t="shared" si="4"/>
        <v>-2848710</v>
      </c>
      <c r="H55" s="280">
        <v>151290</v>
      </c>
      <c r="I55" s="282">
        <f t="shared" si="5"/>
        <v>0</v>
      </c>
    </row>
    <row r="56" spans="1:9">
      <c r="A56" s="313" t="s">
        <v>402</v>
      </c>
      <c r="B56" s="138" t="s">
        <v>290</v>
      </c>
      <c r="C56" s="139">
        <v>60000</v>
      </c>
      <c r="D56" s="365">
        <v>2200</v>
      </c>
      <c r="E56" s="140" t="str">
        <f t="shared" si="3"/>
        <v/>
      </c>
      <c r="F56" s="175">
        <f t="shared" si="4"/>
        <v>-57800</v>
      </c>
      <c r="H56" s="280">
        <v>2200</v>
      </c>
      <c r="I56" s="282">
        <f t="shared" si="5"/>
        <v>0</v>
      </c>
    </row>
    <row r="57" spans="1:9">
      <c r="A57" s="137" t="s">
        <v>74</v>
      </c>
      <c r="B57" s="138" t="s">
        <v>291</v>
      </c>
      <c r="C57" s="139">
        <v>5000</v>
      </c>
      <c r="D57" s="365">
        <v>100</v>
      </c>
      <c r="E57" s="140" t="str">
        <f t="shared" si="3"/>
        <v/>
      </c>
      <c r="F57" s="175">
        <f t="shared" si="4"/>
        <v>-4900</v>
      </c>
      <c r="H57" s="280">
        <v>100</v>
      </c>
      <c r="I57" s="282">
        <f t="shared" si="5"/>
        <v>0</v>
      </c>
    </row>
    <row r="58" spans="1:9">
      <c r="A58" s="137" t="s">
        <v>75</v>
      </c>
      <c r="B58" s="138" t="s">
        <v>292</v>
      </c>
      <c r="C58" s="139">
        <v>100000</v>
      </c>
      <c r="D58" s="365">
        <v>30000</v>
      </c>
      <c r="E58" s="140" t="str">
        <f t="shared" si="3"/>
        <v/>
      </c>
      <c r="F58" s="175">
        <f t="shared" si="4"/>
        <v>-70000</v>
      </c>
      <c r="H58" s="280">
        <v>30000</v>
      </c>
      <c r="I58" s="282">
        <f t="shared" si="5"/>
        <v>0</v>
      </c>
    </row>
    <row r="59" spans="1:9">
      <c r="A59" s="137" t="s">
        <v>76</v>
      </c>
      <c r="B59" s="138" t="s">
        <v>293</v>
      </c>
      <c r="C59" s="139">
        <v>100000</v>
      </c>
      <c r="D59" s="365">
        <v>8300</v>
      </c>
      <c r="E59" s="140" t="str">
        <f t="shared" si="3"/>
        <v/>
      </c>
      <c r="F59" s="175">
        <f t="shared" si="4"/>
        <v>-91700</v>
      </c>
      <c r="H59" s="280">
        <v>8300</v>
      </c>
      <c r="I59" s="282">
        <f t="shared" si="5"/>
        <v>0</v>
      </c>
    </row>
    <row r="60" spans="1:9">
      <c r="A60" s="137" t="s">
        <v>77</v>
      </c>
      <c r="B60" s="138" t="s">
        <v>294</v>
      </c>
      <c r="C60" s="139">
        <v>180000</v>
      </c>
      <c r="D60" s="365">
        <v>11810</v>
      </c>
      <c r="E60" s="140" t="str">
        <f t="shared" si="3"/>
        <v/>
      </c>
      <c r="F60" s="175">
        <f t="shared" si="4"/>
        <v>-168190</v>
      </c>
      <c r="H60" s="280">
        <v>11810</v>
      </c>
      <c r="I60" s="282">
        <f t="shared" si="5"/>
        <v>0</v>
      </c>
    </row>
    <row r="61" spans="1:9">
      <c r="A61" s="137" t="s">
        <v>78</v>
      </c>
      <c r="B61" s="138" t="s">
        <v>295</v>
      </c>
      <c r="C61" s="139">
        <v>500</v>
      </c>
      <c r="D61" s="365"/>
      <c r="E61" s="140" t="str">
        <f t="shared" si="3"/>
        <v/>
      </c>
      <c r="F61" s="175">
        <f t="shared" si="4"/>
        <v>-500</v>
      </c>
      <c r="I61" s="282">
        <f t="shared" si="5"/>
        <v>0</v>
      </c>
    </row>
    <row r="62" spans="1:9">
      <c r="A62" s="137" t="s">
        <v>79</v>
      </c>
      <c r="B62" s="138" t="s">
        <v>296</v>
      </c>
      <c r="C62" s="139">
        <v>50000</v>
      </c>
      <c r="D62" s="365">
        <v>650</v>
      </c>
      <c r="E62" s="140" t="str">
        <f t="shared" si="3"/>
        <v/>
      </c>
      <c r="F62" s="175">
        <f t="shared" si="4"/>
        <v>-49350</v>
      </c>
      <c r="H62" s="280">
        <v>650</v>
      </c>
      <c r="I62" s="282">
        <f t="shared" si="5"/>
        <v>0</v>
      </c>
    </row>
    <row r="63" spans="1:9">
      <c r="A63" s="137" t="s">
        <v>80</v>
      </c>
      <c r="B63" s="138" t="s">
        <v>297</v>
      </c>
      <c r="C63" s="139">
        <v>20000</v>
      </c>
      <c r="D63" s="365"/>
      <c r="E63" s="140" t="str">
        <f t="shared" si="3"/>
        <v/>
      </c>
      <c r="F63" s="175">
        <f t="shared" si="4"/>
        <v>-20000</v>
      </c>
      <c r="I63" s="282">
        <f t="shared" si="5"/>
        <v>0</v>
      </c>
    </row>
    <row r="64" spans="1:9">
      <c r="A64" s="137" t="s">
        <v>449</v>
      </c>
      <c r="B64" s="138" t="s">
        <v>450</v>
      </c>
      <c r="C64" s="139"/>
      <c r="D64" s="365"/>
      <c r="E64" s="140"/>
      <c r="F64" s="175"/>
      <c r="I64" s="282"/>
    </row>
    <row r="65" spans="1:10">
      <c r="A65" s="313" t="s">
        <v>432</v>
      </c>
      <c r="B65" s="138" t="s">
        <v>431</v>
      </c>
      <c r="C65" s="139"/>
      <c r="D65" s="365"/>
      <c r="E65" s="140"/>
      <c r="F65" s="175"/>
      <c r="I65" s="282"/>
    </row>
    <row r="66" spans="1:10">
      <c r="A66" s="137" t="s">
        <v>172</v>
      </c>
      <c r="B66" s="138" t="s">
        <v>435</v>
      </c>
      <c r="C66" s="139">
        <v>600000</v>
      </c>
      <c r="D66" s="365">
        <v>331168.77</v>
      </c>
      <c r="E66" s="140" t="str">
        <f t="shared" ref="E66:E73" si="6">IF((D66-C66)&gt;0,D66-C66,"")</f>
        <v/>
      </c>
      <c r="F66" s="175">
        <f t="shared" ref="F66:F73" si="7">IF((D66-C66)&gt;0,"",D66-C66)</f>
        <v>-268831.23</v>
      </c>
      <c r="H66" s="280">
        <v>331178.77</v>
      </c>
      <c r="I66" s="282">
        <f t="shared" ref="I66:I73" si="8">D66-H66</f>
        <v>-10</v>
      </c>
    </row>
    <row r="67" spans="1:10">
      <c r="A67" s="137" t="s">
        <v>91</v>
      </c>
      <c r="B67" s="138" t="s">
        <v>436</v>
      </c>
      <c r="C67" s="316">
        <v>13000000</v>
      </c>
      <c r="D67" s="365">
        <v>7105425.29</v>
      </c>
      <c r="E67" s="140" t="str">
        <f t="shared" si="6"/>
        <v/>
      </c>
      <c r="F67" s="175">
        <f t="shared" si="7"/>
        <v>-5894574.71</v>
      </c>
      <c r="H67" s="280">
        <v>7105415.29</v>
      </c>
      <c r="I67" s="282">
        <f t="shared" si="8"/>
        <v>10</v>
      </c>
      <c r="J67" s="279" t="s">
        <v>425</v>
      </c>
    </row>
    <row r="68" spans="1:10">
      <c r="A68" s="137" t="s">
        <v>90</v>
      </c>
      <c r="B68" s="138" t="s">
        <v>437</v>
      </c>
      <c r="C68" s="316">
        <v>8000000</v>
      </c>
      <c r="D68" s="365">
        <v>2455920</v>
      </c>
      <c r="E68" s="140" t="str">
        <f t="shared" si="6"/>
        <v/>
      </c>
      <c r="F68" s="175">
        <f t="shared" si="7"/>
        <v>-5544080</v>
      </c>
      <c r="H68" s="280">
        <v>2455920</v>
      </c>
      <c r="I68" s="282">
        <f t="shared" si="8"/>
        <v>0</v>
      </c>
    </row>
    <row r="69" spans="1:10">
      <c r="A69" s="137" t="s">
        <v>255</v>
      </c>
      <c r="B69" s="138" t="s">
        <v>438</v>
      </c>
      <c r="C69" s="316">
        <v>2500000</v>
      </c>
      <c r="D69" s="365">
        <v>989598.18</v>
      </c>
      <c r="E69" s="140" t="str">
        <f t="shared" si="6"/>
        <v/>
      </c>
      <c r="F69" s="175">
        <f t="shared" si="7"/>
        <v>-1510401.8199999998</v>
      </c>
      <c r="H69" s="280">
        <v>989598.18</v>
      </c>
      <c r="I69" s="282">
        <f t="shared" si="8"/>
        <v>0</v>
      </c>
    </row>
    <row r="70" spans="1:10">
      <c r="A70" s="137" t="s">
        <v>434</v>
      </c>
      <c r="B70" s="138" t="s">
        <v>439</v>
      </c>
      <c r="C70" s="316">
        <v>1600000</v>
      </c>
      <c r="D70" s="365">
        <v>174450</v>
      </c>
      <c r="E70" s="140" t="str">
        <f t="shared" si="6"/>
        <v/>
      </c>
      <c r="F70" s="175">
        <f t="shared" si="7"/>
        <v>-1425550</v>
      </c>
      <c r="H70" s="280">
        <v>174450</v>
      </c>
      <c r="I70" s="282">
        <f t="shared" si="8"/>
        <v>0</v>
      </c>
    </row>
    <row r="71" spans="1:10">
      <c r="A71" s="137" t="s">
        <v>254</v>
      </c>
      <c r="B71" s="138" t="s">
        <v>440</v>
      </c>
      <c r="C71" s="316">
        <v>5500000</v>
      </c>
      <c r="D71" s="365">
        <v>1035373</v>
      </c>
      <c r="E71" s="140" t="str">
        <f t="shared" si="6"/>
        <v/>
      </c>
      <c r="F71" s="175">
        <f t="shared" si="7"/>
        <v>-4464627</v>
      </c>
      <c r="H71" s="280">
        <v>1040513</v>
      </c>
      <c r="I71" s="282">
        <f t="shared" si="8"/>
        <v>-5140</v>
      </c>
    </row>
    <row r="72" spans="1:10">
      <c r="A72" s="137" t="s">
        <v>263</v>
      </c>
      <c r="B72" s="138" t="s">
        <v>441</v>
      </c>
      <c r="C72" s="316">
        <v>5500000</v>
      </c>
      <c r="D72" s="365">
        <v>1044581.63</v>
      </c>
      <c r="E72" s="140" t="str">
        <f t="shared" si="6"/>
        <v/>
      </c>
      <c r="F72" s="175">
        <f t="shared" si="7"/>
        <v>-4455418.37</v>
      </c>
      <c r="H72" s="280">
        <v>1044581.63</v>
      </c>
      <c r="I72" s="282">
        <f t="shared" si="8"/>
        <v>0</v>
      </c>
    </row>
    <row r="73" spans="1:10">
      <c r="A73" s="313" t="s">
        <v>433</v>
      </c>
      <c r="B73" s="147" t="s">
        <v>442</v>
      </c>
      <c r="C73" s="357">
        <v>1500000</v>
      </c>
      <c r="D73" s="316">
        <v>68600</v>
      </c>
      <c r="E73" s="140" t="str">
        <f t="shared" si="6"/>
        <v/>
      </c>
      <c r="F73" s="175">
        <f t="shared" si="7"/>
        <v>-1431400</v>
      </c>
      <c r="H73" s="280">
        <v>68600</v>
      </c>
      <c r="I73" s="282">
        <f t="shared" si="8"/>
        <v>0</v>
      </c>
    </row>
    <row r="74" spans="1:10">
      <c r="A74" s="313" t="s">
        <v>299</v>
      </c>
      <c r="B74" s="138" t="s">
        <v>300</v>
      </c>
      <c r="C74" s="139"/>
      <c r="D74" s="365"/>
      <c r="E74" s="140" t="str">
        <f t="shared" si="3"/>
        <v/>
      </c>
      <c r="F74" s="175">
        <f t="shared" si="4"/>
        <v>0</v>
      </c>
      <c r="I74" s="282">
        <f t="shared" si="5"/>
        <v>0</v>
      </c>
    </row>
    <row r="75" spans="1:10">
      <c r="A75" s="137" t="s">
        <v>81</v>
      </c>
      <c r="B75" s="138" t="s">
        <v>301</v>
      </c>
      <c r="C75" s="139">
        <v>730000</v>
      </c>
      <c r="D75" s="365">
        <v>592820</v>
      </c>
      <c r="E75" s="140" t="str">
        <f t="shared" si="3"/>
        <v/>
      </c>
      <c r="F75" s="175">
        <f t="shared" si="4"/>
        <v>-137180</v>
      </c>
      <c r="H75" s="280">
        <v>592820</v>
      </c>
      <c r="I75" s="282">
        <f t="shared" si="5"/>
        <v>0</v>
      </c>
    </row>
    <row r="76" spans="1:10">
      <c r="A76" s="137" t="s">
        <v>82</v>
      </c>
      <c r="B76" s="138" t="s">
        <v>302</v>
      </c>
      <c r="C76" s="139">
        <v>6700000</v>
      </c>
      <c r="D76" s="365">
        <v>3794307.28</v>
      </c>
      <c r="E76" s="140" t="str">
        <f t="shared" si="3"/>
        <v/>
      </c>
      <c r="F76" s="175">
        <f t="shared" si="4"/>
        <v>-2905692.72</v>
      </c>
      <c r="H76" s="280">
        <v>3794307.28</v>
      </c>
      <c r="I76" s="282">
        <f t="shared" si="5"/>
        <v>0</v>
      </c>
    </row>
    <row r="77" spans="1:10">
      <c r="A77" s="137" t="s">
        <v>83</v>
      </c>
      <c r="B77" s="138" t="s">
        <v>303</v>
      </c>
      <c r="C77" s="139">
        <v>2100000</v>
      </c>
      <c r="D77" s="365">
        <v>1736189</v>
      </c>
      <c r="E77" s="140" t="str">
        <f t="shared" si="3"/>
        <v/>
      </c>
      <c r="F77" s="175">
        <f t="shared" si="4"/>
        <v>-363811</v>
      </c>
      <c r="H77" s="280">
        <v>1736189</v>
      </c>
      <c r="I77" s="282">
        <f t="shared" si="5"/>
        <v>0</v>
      </c>
    </row>
    <row r="78" spans="1:10">
      <c r="A78" s="313" t="s">
        <v>443</v>
      </c>
      <c r="B78" s="138" t="s">
        <v>444</v>
      </c>
      <c r="C78" s="139"/>
      <c r="D78" s="365"/>
      <c r="E78" s="140"/>
      <c r="F78" s="175"/>
      <c r="I78" s="282"/>
    </row>
    <row r="79" spans="1:10">
      <c r="A79" s="137" t="s">
        <v>281</v>
      </c>
      <c r="B79" s="138" t="s">
        <v>286</v>
      </c>
      <c r="C79" s="139">
        <v>555000</v>
      </c>
      <c r="D79" s="365">
        <v>73180</v>
      </c>
      <c r="E79" s="140" t="str">
        <f>IF((D79-C79)&gt;0,D79-C79,"")</f>
        <v/>
      </c>
      <c r="F79" s="175">
        <f>IF((D79-C79)&gt;0,"",D79-C79)</f>
        <v>-481820</v>
      </c>
      <c r="H79" s="280">
        <v>73180</v>
      </c>
      <c r="I79" s="282">
        <f>D79-H79</f>
        <v>0</v>
      </c>
    </row>
    <row r="80" spans="1:10">
      <c r="A80" s="313" t="s">
        <v>403</v>
      </c>
      <c r="B80" s="138" t="s">
        <v>212</v>
      </c>
      <c r="C80" s="139">
        <v>5500000</v>
      </c>
      <c r="D80" s="365">
        <v>3901780</v>
      </c>
      <c r="E80" s="140" t="str">
        <f t="shared" si="3"/>
        <v/>
      </c>
      <c r="F80" s="175">
        <f t="shared" si="4"/>
        <v>-1598220</v>
      </c>
      <c r="H80" s="280">
        <v>3901780</v>
      </c>
      <c r="I80" s="282">
        <f t="shared" si="5"/>
        <v>0</v>
      </c>
    </row>
    <row r="81" spans="1:10">
      <c r="A81" s="313" t="s">
        <v>408</v>
      </c>
      <c r="B81" s="338" t="s">
        <v>409</v>
      </c>
      <c r="C81" s="139"/>
      <c r="D81" s="365"/>
      <c r="E81" s="140" t="str">
        <f t="shared" si="3"/>
        <v/>
      </c>
      <c r="F81" s="175">
        <f t="shared" si="4"/>
        <v>0</v>
      </c>
      <c r="I81" s="282">
        <f t="shared" si="5"/>
        <v>0</v>
      </c>
    </row>
    <row r="82" spans="1:10">
      <c r="A82" s="313" t="s">
        <v>404</v>
      </c>
      <c r="B82" s="138" t="s">
        <v>231</v>
      </c>
      <c r="C82" s="139">
        <v>200000</v>
      </c>
      <c r="D82" s="365"/>
      <c r="E82" s="140" t="str">
        <f t="shared" si="3"/>
        <v/>
      </c>
      <c r="F82" s="175">
        <f t="shared" si="4"/>
        <v>-200000</v>
      </c>
      <c r="I82" s="282">
        <f t="shared" si="5"/>
        <v>0</v>
      </c>
    </row>
    <row r="83" spans="1:10">
      <c r="A83" s="313" t="s">
        <v>405</v>
      </c>
      <c r="B83" s="138" t="s">
        <v>232</v>
      </c>
      <c r="C83" s="139">
        <v>70000</v>
      </c>
      <c r="D83" s="365">
        <v>2400</v>
      </c>
      <c r="E83" s="140" t="str">
        <f t="shared" si="3"/>
        <v/>
      </c>
      <c r="F83" s="175">
        <f t="shared" si="4"/>
        <v>-67600</v>
      </c>
      <c r="H83" s="280">
        <v>2400</v>
      </c>
      <c r="I83" s="282">
        <f t="shared" si="5"/>
        <v>0</v>
      </c>
    </row>
    <row r="84" spans="1:10">
      <c r="A84" s="313" t="s">
        <v>406</v>
      </c>
      <c r="B84" s="138" t="s">
        <v>233</v>
      </c>
      <c r="C84" s="139">
        <v>30000</v>
      </c>
      <c r="D84" s="365"/>
      <c r="E84" s="140" t="str">
        <f t="shared" si="3"/>
        <v/>
      </c>
      <c r="F84" s="175">
        <f t="shared" si="4"/>
        <v>-30000</v>
      </c>
      <c r="I84" s="282">
        <f t="shared" si="5"/>
        <v>0</v>
      </c>
    </row>
    <row r="85" spans="1:10">
      <c r="A85" s="313" t="s">
        <v>407</v>
      </c>
      <c r="B85" s="138" t="s">
        <v>234</v>
      </c>
      <c r="C85" s="139">
        <v>550000</v>
      </c>
      <c r="D85" s="365">
        <v>522336.6</v>
      </c>
      <c r="E85" s="140" t="str">
        <f t="shared" si="3"/>
        <v/>
      </c>
      <c r="F85" s="175">
        <f t="shared" si="4"/>
        <v>-27663.400000000023</v>
      </c>
      <c r="H85" s="280">
        <v>522336.6</v>
      </c>
      <c r="I85" s="282">
        <f t="shared" si="5"/>
        <v>0</v>
      </c>
    </row>
    <row r="86" spans="1:10">
      <c r="A86" s="137" t="s">
        <v>85</v>
      </c>
      <c r="B86" s="138" t="s">
        <v>240</v>
      </c>
      <c r="C86" s="139"/>
      <c r="D86" s="365"/>
      <c r="E86" s="140" t="str">
        <f t="shared" si="3"/>
        <v/>
      </c>
      <c r="F86" s="175">
        <f t="shared" si="4"/>
        <v>0</v>
      </c>
      <c r="I86" s="282">
        <f t="shared" si="5"/>
        <v>0</v>
      </c>
    </row>
    <row r="87" spans="1:10">
      <c r="A87" s="137" t="s">
        <v>250</v>
      </c>
      <c r="B87" s="138" t="s">
        <v>251</v>
      </c>
      <c r="C87" s="139">
        <v>600000</v>
      </c>
      <c r="D87" s="365">
        <v>39878</v>
      </c>
      <c r="E87" s="140" t="str">
        <f t="shared" si="3"/>
        <v/>
      </c>
      <c r="F87" s="175">
        <f t="shared" si="4"/>
        <v>-560122</v>
      </c>
      <c r="H87" s="280">
        <v>39878</v>
      </c>
      <c r="I87" s="282">
        <f t="shared" si="5"/>
        <v>0</v>
      </c>
    </row>
    <row r="88" spans="1:10">
      <c r="A88" s="137" t="s">
        <v>253</v>
      </c>
      <c r="B88" s="138" t="s">
        <v>252</v>
      </c>
      <c r="C88" s="139">
        <v>150000</v>
      </c>
      <c r="D88" s="365">
        <v>65000</v>
      </c>
      <c r="E88" s="140" t="str">
        <f t="shared" si="3"/>
        <v/>
      </c>
      <c r="F88" s="175">
        <f t="shared" si="4"/>
        <v>-85000</v>
      </c>
      <c r="H88" s="280">
        <v>65000</v>
      </c>
      <c r="I88" s="282">
        <f t="shared" si="5"/>
        <v>0</v>
      </c>
    </row>
    <row r="89" spans="1:10">
      <c r="A89" s="137" t="s">
        <v>265</v>
      </c>
      <c r="B89" s="338" t="s">
        <v>266</v>
      </c>
      <c r="C89" s="316">
        <v>3500000</v>
      </c>
      <c r="D89" s="365">
        <v>409690</v>
      </c>
      <c r="E89" s="140" t="str">
        <f t="shared" si="3"/>
        <v/>
      </c>
      <c r="F89" s="175">
        <f t="shared" si="4"/>
        <v>-3090310</v>
      </c>
      <c r="H89" s="280">
        <v>409690</v>
      </c>
      <c r="I89" s="282">
        <f t="shared" si="5"/>
        <v>0</v>
      </c>
    </row>
    <row r="90" spans="1:10">
      <c r="A90" s="137" t="s">
        <v>84</v>
      </c>
      <c r="B90" s="338" t="s">
        <v>268</v>
      </c>
      <c r="C90" s="316">
        <v>2700000</v>
      </c>
      <c r="D90" s="365">
        <v>2327750</v>
      </c>
      <c r="E90" s="140" t="str">
        <f t="shared" si="3"/>
        <v/>
      </c>
      <c r="F90" s="175">
        <f t="shared" si="4"/>
        <v>-372250</v>
      </c>
      <c r="H90" s="280">
        <v>2327750</v>
      </c>
      <c r="I90" s="282">
        <f t="shared" si="5"/>
        <v>0</v>
      </c>
    </row>
    <row r="91" spans="1:10">
      <c r="A91" s="137" t="s">
        <v>267</v>
      </c>
      <c r="B91" s="338" t="s">
        <v>269</v>
      </c>
      <c r="C91" s="316">
        <v>2000000</v>
      </c>
      <c r="D91" s="365">
        <v>1558910</v>
      </c>
      <c r="E91" s="140" t="str">
        <f t="shared" si="3"/>
        <v/>
      </c>
      <c r="F91" s="175">
        <f t="shared" si="4"/>
        <v>-441090</v>
      </c>
      <c r="H91" s="280">
        <v>1559010</v>
      </c>
      <c r="I91" s="282">
        <f t="shared" si="5"/>
        <v>-100</v>
      </c>
    </row>
    <row r="92" spans="1:10">
      <c r="A92" s="137" t="s">
        <v>264</v>
      </c>
      <c r="B92" s="338" t="s">
        <v>270</v>
      </c>
      <c r="C92" s="316">
        <v>2000000</v>
      </c>
      <c r="D92" s="365">
        <v>1522601</v>
      </c>
      <c r="E92" s="140" t="str">
        <f t="shared" si="3"/>
        <v/>
      </c>
      <c r="F92" s="175">
        <f t="shared" si="4"/>
        <v>-477399</v>
      </c>
      <c r="H92" s="280">
        <v>1522501</v>
      </c>
      <c r="I92" s="282">
        <f t="shared" si="5"/>
        <v>100</v>
      </c>
      <c r="J92" s="279" t="s">
        <v>425</v>
      </c>
    </row>
    <row r="93" spans="1:10">
      <c r="A93" s="137" t="s">
        <v>86</v>
      </c>
      <c r="B93" s="338" t="s">
        <v>272</v>
      </c>
      <c r="C93" s="316">
        <v>150000</v>
      </c>
      <c r="D93" s="365">
        <v>9500</v>
      </c>
      <c r="E93" s="140" t="str">
        <f t="shared" si="3"/>
        <v/>
      </c>
      <c r="F93" s="175">
        <f t="shared" si="4"/>
        <v>-140500</v>
      </c>
      <c r="H93" s="280">
        <v>9500</v>
      </c>
      <c r="I93" s="282">
        <f t="shared" si="5"/>
        <v>0</v>
      </c>
    </row>
    <row r="94" spans="1:10">
      <c r="A94" s="137" t="s">
        <v>87</v>
      </c>
      <c r="B94" s="338" t="s">
        <v>273</v>
      </c>
      <c r="C94" s="316">
        <v>450000</v>
      </c>
      <c r="D94" s="365">
        <v>10500</v>
      </c>
      <c r="E94" s="140" t="str">
        <f t="shared" si="3"/>
        <v/>
      </c>
      <c r="F94" s="175">
        <f t="shared" si="4"/>
        <v>-439500</v>
      </c>
      <c r="H94" s="280">
        <v>10500</v>
      </c>
      <c r="I94" s="282">
        <f t="shared" si="5"/>
        <v>0</v>
      </c>
    </row>
    <row r="95" spans="1:10">
      <c r="A95" s="137" t="s">
        <v>88</v>
      </c>
      <c r="B95" s="338" t="s">
        <v>274</v>
      </c>
      <c r="C95" s="316">
        <v>2000000</v>
      </c>
      <c r="D95" s="365">
        <v>1192790</v>
      </c>
      <c r="E95" s="140" t="str">
        <f t="shared" si="3"/>
        <v/>
      </c>
      <c r="F95" s="175">
        <f t="shared" si="4"/>
        <v>-807210</v>
      </c>
      <c r="H95" s="280">
        <v>1192790</v>
      </c>
      <c r="I95" s="282">
        <f t="shared" si="5"/>
        <v>0</v>
      </c>
    </row>
    <row r="96" spans="1:10">
      <c r="A96" s="137" t="s">
        <v>271</v>
      </c>
      <c r="B96" s="338" t="s">
        <v>275</v>
      </c>
      <c r="C96" s="316">
        <v>100000</v>
      </c>
      <c r="D96" s="365">
        <v>2500</v>
      </c>
      <c r="E96" s="140" t="str">
        <f t="shared" si="3"/>
        <v/>
      </c>
      <c r="F96" s="175">
        <f t="shared" si="4"/>
        <v>-97500</v>
      </c>
      <c r="H96" s="280">
        <v>2500</v>
      </c>
      <c r="I96" s="282">
        <f t="shared" si="5"/>
        <v>0</v>
      </c>
    </row>
    <row r="97" spans="1:11">
      <c r="A97" s="137" t="s">
        <v>318</v>
      </c>
      <c r="B97" s="338" t="s">
        <v>319</v>
      </c>
      <c r="C97" s="316">
        <v>350000</v>
      </c>
      <c r="D97" s="365">
        <v>33900</v>
      </c>
      <c r="E97" s="140" t="str">
        <f t="shared" si="3"/>
        <v/>
      </c>
      <c r="F97" s="175">
        <f t="shared" si="4"/>
        <v>-316100</v>
      </c>
      <c r="H97" s="280">
        <v>33900</v>
      </c>
      <c r="I97" s="326">
        <f t="shared" si="5"/>
        <v>0</v>
      </c>
    </row>
    <row r="98" spans="1:11">
      <c r="A98" s="137" t="s">
        <v>321</v>
      </c>
      <c r="B98" s="338" t="s">
        <v>320</v>
      </c>
      <c r="C98" s="316">
        <v>900000</v>
      </c>
      <c r="D98" s="365">
        <v>99056</v>
      </c>
      <c r="E98" s="140" t="str">
        <f t="shared" si="3"/>
        <v/>
      </c>
      <c r="F98" s="175">
        <f t="shared" si="4"/>
        <v>-800944</v>
      </c>
      <c r="H98" s="280">
        <v>99056</v>
      </c>
      <c r="I98" s="282">
        <f t="shared" si="5"/>
        <v>0</v>
      </c>
    </row>
    <row r="99" spans="1:11">
      <c r="A99" s="137" t="s">
        <v>304</v>
      </c>
      <c r="B99" s="338" t="s">
        <v>307</v>
      </c>
      <c r="C99" s="316"/>
      <c r="D99" s="365"/>
      <c r="E99" s="140" t="str">
        <f t="shared" si="3"/>
        <v/>
      </c>
      <c r="F99" s="175">
        <f t="shared" si="4"/>
        <v>0</v>
      </c>
      <c r="I99" s="282">
        <f t="shared" si="5"/>
        <v>0</v>
      </c>
    </row>
    <row r="100" spans="1:11">
      <c r="A100" s="313" t="s">
        <v>305</v>
      </c>
      <c r="B100" s="338" t="s">
        <v>308</v>
      </c>
      <c r="C100" s="316">
        <v>36000</v>
      </c>
      <c r="D100" s="365"/>
      <c r="E100" s="140" t="str">
        <f t="shared" si="3"/>
        <v/>
      </c>
      <c r="F100" s="175">
        <f t="shared" si="4"/>
        <v>-36000</v>
      </c>
      <c r="H100" s="280">
        <v>405</v>
      </c>
      <c r="I100" s="282">
        <f t="shared" si="5"/>
        <v>-405</v>
      </c>
    </row>
    <row r="101" spans="1:11">
      <c r="A101" s="313" t="s">
        <v>306</v>
      </c>
      <c r="B101" s="338" t="s">
        <v>309</v>
      </c>
      <c r="C101" s="316">
        <v>500000</v>
      </c>
      <c r="D101" s="365">
        <v>14652</v>
      </c>
      <c r="E101" s="140" t="str">
        <f t="shared" si="3"/>
        <v/>
      </c>
      <c r="F101" s="175">
        <f t="shared" si="4"/>
        <v>-485348</v>
      </c>
      <c r="H101" s="280">
        <v>14652</v>
      </c>
      <c r="I101" s="282">
        <f t="shared" si="5"/>
        <v>0</v>
      </c>
    </row>
    <row r="102" spans="1:11">
      <c r="A102" s="313" t="s">
        <v>2</v>
      </c>
      <c r="B102" s="338" t="s">
        <v>298</v>
      </c>
      <c r="C102" s="316">
        <v>9000000</v>
      </c>
      <c r="D102" s="365">
        <v>7377090</v>
      </c>
      <c r="E102" s="140" t="str">
        <f t="shared" si="3"/>
        <v/>
      </c>
      <c r="F102" s="175">
        <f t="shared" si="4"/>
        <v>-1622910</v>
      </c>
      <c r="H102" s="280">
        <v>7377090</v>
      </c>
      <c r="I102" s="282">
        <f t="shared" si="5"/>
        <v>0</v>
      </c>
    </row>
    <row r="103" spans="1:11">
      <c r="A103" s="313" t="s">
        <v>3</v>
      </c>
      <c r="B103" s="338" t="s">
        <v>310</v>
      </c>
      <c r="C103" s="316"/>
      <c r="D103" s="365"/>
      <c r="E103" s="140" t="str">
        <f t="shared" si="3"/>
        <v/>
      </c>
      <c r="F103" s="175">
        <f t="shared" si="4"/>
        <v>0</v>
      </c>
      <c r="I103" s="282">
        <f t="shared" si="5"/>
        <v>0</v>
      </c>
    </row>
    <row r="104" spans="1:11">
      <c r="A104" s="313" t="s">
        <v>94</v>
      </c>
      <c r="B104" s="338" t="s">
        <v>311</v>
      </c>
      <c r="C104" s="316">
        <v>700000</v>
      </c>
      <c r="D104" s="365">
        <v>11144.02</v>
      </c>
      <c r="E104" s="140" t="str">
        <f t="shared" ref="E104:E106" si="9">IF((D104-C104)&gt;0,D104-C104,"")</f>
        <v/>
      </c>
      <c r="F104" s="175">
        <f t="shared" ref="F104:F106" si="10">IF((D104-C104)&gt;0,"",D104-C104)</f>
        <v>-688855.98</v>
      </c>
      <c r="G104" s="323" t="s">
        <v>423</v>
      </c>
      <c r="I104" s="282">
        <f t="shared" ref="I104:I106" si="11">D104-H104</f>
        <v>11144.02</v>
      </c>
    </row>
    <row r="105" spans="1:11">
      <c r="A105" s="313" t="s">
        <v>95</v>
      </c>
      <c r="B105" s="338" t="s">
        <v>312</v>
      </c>
      <c r="C105" s="316"/>
      <c r="D105" s="365"/>
      <c r="E105" s="140" t="str">
        <f t="shared" si="9"/>
        <v/>
      </c>
      <c r="F105" s="175">
        <f t="shared" si="10"/>
        <v>0</v>
      </c>
      <c r="I105" s="282">
        <f t="shared" si="11"/>
        <v>0</v>
      </c>
    </row>
    <row r="106" spans="1:11">
      <c r="A106" s="137"/>
      <c r="B106" s="138"/>
      <c r="C106" s="142"/>
      <c r="D106" s="365"/>
      <c r="E106" s="140" t="str">
        <f t="shared" si="9"/>
        <v/>
      </c>
      <c r="F106" s="175">
        <f t="shared" si="10"/>
        <v>0</v>
      </c>
      <c r="I106" s="282">
        <f t="shared" si="11"/>
        <v>0</v>
      </c>
    </row>
    <row r="107" spans="1:11" ht="13.5" thickBot="1">
      <c r="A107" s="137"/>
      <c r="B107" s="147"/>
      <c r="C107" s="152">
        <f>SUM(C34:C106)</f>
        <v>108044500</v>
      </c>
      <c r="D107" s="383">
        <f>SUM(D34:D106)</f>
        <v>49551842.060000002</v>
      </c>
      <c r="E107" s="152">
        <f>SUM(E34:E106)</f>
        <v>7750</v>
      </c>
      <c r="F107" s="194">
        <f>SUM(F34:F106)</f>
        <v>-58500407.93999999</v>
      </c>
      <c r="G107" s="153"/>
      <c r="H107" s="291">
        <f>SUM(H67:H106)</f>
        <v>38166312.980000004</v>
      </c>
      <c r="I107" s="291">
        <f>SUM(I35:I106)</f>
        <v>-198111.25999999992</v>
      </c>
    </row>
    <row r="108" spans="1:11" ht="13.5" thickTop="1">
      <c r="A108" s="146" t="s">
        <v>398</v>
      </c>
      <c r="B108" s="147"/>
      <c r="C108" s="153"/>
      <c r="D108" s="316"/>
      <c r="E108" s="140"/>
      <c r="F108" s="175"/>
      <c r="I108" s="282"/>
    </row>
    <row r="109" spans="1:11">
      <c r="A109" s="313" t="s">
        <v>313</v>
      </c>
      <c r="B109" s="338" t="s">
        <v>314</v>
      </c>
      <c r="C109" s="139">
        <v>300000</v>
      </c>
      <c r="D109" s="365"/>
      <c r="E109" s="140" t="str">
        <f t="shared" ref="E109:E110" si="12">IF((D109-C109)&gt;0,D109-C109,"")</f>
        <v/>
      </c>
      <c r="F109" s="175">
        <f t="shared" ref="F109:F110" si="13">IF((D109-C109)&gt;0,"",D109-C109)</f>
        <v>-300000</v>
      </c>
      <c r="I109" s="282">
        <f>D109-H109</f>
        <v>0</v>
      </c>
    </row>
    <row r="110" spans="1:11">
      <c r="A110" s="137"/>
      <c r="B110" s="147"/>
      <c r="C110" s="153"/>
      <c r="D110" s="316"/>
      <c r="E110" s="140" t="str">
        <f t="shared" si="12"/>
        <v/>
      </c>
      <c r="F110" s="175">
        <f t="shared" si="13"/>
        <v>0</v>
      </c>
      <c r="I110" s="282">
        <f t="shared" ref="I110" si="14">D110-H110</f>
        <v>0</v>
      </c>
      <c r="J110" s="284"/>
      <c r="K110" s="287"/>
    </row>
    <row r="111" spans="1:11" ht="13.5" thickBot="1">
      <c r="A111" s="137"/>
      <c r="B111" s="147"/>
      <c r="C111" s="161">
        <f>SUM(C108:C110)</f>
        <v>300000</v>
      </c>
      <c r="D111" s="368">
        <f t="shared" ref="D111:F111" si="15">SUM(D108:D110)</f>
        <v>0</v>
      </c>
      <c r="E111" s="161">
        <f t="shared" si="15"/>
        <v>0</v>
      </c>
      <c r="F111" s="194">
        <f t="shared" si="15"/>
        <v>-300000</v>
      </c>
      <c r="H111" s="292">
        <f>SUM(H110:H110)</f>
        <v>0</v>
      </c>
      <c r="I111" s="291">
        <f>SUM(I110:I110)</f>
        <v>0</v>
      </c>
    </row>
    <row r="112" spans="1:11" ht="13.5" thickTop="1">
      <c r="A112" s="146" t="s">
        <v>399</v>
      </c>
      <c r="B112" s="147"/>
      <c r="C112" s="153"/>
      <c r="D112" s="316"/>
      <c r="E112" s="153"/>
      <c r="F112" s="169"/>
      <c r="I112" s="282"/>
    </row>
    <row r="113" spans="1:11">
      <c r="A113" s="313" t="s">
        <v>4</v>
      </c>
      <c r="B113" s="315" t="s">
        <v>315</v>
      </c>
      <c r="C113" s="153">
        <v>900000</v>
      </c>
      <c r="D113" s="373">
        <v>10314.81</v>
      </c>
      <c r="E113" s="153" t="str">
        <f t="shared" ref="E113:E126" si="16">IF((D113-C113)&gt;0,D113-C113,"")</f>
        <v/>
      </c>
      <c r="F113" s="169">
        <f t="shared" ref="F113:F126" si="17">IF((D113-C113)&gt;0,"",D113-C113)</f>
        <v>-889685.19</v>
      </c>
      <c r="H113" s="280">
        <v>20240.96</v>
      </c>
      <c r="I113" s="283">
        <f t="shared" ref="I113:I122" si="18">D113-H113</f>
        <v>-9926.15</v>
      </c>
    </row>
    <row r="114" spans="1:11">
      <c r="A114" s="313" t="s">
        <v>5</v>
      </c>
      <c r="B114" s="315" t="s">
        <v>317</v>
      </c>
      <c r="C114" s="357">
        <v>20000</v>
      </c>
      <c r="D114" s="316">
        <v>1900</v>
      </c>
      <c r="E114" s="153" t="str">
        <f t="shared" si="16"/>
        <v/>
      </c>
      <c r="F114" s="169">
        <f t="shared" si="17"/>
        <v>-18100</v>
      </c>
      <c r="H114" s="280">
        <v>1900</v>
      </c>
      <c r="I114" s="282">
        <f t="shared" si="18"/>
        <v>0</v>
      </c>
    </row>
    <row r="115" spans="1:11">
      <c r="A115" s="313" t="s">
        <v>96</v>
      </c>
      <c r="B115" s="315"/>
      <c r="C115" s="357"/>
      <c r="D115" s="316"/>
      <c r="E115" s="153" t="str">
        <f t="shared" si="16"/>
        <v/>
      </c>
      <c r="F115" s="169">
        <f t="shared" si="17"/>
        <v>0</v>
      </c>
      <c r="I115" s="282">
        <f t="shared" si="18"/>
        <v>0</v>
      </c>
    </row>
    <row r="116" spans="1:11">
      <c r="A116" s="137" t="s">
        <v>97</v>
      </c>
      <c r="B116" s="315" t="s">
        <v>322</v>
      </c>
      <c r="C116" s="357">
        <v>400000</v>
      </c>
      <c r="D116" s="316">
        <v>81275</v>
      </c>
      <c r="E116" s="153" t="str">
        <f t="shared" si="16"/>
        <v/>
      </c>
      <c r="F116" s="169">
        <f t="shared" si="17"/>
        <v>-318725</v>
      </c>
      <c r="H116" s="280">
        <v>75730</v>
      </c>
      <c r="I116" s="282">
        <f t="shared" si="18"/>
        <v>5545</v>
      </c>
      <c r="J116" s="279" t="s">
        <v>424</v>
      </c>
    </row>
    <row r="117" spans="1:11">
      <c r="A117" s="137" t="s">
        <v>98</v>
      </c>
      <c r="B117" s="315" t="s">
        <v>323</v>
      </c>
      <c r="C117" s="357">
        <v>150000</v>
      </c>
      <c r="D117" s="316">
        <v>27500</v>
      </c>
      <c r="E117" s="140" t="str">
        <f t="shared" si="16"/>
        <v/>
      </c>
      <c r="F117" s="175">
        <f t="shared" si="17"/>
        <v>-122500</v>
      </c>
      <c r="H117" s="280">
        <v>27500</v>
      </c>
      <c r="I117" s="282">
        <f t="shared" si="18"/>
        <v>0</v>
      </c>
    </row>
    <row r="118" spans="1:11">
      <c r="A118" s="137" t="s">
        <v>6</v>
      </c>
      <c r="B118" s="315" t="s">
        <v>324</v>
      </c>
      <c r="C118" s="357">
        <v>300000</v>
      </c>
      <c r="D118" s="316">
        <v>2920</v>
      </c>
      <c r="E118" s="140" t="str">
        <f t="shared" si="16"/>
        <v/>
      </c>
      <c r="F118" s="175">
        <f t="shared" si="17"/>
        <v>-297080</v>
      </c>
      <c r="H118" s="280">
        <v>2920</v>
      </c>
      <c r="I118" s="282">
        <f t="shared" si="18"/>
        <v>0</v>
      </c>
    </row>
    <row r="119" spans="1:11">
      <c r="A119" s="313" t="s">
        <v>36</v>
      </c>
      <c r="B119" s="315" t="s">
        <v>325</v>
      </c>
      <c r="C119" s="357">
        <v>10000</v>
      </c>
      <c r="D119" s="316"/>
      <c r="E119" s="140" t="str">
        <f t="shared" si="16"/>
        <v/>
      </c>
      <c r="F119" s="175">
        <f t="shared" si="17"/>
        <v>-10000</v>
      </c>
      <c r="I119" s="282">
        <f t="shared" si="18"/>
        <v>0</v>
      </c>
    </row>
    <row r="120" spans="1:11">
      <c r="A120" s="137" t="s">
        <v>99</v>
      </c>
      <c r="B120" s="315" t="s">
        <v>326</v>
      </c>
      <c r="C120" s="357">
        <v>800000</v>
      </c>
      <c r="D120" s="373">
        <v>119155.12</v>
      </c>
      <c r="E120" s="140" t="str">
        <f t="shared" si="16"/>
        <v/>
      </c>
      <c r="F120" s="175">
        <f t="shared" si="17"/>
        <v>-680844.88</v>
      </c>
      <c r="H120" s="280">
        <v>32335.83</v>
      </c>
      <c r="I120" s="283">
        <f t="shared" si="18"/>
        <v>86819.29</v>
      </c>
      <c r="J120" s="294"/>
      <c r="K120" s="295"/>
    </row>
    <row r="121" spans="1:11">
      <c r="A121" s="137" t="s">
        <v>101</v>
      </c>
      <c r="B121" s="315" t="s">
        <v>328</v>
      </c>
      <c r="C121" s="357">
        <v>60000</v>
      </c>
      <c r="D121" s="373">
        <v>285643.33</v>
      </c>
      <c r="E121" s="140">
        <f t="shared" si="16"/>
        <v>225643.33000000002</v>
      </c>
      <c r="F121" s="175" t="str">
        <f t="shared" si="17"/>
        <v/>
      </c>
      <c r="I121" s="282">
        <f t="shared" si="18"/>
        <v>285643.33</v>
      </c>
      <c r="J121" s="323" t="s">
        <v>421</v>
      </c>
    </row>
    <row r="122" spans="1:11">
      <c r="A122" s="137"/>
      <c r="B122" s="315"/>
      <c r="C122" s="357"/>
      <c r="D122" s="316"/>
      <c r="E122" s="140" t="str">
        <f t="shared" si="16"/>
        <v/>
      </c>
      <c r="F122" s="175">
        <f t="shared" si="17"/>
        <v>0</v>
      </c>
      <c r="I122" s="282">
        <f t="shared" si="18"/>
        <v>0</v>
      </c>
    </row>
    <row r="123" spans="1:11" ht="13.5" thickBot="1">
      <c r="A123" s="146"/>
      <c r="B123" s="138"/>
      <c r="C123" s="163">
        <f>SUM(C113:C122)</f>
        <v>2640000</v>
      </c>
      <c r="D123" s="384">
        <f>SUM(D113:D122)</f>
        <v>528708.26</v>
      </c>
      <c r="E123" s="163">
        <f>SUM(E113:E122)</f>
        <v>225643.33000000002</v>
      </c>
      <c r="F123" s="164">
        <f>SUM(F113:F122)</f>
        <v>-2336935.0699999998</v>
      </c>
      <c r="I123" s="406">
        <f>SUM(I112:I122)</f>
        <v>368081.47000000003</v>
      </c>
    </row>
    <row r="124" spans="1:11" ht="13.5" thickBot="1">
      <c r="A124" s="165" t="s">
        <v>124</v>
      </c>
      <c r="B124" s="166"/>
      <c r="C124" s="167">
        <f>SUM(C123+C111+C107+C33)</f>
        <v>369950750</v>
      </c>
      <c r="D124" s="385">
        <f>SUM(D123+D111+D107+D33)</f>
        <v>168336441.36999997</v>
      </c>
      <c r="E124" s="157">
        <f>SUM(E123+E111+E107+E33)</f>
        <v>233393.33000000002</v>
      </c>
      <c r="F124" s="210">
        <f>SUM(F123+F111+F107+F33)</f>
        <v>-201847701.96000001</v>
      </c>
      <c r="I124" s="282"/>
    </row>
    <row r="125" spans="1:11">
      <c r="A125" s="158" t="s">
        <v>35</v>
      </c>
      <c r="B125" s="348" t="s">
        <v>329</v>
      </c>
      <c r="C125" s="358">
        <v>605000000</v>
      </c>
      <c r="D125" s="358">
        <v>50850902</v>
      </c>
      <c r="E125" s="310" t="str">
        <f t="shared" si="16"/>
        <v/>
      </c>
      <c r="F125" s="184">
        <f t="shared" si="17"/>
        <v>-554149098</v>
      </c>
      <c r="I125" s="282">
        <f>D125-H125</f>
        <v>50850902</v>
      </c>
    </row>
    <row r="126" spans="1:11">
      <c r="A126" s="137" t="s">
        <v>45</v>
      </c>
      <c r="B126" s="147"/>
      <c r="C126" s="153"/>
      <c r="D126" s="356"/>
      <c r="E126" s="140" t="str">
        <f t="shared" si="16"/>
        <v/>
      </c>
      <c r="F126" s="175">
        <f t="shared" si="17"/>
        <v>0</v>
      </c>
      <c r="I126" s="282"/>
    </row>
    <row r="127" spans="1:11">
      <c r="A127" s="137"/>
      <c r="B127" s="147"/>
      <c r="C127" s="170">
        <f>SUM(C125:C126)</f>
        <v>605000000</v>
      </c>
      <c r="D127" s="384">
        <f t="shared" ref="D127:F127" si="19">SUM(D125:D126)</f>
        <v>50850902</v>
      </c>
      <c r="E127" s="163">
        <f t="shared" si="19"/>
        <v>0</v>
      </c>
      <c r="F127" s="164">
        <f t="shared" si="19"/>
        <v>-554149098</v>
      </c>
      <c r="I127" s="282"/>
    </row>
    <row r="128" spans="1:11">
      <c r="A128" s="171" t="s">
        <v>102</v>
      </c>
      <c r="B128" s="138"/>
      <c r="C128" s="160">
        <f>+C124+C127</f>
        <v>974950750</v>
      </c>
      <c r="D128" s="316">
        <f t="shared" ref="D128:F128" si="20">+D124+D127</f>
        <v>219187343.36999997</v>
      </c>
      <c r="E128" s="139">
        <f t="shared" si="20"/>
        <v>233393.33000000002</v>
      </c>
      <c r="F128" s="169">
        <f t="shared" si="20"/>
        <v>-755996799.96000004</v>
      </c>
      <c r="I128" s="282"/>
    </row>
    <row r="129" spans="1:9" ht="8.25" customHeight="1">
      <c r="A129" s="137"/>
      <c r="B129" s="147"/>
      <c r="C129" s="153"/>
      <c r="D129" s="316"/>
      <c r="E129" s="139"/>
      <c r="F129" s="169"/>
      <c r="I129" s="282"/>
    </row>
    <row r="130" spans="1:9">
      <c r="A130" s="146" t="s">
        <v>103</v>
      </c>
      <c r="B130" s="147"/>
      <c r="C130" s="153"/>
      <c r="D130" s="316"/>
      <c r="E130" s="140"/>
      <c r="F130" s="151"/>
      <c r="I130" s="282"/>
    </row>
    <row r="131" spans="1:9" ht="8.25" customHeight="1">
      <c r="A131" s="137" t="s">
        <v>17</v>
      </c>
      <c r="B131" s="147"/>
      <c r="C131" s="153"/>
      <c r="D131" s="356"/>
      <c r="E131" s="140"/>
      <c r="F131" s="151"/>
      <c r="I131" s="282"/>
    </row>
    <row r="132" spans="1:9">
      <c r="A132" s="146" t="s">
        <v>104</v>
      </c>
      <c r="B132" s="315" t="s">
        <v>330</v>
      </c>
      <c r="C132" s="359">
        <v>15000000</v>
      </c>
      <c r="D132" s="386">
        <v>574000</v>
      </c>
      <c r="E132" s="172">
        <v>0</v>
      </c>
      <c r="F132" s="177">
        <f>IF((D132-C132)&gt;0,"",D132-C132)</f>
        <v>-14426000</v>
      </c>
      <c r="H132" s="280">
        <v>574000</v>
      </c>
      <c r="I132" s="282">
        <f>+D132-H132</f>
        <v>0</v>
      </c>
    </row>
    <row r="133" spans="1:9" ht="7.5" customHeight="1">
      <c r="A133" s="137"/>
      <c r="B133" s="147"/>
      <c r="C133" s="357"/>
      <c r="D133" s="316"/>
      <c r="E133" s="140"/>
      <c r="F133" s="175"/>
      <c r="I133" s="282"/>
    </row>
    <row r="134" spans="1:9">
      <c r="A134" s="146" t="s">
        <v>331</v>
      </c>
      <c r="B134" s="315" t="s">
        <v>332</v>
      </c>
      <c r="C134" s="316"/>
      <c r="D134" s="365"/>
      <c r="E134" s="140" t="str">
        <f t="shared" ref="E134:E150" si="21">IF((D134-C134)&gt;0,D134-C134,"")</f>
        <v/>
      </c>
      <c r="F134" s="175">
        <f t="shared" ref="F134:F150" si="22">IF((D134-C134)&gt;0,"",D134-C134)</f>
        <v>0</v>
      </c>
      <c r="H134" s="280" t="s">
        <v>192</v>
      </c>
      <c r="I134" s="282"/>
    </row>
    <row r="135" spans="1:9">
      <c r="A135" s="313" t="s">
        <v>333</v>
      </c>
      <c r="B135" s="315" t="s">
        <v>334</v>
      </c>
      <c r="C135" s="316">
        <v>5000000</v>
      </c>
      <c r="D135" s="357">
        <v>522883.05</v>
      </c>
      <c r="E135" s="139" t="str">
        <f>IF((D135-C135)&gt;0,D135-C135,"")</f>
        <v/>
      </c>
      <c r="F135" s="175">
        <f t="shared" si="22"/>
        <v>-4477116.95</v>
      </c>
      <c r="H135" s="280">
        <v>427987.48</v>
      </c>
      <c r="I135" s="282">
        <f>+D135-H135</f>
        <v>94895.57</v>
      </c>
    </row>
    <row r="136" spans="1:9">
      <c r="A136" s="137" t="s">
        <v>8</v>
      </c>
      <c r="B136" s="315" t="s">
        <v>335</v>
      </c>
      <c r="C136" s="316">
        <v>25350000</v>
      </c>
      <c r="D136" s="360">
        <v>3879724.17</v>
      </c>
      <c r="E136" s="139" t="str">
        <f>IF((D136-C136)&gt;0,D136-C136,"")</f>
        <v/>
      </c>
      <c r="F136" s="175">
        <f t="shared" si="22"/>
        <v>-21470275.829999998</v>
      </c>
      <c r="H136" s="280">
        <v>3424818.37</v>
      </c>
      <c r="I136" s="282">
        <f t="shared" ref="I136:I150" si="23">+D136-H136</f>
        <v>454905.79999999981</v>
      </c>
    </row>
    <row r="137" spans="1:9">
      <c r="A137" s="171" t="s">
        <v>9</v>
      </c>
      <c r="B137" s="315" t="s">
        <v>336</v>
      </c>
      <c r="C137" s="357">
        <v>8000000</v>
      </c>
      <c r="D137" s="360">
        <v>749046</v>
      </c>
      <c r="E137" s="139" t="str">
        <f t="shared" si="21"/>
        <v/>
      </c>
      <c r="F137" s="175">
        <f t="shared" si="22"/>
        <v>-7250954</v>
      </c>
      <c r="H137" s="280">
        <v>692943</v>
      </c>
      <c r="I137" s="282">
        <f t="shared" si="23"/>
        <v>56103</v>
      </c>
    </row>
    <row r="138" spans="1:9">
      <c r="A138" s="313" t="s">
        <v>344</v>
      </c>
      <c r="B138" s="315" t="s">
        <v>345</v>
      </c>
      <c r="C138" s="360">
        <v>1980000</v>
      </c>
      <c r="D138" s="360"/>
      <c r="E138" s="139" t="str">
        <f t="shared" si="21"/>
        <v/>
      </c>
      <c r="F138" s="175">
        <f t="shared" si="22"/>
        <v>-1980000</v>
      </c>
      <c r="H138" s="280">
        <v>0</v>
      </c>
      <c r="I138" s="282">
        <f t="shared" si="23"/>
        <v>0</v>
      </c>
    </row>
    <row r="139" spans="1:9">
      <c r="A139" s="171" t="s">
        <v>4</v>
      </c>
      <c r="B139" s="315" t="s">
        <v>337</v>
      </c>
      <c r="C139" s="360">
        <v>600000</v>
      </c>
      <c r="D139" s="387">
        <v>235820</v>
      </c>
      <c r="E139" s="139" t="str">
        <f t="shared" si="21"/>
        <v/>
      </c>
      <c r="F139" s="175">
        <f t="shared" si="22"/>
        <v>-364180</v>
      </c>
      <c r="H139" s="280">
        <f>21060+184800</f>
        <v>205860</v>
      </c>
      <c r="I139" s="282">
        <f t="shared" si="23"/>
        <v>29960</v>
      </c>
    </row>
    <row r="140" spans="1:9">
      <c r="A140" s="313" t="s">
        <v>338</v>
      </c>
      <c r="B140" s="315" t="s">
        <v>339</v>
      </c>
      <c r="C140" s="360">
        <v>1400000</v>
      </c>
      <c r="D140" s="387">
        <v>192036</v>
      </c>
      <c r="E140" s="139" t="str">
        <f t="shared" si="21"/>
        <v/>
      </c>
      <c r="F140" s="175">
        <f t="shared" si="22"/>
        <v>-1207964</v>
      </c>
      <c r="H140" s="280">
        <v>64008</v>
      </c>
      <c r="I140" s="282">
        <f t="shared" si="23"/>
        <v>128028</v>
      </c>
    </row>
    <row r="141" spans="1:9">
      <c r="A141" s="137" t="s">
        <v>106</v>
      </c>
      <c r="B141" s="315" t="s">
        <v>340</v>
      </c>
      <c r="C141" s="360">
        <v>400000</v>
      </c>
      <c r="D141" s="387">
        <v>118216.65</v>
      </c>
      <c r="E141" s="139" t="str">
        <f t="shared" si="21"/>
        <v/>
      </c>
      <c r="F141" s="175">
        <f t="shared" si="22"/>
        <v>-281783.34999999998</v>
      </c>
      <c r="H141" s="280">
        <v>90887.28</v>
      </c>
      <c r="I141" s="282">
        <f t="shared" si="23"/>
        <v>27329.369999999995</v>
      </c>
    </row>
    <row r="142" spans="1:9">
      <c r="A142" s="137" t="s">
        <v>10</v>
      </c>
      <c r="B142" s="315" t="s">
        <v>341</v>
      </c>
      <c r="C142" s="316">
        <v>1000000</v>
      </c>
      <c r="D142" s="388">
        <v>520300</v>
      </c>
      <c r="E142" s="139" t="str">
        <f t="shared" si="21"/>
        <v/>
      </c>
      <c r="F142" s="175">
        <f t="shared" si="22"/>
        <v>-479700</v>
      </c>
      <c r="H142" s="280">
        <v>485000</v>
      </c>
      <c r="I142" s="282">
        <f t="shared" si="23"/>
        <v>35300</v>
      </c>
    </row>
    <row r="143" spans="1:9">
      <c r="A143" s="137" t="s">
        <v>28</v>
      </c>
      <c r="B143" s="315" t="s">
        <v>342</v>
      </c>
      <c r="C143" s="316">
        <v>160000</v>
      </c>
      <c r="D143" s="357"/>
      <c r="E143" s="139" t="str">
        <f t="shared" si="21"/>
        <v/>
      </c>
      <c r="F143" s="175">
        <f t="shared" si="22"/>
        <v>-160000</v>
      </c>
      <c r="I143" s="282">
        <f t="shared" si="23"/>
        <v>0</v>
      </c>
    </row>
    <row r="144" spans="1:9">
      <c r="A144" s="137" t="s">
        <v>30</v>
      </c>
      <c r="B144" s="315" t="s">
        <v>343</v>
      </c>
      <c r="C144" s="316">
        <v>170000</v>
      </c>
      <c r="D144" s="388">
        <v>1500</v>
      </c>
      <c r="E144" s="139" t="str">
        <f t="shared" si="21"/>
        <v/>
      </c>
      <c r="F144" s="175">
        <f t="shared" si="22"/>
        <v>-168500</v>
      </c>
      <c r="H144" s="280">
        <v>13500</v>
      </c>
      <c r="I144" s="282">
        <f t="shared" si="23"/>
        <v>-12000</v>
      </c>
    </row>
    <row r="145" spans="1:9">
      <c r="A145" s="313" t="s">
        <v>432</v>
      </c>
      <c r="B145" s="338"/>
      <c r="C145" s="316"/>
      <c r="D145" s="388"/>
      <c r="E145" s="139" t="str">
        <f t="shared" si="21"/>
        <v/>
      </c>
      <c r="F145" s="175">
        <f t="shared" si="22"/>
        <v>0</v>
      </c>
      <c r="I145" s="282"/>
    </row>
    <row r="146" spans="1:9">
      <c r="A146" s="137" t="s">
        <v>89</v>
      </c>
      <c r="B146" s="138" t="s">
        <v>256</v>
      </c>
      <c r="C146" s="316">
        <v>430000</v>
      </c>
      <c r="D146" s="221">
        <v>15100</v>
      </c>
      <c r="E146" s="139" t="str">
        <f t="shared" si="21"/>
        <v/>
      </c>
      <c r="F146" s="175">
        <f t="shared" si="22"/>
        <v>-414900</v>
      </c>
      <c r="H146" s="280">
        <v>136136.47</v>
      </c>
      <c r="I146" s="282">
        <f t="shared" si="23"/>
        <v>-121036.47</v>
      </c>
    </row>
    <row r="147" spans="1:9">
      <c r="A147" s="137" t="s">
        <v>172</v>
      </c>
      <c r="B147" s="138" t="s">
        <v>257</v>
      </c>
      <c r="C147" s="316">
        <v>1000000</v>
      </c>
      <c r="D147" s="221">
        <v>153849.87</v>
      </c>
      <c r="E147" s="139" t="str">
        <f t="shared" si="21"/>
        <v/>
      </c>
      <c r="F147" s="175">
        <f t="shared" si="22"/>
        <v>-846150.13</v>
      </c>
      <c r="H147" s="280">
        <v>14000</v>
      </c>
      <c r="I147" s="282">
        <f t="shared" si="23"/>
        <v>139849.87</v>
      </c>
    </row>
    <row r="148" spans="1:9">
      <c r="A148" s="137" t="s">
        <v>91</v>
      </c>
      <c r="B148" s="138" t="s">
        <v>259</v>
      </c>
      <c r="C148" s="316">
        <v>250000</v>
      </c>
      <c r="D148" s="221">
        <v>40160</v>
      </c>
      <c r="E148" s="139" t="str">
        <f t="shared" si="21"/>
        <v/>
      </c>
      <c r="F148" s="175">
        <f t="shared" si="22"/>
        <v>-209840</v>
      </c>
      <c r="H148" s="280">
        <v>35000</v>
      </c>
      <c r="I148" s="282">
        <f t="shared" si="23"/>
        <v>5160</v>
      </c>
    </row>
    <row r="149" spans="1:9">
      <c r="A149" s="137" t="s">
        <v>255</v>
      </c>
      <c r="B149" s="138" t="s">
        <v>261</v>
      </c>
      <c r="C149" s="316">
        <v>250000</v>
      </c>
      <c r="D149" s="221">
        <v>37760</v>
      </c>
      <c r="E149" s="139" t="str">
        <f t="shared" si="21"/>
        <v/>
      </c>
      <c r="F149" s="175">
        <f t="shared" si="22"/>
        <v>-212240</v>
      </c>
      <c r="H149" s="280">
        <v>35700</v>
      </c>
      <c r="I149" s="282">
        <f t="shared" si="23"/>
        <v>2060</v>
      </c>
    </row>
    <row r="150" spans="1:9">
      <c r="A150" s="137" t="s">
        <v>263</v>
      </c>
      <c r="B150" s="147" t="s">
        <v>262</v>
      </c>
      <c r="C150" s="316">
        <v>610000</v>
      </c>
      <c r="D150" s="221">
        <v>37760</v>
      </c>
      <c r="E150" s="142" t="str">
        <f t="shared" si="21"/>
        <v/>
      </c>
      <c r="F150" s="175">
        <f t="shared" si="22"/>
        <v>-572240</v>
      </c>
      <c r="H150" s="280">
        <v>35700</v>
      </c>
      <c r="I150" s="282">
        <f t="shared" si="23"/>
        <v>2060</v>
      </c>
    </row>
    <row r="151" spans="1:9" ht="13.5" thickBot="1">
      <c r="A151" s="137"/>
      <c r="B151" s="147"/>
      <c r="C151" s="172">
        <f>SUM(C135:C150)</f>
        <v>46600000</v>
      </c>
      <c r="D151" s="359">
        <f>SUM(D135:D150)</f>
        <v>6504155.7400000002</v>
      </c>
      <c r="E151" s="172">
        <f>SUM(E135:E150)</f>
        <v>0</v>
      </c>
      <c r="F151" s="174">
        <f>SUM(F135:F150)</f>
        <v>-40095844.260000005</v>
      </c>
      <c r="H151" s="292">
        <f>SUM(H135:H150)</f>
        <v>5661540.5999999996</v>
      </c>
      <c r="I151" s="292">
        <f>SUM(I135:I150)</f>
        <v>842615.1399999999</v>
      </c>
    </row>
    <row r="152" spans="1:9" ht="13.5" thickTop="1">
      <c r="A152" s="146" t="s">
        <v>395</v>
      </c>
      <c r="B152" s="315" t="s">
        <v>332</v>
      </c>
      <c r="C152" s="153"/>
      <c r="D152" s="360"/>
      <c r="E152" s="163"/>
      <c r="F152" s="151"/>
      <c r="I152" s="282"/>
    </row>
    <row r="153" spans="1:9">
      <c r="A153" s="137" t="s">
        <v>8</v>
      </c>
      <c r="B153" s="315" t="s">
        <v>346</v>
      </c>
      <c r="C153" s="316">
        <v>8000000</v>
      </c>
      <c r="D153" s="317">
        <v>926534.74</v>
      </c>
      <c r="E153" s="139" t="str">
        <f t="shared" ref="E153:E166" si="24">IF((D153-C153)&gt;0,D153-C153,"")</f>
        <v/>
      </c>
      <c r="F153" s="175">
        <f t="shared" ref="F153:F166" si="25">IF((D153-C153)&gt;0,"",D153-C153)</f>
        <v>-7073465.2599999998</v>
      </c>
      <c r="H153" s="280">
        <v>757628.52</v>
      </c>
      <c r="I153" s="282">
        <f>+D153-H153</f>
        <v>168906.21999999997</v>
      </c>
    </row>
    <row r="154" spans="1:9">
      <c r="A154" s="137" t="s">
        <v>106</v>
      </c>
      <c r="B154" s="315" t="s">
        <v>347</v>
      </c>
      <c r="C154" s="316">
        <v>100000</v>
      </c>
      <c r="D154" s="317">
        <v>15143.75</v>
      </c>
      <c r="E154" s="139" t="str">
        <f t="shared" si="24"/>
        <v/>
      </c>
      <c r="F154" s="175">
        <f t="shared" si="25"/>
        <v>-84856.25</v>
      </c>
      <c r="H154" s="280">
        <v>9418.23</v>
      </c>
      <c r="I154" s="282">
        <f t="shared" ref="I154:I166" si="26">+D154-H154</f>
        <v>5725.52</v>
      </c>
    </row>
    <row r="155" spans="1:9">
      <c r="A155" s="137" t="s">
        <v>4</v>
      </c>
      <c r="B155" s="315" t="s">
        <v>348</v>
      </c>
      <c r="C155" s="316">
        <v>30000</v>
      </c>
      <c r="D155" s="317">
        <v>21700</v>
      </c>
      <c r="E155" s="139" t="str">
        <f t="shared" si="24"/>
        <v/>
      </c>
      <c r="F155" s="175">
        <f t="shared" si="25"/>
        <v>-8300</v>
      </c>
      <c r="H155" s="280">
        <f>300+21600</f>
        <v>21900</v>
      </c>
      <c r="I155" s="282">
        <f t="shared" si="26"/>
        <v>-200</v>
      </c>
    </row>
    <row r="156" spans="1:9">
      <c r="A156" s="137" t="s">
        <v>11</v>
      </c>
      <c r="B156" s="315" t="s">
        <v>349</v>
      </c>
      <c r="C156" s="316">
        <v>200000</v>
      </c>
      <c r="D156" s="317">
        <v>1000</v>
      </c>
      <c r="E156" s="139" t="str">
        <f t="shared" si="24"/>
        <v/>
      </c>
      <c r="F156" s="175">
        <f t="shared" si="25"/>
        <v>-199000</v>
      </c>
      <c r="H156" s="280">
        <v>21000</v>
      </c>
      <c r="I156" s="282">
        <f t="shared" si="26"/>
        <v>-20000</v>
      </c>
    </row>
    <row r="157" spans="1:9">
      <c r="A157" s="137" t="s">
        <v>12</v>
      </c>
      <c r="B157" s="315" t="s">
        <v>350</v>
      </c>
      <c r="C157" s="316">
        <v>1100000</v>
      </c>
      <c r="D157" s="317">
        <v>69278</v>
      </c>
      <c r="E157" s="139" t="str">
        <f t="shared" si="24"/>
        <v/>
      </c>
      <c r="F157" s="175">
        <f t="shared" si="25"/>
        <v>-1030722</v>
      </c>
      <c r="H157" s="280">
        <v>72531</v>
      </c>
      <c r="I157" s="282">
        <f t="shared" si="26"/>
        <v>-3253</v>
      </c>
    </row>
    <row r="158" spans="1:9">
      <c r="A158" s="137" t="s">
        <v>37</v>
      </c>
      <c r="B158" s="315" t="s">
        <v>351</v>
      </c>
      <c r="C158" s="316">
        <v>6500000</v>
      </c>
      <c r="D158" s="317">
        <v>553677</v>
      </c>
      <c r="E158" s="139" t="str">
        <f t="shared" si="24"/>
        <v/>
      </c>
      <c r="F158" s="175">
        <f t="shared" si="25"/>
        <v>-5946323</v>
      </c>
      <c r="H158" s="280">
        <v>505073</v>
      </c>
      <c r="I158" s="282">
        <f t="shared" si="26"/>
        <v>48604</v>
      </c>
    </row>
    <row r="159" spans="1:9">
      <c r="A159" s="313" t="s">
        <v>447</v>
      </c>
      <c r="B159" s="315" t="s">
        <v>446</v>
      </c>
      <c r="C159" s="316">
        <v>120000</v>
      </c>
      <c r="D159" s="317"/>
      <c r="E159" s="139" t="str">
        <f>IF((D159-C159)&gt;0,D159-C159,"")</f>
        <v/>
      </c>
      <c r="F159" s="175">
        <f>IF((D159-C159)&gt;0,"",D159-C159)</f>
        <v>-120000</v>
      </c>
      <c r="I159" s="282">
        <f>+D159-H159</f>
        <v>0</v>
      </c>
    </row>
    <row r="160" spans="1:9">
      <c r="A160" s="313" t="s">
        <v>432</v>
      </c>
      <c r="B160" s="338"/>
      <c r="C160" s="316"/>
      <c r="D160" s="317"/>
      <c r="E160" s="139" t="str">
        <f t="shared" si="24"/>
        <v/>
      </c>
      <c r="F160" s="175">
        <f t="shared" si="25"/>
        <v>0</v>
      </c>
      <c r="I160" s="282"/>
    </row>
    <row r="161" spans="1:10" ht="13.5" customHeight="1">
      <c r="A161" s="313" t="s">
        <v>352</v>
      </c>
      <c r="B161" s="138" t="s">
        <v>256</v>
      </c>
      <c r="C161" s="316">
        <v>250000</v>
      </c>
      <c r="D161" s="221">
        <v>6955</v>
      </c>
      <c r="E161" s="139" t="str">
        <f t="shared" si="24"/>
        <v/>
      </c>
      <c r="F161" s="175">
        <f t="shared" si="25"/>
        <v>-243045</v>
      </c>
      <c r="H161" s="280">
        <v>9658</v>
      </c>
      <c r="I161" s="282">
        <f>+D161-H161</f>
        <v>-2703</v>
      </c>
    </row>
    <row r="162" spans="1:10">
      <c r="A162" s="313" t="s">
        <v>353</v>
      </c>
      <c r="B162" s="138" t="s">
        <v>257</v>
      </c>
      <c r="C162" s="373">
        <v>50000</v>
      </c>
      <c r="D162" s="389">
        <v>6530</v>
      </c>
      <c r="E162" s="139" t="str">
        <f t="shared" si="24"/>
        <v/>
      </c>
      <c r="F162" s="175">
        <f t="shared" si="25"/>
        <v>-43470</v>
      </c>
      <c r="H162" s="280">
        <v>6490</v>
      </c>
      <c r="I162" s="282">
        <f t="shared" si="26"/>
        <v>40</v>
      </c>
    </row>
    <row r="163" spans="1:10">
      <c r="A163" s="313" t="s">
        <v>354</v>
      </c>
      <c r="B163" s="138" t="s">
        <v>257</v>
      </c>
      <c r="C163" s="373">
        <v>250000</v>
      </c>
      <c r="D163" s="389">
        <v>6855</v>
      </c>
      <c r="E163" s="139" t="str">
        <f t="shared" si="24"/>
        <v/>
      </c>
      <c r="F163" s="175">
        <f t="shared" si="25"/>
        <v>-243145</v>
      </c>
      <c r="H163" s="280">
        <v>9058</v>
      </c>
      <c r="I163" s="282">
        <f t="shared" si="26"/>
        <v>-2203</v>
      </c>
    </row>
    <row r="164" spans="1:10" s="321" customFormat="1">
      <c r="A164" s="352" t="s">
        <v>355</v>
      </c>
      <c r="B164" s="138" t="s">
        <v>259</v>
      </c>
      <c r="C164" s="316">
        <v>20000</v>
      </c>
      <c r="D164" s="221">
        <v>4160</v>
      </c>
      <c r="E164" s="316" t="str">
        <f t="shared" si="24"/>
        <v/>
      </c>
      <c r="F164" s="318">
        <f t="shared" si="25"/>
        <v>-15840</v>
      </c>
      <c r="G164" s="319">
        <v>43933</v>
      </c>
      <c r="H164" s="320">
        <v>3260</v>
      </c>
      <c r="I164" s="25">
        <f t="shared" si="26"/>
        <v>900</v>
      </c>
    </row>
    <row r="165" spans="1:10" s="321" customFormat="1">
      <c r="A165" s="352" t="s">
        <v>356</v>
      </c>
      <c r="B165" s="138" t="s">
        <v>261</v>
      </c>
      <c r="C165" s="316">
        <v>25000</v>
      </c>
      <c r="D165" s="221">
        <v>2160</v>
      </c>
      <c r="E165" s="316" t="str">
        <f t="shared" si="24"/>
        <v/>
      </c>
      <c r="F165" s="318">
        <f t="shared" si="25"/>
        <v>-22840</v>
      </c>
      <c r="H165" s="320">
        <v>2180</v>
      </c>
      <c r="I165" s="25">
        <f t="shared" si="26"/>
        <v>-20</v>
      </c>
    </row>
    <row r="166" spans="1:10">
      <c r="A166" s="313" t="s">
        <v>92</v>
      </c>
      <c r="B166" s="147" t="s">
        <v>262</v>
      </c>
      <c r="C166" s="316">
        <v>25000</v>
      </c>
      <c r="D166" s="390">
        <v>2160</v>
      </c>
      <c r="E166" s="139" t="str">
        <f t="shared" si="24"/>
        <v/>
      </c>
      <c r="F166" s="175">
        <f t="shared" si="25"/>
        <v>-22840</v>
      </c>
      <c r="H166" s="280">
        <v>2180</v>
      </c>
      <c r="I166" s="282">
        <f t="shared" si="26"/>
        <v>-20</v>
      </c>
    </row>
    <row r="167" spans="1:10" ht="13.5" thickBot="1">
      <c r="A167" s="137"/>
      <c r="B167" s="147"/>
      <c r="C167" s="176">
        <f>SUM(C153:C166)</f>
        <v>16670000</v>
      </c>
      <c r="D167" s="359">
        <f>SUM(D153:D166)</f>
        <v>1616153.49</v>
      </c>
      <c r="E167" s="173">
        <f>SUM(E153:E166)</f>
        <v>0</v>
      </c>
      <c r="F167" s="177">
        <f>SUM(F153:F166)</f>
        <v>-15053846.51</v>
      </c>
      <c r="H167" s="292">
        <f>SUM(H153:H166)</f>
        <v>1420376.75</v>
      </c>
      <c r="I167" s="292">
        <f>SUM(I153:I166)</f>
        <v>195776.73999999996</v>
      </c>
      <c r="J167" s="297"/>
    </row>
    <row r="168" spans="1:10" ht="13.5" thickTop="1">
      <c r="A168" s="146"/>
      <c r="B168" s="147"/>
      <c r="C168" s="153"/>
      <c r="D168" s="316"/>
      <c r="E168" s="140"/>
      <c r="F168" s="151"/>
      <c r="I168" s="282"/>
    </row>
    <row r="169" spans="1:10">
      <c r="A169" s="146" t="s">
        <v>420</v>
      </c>
      <c r="B169" s="315" t="s">
        <v>358</v>
      </c>
      <c r="C169" s="153"/>
      <c r="D169" s="360"/>
      <c r="E169" s="139"/>
      <c r="F169" s="151"/>
      <c r="H169" s="280" t="s">
        <v>192</v>
      </c>
      <c r="I169" s="282"/>
    </row>
    <row r="170" spans="1:10">
      <c r="A170" s="313" t="s">
        <v>410</v>
      </c>
      <c r="B170" s="315" t="s">
        <v>359</v>
      </c>
      <c r="C170" s="316">
        <v>12100000</v>
      </c>
      <c r="D170" s="391">
        <v>1323540</v>
      </c>
      <c r="E170" s="139" t="str">
        <f t="shared" ref="E170:E183" si="27">IF((D170-C170)&gt;0,D170-C170,"")</f>
        <v/>
      </c>
      <c r="F170" s="175">
        <f t="shared" ref="F170:F183" si="28">IF((D170-C170)&gt;0,"",D170-C170)</f>
        <v>-10776460</v>
      </c>
      <c r="H170" s="280">
        <v>1024740</v>
      </c>
      <c r="I170" s="282">
        <f>+D170-H170</f>
        <v>298800</v>
      </c>
    </row>
    <row r="171" spans="1:10">
      <c r="A171" s="137" t="s">
        <v>14</v>
      </c>
      <c r="B171" s="315" t="s">
        <v>360</v>
      </c>
      <c r="C171" s="316">
        <v>2000000</v>
      </c>
      <c r="D171" s="391">
        <v>177245</v>
      </c>
      <c r="E171" s="139" t="str">
        <f t="shared" si="27"/>
        <v/>
      </c>
      <c r="F171" s="175">
        <f t="shared" si="28"/>
        <v>-1822755</v>
      </c>
      <c r="H171" s="280">
        <v>157270</v>
      </c>
      <c r="I171" s="282">
        <f t="shared" ref="I171:I183" si="29">+D171-H171</f>
        <v>19975</v>
      </c>
    </row>
    <row r="172" spans="1:10">
      <c r="A172" s="137" t="s">
        <v>8</v>
      </c>
      <c r="B172" s="315" t="s">
        <v>361</v>
      </c>
      <c r="C172" s="316">
        <v>2626000</v>
      </c>
      <c r="D172" s="392">
        <v>334273.37</v>
      </c>
      <c r="E172" s="139" t="str">
        <f t="shared" si="27"/>
        <v/>
      </c>
      <c r="F172" s="175">
        <f t="shared" si="28"/>
        <v>-2291726.63</v>
      </c>
      <c r="H172" s="280">
        <v>334433.96999999997</v>
      </c>
      <c r="I172" s="282">
        <f t="shared" si="29"/>
        <v>-160.59999999997672</v>
      </c>
    </row>
    <row r="173" spans="1:10">
      <c r="A173" s="137" t="s">
        <v>15</v>
      </c>
      <c r="B173" s="315" t="s">
        <v>362</v>
      </c>
      <c r="C173" s="316">
        <v>3000000</v>
      </c>
      <c r="D173" s="392">
        <v>266750</v>
      </c>
      <c r="E173" s="139" t="str">
        <f t="shared" si="27"/>
        <v/>
      </c>
      <c r="F173" s="175">
        <f t="shared" si="28"/>
        <v>-2733250</v>
      </c>
      <c r="H173" s="280">
        <v>266606</v>
      </c>
      <c r="I173" s="282">
        <f t="shared" si="29"/>
        <v>144</v>
      </c>
    </row>
    <row r="174" spans="1:10">
      <c r="A174" s="137" t="s">
        <v>4</v>
      </c>
      <c r="B174" s="315" t="s">
        <v>363</v>
      </c>
      <c r="C174" s="316">
        <v>100000</v>
      </c>
      <c r="D174" s="391">
        <v>14800</v>
      </c>
      <c r="E174" s="139" t="str">
        <f t="shared" si="27"/>
        <v/>
      </c>
      <c r="F174" s="175">
        <f t="shared" si="28"/>
        <v>-85200</v>
      </c>
      <c r="H174" s="280">
        <v>14700</v>
      </c>
      <c r="I174" s="282">
        <f t="shared" si="29"/>
        <v>100</v>
      </c>
    </row>
    <row r="175" spans="1:10">
      <c r="A175" s="137" t="s">
        <v>16</v>
      </c>
      <c r="B175" s="315" t="s">
        <v>364</v>
      </c>
      <c r="C175" s="316">
        <v>60000</v>
      </c>
      <c r="D175" s="391">
        <v>22000</v>
      </c>
      <c r="E175" s="139" t="str">
        <f t="shared" si="27"/>
        <v/>
      </c>
      <c r="F175" s="175">
        <f t="shared" si="28"/>
        <v>-38000</v>
      </c>
      <c r="H175" s="280">
        <v>1000</v>
      </c>
      <c r="I175" s="282">
        <f t="shared" si="29"/>
        <v>21000</v>
      </c>
    </row>
    <row r="176" spans="1:10">
      <c r="A176" s="137" t="s">
        <v>106</v>
      </c>
      <c r="B176" s="315" t="s">
        <v>365</v>
      </c>
      <c r="C176" s="316">
        <v>60000</v>
      </c>
      <c r="D176" s="391">
        <v>26024.62</v>
      </c>
      <c r="E176" s="139" t="str">
        <f t="shared" si="27"/>
        <v/>
      </c>
      <c r="F176" s="175">
        <f t="shared" si="28"/>
        <v>-33975.380000000005</v>
      </c>
      <c r="H176" s="280">
        <v>23773.7</v>
      </c>
      <c r="I176" s="282">
        <f t="shared" si="29"/>
        <v>2250.9199999999983</v>
      </c>
    </row>
    <row r="177" spans="1:9">
      <c r="A177" s="137" t="s">
        <v>173</v>
      </c>
      <c r="B177" s="315" t="s">
        <v>366</v>
      </c>
      <c r="C177" s="316">
        <v>300000</v>
      </c>
      <c r="D177" s="391">
        <v>332300</v>
      </c>
      <c r="E177" s="139">
        <f t="shared" si="27"/>
        <v>32300</v>
      </c>
      <c r="F177" s="175" t="str">
        <f t="shared" si="28"/>
        <v/>
      </c>
      <c r="H177" s="280">
        <v>289950</v>
      </c>
      <c r="I177" s="282">
        <f t="shared" si="29"/>
        <v>42350</v>
      </c>
    </row>
    <row r="178" spans="1:9">
      <c r="A178" s="313" t="s">
        <v>432</v>
      </c>
      <c r="B178" s="338"/>
      <c r="C178" s="316"/>
      <c r="D178" s="391"/>
      <c r="E178" s="139" t="str">
        <f t="shared" si="27"/>
        <v/>
      </c>
      <c r="F178" s="175">
        <f t="shared" si="28"/>
        <v>0</v>
      </c>
      <c r="I178" s="282"/>
    </row>
    <row r="179" spans="1:9">
      <c r="A179" s="137" t="s">
        <v>89</v>
      </c>
      <c r="B179" s="138" t="s">
        <v>256</v>
      </c>
      <c r="C179" s="316">
        <v>700000</v>
      </c>
      <c r="D179" s="391">
        <v>70840</v>
      </c>
      <c r="E179" s="139" t="str">
        <f t="shared" si="27"/>
        <v/>
      </c>
      <c r="F179" s="175">
        <f t="shared" si="28"/>
        <v>-629160</v>
      </c>
      <c r="H179" s="280">
        <v>77206</v>
      </c>
      <c r="I179" s="282">
        <f t="shared" si="29"/>
        <v>-6366</v>
      </c>
    </row>
    <row r="180" spans="1:9">
      <c r="A180" s="137" t="s">
        <v>172</v>
      </c>
      <c r="B180" s="138" t="s">
        <v>257</v>
      </c>
      <c r="C180" s="316">
        <v>600000</v>
      </c>
      <c r="D180" s="391">
        <v>88665</v>
      </c>
      <c r="E180" s="139" t="str">
        <f t="shared" si="27"/>
        <v/>
      </c>
      <c r="F180" s="175">
        <f t="shared" si="28"/>
        <v>-511335</v>
      </c>
      <c r="H180" s="280">
        <v>63403</v>
      </c>
      <c r="I180" s="282">
        <f t="shared" si="29"/>
        <v>25262</v>
      </c>
    </row>
    <row r="181" spans="1:9">
      <c r="A181" s="137" t="s">
        <v>91</v>
      </c>
      <c r="B181" s="138" t="s">
        <v>259</v>
      </c>
      <c r="C181" s="316">
        <v>50000</v>
      </c>
      <c r="D181" s="391">
        <v>30830</v>
      </c>
      <c r="E181" s="139" t="str">
        <f t="shared" si="27"/>
        <v/>
      </c>
      <c r="F181" s="175">
        <f t="shared" si="28"/>
        <v>-19170</v>
      </c>
      <c r="H181" s="280">
        <v>26651</v>
      </c>
      <c r="I181" s="282">
        <f t="shared" si="29"/>
        <v>4179</v>
      </c>
    </row>
    <row r="182" spans="1:9">
      <c r="A182" s="137" t="s">
        <v>255</v>
      </c>
      <c r="B182" s="154" t="s">
        <v>261</v>
      </c>
      <c r="C182" s="316">
        <v>50000</v>
      </c>
      <c r="D182" s="391">
        <v>30740</v>
      </c>
      <c r="E182" s="139" t="str">
        <f t="shared" si="27"/>
        <v/>
      </c>
      <c r="F182" s="175">
        <f t="shared" si="28"/>
        <v>-19260</v>
      </c>
      <c r="H182" s="280">
        <v>26500</v>
      </c>
      <c r="I182" s="282">
        <f t="shared" si="29"/>
        <v>4240</v>
      </c>
    </row>
    <row r="183" spans="1:9">
      <c r="A183" s="137" t="s">
        <v>263</v>
      </c>
      <c r="B183" s="138" t="s">
        <v>262</v>
      </c>
      <c r="C183" s="316">
        <v>50000</v>
      </c>
      <c r="D183" s="391">
        <v>30700</v>
      </c>
      <c r="E183" s="139" t="str">
        <f t="shared" si="27"/>
        <v/>
      </c>
      <c r="F183" s="175">
        <f t="shared" si="28"/>
        <v>-19300</v>
      </c>
      <c r="H183" s="280">
        <v>26500</v>
      </c>
      <c r="I183" s="282">
        <f t="shared" si="29"/>
        <v>4200</v>
      </c>
    </row>
    <row r="184" spans="1:9" ht="13.5" thickBot="1">
      <c r="A184" s="155" t="s">
        <v>17</v>
      </c>
      <c r="B184" s="166"/>
      <c r="C184" s="361">
        <f>SUM(C170:C183)</f>
        <v>21696000</v>
      </c>
      <c r="D184" s="393">
        <f t="shared" ref="D184:F184" si="30">SUM(D170:D183)</f>
        <v>2748707.99</v>
      </c>
      <c r="E184" s="178">
        <f>SUM(E170:E183)</f>
        <v>32300</v>
      </c>
      <c r="F184" s="180">
        <f t="shared" si="30"/>
        <v>-18979592.009999998</v>
      </c>
      <c r="H184" s="292">
        <f>SUM(H170:H183)</f>
        <v>2332733.67</v>
      </c>
      <c r="I184" s="292">
        <f>SUM(I170:I183)</f>
        <v>415974.32</v>
      </c>
    </row>
    <row r="185" spans="1:9" s="298" customFormat="1" ht="5.25" customHeight="1">
      <c r="A185" s="312"/>
      <c r="B185" s="159"/>
      <c r="C185" s="362"/>
      <c r="D185" s="362"/>
      <c r="E185" s="209"/>
      <c r="F185" s="184"/>
      <c r="H185" s="299"/>
      <c r="I185" s="282"/>
    </row>
    <row r="186" spans="1:9" s="298" customFormat="1" ht="11.25" customHeight="1" thickBot="1">
      <c r="A186" s="224"/>
      <c r="B186" s="156"/>
      <c r="C186" s="363"/>
      <c r="D186" s="363"/>
      <c r="E186" s="208"/>
      <c r="F186" s="309"/>
      <c r="H186" s="299"/>
      <c r="I186" s="282"/>
    </row>
    <row r="187" spans="1:9" ht="11.25" customHeight="1">
      <c r="A187" s="132" t="s">
        <v>368</v>
      </c>
      <c r="B187" s="315" t="s">
        <v>369</v>
      </c>
      <c r="C187" s="364"/>
      <c r="D187" s="394"/>
      <c r="E187" s="183"/>
      <c r="F187" s="184"/>
      <c r="I187" s="282"/>
    </row>
    <row r="188" spans="1:9">
      <c r="A188" s="137" t="s">
        <v>18</v>
      </c>
      <c r="B188" s="315" t="s">
        <v>370</v>
      </c>
      <c r="C188" s="365">
        <v>1400000</v>
      </c>
      <c r="D188" s="317">
        <v>98430</v>
      </c>
      <c r="E188" s="139" t="str">
        <f t="shared" ref="E188:E201" si="31">IF((D188-C188)&gt;0,D188-C188,"")</f>
        <v/>
      </c>
      <c r="F188" s="175">
        <f t="shared" ref="F188:F201" si="32">IF((D188-C188)&gt;0,"",D188-C188)</f>
        <v>-1301570</v>
      </c>
      <c r="I188" s="282">
        <f>+D188-H188</f>
        <v>98430</v>
      </c>
    </row>
    <row r="189" spans="1:9">
      <c r="A189" s="137" t="s">
        <v>121</v>
      </c>
      <c r="B189" s="315" t="s">
        <v>371</v>
      </c>
      <c r="C189" s="316">
        <v>650000</v>
      </c>
      <c r="D189" s="317">
        <v>48505</v>
      </c>
      <c r="E189" s="139" t="str">
        <f t="shared" si="31"/>
        <v/>
      </c>
      <c r="F189" s="175">
        <f t="shared" si="32"/>
        <v>-601495</v>
      </c>
      <c r="I189" s="282">
        <f t="shared" ref="I189:I199" si="33">+D189-H189</f>
        <v>48505</v>
      </c>
    </row>
    <row r="190" spans="1:9">
      <c r="A190" s="137" t="s">
        <v>122</v>
      </c>
      <c r="B190" s="315" t="s">
        <v>372</v>
      </c>
      <c r="C190" s="316">
        <v>280000</v>
      </c>
      <c r="D190" s="317">
        <v>22555</v>
      </c>
      <c r="E190" s="139" t="str">
        <f t="shared" si="31"/>
        <v/>
      </c>
      <c r="F190" s="175">
        <f t="shared" si="32"/>
        <v>-257445</v>
      </c>
      <c r="I190" s="282">
        <f t="shared" si="33"/>
        <v>22555</v>
      </c>
    </row>
    <row r="191" spans="1:9">
      <c r="A191" s="137" t="s">
        <v>19</v>
      </c>
      <c r="B191" s="315" t="s">
        <v>373</v>
      </c>
      <c r="C191" s="316">
        <v>1400000</v>
      </c>
      <c r="D191" s="317">
        <v>114850</v>
      </c>
      <c r="E191" s="139" t="str">
        <f t="shared" si="31"/>
        <v/>
      </c>
      <c r="F191" s="175">
        <f t="shared" si="32"/>
        <v>-1285150</v>
      </c>
      <c r="I191" s="282">
        <f t="shared" si="33"/>
        <v>114850</v>
      </c>
    </row>
    <row r="192" spans="1:9">
      <c r="A192" s="171" t="s">
        <v>20</v>
      </c>
      <c r="B192" s="315" t="s">
        <v>374</v>
      </c>
      <c r="C192" s="357">
        <v>790000</v>
      </c>
      <c r="D192" s="395">
        <v>62510</v>
      </c>
      <c r="E192" s="139" t="str">
        <f t="shared" si="31"/>
        <v/>
      </c>
      <c r="F192" s="175">
        <f t="shared" si="32"/>
        <v>-727490</v>
      </c>
      <c r="H192" s="280">
        <v>61255</v>
      </c>
      <c r="I192" s="282">
        <f t="shared" si="33"/>
        <v>1255</v>
      </c>
    </row>
    <row r="193" spans="1:10">
      <c r="A193" s="137" t="s">
        <v>9</v>
      </c>
      <c r="B193" s="315" t="s">
        <v>375</v>
      </c>
      <c r="C193" s="316">
        <v>120000</v>
      </c>
      <c r="D193" s="317">
        <v>10274</v>
      </c>
      <c r="E193" s="139" t="str">
        <f t="shared" si="31"/>
        <v/>
      </c>
      <c r="F193" s="175">
        <f t="shared" si="32"/>
        <v>-109726</v>
      </c>
      <c r="H193" s="280">
        <v>9532</v>
      </c>
      <c r="I193" s="282">
        <f t="shared" si="33"/>
        <v>742</v>
      </c>
    </row>
    <row r="194" spans="1:10">
      <c r="A194" s="137" t="s">
        <v>4</v>
      </c>
      <c r="B194" s="315" t="s">
        <v>376</v>
      </c>
      <c r="C194" s="316">
        <v>720000</v>
      </c>
      <c r="D194" s="317">
        <v>52850</v>
      </c>
      <c r="E194" s="139" t="str">
        <f t="shared" si="31"/>
        <v/>
      </c>
      <c r="F194" s="175">
        <f t="shared" si="32"/>
        <v>-667150</v>
      </c>
      <c r="H194" s="280">
        <f>19400+37900</f>
        <v>57300</v>
      </c>
      <c r="I194" s="282">
        <f t="shared" si="33"/>
        <v>-4450</v>
      </c>
    </row>
    <row r="195" spans="1:10">
      <c r="A195" s="313" t="s">
        <v>377</v>
      </c>
      <c r="B195" s="315" t="s">
        <v>378</v>
      </c>
      <c r="C195" s="316">
        <v>620000</v>
      </c>
      <c r="D195" s="317">
        <v>50165</v>
      </c>
      <c r="E195" s="139" t="str">
        <f t="shared" si="31"/>
        <v/>
      </c>
      <c r="F195" s="175">
        <f t="shared" si="32"/>
        <v>-569835</v>
      </c>
      <c r="H195" s="280">
        <v>49045</v>
      </c>
      <c r="I195" s="282">
        <f t="shared" si="33"/>
        <v>1120</v>
      </c>
    </row>
    <row r="196" spans="1:10">
      <c r="A196" s="313" t="s">
        <v>432</v>
      </c>
      <c r="B196" s="338"/>
      <c r="C196" s="316"/>
      <c r="D196" s="317"/>
      <c r="E196" s="139" t="str">
        <f t="shared" si="31"/>
        <v/>
      </c>
      <c r="F196" s="175">
        <f t="shared" si="32"/>
        <v>0</v>
      </c>
      <c r="I196" s="282"/>
    </row>
    <row r="197" spans="1:10">
      <c r="A197" s="137" t="s">
        <v>89</v>
      </c>
      <c r="B197" s="138" t="s">
        <v>256</v>
      </c>
      <c r="C197" s="373">
        <v>5000</v>
      </c>
      <c r="D197" s="396">
        <v>30</v>
      </c>
      <c r="E197" s="139" t="str">
        <f t="shared" si="31"/>
        <v/>
      </c>
      <c r="F197" s="175">
        <f t="shared" si="32"/>
        <v>-4970</v>
      </c>
      <c r="H197" s="280">
        <v>10821</v>
      </c>
      <c r="I197" s="282">
        <f t="shared" si="33"/>
        <v>-10791</v>
      </c>
      <c r="J197" s="286">
        <f>+I197+I218</f>
        <v>-18673.25</v>
      </c>
    </row>
    <row r="198" spans="1:10">
      <c r="A198" s="137" t="s">
        <v>172</v>
      </c>
      <c r="B198" s="138" t="s">
        <v>257</v>
      </c>
      <c r="C198" s="373">
        <v>140000</v>
      </c>
      <c r="D198" s="397">
        <v>10060</v>
      </c>
      <c r="E198" s="139" t="str">
        <f t="shared" si="31"/>
        <v/>
      </c>
      <c r="F198" s="175">
        <f t="shared" si="32"/>
        <v>-129940</v>
      </c>
      <c r="H198" s="280">
        <v>150</v>
      </c>
      <c r="I198" s="282">
        <f t="shared" si="33"/>
        <v>9910</v>
      </c>
      <c r="J198" s="286">
        <f>+I198+I219</f>
        <v>21214.75</v>
      </c>
    </row>
    <row r="199" spans="1:10">
      <c r="A199" s="137" t="s">
        <v>91</v>
      </c>
      <c r="B199" s="138" t="s">
        <v>259</v>
      </c>
      <c r="C199" s="373">
        <v>65000</v>
      </c>
      <c r="D199" s="397">
        <v>5422</v>
      </c>
      <c r="E199" s="139" t="str">
        <f t="shared" si="31"/>
        <v/>
      </c>
      <c r="F199" s="175">
        <f t="shared" si="32"/>
        <v>-59578</v>
      </c>
      <c r="H199" s="280">
        <v>5251</v>
      </c>
      <c r="I199" s="282">
        <f t="shared" si="33"/>
        <v>171</v>
      </c>
      <c r="J199" s="286">
        <f>+I199+I220</f>
        <v>1642</v>
      </c>
    </row>
    <row r="200" spans="1:10">
      <c r="A200" s="137" t="s">
        <v>255</v>
      </c>
      <c r="B200" s="154" t="s">
        <v>261</v>
      </c>
      <c r="C200" s="373">
        <v>10000</v>
      </c>
      <c r="D200" s="380">
        <v>820</v>
      </c>
      <c r="E200" s="139" t="str">
        <f t="shared" si="31"/>
        <v/>
      </c>
      <c r="F200" s="175">
        <f t="shared" si="32"/>
        <v>-9180</v>
      </c>
      <c r="G200" s="288">
        <v>46889</v>
      </c>
      <c r="I200" s="282">
        <f>+G200-H200</f>
        <v>46889</v>
      </c>
      <c r="J200" s="286" t="e">
        <f>+I200+#REF!</f>
        <v>#REF!</v>
      </c>
    </row>
    <row r="201" spans="1:10">
      <c r="A201" s="137" t="s">
        <v>263</v>
      </c>
      <c r="B201" s="138" t="s">
        <v>262</v>
      </c>
      <c r="C201" s="374">
        <v>10000</v>
      </c>
      <c r="D201" s="380">
        <v>820</v>
      </c>
      <c r="E201" s="139" t="str">
        <f t="shared" si="31"/>
        <v/>
      </c>
      <c r="F201" s="175">
        <f t="shared" si="32"/>
        <v>-9180</v>
      </c>
      <c r="G201" s="288">
        <v>9210</v>
      </c>
      <c r="I201" s="282">
        <f>+G201-H201</f>
        <v>9210</v>
      </c>
      <c r="J201" s="286" t="e">
        <f>+I201+#REF!</f>
        <v>#REF!</v>
      </c>
    </row>
    <row r="202" spans="1:10" ht="13.5" thickBot="1">
      <c r="A202" s="137"/>
      <c r="B202" s="147"/>
      <c r="C202" s="359">
        <f>SUM(C188:C201)</f>
        <v>6210000</v>
      </c>
      <c r="D202" s="359">
        <f t="shared" ref="D202:F202" si="34">SUM(D188:D201)</f>
        <v>477291</v>
      </c>
      <c r="E202" s="172">
        <f>SUM(E188:E201)</f>
        <v>0</v>
      </c>
      <c r="F202" s="174">
        <f t="shared" si="34"/>
        <v>-5732709</v>
      </c>
      <c r="G202" s="288">
        <v>16391</v>
      </c>
      <c r="H202" s="292">
        <f>SUM(H188:H201)</f>
        <v>193354</v>
      </c>
      <c r="I202" s="282">
        <f>+G202-H202</f>
        <v>-176963</v>
      </c>
    </row>
    <row r="203" spans="1:10" ht="0.75" customHeight="1" thickTop="1">
      <c r="A203" s="137"/>
      <c r="B203" s="147"/>
      <c r="C203" s="357"/>
      <c r="D203" s="316"/>
      <c r="E203" s="140"/>
      <c r="F203" s="175"/>
      <c r="G203" s="288">
        <v>3120</v>
      </c>
      <c r="I203" s="282">
        <f>+G203-H203</f>
        <v>3120</v>
      </c>
    </row>
    <row r="204" spans="1:10" ht="12" customHeight="1">
      <c r="A204" s="146" t="s">
        <v>367</v>
      </c>
      <c r="B204" s="147"/>
      <c r="C204" s="357"/>
      <c r="D204" s="360"/>
      <c r="E204" s="139"/>
      <c r="F204" s="175"/>
      <c r="G204" s="288">
        <v>3120</v>
      </c>
      <c r="I204" s="282">
        <f>+G204-H204</f>
        <v>3120</v>
      </c>
    </row>
    <row r="205" spans="1:10">
      <c r="A205" s="137" t="s">
        <v>21</v>
      </c>
      <c r="B205" s="315" t="s">
        <v>379</v>
      </c>
      <c r="C205" s="316">
        <v>85000</v>
      </c>
      <c r="D205" s="317">
        <v>10166</v>
      </c>
      <c r="E205" s="139" t="str">
        <f t="shared" ref="E205:E220" si="35">IF((D205-C205)&gt;0,D205-C205,"")</f>
        <v/>
      </c>
      <c r="F205" s="175">
        <f t="shared" ref="F205:F220" si="36">IF((D205-C205)&gt;0,"",D205-C205)</f>
        <v>-74834</v>
      </c>
      <c r="H205" s="280">
        <v>6052</v>
      </c>
      <c r="I205" s="282">
        <f>+D205-H205</f>
        <v>4114</v>
      </c>
    </row>
    <row r="206" spans="1:10">
      <c r="A206" s="137" t="s">
        <v>22</v>
      </c>
      <c r="B206" s="315" t="s">
        <v>380</v>
      </c>
      <c r="C206" s="316">
        <v>400000</v>
      </c>
      <c r="D206" s="317">
        <v>34812.5</v>
      </c>
      <c r="E206" s="139" t="str">
        <f t="shared" si="35"/>
        <v/>
      </c>
      <c r="F206" s="175">
        <f t="shared" si="36"/>
        <v>-365187.5</v>
      </c>
      <c r="H206" s="280">
        <v>26885</v>
      </c>
      <c r="I206" s="282">
        <f t="shared" ref="I206:I220" si="37">+D206-H206</f>
        <v>7927.5</v>
      </c>
    </row>
    <row r="207" spans="1:10">
      <c r="A207" s="137" t="s">
        <v>7</v>
      </c>
      <c r="B207" s="315" t="s">
        <v>381</v>
      </c>
      <c r="C207" s="316">
        <v>300000</v>
      </c>
      <c r="D207" s="317">
        <v>20717.5</v>
      </c>
      <c r="E207" s="139" t="str">
        <f t="shared" si="35"/>
        <v/>
      </c>
      <c r="F207" s="175">
        <f t="shared" si="36"/>
        <v>-279282.5</v>
      </c>
      <c r="H207" s="280">
        <v>12795</v>
      </c>
      <c r="I207" s="282">
        <f t="shared" si="37"/>
        <v>7922.5</v>
      </c>
    </row>
    <row r="208" spans="1:10">
      <c r="A208" s="137" t="s">
        <v>23</v>
      </c>
      <c r="B208" s="315" t="s">
        <v>382</v>
      </c>
      <c r="C208" s="316">
        <v>270000</v>
      </c>
      <c r="D208" s="317">
        <v>24412.5</v>
      </c>
      <c r="E208" s="139" t="str">
        <f t="shared" si="35"/>
        <v/>
      </c>
      <c r="F208" s="175">
        <f t="shared" si="36"/>
        <v>-245587.5</v>
      </c>
      <c r="H208" s="280">
        <v>27310.5</v>
      </c>
      <c r="I208" s="282">
        <f t="shared" si="37"/>
        <v>-2898</v>
      </c>
    </row>
    <row r="209" spans="1:10">
      <c r="A209" s="137" t="s">
        <v>24</v>
      </c>
      <c r="B209" s="315" t="s">
        <v>383</v>
      </c>
      <c r="C209" s="316">
        <v>130000</v>
      </c>
      <c r="D209" s="317">
        <v>6804</v>
      </c>
      <c r="E209" s="139" t="str">
        <f t="shared" si="35"/>
        <v/>
      </c>
      <c r="F209" s="175">
        <f t="shared" si="36"/>
        <v>-123196</v>
      </c>
      <c r="H209" s="280">
        <v>12027.75</v>
      </c>
      <c r="I209" s="282">
        <f t="shared" si="37"/>
        <v>-5223.75</v>
      </c>
    </row>
    <row r="210" spans="1:10">
      <c r="A210" s="137" t="s">
        <v>4</v>
      </c>
      <c r="B210" s="315" t="s">
        <v>384</v>
      </c>
      <c r="C210" s="316">
        <v>60000</v>
      </c>
      <c r="D210" s="317">
        <v>8921.56</v>
      </c>
      <c r="E210" s="139" t="str">
        <f t="shared" si="35"/>
        <v/>
      </c>
      <c r="F210" s="175">
        <f t="shared" si="36"/>
        <v>-51078.44</v>
      </c>
      <c r="H210" s="280">
        <f>600+8800+313.43</f>
        <v>9713.43</v>
      </c>
      <c r="I210" s="282">
        <f t="shared" si="37"/>
        <v>-791.8700000000008</v>
      </c>
    </row>
    <row r="211" spans="1:10">
      <c r="A211" s="313" t="s">
        <v>411</v>
      </c>
      <c r="B211" s="315" t="s">
        <v>412</v>
      </c>
      <c r="C211" s="316"/>
      <c r="D211" s="317">
        <v>813.75</v>
      </c>
      <c r="E211" s="139">
        <f t="shared" ref="E211" si="38">IF((D211-C211)&gt;0,D211-C211,"")</f>
        <v>813.75</v>
      </c>
      <c r="F211" s="175" t="str">
        <f t="shared" ref="F211" si="39">IF((D211-C211)&gt;0,"",D211-C211)</f>
        <v/>
      </c>
      <c r="I211" s="282"/>
    </row>
    <row r="212" spans="1:10">
      <c r="A212" s="137" t="s">
        <v>25</v>
      </c>
      <c r="B212" s="315" t="s">
        <v>385</v>
      </c>
      <c r="C212" s="316">
        <v>900000</v>
      </c>
      <c r="D212" s="317">
        <v>80790</v>
      </c>
      <c r="E212" s="139" t="str">
        <f t="shared" si="35"/>
        <v/>
      </c>
      <c r="F212" s="175">
        <f t="shared" si="36"/>
        <v>-819210</v>
      </c>
      <c r="G212" s="298"/>
      <c r="H212" s="299">
        <v>79860</v>
      </c>
      <c r="I212" s="282">
        <f t="shared" si="37"/>
        <v>930</v>
      </c>
    </row>
    <row r="213" spans="1:10">
      <c r="A213" s="137" t="s">
        <v>29</v>
      </c>
      <c r="B213" s="315" t="s">
        <v>386</v>
      </c>
      <c r="C213" s="316">
        <v>40000</v>
      </c>
      <c r="D213" s="317">
        <v>7649.25</v>
      </c>
      <c r="E213" s="139" t="str">
        <f t="shared" si="35"/>
        <v/>
      </c>
      <c r="F213" s="175">
        <f t="shared" si="36"/>
        <v>-32350.75</v>
      </c>
      <c r="G213" s="298"/>
      <c r="H213" s="299">
        <v>3255</v>
      </c>
      <c r="I213" s="282">
        <f t="shared" si="37"/>
        <v>4394.25</v>
      </c>
    </row>
    <row r="214" spans="1:10">
      <c r="A214" s="313" t="s">
        <v>388</v>
      </c>
      <c r="B214" s="315" t="s">
        <v>387</v>
      </c>
      <c r="C214" s="316">
        <v>23170</v>
      </c>
      <c r="D214" s="317">
        <v>42000</v>
      </c>
      <c r="E214" s="139">
        <f t="shared" si="35"/>
        <v>18830</v>
      </c>
      <c r="F214" s="175" t="str">
        <f t="shared" si="36"/>
        <v/>
      </c>
      <c r="G214" s="298"/>
      <c r="H214" s="299">
        <v>42000</v>
      </c>
      <c r="I214" s="282">
        <f t="shared" si="37"/>
        <v>0</v>
      </c>
    </row>
    <row r="215" spans="1:10">
      <c r="A215" s="137" t="s">
        <v>8</v>
      </c>
      <c r="B215" s="315" t="s">
        <v>389</v>
      </c>
      <c r="C215" s="316">
        <v>115500</v>
      </c>
      <c r="D215" s="398">
        <v>11383.2</v>
      </c>
      <c r="E215" s="139" t="str">
        <f t="shared" si="35"/>
        <v/>
      </c>
      <c r="F215" s="175">
        <f t="shared" si="36"/>
        <v>-104116.8</v>
      </c>
      <c r="G215" s="298"/>
      <c r="H215" s="299">
        <v>12328.2</v>
      </c>
      <c r="I215" s="282">
        <f t="shared" si="37"/>
        <v>-945</v>
      </c>
    </row>
    <row r="216" spans="1:10">
      <c r="A216" s="137" t="s">
        <v>38</v>
      </c>
      <c r="B216" s="315" t="s">
        <v>390</v>
      </c>
      <c r="C216" s="316">
        <v>65000</v>
      </c>
      <c r="D216" s="357">
        <v>5715</v>
      </c>
      <c r="E216" s="139" t="str">
        <f t="shared" si="35"/>
        <v/>
      </c>
      <c r="F216" s="175">
        <f t="shared" si="36"/>
        <v>-59285</v>
      </c>
      <c r="G216" s="298"/>
      <c r="H216" s="299">
        <v>5445</v>
      </c>
      <c r="I216" s="282">
        <f t="shared" si="37"/>
        <v>270</v>
      </c>
    </row>
    <row r="217" spans="1:10">
      <c r="A217" s="313" t="s">
        <v>432</v>
      </c>
      <c r="B217" s="338"/>
      <c r="C217" s="316"/>
      <c r="D217" s="357"/>
      <c r="E217" s="139" t="str">
        <f t="shared" si="35"/>
        <v/>
      </c>
      <c r="F217" s="175">
        <f t="shared" si="36"/>
        <v>0</v>
      </c>
      <c r="G217" s="298"/>
      <c r="H217" s="299"/>
      <c r="I217" s="282"/>
    </row>
    <row r="218" spans="1:10">
      <c r="A218" s="137" t="s">
        <v>89</v>
      </c>
      <c r="B218" s="138" t="s">
        <v>256</v>
      </c>
      <c r="C218" s="373">
        <v>40000</v>
      </c>
      <c r="D218" s="317">
        <v>5850.75</v>
      </c>
      <c r="E218" s="139" t="str">
        <f t="shared" si="35"/>
        <v/>
      </c>
      <c r="F218" s="175">
        <f t="shared" si="36"/>
        <v>-34149.25</v>
      </c>
      <c r="G218" s="298"/>
      <c r="H218" s="299">
        <v>13733</v>
      </c>
      <c r="I218" s="282">
        <f t="shared" si="37"/>
        <v>-7882.25</v>
      </c>
      <c r="J218" s="286">
        <f>+I218+I197</f>
        <v>-18673.25</v>
      </c>
    </row>
    <row r="219" spans="1:10">
      <c r="A219" s="137" t="s">
        <v>172</v>
      </c>
      <c r="B219" s="138" t="s">
        <v>257</v>
      </c>
      <c r="C219" s="373">
        <v>120000</v>
      </c>
      <c r="D219" s="317">
        <v>16638.75</v>
      </c>
      <c r="E219" s="139" t="str">
        <f t="shared" si="35"/>
        <v/>
      </c>
      <c r="F219" s="175">
        <f t="shared" si="36"/>
        <v>-103361.25</v>
      </c>
      <c r="G219" s="298"/>
      <c r="H219" s="299">
        <v>5334</v>
      </c>
      <c r="I219" s="282">
        <f t="shared" si="37"/>
        <v>11304.75</v>
      </c>
      <c r="J219" s="286">
        <f>+I219+I198</f>
        <v>21214.75</v>
      </c>
    </row>
    <row r="220" spans="1:10">
      <c r="A220" s="137" t="s">
        <v>91</v>
      </c>
      <c r="B220" s="138" t="s">
        <v>259</v>
      </c>
      <c r="C220" s="373">
        <v>30000</v>
      </c>
      <c r="D220" s="357">
        <v>4393</v>
      </c>
      <c r="E220" s="139" t="str">
        <f t="shared" si="35"/>
        <v/>
      </c>
      <c r="F220" s="175">
        <f t="shared" si="36"/>
        <v>-25607</v>
      </c>
      <c r="G220" s="298"/>
      <c r="H220" s="299">
        <v>2922</v>
      </c>
      <c r="I220" s="282">
        <f t="shared" si="37"/>
        <v>1471</v>
      </c>
      <c r="J220" s="286">
        <f>+I220+I199</f>
        <v>1642</v>
      </c>
    </row>
    <row r="221" spans="1:10" ht="13.5" thickBot="1">
      <c r="A221" s="137" t="s">
        <v>17</v>
      </c>
      <c r="B221" s="147"/>
      <c r="C221" s="359">
        <f>SUM(C205:C220)</f>
        <v>2578670</v>
      </c>
      <c r="D221" s="359">
        <f t="shared" ref="D221:F221" si="40">SUM(D205:D220)</f>
        <v>281067.76</v>
      </c>
      <c r="E221" s="172">
        <f>SUM(E205:E220)</f>
        <v>19643.75</v>
      </c>
      <c r="F221" s="174">
        <f t="shared" si="40"/>
        <v>-2317245.9900000002</v>
      </c>
      <c r="G221" s="298"/>
      <c r="H221" s="292">
        <f>SUM(H205:H220)</f>
        <v>259660.88</v>
      </c>
      <c r="I221" s="292">
        <f>SUM(I205:I220)</f>
        <v>20593.129999999997</v>
      </c>
    </row>
    <row r="222" spans="1:10" ht="13.5" thickTop="1">
      <c r="A222" s="146" t="s">
        <v>391</v>
      </c>
      <c r="B222" s="315" t="s">
        <v>392</v>
      </c>
      <c r="C222" s="366"/>
      <c r="D222" s="221"/>
      <c r="E222" s="163"/>
      <c r="F222" s="175"/>
      <c r="G222" s="298"/>
    </row>
    <row r="223" spans="1:10">
      <c r="A223" s="137" t="s">
        <v>27</v>
      </c>
      <c r="B223" s="315" t="s">
        <v>393</v>
      </c>
      <c r="C223" s="316">
        <v>3500000</v>
      </c>
      <c r="D223" s="221">
        <v>254305</v>
      </c>
      <c r="E223" s="139" t="str">
        <f>IF((D223-C223)&gt;0,D223-C223,"")</f>
        <v/>
      </c>
      <c r="F223" s="175">
        <f>IF((D223-C223)&gt;0,"",D223-C223)</f>
        <v>-3245695</v>
      </c>
      <c r="G223" s="298"/>
      <c r="H223" s="280">
        <f>261615+35800</f>
        <v>297415</v>
      </c>
      <c r="I223" s="282">
        <f>+D223-H223</f>
        <v>-43110</v>
      </c>
    </row>
    <row r="224" spans="1:10">
      <c r="A224" s="313" t="s">
        <v>432</v>
      </c>
      <c r="B224" s="338"/>
      <c r="C224" s="316"/>
      <c r="D224" s="221"/>
      <c r="E224" s="139" t="str">
        <f>IF((D224-C224)&gt;0,D224-C224,"")</f>
        <v/>
      </c>
      <c r="F224" s="175">
        <f>IF((D224-C224)&gt;0,"",D224-C224)</f>
        <v>0</v>
      </c>
      <c r="G224" s="298"/>
      <c r="I224" s="282"/>
    </row>
    <row r="225" spans="1:10">
      <c r="A225" s="137" t="s">
        <v>172</v>
      </c>
      <c r="B225" s="138" t="s">
        <v>257</v>
      </c>
      <c r="C225" s="316">
        <v>500000</v>
      </c>
      <c r="D225" s="221">
        <v>43980</v>
      </c>
      <c r="E225" s="139" t="str">
        <f>IF((D225-C225)&gt;0,D225-C225,"")</f>
        <v/>
      </c>
      <c r="F225" s="175">
        <f t="shared" ref="F225:F227" si="41">IF((D225-C225)&gt;0,"",D225-C225)</f>
        <v>-456020</v>
      </c>
      <c r="G225" s="298"/>
      <c r="H225" s="280">
        <v>48300</v>
      </c>
      <c r="I225" s="282">
        <f>+D225-H225</f>
        <v>-4320</v>
      </c>
    </row>
    <row r="226" spans="1:10">
      <c r="A226" s="137" t="s">
        <v>255</v>
      </c>
      <c r="B226" s="138" t="s">
        <v>261</v>
      </c>
      <c r="C226" s="316">
        <v>7000</v>
      </c>
      <c r="D226" s="221">
        <v>1060</v>
      </c>
      <c r="E226" s="139" t="str">
        <f>IF((D226-C226)&gt;0,D226-C226,"")</f>
        <v/>
      </c>
      <c r="F226" s="175">
        <f t="shared" si="41"/>
        <v>-5940</v>
      </c>
      <c r="G226" s="298"/>
      <c r="H226" s="280">
        <v>800</v>
      </c>
      <c r="I226" s="282">
        <f>+D226-H226</f>
        <v>260</v>
      </c>
    </row>
    <row r="227" spans="1:10">
      <c r="A227" s="137" t="s">
        <v>263</v>
      </c>
      <c r="B227" s="138" t="s">
        <v>262</v>
      </c>
      <c r="C227" s="356">
        <v>7000</v>
      </c>
      <c r="D227" s="221">
        <v>1060</v>
      </c>
      <c r="E227" s="139" t="str">
        <f>IF((D227-C227)&gt;0,D227-C227,"")</f>
        <v/>
      </c>
      <c r="F227" s="175">
        <f t="shared" si="41"/>
        <v>-5940</v>
      </c>
      <c r="G227" s="298"/>
      <c r="H227" s="280">
        <v>800</v>
      </c>
      <c r="I227" s="282">
        <f>+D227-H227</f>
        <v>260</v>
      </c>
    </row>
    <row r="228" spans="1:10" ht="13.5" thickBot="1">
      <c r="A228" s="137"/>
      <c r="B228" s="147"/>
      <c r="C228" s="367">
        <f>SUM(C223:C227)</f>
        <v>4014000</v>
      </c>
      <c r="D228" s="399">
        <f t="shared" ref="D228:F228" si="42">SUM(D223:D227)</f>
        <v>300405</v>
      </c>
      <c r="E228" s="189">
        <f>SUM(E223:E227)</f>
        <v>0</v>
      </c>
      <c r="F228" s="190">
        <f t="shared" si="42"/>
        <v>-3713595</v>
      </c>
      <c r="G228" s="298"/>
      <c r="H228" s="292">
        <f>SUM(H223:H227)</f>
        <v>347315</v>
      </c>
      <c r="I228" s="292">
        <f>SUM(I223:I227)</f>
        <v>-46910</v>
      </c>
    </row>
    <row r="229" spans="1:10" ht="13.5" thickTop="1">
      <c r="A229" s="137" t="s">
        <v>123</v>
      </c>
      <c r="B229" s="147"/>
      <c r="C229" s="356">
        <f>SUM(C228+C221+C202+C184+C167+C151+C132)</f>
        <v>112768670</v>
      </c>
      <c r="D229" s="316">
        <f>SUM(D228+D221+D202+D184+D167+D151+D132)</f>
        <v>12501780.98</v>
      </c>
      <c r="E229" s="140">
        <f>+E132+E151+E167+E184+E202+E221+E228</f>
        <v>51943.75</v>
      </c>
      <c r="F229" s="169">
        <f>SUM(F228+F221+F202+F184+F167+F151+F132)</f>
        <v>-100318832.77000001</v>
      </c>
      <c r="G229" s="298"/>
    </row>
    <row r="230" spans="1:10" ht="13.5" thickBot="1">
      <c r="A230" s="191" t="s">
        <v>107</v>
      </c>
      <c r="B230" s="192"/>
      <c r="C230" s="368">
        <f>+C229+C128</f>
        <v>1087719420</v>
      </c>
      <c r="D230" s="383">
        <f>+D229+D128</f>
        <v>231689124.34999996</v>
      </c>
      <c r="E230" s="193">
        <f>+E229+E128</f>
        <v>285337.08</v>
      </c>
      <c r="F230" s="194">
        <f>+F229+F128</f>
        <v>-856315632.73000002</v>
      </c>
      <c r="G230" s="298"/>
    </row>
    <row r="231" spans="1:10" ht="13.5" thickTop="1">
      <c r="A231" s="171" t="s">
        <v>111</v>
      </c>
      <c r="B231" s="154"/>
      <c r="C231" s="357"/>
      <c r="D231" s="357"/>
      <c r="E231" s="153"/>
      <c r="F231" s="175"/>
      <c r="G231" s="298"/>
      <c r="H231" s="280">
        <f>D33+I242</f>
        <v>119229373.93999998</v>
      </c>
      <c r="I231" s="300">
        <v>121064830.92</v>
      </c>
      <c r="J231" s="286">
        <f>H231-I231</f>
        <v>-1835456.9800000191</v>
      </c>
    </row>
    <row r="232" spans="1:10" ht="11.25" customHeight="1">
      <c r="A232" s="195"/>
      <c r="B232" s="408"/>
      <c r="C232" s="2"/>
      <c r="D232" s="400"/>
      <c r="E232" s="197"/>
      <c r="F232" s="199"/>
    </row>
    <row r="233" spans="1:10" ht="14.25">
      <c r="A233" s="466" t="s">
        <v>196</v>
      </c>
      <c r="B233" s="467"/>
      <c r="C233" s="2"/>
      <c r="D233" s="2"/>
      <c r="E233" s="200"/>
      <c r="F233" s="201"/>
    </row>
    <row r="234" spans="1:10" ht="14.25">
      <c r="A234" s="468" t="s">
        <v>400</v>
      </c>
      <c r="B234" s="469"/>
      <c r="C234" s="3"/>
      <c r="D234" s="401" t="s">
        <v>114</v>
      </c>
      <c r="E234" s="408"/>
      <c r="F234" s="201"/>
    </row>
    <row r="235" spans="1:10" ht="14.25">
      <c r="A235" s="171"/>
      <c r="B235" s="408"/>
      <c r="C235" s="4"/>
      <c r="D235" s="4"/>
      <c r="E235" s="408"/>
      <c r="F235" s="201"/>
    </row>
    <row r="236" spans="1:10" ht="12.75" customHeight="1">
      <c r="A236" s="195"/>
      <c r="B236" s="408"/>
      <c r="C236" s="369"/>
      <c r="D236" s="470" t="s">
        <v>115</v>
      </c>
      <c r="E236" s="470"/>
      <c r="F236" s="471"/>
      <c r="H236" s="296"/>
      <c r="I236" s="240"/>
      <c r="J236" s="240" t="s">
        <v>187</v>
      </c>
    </row>
    <row r="237" spans="1:10" ht="14.25">
      <c r="A237" s="195"/>
      <c r="B237" s="408"/>
      <c r="C237" s="369"/>
      <c r="D237" s="472" t="s">
        <v>116</v>
      </c>
      <c r="E237" s="472"/>
      <c r="F237" s="473"/>
      <c r="H237" s="301" t="s">
        <v>179</v>
      </c>
      <c r="I237" s="302">
        <v>233334680.68000001</v>
      </c>
      <c r="J237" s="240" t="s">
        <v>185</v>
      </c>
    </row>
    <row r="238" spans="1:10" ht="14.25">
      <c r="A238" s="195"/>
      <c r="B238" s="408"/>
      <c r="C238" s="369"/>
      <c r="D238" s="372"/>
      <c r="E238" s="222"/>
      <c r="F238" s="223"/>
      <c r="H238" s="301"/>
      <c r="I238" s="240"/>
      <c r="J238" s="240"/>
    </row>
    <row r="239" spans="1:10" ht="11.25" customHeight="1">
      <c r="A239" s="171" t="s">
        <v>117</v>
      </c>
      <c r="B239" s="408"/>
      <c r="C239" s="369"/>
      <c r="D239" s="369"/>
      <c r="E239" s="148"/>
      <c r="F239" s="223"/>
      <c r="H239" s="301" t="s">
        <v>180</v>
      </c>
      <c r="I239" s="296"/>
      <c r="J239" s="240" t="s">
        <v>185</v>
      </c>
    </row>
    <row r="240" spans="1:10">
      <c r="A240" s="171" t="s">
        <v>118</v>
      </c>
      <c r="B240" s="154"/>
      <c r="C240" s="369"/>
      <c r="D240" s="369"/>
      <c r="E240" s="154"/>
      <c r="F240" s="151"/>
      <c r="H240" s="301" t="s">
        <v>181</v>
      </c>
      <c r="I240" s="241">
        <v>672073.44</v>
      </c>
      <c r="J240" s="240" t="s">
        <v>186</v>
      </c>
    </row>
    <row r="241" spans="1:10" ht="12.75" customHeight="1" thickBot="1">
      <c r="A241" s="224"/>
      <c r="B241" s="156"/>
      <c r="C241" s="370"/>
      <c r="D241" s="370"/>
      <c r="E241" s="225"/>
      <c r="F241" s="205"/>
      <c r="H241" s="301" t="s">
        <v>189</v>
      </c>
      <c r="I241" s="296">
        <v>0</v>
      </c>
      <c r="J241" s="240" t="s">
        <v>184</v>
      </c>
    </row>
    <row r="242" spans="1:10" ht="13.5" customHeight="1">
      <c r="C242" s="371"/>
      <c r="F242" s="408"/>
      <c r="H242" s="301" t="s">
        <v>183</v>
      </c>
      <c r="I242" s="241">
        <v>973482.89</v>
      </c>
      <c r="J242" s="240" t="s">
        <v>185</v>
      </c>
    </row>
    <row r="243" spans="1:10" ht="14.25">
      <c r="A243" s="148"/>
      <c r="B243" s="408"/>
      <c r="C243" s="3"/>
      <c r="D243" s="3"/>
      <c r="E243" s="202"/>
      <c r="F243" s="202"/>
      <c r="H243" s="296"/>
      <c r="I243" s="296">
        <f>I237-I239-I240-I242-I241</f>
        <v>231689124.35000002</v>
      </c>
      <c r="J243" s="240"/>
    </row>
    <row r="244" spans="1:10">
      <c r="A244" s="206"/>
      <c r="B244" s="207"/>
      <c r="C244" s="372"/>
      <c r="D244" s="372"/>
      <c r="H244" s="296"/>
      <c r="I244" s="296"/>
      <c r="J244" s="240"/>
    </row>
    <row r="245" spans="1:10">
      <c r="A245" s="206"/>
      <c r="B245" s="207"/>
      <c r="C245" s="372"/>
      <c r="D245" s="372"/>
      <c r="H245" s="296"/>
      <c r="I245" s="296"/>
      <c r="J245" s="240"/>
    </row>
    <row r="246" spans="1:10">
      <c r="A246" s="206"/>
      <c r="B246" s="207"/>
      <c r="C246" s="372"/>
      <c r="D246" s="372"/>
      <c r="H246" s="296" t="s">
        <v>182</v>
      </c>
      <c r="I246" s="296">
        <f>D230</f>
        <v>231689124.34999996</v>
      </c>
      <c r="J246" s="240"/>
    </row>
    <row r="247" spans="1:10">
      <c r="A247" s="206"/>
      <c r="B247" s="207"/>
      <c r="C247" s="372"/>
      <c r="D247" s="372"/>
      <c r="H247" s="296" t="s">
        <v>176</v>
      </c>
      <c r="I247" s="296">
        <f>I243-I246</f>
        <v>0</v>
      </c>
      <c r="J247" s="240"/>
    </row>
    <row r="248" spans="1:10">
      <c r="A248" s="206"/>
      <c r="B248" s="207"/>
      <c r="C248" s="372"/>
      <c r="D248" s="372"/>
    </row>
    <row r="249" spans="1:10">
      <c r="A249" s="206"/>
      <c r="B249" s="207"/>
      <c r="C249" s="372"/>
      <c r="D249" s="372"/>
    </row>
    <row r="250" spans="1:10">
      <c r="A250" s="206"/>
      <c r="B250" s="207"/>
      <c r="C250" s="372"/>
      <c r="D250" s="372"/>
      <c r="E250" s="279"/>
      <c r="F250" s="279"/>
      <c r="H250" s="279"/>
      <c r="I250" s="279"/>
    </row>
    <row r="251" spans="1:10">
      <c r="A251" s="206"/>
      <c r="B251" s="207"/>
      <c r="C251" s="372"/>
      <c r="D251" s="372"/>
      <c r="E251" s="279"/>
      <c r="F251" s="279"/>
      <c r="H251" s="279"/>
      <c r="I251" s="279"/>
    </row>
    <row r="252" spans="1:10">
      <c r="A252" s="206"/>
      <c r="B252" s="207"/>
      <c r="C252" s="372"/>
      <c r="D252" s="372"/>
      <c r="E252" s="279"/>
      <c r="F252" s="279"/>
      <c r="H252" s="279"/>
      <c r="I252" s="279"/>
    </row>
    <row r="253" spans="1:10">
      <c r="A253" s="206"/>
      <c r="B253" s="207"/>
      <c r="C253" s="372"/>
      <c r="D253" s="372"/>
      <c r="E253" s="279"/>
      <c r="F253" s="279"/>
      <c r="H253" s="279"/>
      <c r="I253" s="279"/>
    </row>
    <row r="254" spans="1:10">
      <c r="A254" s="206"/>
      <c r="B254" s="207"/>
      <c r="C254" s="372"/>
      <c r="D254" s="372"/>
      <c r="E254" s="279"/>
      <c r="F254" s="279"/>
      <c r="H254" s="279"/>
      <c r="I254" s="279"/>
    </row>
    <row r="255" spans="1:10">
      <c r="A255" s="206"/>
      <c r="B255" s="207"/>
      <c r="C255" s="372"/>
      <c r="D255" s="372"/>
      <c r="E255" s="279"/>
      <c r="F255" s="279"/>
      <c r="H255" s="279"/>
      <c r="I255" s="279"/>
    </row>
    <row r="256" spans="1:10">
      <c r="A256" s="206"/>
      <c r="B256" s="207"/>
      <c r="C256" s="37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206"/>
      <c r="B283" s="207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  <row r="290" spans="1:9">
      <c r="A290" s="148"/>
      <c r="B290" s="154"/>
      <c r="C290" s="222"/>
      <c r="D290" s="372"/>
      <c r="E290" s="279"/>
      <c r="F290" s="279"/>
      <c r="H290" s="279"/>
      <c r="I290" s="279"/>
    </row>
  </sheetData>
  <mergeCells count="10">
    <mergeCell ref="A233:B233"/>
    <mergeCell ref="A234:B234"/>
    <mergeCell ref="D236:F236"/>
    <mergeCell ref="D237:F237"/>
    <mergeCell ref="A3:F3"/>
    <mergeCell ref="A4:F4"/>
    <mergeCell ref="A7:A8"/>
    <mergeCell ref="B7:B8"/>
    <mergeCell ref="E7:E8"/>
    <mergeCell ref="F7:F8"/>
  </mergeCells>
  <pageMargins left="0.44117647058823528" right="0.12" top="0.40625" bottom="0.85416666666666663" header="0.5" footer="0.5"/>
  <pageSetup paperSize="5" scale="97" fitToHeight="0" orientation="portrait" r:id="rId1"/>
  <headerFooter alignWithMargins="0"/>
  <rowBreaks count="2" manualBreakCount="2">
    <brk id="124" max="5" man="1"/>
    <brk id="184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opLeftCell="A37" zoomScale="115" zoomScaleNormal="115" zoomScaleSheetLayoutView="10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79" customWidth="1"/>
    <col min="12" max="12" width="9.2851562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448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12"/>
      <c r="C6" s="307"/>
      <c r="D6" s="334"/>
      <c r="E6" s="307"/>
      <c r="F6" s="308"/>
      <c r="H6" s="281" t="s">
        <v>154</v>
      </c>
      <c r="I6" s="211" t="s">
        <v>176</v>
      </c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312675</v>
      </c>
      <c r="E11" s="140" t="str">
        <f>IF((D11-C11)&gt;0,D11-C11,"")</f>
        <v/>
      </c>
      <c r="F11" s="175">
        <f>IF((D11-C11)&gt;0,"",D11-C11)</f>
        <v>-67325</v>
      </c>
      <c r="H11" s="280">
        <v>312675</v>
      </c>
      <c r="I11" s="282">
        <f>D11-H11</f>
        <v>0</v>
      </c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2" si="0">IF((D12-C12)&gt;0,D12-C12,"")</f>
        <v/>
      </c>
      <c r="F12" s="141">
        <f t="shared" ref="F12:F32" si="1">IF((D12-C12)&gt;0,"",D12-C12)</f>
        <v>0</v>
      </c>
      <c r="I12" s="282">
        <f t="shared" ref="I12:I32" si="2">D12-H12</f>
        <v>0</v>
      </c>
    </row>
    <row r="13" spans="1:13">
      <c r="A13" s="137" t="s">
        <v>50</v>
      </c>
      <c r="B13" s="338" t="s">
        <v>203</v>
      </c>
      <c r="C13" s="316">
        <v>5000000</v>
      </c>
      <c r="D13" s="365">
        <v>3552549.19</v>
      </c>
      <c r="E13" s="140" t="str">
        <f t="shared" si="0"/>
        <v/>
      </c>
      <c r="F13" s="175">
        <f t="shared" si="1"/>
        <v>-1447450.81</v>
      </c>
      <c r="H13" s="280">
        <v>3552549.23</v>
      </c>
      <c r="I13" s="282">
        <f t="shared" si="2"/>
        <v>-4.0000000037252903E-2</v>
      </c>
      <c r="J13" s="284"/>
      <c r="K13" s="285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1217982.8</v>
      </c>
      <c r="E14" s="140" t="str">
        <f t="shared" si="0"/>
        <v/>
      </c>
      <c r="F14" s="175">
        <f t="shared" si="1"/>
        <v>-282017.19999999995</v>
      </c>
      <c r="H14" s="280">
        <v>1217982.8</v>
      </c>
      <c r="I14" s="282">
        <f t="shared" si="2"/>
        <v>0</v>
      </c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</row>
    <row r="16" spans="1:13">
      <c r="A16" s="137" t="s">
        <v>217</v>
      </c>
      <c r="B16" s="338" t="s">
        <v>220</v>
      </c>
      <c r="C16" s="316">
        <v>45000000</v>
      </c>
      <c r="D16" s="380">
        <f>17909276.54-1543534.4</f>
        <v>16365742.139999999</v>
      </c>
      <c r="E16" s="140" t="str">
        <f t="shared" si="0"/>
        <v/>
      </c>
      <c r="F16" s="175">
        <f t="shared" si="1"/>
        <v>-28634257.859999999</v>
      </c>
      <c r="H16" s="415">
        <v>13903859.189999999</v>
      </c>
      <c r="I16" s="282">
        <f t="shared" si="2"/>
        <v>2461882.9499999993</v>
      </c>
      <c r="J16" s="284" t="s">
        <v>454</v>
      </c>
    </row>
    <row r="17" spans="1:11">
      <c r="A17" s="137" t="s">
        <v>218</v>
      </c>
      <c r="B17" s="338" t="s">
        <v>221</v>
      </c>
      <c r="C17" s="316">
        <v>7500000</v>
      </c>
      <c r="D17" s="365">
        <v>2765340.37</v>
      </c>
      <c r="E17" s="140" t="str">
        <f t="shared" si="0"/>
        <v/>
      </c>
      <c r="F17" s="175">
        <f t="shared" si="1"/>
        <v>-4734659.63</v>
      </c>
      <c r="H17" s="280">
        <v>2765340.38</v>
      </c>
      <c r="I17" s="282">
        <f t="shared" si="2"/>
        <v>-9.9999997764825821E-3</v>
      </c>
      <c r="K17" s="287"/>
    </row>
    <row r="18" spans="1:11">
      <c r="A18" s="313" t="s">
        <v>222</v>
      </c>
      <c r="B18" s="338" t="s">
        <v>223</v>
      </c>
      <c r="C18" s="316">
        <v>200000</v>
      </c>
      <c r="D18" s="365">
        <v>32048.29</v>
      </c>
      <c r="E18" s="140" t="str">
        <f t="shared" si="0"/>
        <v/>
      </c>
      <c r="F18" s="175">
        <f t="shared" si="1"/>
        <v>-167951.71</v>
      </c>
      <c r="H18" s="280">
        <v>32048.29</v>
      </c>
      <c r="I18" s="282">
        <f t="shared" si="2"/>
        <v>0</v>
      </c>
    </row>
    <row r="19" spans="1:11">
      <c r="A19" s="313" t="s">
        <v>401</v>
      </c>
      <c r="B19" s="338" t="s">
        <v>215</v>
      </c>
      <c r="C19" s="316">
        <v>6000000</v>
      </c>
      <c r="D19" s="365">
        <v>1406533.42</v>
      </c>
      <c r="E19" s="140" t="str">
        <f t="shared" si="0"/>
        <v/>
      </c>
      <c r="F19" s="175">
        <f t="shared" si="1"/>
        <v>-4593466.58</v>
      </c>
      <c r="H19" s="280">
        <v>1406533.42</v>
      </c>
      <c r="I19" s="282">
        <f t="shared" si="2"/>
        <v>0</v>
      </c>
    </row>
    <row r="20" spans="1:11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</row>
    <row r="21" spans="1:11">
      <c r="A21" s="313" t="s">
        <v>47</v>
      </c>
      <c r="B21" s="338" t="s">
        <v>200</v>
      </c>
      <c r="C21" s="316">
        <v>170000000</v>
      </c>
      <c r="D21" s="365">
        <v>96523715.909999996</v>
      </c>
      <c r="E21" s="140" t="str">
        <f t="shared" si="0"/>
        <v/>
      </c>
      <c r="F21" s="175">
        <f t="shared" si="1"/>
        <v>-73476284.090000004</v>
      </c>
      <c r="H21" s="280">
        <v>96558353.489999995</v>
      </c>
      <c r="I21" s="282">
        <f t="shared" si="2"/>
        <v>-34637.579999998212</v>
      </c>
      <c r="J21" s="323" t="s">
        <v>424</v>
      </c>
    </row>
    <row r="22" spans="1:11">
      <c r="A22" s="137" t="s">
        <v>48</v>
      </c>
      <c r="B22" s="338" t="s">
        <v>201</v>
      </c>
      <c r="C22" s="316">
        <v>3000000</v>
      </c>
      <c r="D22" s="365">
        <v>2223895.06</v>
      </c>
      <c r="E22" s="140" t="str">
        <f t="shared" si="0"/>
        <v/>
      </c>
      <c r="F22" s="175">
        <f t="shared" si="1"/>
        <v>-776104.94</v>
      </c>
      <c r="H22" s="280">
        <v>2189257.48</v>
      </c>
      <c r="I22" s="282">
        <f t="shared" si="2"/>
        <v>34637.580000000075</v>
      </c>
      <c r="J22" s="323" t="s">
        <v>424</v>
      </c>
    </row>
    <row r="23" spans="1:11">
      <c r="A23" s="313" t="s">
        <v>190</v>
      </c>
      <c r="B23" s="338" t="s">
        <v>225</v>
      </c>
      <c r="C23" s="316">
        <v>2700000</v>
      </c>
      <c r="D23" s="365">
        <v>454521.25</v>
      </c>
      <c r="E23" s="140" t="str">
        <f t="shared" si="0"/>
        <v/>
      </c>
      <c r="F23" s="175">
        <f t="shared" si="1"/>
        <v>-2245478.75</v>
      </c>
      <c r="H23" s="280">
        <v>445086.96</v>
      </c>
      <c r="I23" s="283">
        <f>D23-H23</f>
        <v>9434.289999999979</v>
      </c>
    </row>
    <row r="24" spans="1:11">
      <c r="A24" s="313" t="s">
        <v>33</v>
      </c>
      <c r="B24" s="338" t="s">
        <v>224</v>
      </c>
      <c r="C24" s="316">
        <v>1500000</v>
      </c>
      <c r="D24" s="365">
        <v>974400</v>
      </c>
      <c r="E24" s="140" t="str">
        <f t="shared" si="0"/>
        <v/>
      </c>
      <c r="F24" s="141">
        <f t="shared" si="1"/>
        <v>-525600</v>
      </c>
      <c r="H24" s="280">
        <v>974400</v>
      </c>
      <c r="I24" s="282">
        <f t="shared" si="2"/>
        <v>0</v>
      </c>
    </row>
    <row r="25" spans="1:11">
      <c r="A25" s="313" t="s">
        <v>31</v>
      </c>
      <c r="B25" s="338" t="s">
        <v>197</v>
      </c>
      <c r="C25" s="316">
        <v>2700000</v>
      </c>
      <c r="D25" s="365">
        <v>431024.8</v>
      </c>
      <c r="E25" s="140" t="str">
        <f t="shared" si="0"/>
        <v/>
      </c>
      <c r="F25" s="175">
        <f t="shared" si="1"/>
        <v>-2268975.2000000002</v>
      </c>
      <c r="H25" s="280">
        <v>431024.8</v>
      </c>
      <c r="I25" s="282">
        <f t="shared" si="2"/>
        <v>0</v>
      </c>
      <c r="J25" s="288"/>
    </row>
    <row r="26" spans="1:11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</row>
    <row r="27" spans="1:11">
      <c r="A27" s="313" t="s">
        <v>206</v>
      </c>
      <c r="B27" s="338" t="s">
        <v>208</v>
      </c>
      <c r="C27" s="316">
        <v>3300000</v>
      </c>
      <c r="D27" s="365">
        <v>662449.63</v>
      </c>
      <c r="E27" s="140" t="str">
        <f t="shared" si="0"/>
        <v/>
      </c>
      <c r="F27" s="175">
        <f t="shared" si="1"/>
        <v>-2637550.37</v>
      </c>
      <c r="H27" s="280">
        <v>662449.63</v>
      </c>
      <c r="I27" s="282">
        <f t="shared" si="2"/>
        <v>0</v>
      </c>
    </row>
    <row r="28" spans="1:11">
      <c r="A28" s="137" t="s">
        <v>207</v>
      </c>
      <c r="B28" s="338" t="s">
        <v>209</v>
      </c>
      <c r="C28" s="316">
        <v>586250</v>
      </c>
      <c r="D28" s="333">
        <v>129825</v>
      </c>
      <c r="E28" s="140" t="str">
        <f t="shared" si="0"/>
        <v/>
      </c>
      <c r="F28" s="175">
        <f t="shared" si="1"/>
        <v>-456425</v>
      </c>
      <c r="H28" s="280">
        <v>129805</v>
      </c>
      <c r="I28" s="282">
        <f>D28-H28</f>
        <v>20</v>
      </c>
      <c r="J28" s="323" t="s">
        <v>424</v>
      </c>
    </row>
    <row r="29" spans="1:11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</row>
    <row r="30" spans="1:11">
      <c r="A30" s="313" t="s">
        <v>227</v>
      </c>
      <c r="B30" s="138" t="s">
        <v>229</v>
      </c>
      <c r="C30" s="316">
        <v>4000000</v>
      </c>
      <c r="D30" s="365">
        <v>1099533.06</v>
      </c>
      <c r="E30" s="140" t="str">
        <f>IF((D30-C30)&gt;0,D30-C30,"")</f>
        <v/>
      </c>
      <c r="F30" s="141">
        <f>IF((D30-C30)&gt;0,"",D30-C30)</f>
        <v>-2900466.94</v>
      </c>
      <c r="H30" s="280">
        <v>1099533.05</v>
      </c>
      <c r="I30" s="282">
        <f>D30-H30</f>
        <v>1.0000000009313226E-2</v>
      </c>
    </row>
    <row r="31" spans="1:11">
      <c r="A31" s="313" t="s">
        <v>426</v>
      </c>
      <c r="B31" s="338" t="s">
        <v>427</v>
      </c>
      <c r="C31" s="316">
        <v>5600000</v>
      </c>
      <c r="D31" s="365">
        <v>2133464.54</v>
      </c>
      <c r="E31" s="140" t="str">
        <f t="shared" si="0"/>
        <v/>
      </c>
      <c r="F31" s="175">
        <f t="shared" si="1"/>
        <v>-3466535.46</v>
      </c>
      <c r="H31" s="280">
        <v>2133464.54</v>
      </c>
      <c r="I31" s="282">
        <f t="shared" si="2"/>
        <v>0</v>
      </c>
      <c r="J31" s="284"/>
    </row>
    <row r="32" spans="1:11">
      <c r="A32" s="313"/>
      <c r="B32" s="338"/>
      <c r="C32" s="356"/>
      <c r="D32" s="356"/>
      <c r="E32" s="140" t="str">
        <f t="shared" si="0"/>
        <v/>
      </c>
      <c r="F32" s="175">
        <f t="shared" si="1"/>
        <v>0</v>
      </c>
      <c r="I32" s="282">
        <f t="shared" si="2"/>
        <v>0</v>
      </c>
    </row>
    <row r="33" spans="1:9" ht="13.5" thickBot="1">
      <c r="A33" s="137" t="s">
        <v>34</v>
      </c>
      <c r="B33" s="138"/>
      <c r="C33" s="143">
        <f>SUM(C11:C32)</f>
        <v>258966250</v>
      </c>
      <c r="D33" s="381">
        <f>SUM(D11:D32)</f>
        <v>130285700.46000001</v>
      </c>
      <c r="E33" s="144">
        <f>SUM(E11:E32)</f>
        <v>0</v>
      </c>
      <c r="F33" s="145">
        <f>SUM(F11:F32)</f>
        <v>-128680549.53999999</v>
      </c>
      <c r="H33" s="289">
        <f>SUM(H11:H32)</f>
        <v>127814363.25999998</v>
      </c>
      <c r="I33" s="290">
        <f>SUM(I11:I32)</f>
        <v>2471337.2000000011</v>
      </c>
    </row>
    <row r="34" spans="1:9" ht="13.5" thickTop="1">
      <c r="A34" s="355" t="s">
        <v>397</v>
      </c>
      <c r="B34" s="147"/>
      <c r="C34" s="148"/>
      <c r="D34" s="382"/>
      <c r="E34" s="150"/>
      <c r="F34" s="151"/>
      <c r="I34" s="282"/>
    </row>
    <row r="35" spans="1:9">
      <c r="A35" s="137" t="s">
        <v>53</v>
      </c>
      <c r="B35" s="138" t="s">
        <v>236</v>
      </c>
      <c r="C35" s="139"/>
      <c r="D35" s="365"/>
      <c r="E35" s="140" t="str">
        <f t="shared" ref="E35:E103" si="3">IF((D35-C35)&gt;0,D35-C35,"")</f>
        <v/>
      </c>
      <c r="F35" s="175">
        <f t="shared" ref="F35:F103" si="4">IF((D35-C35)&gt;0,"",D35-C35)</f>
        <v>0</v>
      </c>
      <c r="I35" s="282"/>
    </row>
    <row r="36" spans="1:9">
      <c r="A36" s="137" t="s">
        <v>65</v>
      </c>
      <c r="B36" s="138" t="s">
        <v>245</v>
      </c>
      <c r="C36" s="139">
        <v>500000</v>
      </c>
      <c r="D36" s="365">
        <v>36527.9</v>
      </c>
      <c r="E36" s="140" t="str">
        <f t="shared" si="3"/>
        <v/>
      </c>
      <c r="F36" s="175">
        <f t="shared" si="4"/>
        <v>-463472.1</v>
      </c>
      <c r="H36" s="280">
        <v>36527.9</v>
      </c>
      <c r="I36" s="282">
        <f t="shared" ref="I36:I103" si="5">D36-H36</f>
        <v>0</v>
      </c>
    </row>
    <row r="37" spans="1:9">
      <c r="A37" s="137" t="s">
        <v>66</v>
      </c>
      <c r="B37" s="138" t="s">
        <v>246</v>
      </c>
      <c r="C37" s="139">
        <v>5100000</v>
      </c>
      <c r="D37" s="365">
        <v>1294151.8600000001</v>
      </c>
      <c r="E37" s="140" t="str">
        <f t="shared" si="3"/>
        <v/>
      </c>
      <c r="F37" s="175">
        <f t="shared" si="4"/>
        <v>-3805848.1399999997</v>
      </c>
      <c r="H37" s="280">
        <v>1506757.14</v>
      </c>
      <c r="I37" s="282">
        <f>D37-H37</f>
        <v>-212605.2799999998</v>
      </c>
    </row>
    <row r="38" spans="1:9">
      <c r="A38" s="137" t="s">
        <v>67</v>
      </c>
      <c r="B38" s="138" t="s">
        <v>247</v>
      </c>
      <c r="C38" s="139">
        <v>100000</v>
      </c>
      <c r="D38" s="365">
        <v>2834</v>
      </c>
      <c r="E38" s="140" t="str">
        <f t="shared" si="3"/>
        <v/>
      </c>
      <c r="F38" s="175">
        <f t="shared" si="4"/>
        <v>-97166</v>
      </c>
      <c r="H38" s="280">
        <v>2834</v>
      </c>
      <c r="I38" s="282">
        <f t="shared" si="5"/>
        <v>0</v>
      </c>
    </row>
    <row r="39" spans="1:9">
      <c r="A39" s="137" t="s">
        <v>68</v>
      </c>
      <c r="B39" s="138" t="s">
        <v>248</v>
      </c>
      <c r="C39" s="139">
        <v>3200000</v>
      </c>
      <c r="D39" s="365">
        <v>397035.68</v>
      </c>
      <c r="E39" s="140" t="str">
        <f t="shared" si="3"/>
        <v/>
      </c>
      <c r="F39" s="175">
        <f t="shared" si="4"/>
        <v>-2802964.32</v>
      </c>
      <c r="H39" s="280">
        <v>397035.68</v>
      </c>
      <c r="I39" s="282">
        <f t="shared" si="5"/>
        <v>0</v>
      </c>
    </row>
    <row r="40" spans="1:9">
      <c r="A40" s="137" t="s">
        <v>69</v>
      </c>
      <c r="B40" s="138" t="s">
        <v>249</v>
      </c>
      <c r="C40" s="139">
        <v>1200000</v>
      </c>
      <c r="D40" s="365">
        <v>15030</v>
      </c>
      <c r="E40" s="140" t="str">
        <f t="shared" si="3"/>
        <v/>
      </c>
      <c r="F40" s="175">
        <f t="shared" si="4"/>
        <v>-1184970</v>
      </c>
      <c r="H40" s="280">
        <v>15030</v>
      </c>
      <c r="I40" s="282">
        <f t="shared" si="5"/>
        <v>0</v>
      </c>
    </row>
    <row r="41" spans="1:9">
      <c r="A41" s="137" t="s">
        <v>56</v>
      </c>
      <c r="B41" s="138" t="s">
        <v>237</v>
      </c>
      <c r="C41" s="139">
        <v>11000000</v>
      </c>
      <c r="D41" s="365">
        <v>9651168.8100000005</v>
      </c>
      <c r="E41" s="140" t="str">
        <f t="shared" si="3"/>
        <v/>
      </c>
      <c r="F41" s="175">
        <f t="shared" si="4"/>
        <v>-1348831.1899999995</v>
      </c>
      <c r="H41" s="280">
        <v>9651168.8100000005</v>
      </c>
      <c r="I41" s="282">
        <f t="shared" si="5"/>
        <v>0</v>
      </c>
    </row>
    <row r="42" spans="1:9">
      <c r="A42" s="137" t="s">
        <v>57</v>
      </c>
      <c r="B42" s="138" t="s">
        <v>238</v>
      </c>
      <c r="C42" s="139">
        <v>50000</v>
      </c>
      <c r="D42" s="365">
        <v>3453</v>
      </c>
      <c r="E42" s="140" t="str">
        <f t="shared" si="3"/>
        <v/>
      </c>
      <c r="F42" s="175">
        <f t="shared" si="4"/>
        <v>-46547</v>
      </c>
      <c r="H42" s="280">
        <v>3453</v>
      </c>
      <c r="I42" s="282">
        <f t="shared" si="5"/>
        <v>0</v>
      </c>
    </row>
    <row r="43" spans="1:9">
      <c r="A43" s="137" t="s">
        <v>58</v>
      </c>
      <c r="B43" s="138" t="s">
        <v>239</v>
      </c>
      <c r="C43" s="139">
        <v>180000</v>
      </c>
      <c r="D43" s="365">
        <v>187750</v>
      </c>
      <c r="E43" s="140">
        <f t="shared" si="3"/>
        <v>7750</v>
      </c>
      <c r="F43" s="175" t="str">
        <f t="shared" si="4"/>
        <v/>
      </c>
      <c r="H43" s="280">
        <v>187750</v>
      </c>
      <c r="I43" s="282">
        <f t="shared" si="5"/>
        <v>0</v>
      </c>
    </row>
    <row r="44" spans="1:9">
      <c r="A44" s="137" t="s">
        <v>54</v>
      </c>
      <c r="B44" s="138" t="s">
        <v>241</v>
      </c>
      <c r="C44" s="139"/>
      <c r="D44" s="365"/>
      <c r="E44" s="140" t="str">
        <f t="shared" si="3"/>
        <v/>
      </c>
      <c r="F44" s="175">
        <f t="shared" si="4"/>
        <v>0</v>
      </c>
      <c r="I44" s="282">
        <f t="shared" si="5"/>
        <v>0</v>
      </c>
    </row>
    <row r="45" spans="1:9">
      <c r="A45" s="137" t="s">
        <v>55</v>
      </c>
      <c r="B45" s="138" t="s">
        <v>242</v>
      </c>
      <c r="C45" s="139">
        <v>100000</v>
      </c>
      <c r="D45" s="365">
        <v>17525</v>
      </c>
      <c r="E45" s="140" t="str">
        <f t="shared" si="3"/>
        <v/>
      </c>
      <c r="F45" s="175">
        <f t="shared" si="4"/>
        <v>-82475</v>
      </c>
      <c r="G45" s="323" t="s">
        <v>422</v>
      </c>
      <c r="I45" s="282">
        <f t="shared" si="5"/>
        <v>17525</v>
      </c>
    </row>
    <row r="46" spans="1:9">
      <c r="A46" s="137" t="s">
        <v>59</v>
      </c>
      <c r="B46" s="138" t="s">
        <v>243</v>
      </c>
      <c r="C46" s="139">
        <v>50000</v>
      </c>
      <c r="D46" s="365">
        <v>2700</v>
      </c>
      <c r="E46" s="140" t="str">
        <f t="shared" si="3"/>
        <v/>
      </c>
      <c r="F46" s="175">
        <f t="shared" si="4"/>
        <v>-47300</v>
      </c>
      <c r="H46" s="280">
        <v>2700</v>
      </c>
      <c r="I46" s="282">
        <f t="shared" si="5"/>
        <v>0</v>
      </c>
    </row>
    <row r="47" spans="1:9">
      <c r="A47" s="137" t="s">
        <v>60</v>
      </c>
      <c r="B47" s="138" t="s">
        <v>244</v>
      </c>
      <c r="C47" s="139">
        <v>1000000</v>
      </c>
      <c r="D47" s="365">
        <v>202250</v>
      </c>
      <c r="E47" s="140" t="str">
        <f t="shared" si="3"/>
        <v/>
      </c>
      <c r="F47" s="175">
        <f t="shared" si="4"/>
        <v>-797750</v>
      </c>
      <c r="H47" s="280">
        <v>202250</v>
      </c>
      <c r="I47" s="282">
        <f t="shared" si="5"/>
        <v>0</v>
      </c>
    </row>
    <row r="48" spans="1:9">
      <c r="A48" s="137" t="s">
        <v>276</v>
      </c>
      <c r="B48" s="138" t="s">
        <v>235</v>
      </c>
      <c r="C48" s="139"/>
      <c r="D48" s="365"/>
      <c r="E48" s="140" t="str">
        <f t="shared" si="3"/>
        <v/>
      </c>
      <c r="F48" s="175">
        <f t="shared" si="4"/>
        <v>0</v>
      </c>
      <c r="I48" s="282">
        <f t="shared" si="5"/>
        <v>0</v>
      </c>
    </row>
    <row r="49" spans="1:10">
      <c r="A49" s="137" t="s">
        <v>277</v>
      </c>
      <c r="B49" s="138" t="s">
        <v>282</v>
      </c>
      <c r="C49" s="139">
        <v>1350000</v>
      </c>
      <c r="D49" s="365">
        <v>308840</v>
      </c>
      <c r="E49" s="140" t="str">
        <f t="shared" si="3"/>
        <v/>
      </c>
      <c r="F49" s="175">
        <f t="shared" si="4"/>
        <v>-1041160</v>
      </c>
      <c r="H49" s="280">
        <v>308840</v>
      </c>
      <c r="I49" s="282">
        <f t="shared" si="5"/>
        <v>0</v>
      </c>
    </row>
    <row r="50" spans="1:10">
      <c r="A50" s="137" t="s">
        <v>278</v>
      </c>
      <c r="B50" s="138" t="s">
        <v>283</v>
      </c>
      <c r="C50" s="139">
        <v>850000</v>
      </c>
      <c r="D50" s="365">
        <v>129120</v>
      </c>
      <c r="E50" s="140" t="str">
        <f t="shared" si="3"/>
        <v/>
      </c>
      <c r="F50" s="175">
        <f t="shared" si="4"/>
        <v>-720880</v>
      </c>
      <c r="H50" s="280">
        <v>125520</v>
      </c>
      <c r="I50" s="282">
        <f t="shared" si="5"/>
        <v>3600</v>
      </c>
      <c r="J50" s="323" t="s">
        <v>424</v>
      </c>
    </row>
    <row r="51" spans="1:10">
      <c r="A51" s="137" t="s">
        <v>279</v>
      </c>
      <c r="B51" s="138" t="s">
        <v>284</v>
      </c>
      <c r="C51" s="139">
        <v>5000</v>
      </c>
      <c r="D51" s="365"/>
      <c r="E51" s="140" t="str">
        <f t="shared" si="3"/>
        <v/>
      </c>
      <c r="F51" s="175">
        <f t="shared" si="4"/>
        <v>-5000</v>
      </c>
      <c r="I51" s="282">
        <f t="shared" si="5"/>
        <v>0</v>
      </c>
    </row>
    <row r="52" spans="1:10">
      <c r="A52" s="137" t="s">
        <v>280</v>
      </c>
      <c r="B52" s="138" t="s">
        <v>285</v>
      </c>
      <c r="C52" s="139">
        <v>70000</v>
      </c>
      <c r="D52" s="365">
        <v>7220</v>
      </c>
      <c r="E52" s="140" t="str">
        <f t="shared" si="3"/>
        <v/>
      </c>
      <c r="F52" s="175">
        <f t="shared" si="4"/>
        <v>-62780</v>
      </c>
      <c r="H52" s="280">
        <v>7220</v>
      </c>
      <c r="I52" s="282">
        <f t="shared" si="5"/>
        <v>0</v>
      </c>
    </row>
    <row r="53" spans="1:10">
      <c r="A53" s="137" t="s">
        <v>71</v>
      </c>
      <c r="B53" s="138" t="s">
        <v>287</v>
      </c>
      <c r="C53" s="139">
        <v>500</v>
      </c>
      <c r="D53" s="365"/>
      <c r="E53" s="140" t="str">
        <f t="shared" si="3"/>
        <v/>
      </c>
      <c r="F53" s="175">
        <f t="shared" si="4"/>
        <v>-500</v>
      </c>
      <c r="I53" s="282">
        <f t="shared" si="5"/>
        <v>0</v>
      </c>
    </row>
    <row r="54" spans="1:10">
      <c r="A54" s="137" t="s">
        <v>72</v>
      </c>
      <c r="B54" s="138" t="s">
        <v>288</v>
      </c>
      <c r="C54" s="139">
        <v>2500</v>
      </c>
      <c r="D54" s="365">
        <v>5000</v>
      </c>
      <c r="E54" s="140">
        <f t="shared" si="3"/>
        <v>2500</v>
      </c>
      <c r="F54" s="175" t="str">
        <f t="shared" si="4"/>
        <v/>
      </c>
      <c r="H54" s="280">
        <v>5100</v>
      </c>
      <c r="I54" s="282">
        <f t="shared" si="5"/>
        <v>-100</v>
      </c>
      <c r="J54" s="323" t="s">
        <v>424</v>
      </c>
    </row>
    <row r="55" spans="1:10">
      <c r="A55" s="137" t="s">
        <v>73</v>
      </c>
      <c r="B55" s="138" t="s">
        <v>289</v>
      </c>
      <c r="C55" s="139">
        <v>3000000</v>
      </c>
      <c r="D55" s="365">
        <v>321190</v>
      </c>
      <c r="E55" s="140" t="str">
        <f t="shared" si="3"/>
        <v/>
      </c>
      <c r="F55" s="175">
        <f t="shared" si="4"/>
        <v>-2678810</v>
      </c>
      <c r="H55" s="280">
        <v>321190</v>
      </c>
      <c r="I55" s="282">
        <f t="shared" si="5"/>
        <v>0</v>
      </c>
    </row>
    <row r="56" spans="1:10">
      <c r="A56" s="313" t="s">
        <v>402</v>
      </c>
      <c r="B56" s="138" t="s">
        <v>290</v>
      </c>
      <c r="C56" s="139">
        <v>60000</v>
      </c>
      <c r="D56" s="365">
        <v>6400</v>
      </c>
      <c r="E56" s="140" t="str">
        <f t="shared" si="3"/>
        <v/>
      </c>
      <c r="F56" s="175">
        <f t="shared" si="4"/>
        <v>-53600</v>
      </c>
      <c r="H56" s="280">
        <v>6400</v>
      </c>
      <c r="I56" s="282">
        <f t="shared" si="5"/>
        <v>0</v>
      </c>
    </row>
    <row r="57" spans="1:10">
      <c r="A57" s="137" t="s">
        <v>74</v>
      </c>
      <c r="B57" s="138" t="s">
        <v>291</v>
      </c>
      <c r="C57" s="139">
        <v>5000</v>
      </c>
      <c r="D57" s="365">
        <v>900</v>
      </c>
      <c r="E57" s="140" t="str">
        <f t="shared" si="3"/>
        <v/>
      </c>
      <c r="F57" s="175">
        <f t="shared" si="4"/>
        <v>-4100</v>
      </c>
      <c r="H57" s="280">
        <v>800</v>
      </c>
      <c r="I57" s="282">
        <f t="shared" si="5"/>
        <v>100</v>
      </c>
      <c r="J57" s="323" t="s">
        <v>424</v>
      </c>
    </row>
    <row r="58" spans="1:10">
      <c r="A58" s="137" t="s">
        <v>75</v>
      </c>
      <c r="B58" s="138" t="s">
        <v>292</v>
      </c>
      <c r="C58" s="139">
        <v>100000</v>
      </c>
      <c r="D58" s="365">
        <v>46300</v>
      </c>
      <c r="E58" s="140" t="str">
        <f t="shared" si="3"/>
        <v/>
      </c>
      <c r="F58" s="175">
        <f t="shared" si="4"/>
        <v>-53700</v>
      </c>
      <c r="H58" s="280">
        <v>46390</v>
      </c>
      <c r="I58" s="282">
        <f t="shared" si="5"/>
        <v>-90</v>
      </c>
      <c r="J58" s="323" t="s">
        <v>424</v>
      </c>
    </row>
    <row r="59" spans="1:10">
      <c r="A59" s="137" t="s">
        <v>76</v>
      </c>
      <c r="B59" s="138" t="s">
        <v>293</v>
      </c>
      <c r="C59" s="139">
        <v>100000</v>
      </c>
      <c r="D59" s="365">
        <v>16700</v>
      </c>
      <c r="E59" s="140" t="str">
        <f t="shared" si="3"/>
        <v/>
      </c>
      <c r="F59" s="175">
        <f t="shared" si="4"/>
        <v>-83300</v>
      </c>
      <c r="H59" s="280">
        <v>16700</v>
      </c>
      <c r="I59" s="282">
        <f t="shared" si="5"/>
        <v>0</v>
      </c>
    </row>
    <row r="60" spans="1:10">
      <c r="A60" s="137" t="s">
        <v>77</v>
      </c>
      <c r="B60" s="138" t="s">
        <v>294</v>
      </c>
      <c r="C60" s="139">
        <v>180000</v>
      </c>
      <c r="D60" s="365">
        <v>30650</v>
      </c>
      <c r="E60" s="140" t="str">
        <f t="shared" si="3"/>
        <v/>
      </c>
      <c r="F60" s="175">
        <f t="shared" si="4"/>
        <v>-149350</v>
      </c>
      <c r="H60" s="280">
        <v>30650</v>
      </c>
      <c r="I60" s="282">
        <f t="shared" si="5"/>
        <v>0</v>
      </c>
    </row>
    <row r="61" spans="1:10">
      <c r="A61" s="137" t="s">
        <v>78</v>
      </c>
      <c r="B61" s="138" t="s">
        <v>295</v>
      </c>
      <c r="C61" s="139">
        <v>500</v>
      </c>
      <c r="D61" s="365"/>
      <c r="E61" s="140" t="str">
        <f t="shared" si="3"/>
        <v/>
      </c>
      <c r="F61" s="175">
        <f t="shared" si="4"/>
        <v>-500</v>
      </c>
      <c r="I61" s="282">
        <f t="shared" si="5"/>
        <v>0</v>
      </c>
    </row>
    <row r="62" spans="1:10">
      <c r="A62" s="137" t="s">
        <v>79</v>
      </c>
      <c r="B62" s="138" t="s">
        <v>296</v>
      </c>
      <c r="C62" s="139">
        <v>50000</v>
      </c>
      <c r="D62" s="365">
        <v>900</v>
      </c>
      <c r="E62" s="140" t="str">
        <f t="shared" si="3"/>
        <v/>
      </c>
      <c r="F62" s="175">
        <f t="shared" si="4"/>
        <v>-49100</v>
      </c>
      <c r="H62" s="280">
        <v>900</v>
      </c>
      <c r="I62" s="282">
        <f t="shared" si="5"/>
        <v>0</v>
      </c>
    </row>
    <row r="63" spans="1:10">
      <c r="A63" s="137" t="s">
        <v>80</v>
      </c>
      <c r="B63" s="138" t="s">
        <v>297</v>
      </c>
      <c r="C63" s="139">
        <v>20000</v>
      </c>
      <c r="D63" s="365"/>
      <c r="E63" s="140" t="str">
        <f t="shared" si="3"/>
        <v/>
      </c>
      <c r="F63" s="175">
        <f t="shared" si="4"/>
        <v>-20000</v>
      </c>
      <c r="I63" s="282">
        <f t="shared" si="5"/>
        <v>0</v>
      </c>
    </row>
    <row r="64" spans="1:10">
      <c r="A64" s="313" t="s">
        <v>449</v>
      </c>
      <c r="B64" s="338" t="s">
        <v>450</v>
      </c>
      <c r="C64" s="139"/>
      <c r="D64" s="365">
        <v>20</v>
      </c>
      <c r="E64" s="140">
        <f t="shared" ref="E64" si="6">IF((D64-C64)&gt;0,D64-C64,"")</f>
        <v>20</v>
      </c>
      <c r="F64" s="175" t="str">
        <f t="shared" ref="F64" si="7">IF((D64-C64)&gt;0,"",D64-C64)</f>
        <v/>
      </c>
      <c r="H64" s="280">
        <v>20</v>
      </c>
      <c r="I64" s="282">
        <f t="shared" si="5"/>
        <v>0</v>
      </c>
    </row>
    <row r="65" spans="1:10">
      <c r="A65" s="313" t="s">
        <v>432</v>
      </c>
      <c r="B65" s="138" t="s">
        <v>431</v>
      </c>
      <c r="C65" s="139"/>
      <c r="D65" s="365"/>
      <c r="E65" s="140"/>
      <c r="F65" s="175"/>
      <c r="I65" s="282"/>
    </row>
    <row r="66" spans="1:10">
      <c r="A66" s="137" t="s">
        <v>172</v>
      </c>
      <c r="B66" s="138" t="s">
        <v>435</v>
      </c>
      <c r="C66" s="316">
        <v>13000000</v>
      </c>
      <c r="D66" s="365">
        <v>7871789.6399999997</v>
      </c>
      <c r="E66" s="140" t="str">
        <f t="shared" ref="E66:E73" si="8">IF((D66-C66)&gt;0,D66-C66,"")</f>
        <v/>
      </c>
      <c r="F66" s="175">
        <f t="shared" ref="F66:F73" si="9">IF((D66-C66)&gt;0,"",D66-C66)</f>
        <v>-5128210.3600000003</v>
      </c>
      <c r="H66" s="280">
        <v>7871779.6399999997</v>
      </c>
      <c r="I66" s="282">
        <f t="shared" ref="I66:I73" si="10">D66-H66</f>
        <v>10</v>
      </c>
      <c r="J66" s="323" t="s">
        <v>424</v>
      </c>
    </row>
    <row r="67" spans="1:10">
      <c r="A67" s="137" t="s">
        <v>91</v>
      </c>
      <c r="B67" s="138" t="s">
        <v>436</v>
      </c>
      <c r="C67" s="316">
        <v>2500000</v>
      </c>
      <c r="D67" s="365">
        <v>1094251.47</v>
      </c>
      <c r="E67" s="140" t="str">
        <f t="shared" si="8"/>
        <v/>
      </c>
      <c r="F67" s="175">
        <f t="shared" si="9"/>
        <v>-1405748.53</v>
      </c>
      <c r="H67" s="280">
        <v>1094251.47</v>
      </c>
      <c r="I67" s="282">
        <f t="shared" si="10"/>
        <v>0</v>
      </c>
    </row>
    <row r="68" spans="1:10">
      <c r="A68" s="137" t="s">
        <v>90</v>
      </c>
      <c r="B68" s="138" t="s">
        <v>437</v>
      </c>
      <c r="C68" s="316">
        <v>8000000</v>
      </c>
      <c r="D68" s="365">
        <v>3477020</v>
      </c>
      <c r="E68" s="140" t="str">
        <f t="shared" si="8"/>
        <v/>
      </c>
      <c r="F68" s="175">
        <f t="shared" si="9"/>
        <v>-4522980</v>
      </c>
      <c r="H68" s="280">
        <v>3477020</v>
      </c>
      <c r="I68" s="282">
        <f t="shared" si="10"/>
        <v>0</v>
      </c>
    </row>
    <row r="69" spans="1:10">
      <c r="A69" s="137" t="s">
        <v>255</v>
      </c>
      <c r="B69" s="138" t="s">
        <v>438</v>
      </c>
      <c r="C69" s="316">
        <v>5500000</v>
      </c>
      <c r="D69" s="365">
        <v>1655125</v>
      </c>
      <c r="E69" s="140" t="str">
        <f t="shared" si="8"/>
        <v/>
      </c>
      <c r="F69" s="175">
        <f t="shared" si="9"/>
        <v>-3844875</v>
      </c>
      <c r="H69" s="280">
        <v>1660265</v>
      </c>
      <c r="I69" s="282">
        <f t="shared" si="10"/>
        <v>-5140</v>
      </c>
    </row>
    <row r="70" spans="1:10">
      <c r="A70" s="137" t="s">
        <v>434</v>
      </c>
      <c r="B70" s="138" t="s">
        <v>439</v>
      </c>
      <c r="C70" s="139">
        <v>600000</v>
      </c>
      <c r="D70" s="365">
        <v>371207.87</v>
      </c>
      <c r="E70" s="140" t="str">
        <f t="shared" si="8"/>
        <v/>
      </c>
      <c r="F70" s="175">
        <f t="shared" si="9"/>
        <v>-228792.13</v>
      </c>
      <c r="H70" s="280">
        <v>371217.87</v>
      </c>
      <c r="I70" s="282">
        <f t="shared" si="10"/>
        <v>-10</v>
      </c>
      <c r="J70" s="323" t="s">
        <v>424</v>
      </c>
    </row>
    <row r="71" spans="1:10">
      <c r="A71" s="137" t="s">
        <v>254</v>
      </c>
      <c r="B71" s="138" t="s">
        <v>440</v>
      </c>
      <c r="C71" s="316">
        <v>1600000</v>
      </c>
      <c r="D71" s="365">
        <v>310750</v>
      </c>
      <c r="E71" s="140" t="str">
        <f t="shared" si="8"/>
        <v/>
      </c>
      <c r="F71" s="175">
        <f t="shared" si="9"/>
        <v>-1289250</v>
      </c>
      <c r="H71" s="280">
        <v>310750</v>
      </c>
      <c r="I71" s="282">
        <f t="shared" si="10"/>
        <v>0</v>
      </c>
    </row>
    <row r="72" spans="1:10">
      <c r="A72" s="137" t="s">
        <v>263</v>
      </c>
      <c r="B72" s="138" t="s">
        <v>441</v>
      </c>
      <c r="C72" s="316">
        <v>5500000</v>
      </c>
      <c r="D72" s="365">
        <v>1664293.63</v>
      </c>
      <c r="E72" s="140" t="str">
        <f t="shared" si="8"/>
        <v/>
      </c>
      <c r="F72" s="175">
        <f t="shared" si="9"/>
        <v>-3835706.37</v>
      </c>
      <c r="H72" s="280">
        <v>1664293.63</v>
      </c>
      <c r="I72" s="282">
        <f t="shared" si="10"/>
        <v>0</v>
      </c>
    </row>
    <row r="73" spans="1:10">
      <c r="A73" s="313" t="s">
        <v>433</v>
      </c>
      <c r="B73" s="147" t="s">
        <v>442</v>
      </c>
      <c r="C73" s="357">
        <v>1500000</v>
      </c>
      <c r="D73" s="316">
        <v>121440</v>
      </c>
      <c r="E73" s="140" t="str">
        <f t="shared" si="8"/>
        <v/>
      </c>
      <c r="F73" s="175">
        <f t="shared" si="9"/>
        <v>-1378560</v>
      </c>
      <c r="H73" s="280">
        <v>121440</v>
      </c>
      <c r="I73" s="282">
        <f t="shared" si="10"/>
        <v>0</v>
      </c>
    </row>
    <row r="74" spans="1:10">
      <c r="A74" s="313" t="s">
        <v>299</v>
      </c>
      <c r="B74" s="138" t="s">
        <v>300</v>
      </c>
      <c r="C74" s="139"/>
      <c r="D74" s="365"/>
      <c r="E74" s="140" t="str">
        <f t="shared" si="3"/>
        <v/>
      </c>
      <c r="F74" s="175">
        <f t="shared" si="4"/>
        <v>0</v>
      </c>
      <c r="I74" s="282">
        <f t="shared" si="5"/>
        <v>0</v>
      </c>
    </row>
    <row r="75" spans="1:10">
      <c r="A75" s="137" t="s">
        <v>81</v>
      </c>
      <c r="B75" s="138" t="s">
        <v>301</v>
      </c>
      <c r="C75" s="139">
        <v>730000</v>
      </c>
      <c r="D75" s="365">
        <v>627820</v>
      </c>
      <c r="E75" s="140" t="str">
        <f t="shared" si="3"/>
        <v/>
      </c>
      <c r="F75" s="175">
        <f t="shared" si="4"/>
        <v>-102180</v>
      </c>
      <c r="H75" s="280">
        <v>627820</v>
      </c>
      <c r="I75" s="282">
        <f t="shared" si="5"/>
        <v>0</v>
      </c>
    </row>
    <row r="76" spans="1:10">
      <c r="A76" s="137" t="s">
        <v>82</v>
      </c>
      <c r="B76" s="138" t="s">
        <v>302</v>
      </c>
      <c r="C76" s="139">
        <v>6700000</v>
      </c>
      <c r="D76" s="365">
        <v>4001803.63</v>
      </c>
      <c r="E76" s="140" t="str">
        <f t="shared" si="3"/>
        <v/>
      </c>
      <c r="F76" s="175">
        <f t="shared" si="4"/>
        <v>-2698196.37</v>
      </c>
      <c r="H76" s="280">
        <v>4001803.63</v>
      </c>
      <c r="I76" s="282">
        <f t="shared" si="5"/>
        <v>0</v>
      </c>
    </row>
    <row r="77" spans="1:10">
      <c r="A77" s="137" t="s">
        <v>83</v>
      </c>
      <c r="B77" s="138" t="s">
        <v>303</v>
      </c>
      <c r="C77" s="139">
        <v>2100000</v>
      </c>
      <c r="D77" s="365">
        <v>1831739</v>
      </c>
      <c r="E77" s="140" t="str">
        <f t="shared" si="3"/>
        <v/>
      </c>
      <c r="F77" s="175">
        <f t="shared" si="4"/>
        <v>-268261</v>
      </c>
      <c r="H77" s="280">
        <v>1831739</v>
      </c>
      <c r="I77" s="282">
        <f t="shared" si="5"/>
        <v>0</v>
      </c>
    </row>
    <row r="78" spans="1:10">
      <c r="A78" s="313" t="s">
        <v>443</v>
      </c>
      <c r="B78" s="138" t="s">
        <v>444</v>
      </c>
      <c r="C78" s="139"/>
      <c r="D78" s="365"/>
      <c r="E78" s="140"/>
      <c r="F78" s="175"/>
      <c r="I78" s="282"/>
    </row>
    <row r="79" spans="1:10">
      <c r="A79" s="137" t="s">
        <v>281</v>
      </c>
      <c r="B79" s="138" t="s">
        <v>286</v>
      </c>
      <c r="C79" s="139">
        <v>555000</v>
      </c>
      <c r="D79" s="365">
        <v>129530</v>
      </c>
      <c r="E79" s="140" t="str">
        <f>IF((D79-C79)&gt;0,D79-C79,"")</f>
        <v/>
      </c>
      <c r="F79" s="175">
        <f>IF((D79-C79)&gt;0,"",D79-C79)</f>
        <v>-425470</v>
      </c>
      <c r="H79" s="280">
        <v>129440</v>
      </c>
      <c r="I79" s="282">
        <f>D79-H79</f>
        <v>90</v>
      </c>
      <c r="J79" s="323" t="s">
        <v>424</v>
      </c>
    </row>
    <row r="80" spans="1:10">
      <c r="A80" s="313" t="s">
        <v>403</v>
      </c>
      <c r="B80" s="138" t="s">
        <v>212</v>
      </c>
      <c r="C80" s="139">
        <v>5500000</v>
      </c>
      <c r="D80" s="365">
        <v>4398180</v>
      </c>
      <c r="E80" s="140" t="str">
        <f t="shared" si="3"/>
        <v/>
      </c>
      <c r="F80" s="175">
        <f t="shared" si="4"/>
        <v>-1101820</v>
      </c>
      <c r="H80" s="280">
        <v>4398180</v>
      </c>
      <c r="I80" s="282">
        <f t="shared" si="5"/>
        <v>0</v>
      </c>
    </row>
    <row r="81" spans="1:10">
      <c r="A81" s="313" t="s">
        <v>408</v>
      </c>
      <c r="B81" s="338" t="s">
        <v>409</v>
      </c>
      <c r="C81" s="139"/>
      <c r="D81" s="365"/>
      <c r="E81" s="140" t="str">
        <f t="shared" si="3"/>
        <v/>
      </c>
      <c r="F81" s="175">
        <f t="shared" si="4"/>
        <v>0</v>
      </c>
      <c r="I81" s="282">
        <f t="shared" si="5"/>
        <v>0</v>
      </c>
    </row>
    <row r="82" spans="1:10">
      <c r="A82" s="313" t="s">
        <v>404</v>
      </c>
      <c r="B82" s="138" t="s">
        <v>231</v>
      </c>
      <c r="C82" s="139">
        <v>200000</v>
      </c>
      <c r="D82" s="365">
        <v>5000</v>
      </c>
      <c r="E82" s="140" t="str">
        <f t="shared" si="3"/>
        <v/>
      </c>
      <c r="F82" s="175">
        <f t="shared" si="4"/>
        <v>-195000</v>
      </c>
      <c r="H82" s="280">
        <v>5000</v>
      </c>
      <c r="I82" s="282">
        <f t="shared" si="5"/>
        <v>0</v>
      </c>
    </row>
    <row r="83" spans="1:10">
      <c r="A83" s="313" t="s">
        <v>405</v>
      </c>
      <c r="B83" s="138" t="s">
        <v>232</v>
      </c>
      <c r="C83" s="139">
        <v>70000</v>
      </c>
      <c r="D83" s="365">
        <v>5255</v>
      </c>
      <c r="E83" s="140" t="str">
        <f t="shared" si="3"/>
        <v/>
      </c>
      <c r="F83" s="175">
        <f t="shared" si="4"/>
        <v>-64745</v>
      </c>
      <c r="H83" s="280">
        <v>5255</v>
      </c>
      <c r="I83" s="282">
        <f t="shared" si="5"/>
        <v>0</v>
      </c>
    </row>
    <row r="84" spans="1:10">
      <c r="A84" s="313" t="s">
        <v>406</v>
      </c>
      <c r="B84" s="138" t="s">
        <v>233</v>
      </c>
      <c r="C84" s="139">
        <v>30000</v>
      </c>
      <c r="D84" s="365">
        <v>715</v>
      </c>
      <c r="E84" s="140" t="str">
        <f t="shared" si="3"/>
        <v/>
      </c>
      <c r="F84" s="175">
        <f t="shared" si="4"/>
        <v>-29285</v>
      </c>
      <c r="H84" s="280">
        <v>715</v>
      </c>
      <c r="I84" s="282">
        <f t="shared" si="5"/>
        <v>0</v>
      </c>
    </row>
    <row r="85" spans="1:10">
      <c r="A85" s="313" t="s">
        <v>407</v>
      </c>
      <c r="B85" s="138" t="s">
        <v>234</v>
      </c>
      <c r="C85" s="139">
        <v>550000</v>
      </c>
      <c r="D85" s="365">
        <v>559496.6</v>
      </c>
      <c r="E85" s="140">
        <f t="shared" si="3"/>
        <v>9496.5999999999767</v>
      </c>
      <c r="F85" s="175" t="str">
        <f t="shared" si="4"/>
        <v/>
      </c>
      <c r="H85" s="280">
        <v>559496.6</v>
      </c>
      <c r="I85" s="282">
        <f t="shared" si="5"/>
        <v>0</v>
      </c>
    </row>
    <row r="86" spans="1:10">
      <c r="A86" s="137" t="s">
        <v>85</v>
      </c>
      <c r="B86" s="138" t="s">
        <v>240</v>
      </c>
      <c r="C86" s="139"/>
      <c r="D86" s="365"/>
      <c r="E86" s="140" t="str">
        <f t="shared" si="3"/>
        <v/>
      </c>
      <c r="F86" s="175">
        <f t="shared" si="4"/>
        <v>0</v>
      </c>
      <c r="I86" s="282">
        <f t="shared" si="5"/>
        <v>0</v>
      </c>
    </row>
    <row r="87" spans="1:10">
      <c r="A87" s="137" t="s">
        <v>250</v>
      </c>
      <c r="B87" s="138" t="s">
        <v>251</v>
      </c>
      <c r="C87" s="139">
        <v>600000</v>
      </c>
      <c r="D87" s="365">
        <v>72620</v>
      </c>
      <c r="E87" s="140" t="str">
        <f t="shared" si="3"/>
        <v/>
      </c>
      <c r="F87" s="175">
        <f t="shared" si="4"/>
        <v>-527380</v>
      </c>
      <c r="H87" s="280">
        <v>72620</v>
      </c>
      <c r="I87" s="282">
        <f t="shared" si="5"/>
        <v>0</v>
      </c>
    </row>
    <row r="88" spans="1:10">
      <c r="A88" s="137" t="s">
        <v>253</v>
      </c>
      <c r="B88" s="138" t="s">
        <v>252</v>
      </c>
      <c r="C88" s="139">
        <v>150000</v>
      </c>
      <c r="D88" s="365">
        <v>140000</v>
      </c>
      <c r="E88" s="140" t="str">
        <f t="shared" si="3"/>
        <v/>
      </c>
      <c r="F88" s="175">
        <f t="shared" si="4"/>
        <v>-10000</v>
      </c>
      <c r="H88" s="280">
        <v>140000</v>
      </c>
      <c r="I88" s="282">
        <f t="shared" si="5"/>
        <v>0</v>
      </c>
    </row>
    <row r="89" spans="1:10">
      <c r="A89" s="137" t="s">
        <v>265</v>
      </c>
      <c r="B89" s="338" t="s">
        <v>266</v>
      </c>
      <c r="C89" s="316">
        <v>3500000</v>
      </c>
      <c r="D89" s="365">
        <v>800500</v>
      </c>
      <c r="E89" s="140" t="str">
        <f t="shared" si="3"/>
        <v/>
      </c>
      <c r="F89" s="175">
        <f t="shared" si="4"/>
        <v>-2699500</v>
      </c>
      <c r="H89" s="280">
        <v>800500</v>
      </c>
      <c r="I89" s="282">
        <f t="shared" si="5"/>
        <v>0</v>
      </c>
    </row>
    <row r="90" spans="1:10">
      <c r="A90" s="137" t="s">
        <v>84</v>
      </c>
      <c r="B90" s="338" t="s">
        <v>268</v>
      </c>
      <c r="C90" s="316">
        <v>2700000</v>
      </c>
      <c r="D90" s="365">
        <v>2458720</v>
      </c>
      <c r="E90" s="140" t="str">
        <f t="shared" si="3"/>
        <v/>
      </c>
      <c r="F90" s="175">
        <f t="shared" si="4"/>
        <v>-241280</v>
      </c>
      <c r="H90" s="280">
        <v>2458720</v>
      </c>
      <c r="I90" s="282">
        <f t="shared" si="5"/>
        <v>0</v>
      </c>
    </row>
    <row r="91" spans="1:10">
      <c r="A91" s="137" t="s">
        <v>267</v>
      </c>
      <c r="B91" s="338" t="s">
        <v>269</v>
      </c>
      <c r="C91" s="316">
        <v>2000000</v>
      </c>
      <c r="D91" s="365">
        <v>1611950</v>
      </c>
      <c r="E91" s="140" t="str">
        <f t="shared" si="3"/>
        <v/>
      </c>
      <c r="F91" s="175">
        <f t="shared" si="4"/>
        <v>-388050</v>
      </c>
      <c r="H91" s="280">
        <v>1612050</v>
      </c>
      <c r="I91" s="282">
        <f t="shared" si="5"/>
        <v>-100</v>
      </c>
    </row>
    <row r="92" spans="1:10">
      <c r="A92" s="137" t="s">
        <v>264</v>
      </c>
      <c r="B92" s="338" t="s">
        <v>270</v>
      </c>
      <c r="C92" s="316">
        <v>2000000</v>
      </c>
      <c r="D92" s="365">
        <v>1606051</v>
      </c>
      <c r="E92" s="140" t="str">
        <f t="shared" si="3"/>
        <v/>
      </c>
      <c r="F92" s="175">
        <f t="shared" si="4"/>
        <v>-393949</v>
      </c>
      <c r="H92" s="280">
        <v>1605951</v>
      </c>
      <c r="I92" s="282">
        <f t="shared" si="5"/>
        <v>100</v>
      </c>
      <c r="J92" s="279" t="s">
        <v>425</v>
      </c>
    </row>
    <row r="93" spans="1:10">
      <c r="A93" s="137" t="s">
        <v>86</v>
      </c>
      <c r="B93" s="338" t="s">
        <v>272</v>
      </c>
      <c r="C93" s="316">
        <v>150000</v>
      </c>
      <c r="D93" s="365">
        <v>21500</v>
      </c>
      <c r="E93" s="140" t="str">
        <f t="shared" si="3"/>
        <v/>
      </c>
      <c r="F93" s="175">
        <f t="shared" si="4"/>
        <v>-128500</v>
      </c>
      <c r="H93" s="280">
        <v>21500</v>
      </c>
      <c r="I93" s="282">
        <f t="shared" si="5"/>
        <v>0</v>
      </c>
    </row>
    <row r="94" spans="1:10">
      <c r="A94" s="137" t="s">
        <v>87</v>
      </c>
      <c r="B94" s="338" t="s">
        <v>273</v>
      </c>
      <c r="C94" s="316">
        <v>450000</v>
      </c>
      <c r="D94" s="365">
        <v>45500</v>
      </c>
      <c r="E94" s="140" t="str">
        <f t="shared" si="3"/>
        <v/>
      </c>
      <c r="F94" s="175">
        <f t="shared" si="4"/>
        <v>-404500</v>
      </c>
      <c r="H94" s="280">
        <v>45500</v>
      </c>
      <c r="I94" s="282">
        <f t="shared" si="5"/>
        <v>0</v>
      </c>
    </row>
    <row r="95" spans="1:10">
      <c r="A95" s="137" t="s">
        <v>88</v>
      </c>
      <c r="B95" s="338" t="s">
        <v>274</v>
      </c>
      <c r="C95" s="316">
        <v>2000000</v>
      </c>
      <c r="D95" s="365">
        <v>1259750</v>
      </c>
      <c r="E95" s="140" t="str">
        <f t="shared" si="3"/>
        <v/>
      </c>
      <c r="F95" s="175">
        <f t="shared" si="4"/>
        <v>-740250</v>
      </c>
      <c r="H95" s="280">
        <v>1259770</v>
      </c>
      <c r="I95" s="282">
        <f t="shared" si="5"/>
        <v>-20</v>
      </c>
      <c r="J95" s="323" t="s">
        <v>424</v>
      </c>
    </row>
    <row r="96" spans="1:10">
      <c r="A96" s="137" t="s">
        <v>271</v>
      </c>
      <c r="B96" s="338" t="s">
        <v>275</v>
      </c>
      <c r="C96" s="316">
        <v>100000</v>
      </c>
      <c r="D96" s="365">
        <v>8750</v>
      </c>
      <c r="E96" s="140" t="str">
        <f t="shared" si="3"/>
        <v/>
      </c>
      <c r="F96" s="175">
        <f t="shared" si="4"/>
        <v>-91250</v>
      </c>
      <c r="H96" s="280">
        <v>8750</v>
      </c>
      <c r="I96" s="282">
        <f t="shared" si="5"/>
        <v>0</v>
      </c>
    </row>
    <row r="97" spans="1:11">
      <c r="A97" s="137" t="s">
        <v>318</v>
      </c>
      <c r="B97" s="338" t="s">
        <v>319</v>
      </c>
      <c r="C97" s="316">
        <v>350000</v>
      </c>
      <c r="D97" s="365">
        <v>56540</v>
      </c>
      <c r="E97" s="140" t="str">
        <f t="shared" si="3"/>
        <v/>
      </c>
      <c r="F97" s="175">
        <f t="shared" si="4"/>
        <v>-293460</v>
      </c>
      <c r="H97" s="280">
        <v>56540</v>
      </c>
      <c r="I97" s="326">
        <f t="shared" si="5"/>
        <v>0</v>
      </c>
    </row>
    <row r="98" spans="1:11">
      <c r="A98" s="137" t="s">
        <v>321</v>
      </c>
      <c r="B98" s="338" t="s">
        <v>320</v>
      </c>
      <c r="C98" s="316">
        <v>900000</v>
      </c>
      <c r="D98" s="365">
        <v>191106</v>
      </c>
      <c r="E98" s="140" t="str">
        <f t="shared" si="3"/>
        <v/>
      </c>
      <c r="F98" s="175">
        <f t="shared" si="4"/>
        <v>-708894</v>
      </c>
      <c r="H98" s="280">
        <v>191106</v>
      </c>
      <c r="I98" s="282">
        <f t="shared" si="5"/>
        <v>0</v>
      </c>
    </row>
    <row r="99" spans="1:11">
      <c r="A99" s="137" t="s">
        <v>304</v>
      </c>
      <c r="B99" s="338" t="s">
        <v>307</v>
      </c>
      <c r="C99" s="316"/>
      <c r="D99" s="365"/>
      <c r="E99" s="140" t="str">
        <f t="shared" si="3"/>
        <v/>
      </c>
      <c r="F99" s="175">
        <f t="shared" si="4"/>
        <v>0</v>
      </c>
      <c r="I99" s="282">
        <f t="shared" si="5"/>
        <v>0</v>
      </c>
    </row>
    <row r="100" spans="1:11">
      <c r="A100" s="313" t="s">
        <v>305</v>
      </c>
      <c r="B100" s="338" t="s">
        <v>308</v>
      </c>
      <c r="C100" s="316">
        <v>36000</v>
      </c>
      <c r="D100" s="365"/>
      <c r="E100" s="140" t="str">
        <f t="shared" si="3"/>
        <v/>
      </c>
      <c r="F100" s="175">
        <f t="shared" si="4"/>
        <v>-36000</v>
      </c>
      <c r="H100" s="280">
        <v>405</v>
      </c>
      <c r="I100" s="282">
        <f t="shared" si="5"/>
        <v>-405</v>
      </c>
      <c r="J100" s="323" t="s">
        <v>455</v>
      </c>
    </row>
    <row r="101" spans="1:11">
      <c r="A101" s="313" t="s">
        <v>306</v>
      </c>
      <c r="B101" s="338" t="s">
        <v>309</v>
      </c>
      <c r="C101" s="316">
        <v>500000</v>
      </c>
      <c r="D101" s="365">
        <v>24652</v>
      </c>
      <c r="E101" s="140" t="str">
        <f t="shared" si="3"/>
        <v/>
      </c>
      <c r="F101" s="175">
        <f t="shared" si="4"/>
        <v>-475348</v>
      </c>
      <c r="H101" s="280">
        <v>24652</v>
      </c>
      <c r="I101" s="282">
        <f t="shared" si="5"/>
        <v>0</v>
      </c>
    </row>
    <row r="102" spans="1:11">
      <c r="A102" s="313" t="s">
        <v>2</v>
      </c>
      <c r="B102" s="338" t="s">
        <v>298</v>
      </c>
      <c r="C102" s="316">
        <v>9000000</v>
      </c>
      <c r="D102" s="365">
        <v>7819240</v>
      </c>
      <c r="E102" s="140" t="str">
        <f t="shared" si="3"/>
        <v/>
      </c>
      <c r="F102" s="175">
        <f t="shared" si="4"/>
        <v>-1180760</v>
      </c>
      <c r="H102" s="280">
        <v>7819240</v>
      </c>
      <c r="I102" s="282">
        <f t="shared" si="5"/>
        <v>0</v>
      </c>
    </row>
    <row r="103" spans="1:11">
      <c r="A103" s="313" t="s">
        <v>3</v>
      </c>
      <c r="B103" s="338" t="s">
        <v>310</v>
      </c>
      <c r="C103" s="316"/>
      <c r="D103" s="365"/>
      <c r="E103" s="140" t="str">
        <f t="shared" si="3"/>
        <v/>
      </c>
      <c r="F103" s="175">
        <f t="shared" si="4"/>
        <v>0</v>
      </c>
      <c r="I103" s="282">
        <f t="shared" si="5"/>
        <v>0</v>
      </c>
    </row>
    <row r="104" spans="1:11">
      <c r="A104" s="313" t="s">
        <v>94</v>
      </c>
      <c r="B104" s="338" t="s">
        <v>311</v>
      </c>
      <c r="C104" s="316">
        <v>700000</v>
      </c>
      <c r="D104" s="365">
        <v>22288.05</v>
      </c>
      <c r="E104" s="140" t="str">
        <f t="shared" ref="E104:E106" si="11">IF((D104-C104)&gt;0,D104-C104,"")</f>
        <v/>
      </c>
      <c r="F104" s="175">
        <f t="shared" ref="F104:F106" si="12">IF((D104-C104)&gt;0,"",D104-C104)</f>
        <v>-677711.95</v>
      </c>
      <c r="G104" s="323" t="s">
        <v>423</v>
      </c>
      <c r="H104" s="280">
        <v>11144.02</v>
      </c>
      <c r="I104" s="282">
        <f t="shared" ref="I104:I106" si="13">D104-H104</f>
        <v>11144.029999999999</v>
      </c>
    </row>
    <row r="105" spans="1:11">
      <c r="A105" s="313" t="s">
        <v>95</v>
      </c>
      <c r="B105" s="338" t="s">
        <v>312</v>
      </c>
      <c r="C105" s="316"/>
      <c r="D105" s="365"/>
      <c r="E105" s="140" t="str">
        <f t="shared" si="11"/>
        <v/>
      </c>
      <c r="F105" s="175">
        <f t="shared" si="12"/>
        <v>0</v>
      </c>
      <c r="I105" s="282">
        <f t="shared" si="13"/>
        <v>0</v>
      </c>
    </row>
    <row r="106" spans="1:11" ht="12.75" hidden="1" customHeight="1">
      <c r="A106" s="137"/>
      <c r="B106" s="138"/>
      <c r="C106" s="142"/>
      <c r="D106" s="365"/>
      <c r="E106" s="140" t="str">
        <f t="shared" si="11"/>
        <v/>
      </c>
      <c r="F106" s="175">
        <f t="shared" si="12"/>
        <v>0</v>
      </c>
      <c r="I106" s="282">
        <f t="shared" si="13"/>
        <v>0</v>
      </c>
    </row>
    <row r="107" spans="1:11" ht="13.5" thickBot="1">
      <c r="A107" s="137"/>
      <c r="B107" s="147"/>
      <c r="C107" s="152">
        <f>SUM(C34:C106)</f>
        <v>108044500</v>
      </c>
      <c r="D107" s="383">
        <f>SUM(D34:D106)</f>
        <v>56948250.140000001</v>
      </c>
      <c r="E107" s="152">
        <f>SUM(E34:E106)</f>
        <v>19766.599999999977</v>
      </c>
      <c r="F107" s="194">
        <f>SUM(F34:F106)</f>
        <v>-51116016.460000001</v>
      </c>
      <c r="G107" s="153"/>
      <c r="H107" s="291">
        <f>SUM(H67:H106)</f>
        <v>36387135.220000006</v>
      </c>
      <c r="I107" s="291">
        <f>SUM(I35:I106)</f>
        <v>-185901.2499999998</v>
      </c>
    </row>
    <row r="108" spans="1:11" ht="12.75" hidden="1" customHeight="1">
      <c r="A108" s="146" t="s">
        <v>398</v>
      </c>
      <c r="B108" s="147"/>
      <c r="C108" s="153"/>
      <c r="D108" s="316"/>
      <c r="E108" s="140"/>
      <c r="F108" s="175"/>
      <c r="I108" s="282"/>
    </row>
    <row r="109" spans="1:11" ht="13.5" thickTop="1">
      <c r="A109" s="313" t="s">
        <v>313</v>
      </c>
      <c r="B109" s="338" t="s">
        <v>314</v>
      </c>
      <c r="C109" s="139">
        <v>300000</v>
      </c>
      <c r="D109" s="365"/>
      <c r="E109" s="140" t="str">
        <f t="shared" ref="E109:E110" si="14">IF((D109-C109)&gt;0,D109-C109,"")</f>
        <v/>
      </c>
      <c r="F109" s="175">
        <f t="shared" ref="F109:F110" si="15">IF((D109-C109)&gt;0,"",D109-C109)</f>
        <v>-300000</v>
      </c>
      <c r="I109" s="282">
        <f>D109-H109</f>
        <v>0</v>
      </c>
    </row>
    <row r="110" spans="1:11">
      <c r="A110" s="137"/>
      <c r="B110" s="147"/>
      <c r="C110" s="153"/>
      <c r="D110" s="316"/>
      <c r="E110" s="140" t="str">
        <f t="shared" si="14"/>
        <v/>
      </c>
      <c r="F110" s="175">
        <f t="shared" si="15"/>
        <v>0</v>
      </c>
      <c r="I110" s="282">
        <f t="shared" ref="I110" si="16">D110-H110</f>
        <v>0</v>
      </c>
      <c r="J110" s="284"/>
      <c r="K110" s="287"/>
    </row>
    <row r="111" spans="1:11" ht="13.5" thickBot="1">
      <c r="A111" s="137"/>
      <c r="B111" s="147"/>
      <c r="C111" s="161">
        <f>SUM(C108:C110)</f>
        <v>300000</v>
      </c>
      <c r="D111" s="368">
        <f t="shared" ref="D111:F111" si="17">SUM(D108:D110)</f>
        <v>0</v>
      </c>
      <c r="E111" s="161">
        <f t="shared" si="17"/>
        <v>0</v>
      </c>
      <c r="F111" s="194">
        <f t="shared" si="17"/>
        <v>-300000</v>
      </c>
      <c r="H111" s="292">
        <f>SUM(H110:H110)</f>
        <v>0</v>
      </c>
      <c r="I111" s="291">
        <f>SUM(I110:I110)</f>
        <v>0</v>
      </c>
    </row>
    <row r="112" spans="1:11" ht="13.5" thickTop="1">
      <c r="A112" s="146" t="s">
        <v>399</v>
      </c>
      <c r="B112" s="147"/>
      <c r="C112" s="153"/>
      <c r="D112" s="316"/>
      <c r="E112" s="153"/>
      <c r="F112" s="169"/>
      <c r="I112" s="282"/>
    </row>
    <row r="113" spans="1:11">
      <c r="A113" s="313" t="s">
        <v>4</v>
      </c>
      <c r="B113" s="315" t="s">
        <v>315</v>
      </c>
      <c r="C113" s="153">
        <v>900000</v>
      </c>
      <c r="D113" s="373">
        <v>51806.64</v>
      </c>
      <c r="E113" s="153" t="str">
        <f t="shared" ref="E113:E126" si="18">IF((D113-C113)&gt;0,D113-C113,"")</f>
        <v/>
      </c>
      <c r="F113" s="169">
        <f t="shared" ref="F113:F126" si="19">IF((D113-C113)&gt;0,"",D113-C113)</f>
        <v>-848193.36</v>
      </c>
      <c r="H113" s="280">
        <v>22217.82</v>
      </c>
      <c r="I113" s="283">
        <f t="shared" ref="I113:I122" si="20">D113-H113</f>
        <v>29588.82</v>
      </c>
    </row>
    <row r="114" spans="1:11">
      <c r="A114" s="313" t="s">
        <v>5</v>
      </c>
      <c r="B114" s="315" t="s">
        <v>317</v>
      </c>
      <c r="C114" s="357">
        <v>20000</v>
      </c>
      <c r="D114" s="316">
        <v>3800</v>
      </c>
      <c r="E114" s="153" t="str">
        <f t="shared" si="18"/>
        <v/>
      </c>
      <c r="F114" s="169">
        <f t="shared" si="19"/>
        <v>-16200</v>
      </c>
      <c r="H114" s="280">
        <v>3800</v>
      </c>
      <c r="I114" s="282">
        <f t="shared" si="20"/>
        <v>0</v>
      </c>
    </row>
    <row r="115" spans="1:11">
      <c r="A115" s="313" t="s">
        <v>96</v>
      </c>
      <c r="B115" s="315"/>
      <c r="C115" s="357"/>
      <c r="D115" s="316"/>
      <c r="E115" s="153" t="str">
        <f t="shared" si="18"/>
        <v/>
      </c>
      <c r="F115" s="169">
        <f t="shared" si="19"/>
        <v>0</v>
      </c>
      <c r="I115" s="282">
        <f t="shared" si="20"/>
        <v>0</v>
      </c>
    </row>
    <row r="116" spans="1:11">
      <c r="A116" s="137" t="s">
        <v>97</v>
      </c>
      <c r="B116" s="315" t="s">
        <v>322</v>
      </c>
      <c r="C116" s="357">
        <v>400000</v>
      </c>
      <c r="D116" s="316">
        <v>105795</v>
      </c>
      <c r="E116" s="153" t="str">
        <f t="shared" si="18"/>
        <v/>
      </c>
      <c r="F116" s="169">
        <f t="shared" si="19"/>
        <v>-294205</v>
      </c>
      <c r="H116" s="280">
        <v>100250</v>
      </c>
      <c r="I116" s="282">
        <f t="shared" si="20"/>
        <v>5545</v>
      </c>
      <c r="J116" s="279" t="s">
        <v>424</v>
      </c>
    </row>
    <row r="117" spans="1:11">
      <c r="A117" s="137" t="s">
        <v>98</v>
      </c>
      <c r="B117" s="315" t="s">
        <v>323</v>
      </c>
      <c r="C117" s="357">
        <v>150000</v>
      </c>
      <c r="D117" s="316">
        <v>37625</v>
      </c>
      <c r="E117" s="140" t="str">
        <f t="shared" si="18"/>
        <v/>
      </c>
      <c r="F117" s="175">
        <f t="shared" si="19"/>
        <v>-112375</v>
      </c>
      <c r="H117" s="280">
        <v>37625</v>
      </c>
      <c r="I117" s="282">
        <f t="shared" si="20"/>
        <v>0</v>
      </c>
    </row>
    <row r="118" spans="1:11">
      <c r="A118" s="137" t="s">
        <v>6</v>
      </c>
      <c r="B118" s="315" t="s">
        <v>324</v>
      </c>
      <c r="C118" s="357">
        <v>300000</v>
      </c>
      <c r="D118" s="316">
        <v>5320</v>
      </c>
      <c r="E118" s="140" t="str">
        <f t="shared" si="18"/>
        <v/>
      </c>
      <c r="F118" s="175">
        <f t="shared" si="19"/>
        <v>-294680</v>
      </c>
      <c r="H118" s="280">
        <v>7420</v>
      </c>
      <c r="I118" s="282">
        <f t="shared" si="20"/>
        <v>-2100</v>
      </c>
      <c r="J118" s="323" t="s">
        <v>456</v>
      </c>
    </row>
    <row r="119" spans="1:11">
      <c r="A119" s="313" t="s">
        <v>36</v>
      </c>
      <c r="B119" s="315" t="s">
        <v>325</v>
      </c>
      <c r="C119" s="357">
        <v>10000</v>
      </c>
      <c r="D119" s="316"/>
      <c r="E119" s="140" t="str">
        <f t="shared" si="18"/>
        <v/>
      </c>
      <c r="F119" s="175">
        <f t="shared" si="19"/>
        <v>-10000</v>
      </c>
      <c r="I119" s="282">
        <f t="shared" si="20"/>
        <v>0</v>
      </c>
    </row>
    <row r="120" spans="1:11">
      <c r="A120" s="137" t="s">
        <v>99</v>
      </c>
      <c r="B120" s="315" t="s">
        <v>326</v>
      </c>
      <c r="C120" s="357">
        <v>800000</v>
      </c>
      <c r="D120" s="373">
        <v>205385.65</v>
      </c>
      <c r="E120" s="140" t="str">
        <f t="shared" si="18"/>
        <v/>
      </c>
      <c r="F120" s="175">
        <f t="shared" si="19"/>
        <v>-594614.35</v>
      </c>
      <c r="H120" s="280">
        <v>32335.83</v>
      </c>
      <c r="I120" s="283">
        <f t="shared" si="20"/>
        <v>173049.82</v>
      </c>
      <c r="J120" s="294"/>
      <c r="K120" s="295"/>
    </row>
    <row r="121" spans="1:11">
      <c r="A121" s="137" t="s">
        <v>101</v>
      </c>
      <c r="B121" s="315" t="s">
        <v>328</v>
      </c>
      <c r="C121" s="357">
        <v>60000</v>
      </c>
      <c r="D121" s="373">
        <f>315647.92+215.04</f>
        <v>315862.95999999996</v>
      </c>
      <c r="E121" s="140">
        <f t="shared" si="18"/>
        <v>255862.95999999996</v>
      </c>
      <c r="F121" s="175" t="str">
        <f t="shared" si="19"/>
        <v/>
      </c>
      <c r="I121" s="282">
        <f t="shared" si="20"/>
        <v>315862.95999999996</v>
      </c>
      <c r="J121" s="323" t="s">
        <v>421</v>
      </c>
    </row>
    <row r="122" spans="1:11">
      <c r="A122" s="137"/>
      <c r="B122" s="315"/>
      <c r="C122" s="357"/>
      <c r="D122" s="316"/>
      <c r="E122" s="140" t="str">
        <f t="shared" si="18"/>
        <v/>
      </c>
      <c r="F122" s="175">
        <f t="shared" si="19"/>
        <v>0</v>
      </c>
      <c r="I122" s="282">
        <f t="shared" si="20"/>
        <v>0</v>
      </c>
    </row>
    <row r="123" spans="1:11" ht="13.5" thickBot="1">
      <c r="A123" s="146"/>
      <c r="B123" s="138"/>
      <c r="C123" s="163">
        <f>SUM(C113:C122)</f>
        <v>2640000</v>
      </c>
      <c r="D123" s="384">
        <f>SUM(D113:D122)</f>
        <v>725595.25</v>
      </c>
      <c r="E123" s="163">
        <f>SUM(E113:E122)</f>
        <v>255862.95999999996</v>
      </c>
      <c r="F123" s="164">
        <f>SUM(F113:F122)</f>
        <v>-2170267.71</v>
      </c>
      <c r="I123" s="406">
        <f>SUM(I112:I122)</f>
        <v>521946.6</v>
      </c>
    </row>
    <row r="124" spans="1:11" ht="13.5" thickBot="1">
      <c r="A124" s="165" t="s">
        <v>124</v>
      </c>
      <c r="B124" s="166"/>
      <c r="C124" s="167">
        <f>SUM(C123+C111+C107+C33)</f>
        <v>369950750</v>
      </c>
      <c r="D124" s="385">
        <f>SUM(D123+D111+D107+D33)</f>
        <v>187959545.85000002</v>
      </c>
      <c r="E124" s="157">
        <f>SUM(E123+E111+E107+E33)</f>
        <v>275629.55999999994</v>
      </c>
      <c r="F124" s="210">
        <f>SUM(F123+F111+F107+F33)</f>
        <v>-182266833.70999998</v>
      </c>
      <c r="I124" s="282"/>
    </row>
    <row r="125" spans="1:11">
      <c r="A125" s="158" t="s">
        <v>35</v>
      </c>
      <c r="B125" s="348" t="s">
        <v>329</v>
      </c>
      <c r="C125" s="358">
        <v>605000000</v>
      </c>
      <c r="D125" s="358">
        <v>101701804</v>
      </c>
      <c r="E125" s="310" t="str">
        <f t="shared" si="18"/>
        <v/>
      </c>
      <c r="F125" s="184">
        <f t="shared" si="19"/>
        <v>-503298196</v>
      </c>
      <c r="H125" s="280">
        <v>101701804</v>
      </c>
      <c r="I125" s="282">
        <f>D125-H125</f>
        <v>0</v>
      </c>
    </row>
    <row r="126" spans="1:11">
      <c r="A126" s="137" t="s">
        <v>45</v>
      </c>
      <c r="B126" s="147"/>
      <c r="C126" s="153"/>
      <c r="D126" s="356"/>
      <c r="E126" s="140" t="str">
        <f t="shared" si="18"/>
        <v/>
      </c>
      <c r="F126" s="175">
        <f t="shared" si="19"/>
        <v>0</v>
      </c>
      <c r="I126" s="282"/>
    </row>
    <row r="127" spans="1:11">
      <c r="A127" s="137"/>
      <c r="B127" s="147"/>
      <c r="C127" s="170">
        <f>SUM(C125:C126)</f>
        <v>605000000</v>
      </c>
      <c r="D127" s="384">
        <f t="shared" ref="D127:F127" si="21">SUM(D125:D126)</f>
        <v>101701804</v>
      </c>
      <c r="E127" s="163">
        <f t="shared" si="21"/>
        <v>0</v>
      </c>
      <c r="F127" s="164">
        <f t="shared" si="21"/>
        <v>-503298196</v>
      </c>
      <c r="I127" s="282"/>
    </row>
    <row r="128" spans="1:11">
      <c r="A128" s="171" t="s">
        <v>102</v>
      </c>
      <c r="B128" s="138"/>
      <c r="C128" s="160">
        <f>+C124+C127</f>
        <v>974950750</v>
      </c>
      <c r="D128" s="316">
        <f t="shared" ref="D128:F128" si="22">+D124+D127</f>
        <v>289661349.85000002</v>
      </c>
      <c r="E128" s="139">
        <f t="shared" si="22"/>
        <v>275629.55999999994</v>
      </c>
      <c r="F128" s="169">
        <f t="shared" si="22"/>
        <v>-685565029.71000004</v>
      </c>
      <c r="I128" s="282"/>
    </row>
    <row r="129" spans="1:9">
      <c r="A129" s="137"/>
      <c r="B129" s="147"/>
      <c r="C129" s="153"/>
      <c r="D129" s="316"/>
      <c r="E129" s="139"/>
      <c r="F129" s="169"/>
      <c r="I129" s="282"/>
    </row>
    <row r="130" spans="1:9">
      <c r="A130" s="146" t="s">
        <v>103</v>
      </c>
      <c r="B130" s="147"/>
      <c r="C130" s="153"/>
      <c r="D130" s="316"/>
      <c r="E130" s="140"/>
      <c r="F130" s="151"/>
      <c r="I130" s="282"/>
    </row>
    <row r="131" spans="1:9">
      <c r="A131" s="137" t="s">
        <v>17</v>
      </c>
      <c r="B131" s="147"/>
      <c r="C131" s="153"/>
      <c r="D131" s="356"/>
      <c r="E131" s="140"/>
      <c r="F131" s="151"/>
      <c r="I131" s="282"/>
    </row>
    <row r="132" spans="1:9">
      <c r="A132" s="146" t="s">
        <v>104</v>
      </c>
      <c r="B132" s="315" t="s">
        <v>330</v>
      </c>
      <c r="C132" s="359">
        <v>15000000</v>
      </c>
      <c r="D132" s="386">
        <v>847000</v>
      </c>
      <c r="E132" s="172">
        <v>0</v>
      </c>
      <c r="F132" s="177">
        <f>IF((D132-C132)&gt;0,"",D132-C132)</f>
        <v>-14153000</v>
      </c>
      <c r="H132" s="280">
        <v>847000</v>
      </c>
      <c r="I132" s="282">
        <f>+D132-H132</f>
        <v>0</v>
      </c>
    </row>
    <row r="133" spans="1:9">
      <c r="A133" s="137"/>
      <c r="B133" s="147"/>
      <c r="C133" s="357"/>
      <c r="D133" s="316"/>
      <c r="E133" s="140"/>
      <c r="F133" s="175"/>
      <c r="I133" s="282"/>
    </row>
    <row r="134" spans="1:9">
      <c r="A134" s="146" t="s">
        <v>331</v>
      </c>
      <c r="B134" s="315" t="s">
        <v>332</v>
      </c>
      <c r="C134" s="316"/>
      <c r="D134" s="365"/>
      <c r="E134" s="140" t="str">
        <f t="shared" ref="E134:E150" si="23">IF((D134-C134)&gt;0,D134-C134,"")</f>
        <v/>
      </c>
      <c r="F134" s="175">
        <f t="shared" ref="F134:F150" si="24">IF((D134-C134)&gt;0,"",D134-C134)</f>
        <v>0</v>
      </c>
      <c r="H134" s="280" t="s">
        <v>192</v>
      </c>
      <c r="I134" s="282"/>
    </row>
    <row r="135" spans="1:9">
      <c r="A135" s="313" t="s">
        <v>333</v>
      </c>
      <c r="B135" s="315" t="s">
        <v>334</v>
      </c>
      <c r="C135" s="316">
        <v>5000000</v>
      </c>
      <c r="D135" s="357">
        <v>990615.03</v>
      </c>
      <c r="E135" s="139" t="str">
        <f>IF((D135-C135)&gt;0,D135-C135,"")</f>
        <v/>
      </c>
      <c r="F135" s="175">
        <f t="shared" si="24"/>
        <v>-4009384.9699999997</v>
      </c>
      <c r="H135" s="280">
        <v>427987.48</v>
      </c>
      <c r="I135" s="282">
        <f>+D135-H135</f>
        <v>562627.55000000005</v>
      </c>
    </row>
    <row r="136" spans="1:9">
      <c r="A136" s="137" t="s">
        <v>8</v>
      </c>
      <c r="B136" s="315" t="s">
        <v>335</v>
      </c>
      <c r="C136" s="316">
        <v>25350000</v>
      </c>
      <c r="D136" s="360">
        <v>5404626.6699999999</v>
      </c>
      <c r="E136" s="139" t="str">
        <f>IF((D136-C136)&gt;0,D136-C136,"")</f>
        <v/>
      </c>
      <c r="F136" s="175">
        <f t="shared" si="24"/>
        <v>-19945373.329999998</v>
      </c>
      <c r="H136" s="280">
        <v>3424818.37</v>
      </c>
      <c r="I136" s="282">
        <f t="shared" ref="I136:I150" si="25">+D136-H136</f>
        <v>1979808.2999999998</v>
      </c>
    </row>
    <row r="137" spans="1:9">
      <c r="A137" s="171" t="s">
        <v>9</v>
      </c>
      <c r="B137" s="315" t="s">
        <v>336</v>
      </c>
      <c r="C137" s="357">
        <v>8000000</v>
      </c>
      <c r="D137" s="360">
        <v>1537133.33</v>
      </c>
      <c r="E137" s="139" t="str">
        <f t="shared" si="23"/>
        <v/>
      </c>
      <c r="F137" s="175">
        <f t="shared" si="24"/>
        <v>-6462866.6699999999</v>
      </c>
      <c r="H137" s="280">
        <v>692943</v>
      </c>
      <c r="I137" s="282">
        <f t="shared" si="25"/>
        <v>844190.33000000007</v>
      </c>
    </row>
    <row r="138" spans="1:9">
      <c r="A138" s="313" t="s">
        <v>344</v>
      </c>
      <c r="B138" s="315" t="s">
        <v>345</v>
      </c>
      <c r="C138" s="360">
        <v>1980000</v>
      </c>
      <c r="D138" s="360"/>
      <c r="E138" s="139" t="str">
        <f t="shared" si="23"/>
        <v/>
      </c>
      <c r="F138" s="175">
        <f t="shared" si="24"/>
        <v>-1980000</v>
      </c>
      <c r="H138" s="280">
        <v>0</v>
      </c>
      <c r="I138" s="282">
        <f t="shared" si="25"/>
        <v>0</v>
      </c>
    </row>
    <row r="139" spans="1:9">
      <c r="A139" s="171" t="s">
        <v>4</v>
      </c>
      <c r="B139" s="315" t="s">
        <v>337</v>
      </c>
      <c r="C139" s="360">
        <v>600000</v>
      </c>
      <c r="D139" s="387">
        <v>293322.5</v>
      </c>
      <c r="E139" s="139" t="str">
        <f t="shared" si="23"/>
        <v/>
      </c>
      <c r="F139" s="175">
        <f t="shared" si="24"/>
        <v>-306677.5</v>
      </c>
      <c r="H139" s="280">
        <f>21060+184800</f>
        <v>205860</v>
      </c>
      <c r="I139" s="282">
        <f t="shared" si="25"/>
        <v>87462.5</v>
      </c>
    </row>
    <row r="140" spans="1:9">
      <c r="A140" s="313" t="s">
        <v>338</v>
      </c>
      <c r="B140" s="315" t="s">
        <v>339</v>
      </c>
      <c r="C140" s="360">
        <v>1400000</v>
      </c>
      <c r="D140" s="387">
        <v>268812</v>
      </c>
      <c r="E140" s="139" t="str">
        <f t="shared" si="23"/>
        <v/>
      </c>
      <c r="F140" s="175">
        <f t="shared" si="24"/>
        <v>-1131188</v>
      </c>
      <c r="H140" s="280">
        <v>64008</v>
      </c>
      <c r="I140" s="282">
        <f t="shared" si="25"/>
        <v>204804</v>
      </c>
    </row>
    <row r="141" spans="1:9">
      <c r="A141" s="137" t="s">
        <v>106</v>
      </c>
      <c r="B141" s="315" t="s">
        <v>340</v>
      </c>
      <c r="C141" s="360">
        <v>400000</v>
      </c>
      <c r="D141" s="387">
        <v>138637.85999999999</v>
      </c>
      <c r="E141" s="139" t="str">
        <f t="shared" si="23"/>
        <v/>
      </c>
      <c r="F141" s="175">
        <f t="shared" si="24"/>
        <v>-261362.14</v>
      </c>
      <c r="H141" s="280">
        <v>90887.28</v>
      </c>
      <c r="I141" s="282">
        <f t="shared" si="25"/>
        <v>47750.579999999987</v>
      </c>
    </row>
    <row r="142" spans="1:9">
      <c r="A142" s="137" t="s">
        <v>10</v>
      </c>
      <c r="B142" s="315" t="s">
        <v>341</v>
      </c>
      <c r="C142" s="316">
        <v>1000000</v>
      </c>
      <c r="D142" s="388">
        <v>541300</v>
      </c>
      <c r="E142" s="139" t="str">
        <f t="shared" si="23"/>
        <v/>
      </c>
      <c r="F142" s="175">
        <f t="shared" si="24"/>
        <v>-458700</v>
      </c>
      <c r="H142" s="280">
        <v>485000</v>
      </c>
      <c r="I142" s="282">
        <f t="shared" si="25"/>
        <v>56300</v>
      </c>
    </row>
    <row r="143" spans="1:9">
      <c r="A143" s="137" t="s">
        <v>28</v>
      </c>
      <c r="B143" s="315" t="s">
        <v>342</v>
      </c>
      <c r="C143" s="316">
        <v>160000</v>
      </c>
      <c r="D143" s="357">
        <v>112700</v>
      </c>
      <c r="E143" s="139" t="str">
        <f t="shared" si="23"/>
        <v/>
      </c>
      <c r="F143" s="175">
        <f t="shared" si="24"/>
        <v>-47300</v>
      </c>
      <c r="I143" s="282">
        <f t="shared" si="25"/>
        <v>112700</v>
      </c>
    </row>
    <row r="144" spans="1:9">
      <c r="A144" s="137" t="s">
        <v>30</v>
      </c>
      <c r="B144" s="315" t="s">
        <v>343</v>
      </c>
      <c r="C144" s="316">
        <v>170000</v>
      </c>
      <c r="D144" s="388">
        <v>15000</v>
      </c>
      <c r="E144" s="139" t="str">
        <f t="shared" si="23"/>
        <v/>
      </c>
      <c r="F144" s="175">
        <f t="shared" si="24"/>
        <v>-155000</v>
      </c>
      <c r="H144" s="280">
        <v>13500</v>
      </c>
      <c r="I144" s="282">
        <f t="shared" si="25"/>
        <v>1500</v>
      </c>
    </row>
    <row r="145" spans="1:9">
      <c r="A145" s="313" t="s">
        <v>432</v>
      </c>
      <c r="B145" s="338"/>
      <c r="C145" s="316"/>
      <c r="D145" s="388"/>
      <c r="E145" s="139" t="str">
        <f t="shared" si="23"/>
        <v/>
      </c>
      <c r="F145" s="175">
        <f t="shared" si="24"/>
        <v>0</v>
      </c>
      <c r="I145" s="282"/>
    </row>
    <row r="146" spans="1:9">
      <c r="A146" s="137" t="s">
        <v>89</v>
      </c>
      <c r="B146" s="138" t="s">
        <v>256</v>
      </c>
      <c r="C146" s="316">
        <v>430000</v>
      </c>
      <c r="D146" s="221">
        <v>36170</v>
      </c>
      <c r="E146" s="139" t="str">
        <f t="shared" si="23"/>
        <v/>
      </c>
      <c r="F146" s="175">
        <f t="shared" si="24"/>
        <v>-393830</v>
      </c>
      <c r="H146" s="280">
        <v>136136.47</v>
      </c>
      <c r="I146" s="282">
        <f t="shared" si="25"/>
        <v>-99966.47</v>
      </c>
    </row>
    <row r="147" spans="1:9">
      <c r="A147" s="137" t="s">
        <v>172</v>
      </c>
      <c r="B147" s="138" t="s">
        <v>257</v>
      </c>
      <c r="C147" s="316">
        <v>1000000</v>
      </c>
      <c r="D147" s="221">
        <v>254690.55</v>
      </c>
      <c r="E147" s="139" t="str">
        <f t="shared" si="23"/>
        <v/>
      </c>
      <c r="F147" s="175">
        <f t="shared" si="24"/>
        <v>-745309.45</v>
      </c>
      <c r="H147" s="280">
        <v>14000</v>
      </c>
      <c r="I147" s="282">
        <f t="shared" si="25"/>
        <v>240690.55</v>
      </c>
    </row>
    <row r="148" spans="1:9">
      <c r="A148" s="137" t="s">
        <v>91</v>
      </c>
      <c r="B148" s="138" t="s">
        <v>259</v>
      </c>
      <c r="C148" s="316">
        <v>250000</v>
      </c>
      <c r="D148" s="221">
        <v>56190</v>
      </c>
      <c r="E148" s="139" t="str">
        <f t="shared" si="23"/>
        <v/>
      </c>
      <c r="F148" s="175">
        <f t="shared" si="24"/>
        <v>-193810</v>
      </c>
      <c r="H148" s="280">
        <v>35000</v>
      </c>
      <c r="I148" s="282">
        <f t="shared" si="25"/>
        <v>21190</v>
      </c>
    </row>
    <row r="149" spans="1:9">
      <c r="A149" s="137" t="s">
        <v>255</v>
      </c>
      <c r="B149" s="138" t="s">
        <v>261</v>
      </c>
      <c r="C149" s="316">
        <v>250000</v>
      </c>
      <c r="D149" s="221">
        <v>66280</v>
      </c>
      <c r="E149" s="139" t="str">
        <f t="shared" si="23"/>
        <v/>
      </c>
      <c r="F149" s="175">
        <f t="shared" si="24"/>
        <v>-183720</v>
      </c>
      <c r="H149" s="280">
        <v>35700</v>
      </c>
      <c r="I149" s="282">
        <f t="shared" si="25"/>
        <v>30580</v>
      </c>
    </row>
    <row r="150" spans="1:9">
      <c r="A150" s="137" t="s">
        <v>263</v>
      </c>
      <c r="B150" s="147" t="s">
        <v>262</v>
      </c>
      <c r="C150" s="316">
        <v>610000</v>
      </c>
      <c r="D150" s="221">
        <v>64640</v>
      </c>
      <c r="E150" s="142" t="str">
        <f t="shared" si="23"/>
        <v/>
      </c>
      <c r="F150" s="175">
        <f t="shared" si="24"/>
        <v>-545360</v>
      </c>
      <c r="H150" s="280">
        <v>35700</v>
      </c>
      <c r="I150" s="282">
        <f t="shared" si="25"/>
        <v>28940</v>
      </c>
    </row>
    <row r="151" spans="1:9" ht="13.5" thickBot="1">
      <c r="A151" s="137"/>
      <c r="B151" s="147"/>
      <c r="C151" s="172">
        <f>SUM(C135:C150)</f>
        <v>46600000</v>
      </c>
      <c r="D151" s="359">
        <f>SUM(D135:D150)</f>
        <v>9780117.9400000013</v>
      </c>
      <c r="E151" s="172">
        <f>SUM(E135:E150)</f>
        <v>0</v>
      </c>
      <c r="F151" s="174">
        <f>SUM(F135:F150)</f>
        <v>-36819882.060000002</v>
      </c>
      <c r="H151" s="292">
        <f>SUM(H135:H150)</f>
        <v>5661540.5999999996</v>
      </c>
      <c r="I151" s="292">
        <f>SUM(I135:I150)</f>
        <v>4118577.3399999994</v>
      </c>
    </row>
    <row r="152" spans="1:9" ht="13.5" thickTop="1">
      <c r="A152" s="146" t="s">
        <v>395</v>
      </c>
      <c r="B152" s="315" t="s">
        <v>332</v>
      </c>
      <c r="C152" s="153"/>
      <c r="D152" s="360"/>
      <c r="E152" s="163"/>
      <c r="F152" s="151"/>
      <c r="I152" s="282"/>
    </row>
    <row r="153" spans="1:9">
      <c r="A153" s="137" t="s">
        <v>8</v>
      </c>
      <c r="B153" s="315" t="s">
        <v>346</v>
      </c>
      <c r="C153" s="316">
        <v>8000000</v>
      </c>
      <c r="D153" s="317">
        <v>1521153.26</v>
      </c>
      <c r="E153" s="139" t="str">
        <f t="shared" ref="E153:E166" si="26">IF((D153-C153)&gt;0,D153-C153,"")</f>
        <v/>
      </c>
      <c r="F153" s="175">
        <f t="shared" ref="F153:F166" si="27">IF((D153-C153)&gt;0,"",D153-C153)</f>
        <v>-6478846.7400000002</v>
      </c>
      <c r="H153" s="280">
        <v>757628.52</v>
      </c>
      <c r="I153" s="282">
        <f>+D153-H153</f>
        <v>763524.74</v>
      </c>
    </row>
    <row r="154" spans="1:9">
      <c r="A154" s="137" t="s">
        <v>106</v>
      </c>
      <c r="B154" s="315" t="s">
        <v>347</v>
      </c>
      <c r="C154" s="316">
        <v>100000</v>
      </c>
      <c r="D154" s="317">
        <v>25185.43</v>
      </c>
      <c r="E154" s="139" t="str">
        <f t="shared" si="26"/>
        <v/>
      </c>
      <c r="F154" s="175">
        <f t="shared" si="27"/>
        <v>-74814.570000000007</v>
      </c>
      <c r="H154" s="280">
        <v>9418.23</v>
      </c>
      <c r="I154" s="282">
        <f t="shared" ref="I154:I166" si="28">+D154-H154</f>
        <v>15767.2</v>
      </c>
    </row>
    <row r="155" spans="1:9">
      <c r="A155" s="137" t="s">
        <v>4</v>
      </c>
      <c r="B155" s="315" t="s">
        <v>348</v>
      </c>
      <c r="C155" s="316">
        <v>30000</v>
      </c>
      <c r="D155" s="317">
        <v>23560</v>
      </c>
      <c r="E155" s="139" t="str">
        <f t="shared" si="26"/>
        <v/>
      </c>
      <c r="F155" s="175">
        <f t="shared" si="27"/>
        <v>-6440</v>
      </c>
      <c r="H155" s="280">
        <f>300+21600</f>
        <v>21900</v>
      </c>
      <c r="I155" s="282">
        <f t="shared" si="28"/>
        <v>1660</v>
      </c>
    </row>
    <row r="156" spans="1:9">
      <c r="A156" s="137" t="s">
        <v>11</v>
      </c>
      <c r="B156" s="315" t="s">
        <v>349</v>
      </c>
      <c r="C156" s="316">
        <v>200000</v>
      </c>
      <c r="D156" s="317">
        <v>1000</v>
      </c>
      <c r="E156" s="139" t="str">
        <f t="shared" si="26"/>
        <v/>
      </c>
      <c r="F156" s="175">
        <f t="shared" si="27"/>
        <v>-199000</v>
      </c>
      <c r="H156" s="280">
        <v>21000</v>
      </c>
      <c r="I156" s="282">
        <f t="shared" si="28"/>
        <v>-20000</v>
      </c>
    </row>
    <row r="157" spans="1:9">
      <c r="A157" s="137" t="s">
        <v>12</v>
      </c>
      <c r="B157" s="315" t="s">
        <v>350</v>
      </c>
      <c r="C157" s="316">
        <v>1100000</v>
      </c>
      <c r="D157" s="317">
        <v>134796</v>
      </c>
      <c r="E157" s="139" t="str">
        <f t="shared" si="26"/>
        <v/>
      </c>
      <c r="F157" s="175">
        <f t="shared" si="27"/>
        <v>-965204</v>
      </c>
      <c r="H157" s="280">
        <v>72531</v>
      </c>
      <c r="I157" s="282">
        <f t="shared" si="28"/>
        <v>62265</v>
      </c>
    </row>
    <row r="158" spans="1:9">
      <c r="A158" s="137" t="s">
        <v>37</v>
      </c>
      <c r="B158" s="315" t="s">
        <v>351</v>
      </c>
      <c r="C158" s="316">
        <v>6500000</v>
      </c>
      <c r="D158" s="317">
        <v>1111863</v>
      </c>
      <c r="E158" s="139" t="str">
        <f t="shared" si="26"/>
        <v/>
      </c>
      <c r="F158" s="175">
        <f t="shared" si="27"/>
        <v>-5388137</v>
      </c>
      <c r="H158" s="280">
        <v>505073</v>
      </c>
      <c r="I158" s="282">
        <f t="shared" si="28"/>
        <v>606790</v>
      </c>
    </row>
    <row r="159" spans="1:9">
      <c r="A159" s="313" t="s">
        <v>447</v>
      </c>
      <c r="B159" s="315" t="s">
        <v>446</v>
      </c>
      <c r="C159" s="316">
        <v>120000</v>
      </c>
      <c r="D159" s="317">
        <v>95600</v>
      </c>
      <c r="E159" s="139" t="str">
        <f>IF((D159-C159)&gt;0,D159-C159,"")</f>
        <v/>
      </c>
      <c r="F159" s="175">
        <f>IF((D159-C159)&gt;0,"",D159-C159)</f>
        <v>-24400</v>
      </c>
      <c r="I159" s="282">
        <f>+D159-H159</f>
        <v>95600</v>
      </c>
    </row>
    <row r="160" spans="1:9">
      <c r="A160" s="313" t="s">
        <v>432</v>
      </c>
      <c r="B160" s="338"/>
      <c r="C160" s="316"/>
      <c r="D160" s="317"/>
      <c r="E160" s="139" t="str">
        <f t="shared" si="26"/>
        <v/>
      </c>
      <c r="F160" s="175">
        <f t="shared" si="27"/>
        <v>0</v>
      </c>
      <c r="I160" s="282"/>
    </row>
    <row r="161" spans="1:10">
      <c r="A161" s="313" t="s">
        <v>352</v>
      </c>
      <c r="B161" s="138" t="s">
        <v>256</v>
      </c>
      <c r="C161" s="316">
        <v>250000</v>
      </c>
      <c r="D161" s="221">
        <v>32098</v>
      </c>
      <c r="E161" s="139" t="str">
        <f t="shared" si="26"/>
        <v/>
      </c>
      <c r="F161" s="175">
        <f t="shared" si="27"/>
        <v>-217902</v>
      </c>
      <c r="H161" s="280">
        <v>9658</v>
      </c>
      <c r="I161" s="282">
        <f>+D161-H161</f>
        <v>22440</v>
      </c>
    </row>
    <row r="162" spans="1:10">
      <c r="A162" s="313" t="s">
        <v>353</v>
      </c>
      <c r="B162" s="138" t="s">
        <v>257</v>
      </c>
      <c r="C162" s="373">
        <v>50000</v>
      </c>
      <c r="D162" s="389">
        <v>8970</v>
      </c>
      <c r="E162" s="139" t="str">
        <f t="shared" si="26"/>
        <v/>
      </c>
      <c r="F162" s="175">
        <f t="shared" si="27"/>
        <v>-41030</v>
      </c>
      <c r="H162" s="280">
        <v>6490</v>
      </c>
      <c r="I162" s="282">
        <f t="shared" si="28"/>
        <v>2480</v>
      </c>
    </row>
    <row r="163" spans="1:10">
      <c r="A163" s="313" t="s">
        <v>354</v>
      </c>
      <c r="B163" s="138" t="s">
        <v>257</v>
      </c>
      <c r="C163" s="373">
        <v>250000</v>
      </c>
      <c r="D163" s="389">
        <v>31998</v>
      </c>
      <c r="E163" s="139" t="str">
        <f t="shared" si="26"/>
        <v/>
      </c>
      <c r="F163" s="175">
        <f t="shared" si="27"/>
        <v>-218002</v>
      </c>
      <c r="H163" s="280">
        <v>9058</v>
      </c>
      <c r="I163" s="282">
        <f t="shared" si="28"/>
        <v>22940</v>
      </c>
    </row>
    <row r="164" spans="1:10" s="321" customFormat="1">
      <c r="A164" s="352" t="s">
        <v>355</v>
      </c>
      <c r="B164" s="138" t="s">
        <v>259</v>
      </c>
      <c r="C164" s="316">
        <v>20000</v>
      </c>
      <c r="D164" s="221">
        <v>6360</v>
      </c>
      <c r="E164" s="316" t="str">
        <f t="shared" si="26"/>
        <v/>
      </c>
      <c r="F164" s="318">
        <f t="shared" si="27"/>
        <v>-13640</v>
      </c>
      <c r="G164" s="319">
        <v>43933</v>
      </c>
      <c r="H164" s="320">
        <v>3260</v>
      </c>
      <c r="I164" s="25">
        <f t="shared" si="28"/>
        <v>3100</v>
      </c>
    </row>
    <row r="165" spans="1:10" s="321" customFormat="1">
      <c r="A165" s="352" t="s">
        <v>356</v>
      </c>
      <c r="B165" s="138" t="s">
        <v>261</v>
      </c>
      <c r="C165" s="316">
        <v>25000</v>
      </c>
      <c r="D165" s="221">
        <v>10580</v>
      </c>
      <c r="E165" s="316" t="str">
        <f t="shared" si="26"/>
        <v/>
      </c>
      <c r="F165" s="318">
        <f t="shared" si="27"/>
        <v>-14420</v>
      </c>
      <c r="H165" s="320">
        <v>2180</v>
      </c>
      <c r="I165" s="25">
        <f t="shared" si="28"/>
        <v>8400</v>
      </c>
    </row>
    <row r="166" spans="1:10">
      <c r="A166" s="313" t="s">
        <v>92</v>
      </c>
      <c r="B166" s="147" t="s">
        <v>262</v>
      </c>
      <c r="C166" s="316">
        <v>25000</v>
      </c>
      <c r="D166" s="390">
        <v>10580</v>
      </c>
      <c r="E166" s="139" t="str">
        <f t="shared" si="26"/>
        <v/>
      </c>
      <c r="F166" s="175">
        <f t="shared" si="27"/>
        <v>-14420</v>
      </c>
      <c r="H166" s="280">
        <v>2180</v>
      </c>
      <c r="I166" s="282">
        <f t="shared" si="28"/>
        <v>8400</v>
      </c>
    </row>
    <row r="167" spans="1:10" ht="13.5" thickBot="1">
      <c r="A167" s="137"/>
      <c r="B167" s="147"/>
      <c r="C167" s="176">
        <f>SUM(C153:C166)</f>
        <v>16670000</v>
      </c>
      <c r="D167" s="359">
        <f>SUM(D153:D166)</f>
        <v>3013743.69</v>
      </c>
      <c r="E167" s="173">
        <f>SUM(E153:E166)</f>
        <v>0</v>
      </c>
      <c r="F167" s="177">
        <f>SUM(F153:F166)</f>
        <v>-13656256.310000001</v>
      </c>
      <c r="H167" s="292">
        <f>SUM(H153:H166)</f>
        <v>1420376.75</v>
      </c>
      <c r="I167" s="292">
        <f>SUM(I153:I166)</f>
        <v>1593366.94</v>
      </c>
      <c r="J167" s="297"/>
    </row>
    <row r="168" spans="1:10" ht="13.5" customHeight="1" thickTop="1">
      <c r="A168" s="146"/>
      <c r="B168" s="147"/>
      <c r="C168" s="153"/>
      <c r="D168" s="316"/>
      <c r="E168" s="140"/>
      <c r="F168" s="151"/>
      <c r="I168" s="282"/>
    </row>
    <row r="169" spans="1:10">
      <c r="A169" s="146" t="s">
        <v>420</v>
      </c>
      <c r="B169" s="315" t="s">
        <v>358</v>
      </c>
      <c r="C169" s="153"/>
      <c r="D169" s="360"/>
      <c r="E169" s="139"/>
      <c r="F169" s="151"/>
      <c r="H169" s="280" t="s">
        <v>192</v>
      </c>
      <c r="I169" s="282"/>
    </row>
    <row r="170" spans="1:10">
      <c r="A170" s="313" t="s">
        <v>410</v>
      </c>
      <c r="B170" s="315" t="s">
        <v>359</v>
      </c>
      <c r="C170" s="316">
        <v>12100000</v>
      </c>
      <c r="D170" s="391">
        <v>2592440</v>
      </c>
      <c r="E170" s="139" t="str">
        <f t="shared" ref="E170:E183" si="29">IF((D170-C170)&gt;0,D170-C170,"")</f>
        <v/>
      </c>
      <c r="F170" s="175">
        <f t="shared" ref="F170:F183" si="30">IF((D170-C170)&gt;0,"",D170-C170)</f>
        <v>-9507560</v>
      </c>
      <c r="H170" s="280">
        <v>1024740</v>
      </c>
      <c r="I170" s="282">
        <f>+D170-H170</f>
        <v>1567700</v>
      </c>
    </row>
    <row r="171" spans="1:10">
      <c r="A171" s="137" t="s">
        <v>14</v>
      </c>
      <c r="B171" s="315" t="s">
        <v>360</v>
      </c>
      <c r="C171" s="316">
        <v>2000000</v>
      </c>
      <c r="D171" s="391">
        <v>351425</v>
      </c>
      <c r="E171" s="139" t="str">
        <f t="shared" si="29"/>
        <v/>
      </c>
      <c r="F171" s="175">
        <f t="shared" si="30"/>
        <v>-1648575</v>
      </c>
      <c r="H171" s="280">
        <v>157270</v>
      </c>
      <c r="I171" s="282">
        <f t="shared" ref="I171:I183" si="31">+D171-H171</f>
        <v>194155</v>
      </c>
    </row>
    <row r="172" spans="1:10">
      <c r="A172" s="137" t="s">
        <v>8</v>
      </c>
      <c r="B172" s="315" t="s">
        <v>361</v>
      </c>
      <c r="C172" s="316">
        <v>2626000</v>
      </c>
      <c r="D172" s="392">
        <v>535301.84</v>
      </c>
      <c r="E172" s="139" t="str">
        <f t="shared" si="29"/>
        <v/>
      </c>
      <c r="F172" s="175">
        <f t="shared" si="30"/>
        <v>-2090698.1600000001</v>
      </c>
      <c r="H172" s="280">
        <v>334433.96999999997</v>
      </c>
      <c r="I172" s="282">
        <f t="shared" si="31"/>
        <v>200867.87</v>
      </c>
    </row>
    <row r="173" spans="1:10">
      <c r="A173" s="137" t="s">
        <v>15</v>
      </c>
      <c r="B173" s="315" t="s">
        <v>362</v>
      </c>
      <c r="C173" s="316">
        <v>3000000</v>
      </c>
      <c r="D173" s="392">
        <v>509015</v>
      </c>
      <c r="E173" s="139" t="str">
        <f t="shared" si="29"/>
        <v/>
      </c>
      <c r="F173" s="175">
        <f t="shared" si="30"/>
        <v>-2490985</v>
      </c>
      <c r="H173" s="280">
        <v>266606</v>
      </c>
      <c r="I173" s="282">
        <f t="shared" si="31"/>
        <v>242409</v>
      </c>
    </row>
    <row r="174" spans="1:10">
      <c r="A174" s="137" t="s">
        <v>4</v>
      </c>
      <c r="B174" s="315" t="s">
        <v>363</v>
      </c>
      <c r="C174" s="316">
        <v>100000</v>
      </c>
      <c r="D174" s="391">
        <v>17100</v>
      </c>
      <c r="E174" s="139" t="str">
        <f t="shared" si="29"/>
        <v/>
      </c>
      <c r="F174" s="175">
        <f t="shared" si="30"/>
        <v>-82900</v>
      </c>
      <c r="H174" s="280">
        <v>14700</v>
      </c>
      <c r="I174" s="282">
        <f t="shared" si="31"/>
        <v>2400</v>
      </c>
    </row>
    <row r="175" spans="1:10">
      <c r="A175" s="137" t="s">
        <v>16</v>
      </c>
      <c r="B175" s="315" t="s">
        <v>364</v>
      </c>
      <c r="C175" s="316">
        <v>60000</v>
      </c>
      <c r="D175" s="391">
        <v>23000</v>
      </c>
      <c r="E175" s="139" t="str">
        <f t="shared" si="29"/>
        <v/>
      </c>
      <c r="F175" s="175">
        <f t="shared" si="30"/>
        <v>-37000</v>
      </c>
      <c r="H175" s="280">
        <v>1000</v>
      </c>
      <c r="I175" s="282">
        <f t="shared" si="31"/>
        <v>22000</v>
      </c>
    </row>
    <row r="176" spans="1:10">
      <c r="A176" s="137" t="s">
        <v>106</v>
      </c>
      <c r="B176" s="315" t="s">
        <v>365</v>
      </c>
      <c r="C176" s="316">
        <v>60000</v>
      </c>
      <c r="D176" s="391">
        <v>32947.9</v>
      </c>
      <c r="E176" s="139" t="str">
        <f t="shared" si="29"/>
        <v/>
      </c>
      <c r="F176" s="175">
        <f t="shared" si="30"/>
        <v>-27052.1</v>
      </c>
      <c r="H176" s="280">
        <v>23773.7</v>
      </c>
      <c r="I176" s="282">
        <f t="shared" si="31"/>
        <v>9174.2000000000007</v>
      </c>
    </row>
    <row r="177" spans="1:9">
      <c r="A177" s="137" t="s">
        <v>173</v>
      </c>
      <c r="B177" s="315" t="s">
        <v>366</v>
      </c>
      <c r="C177" s="316">
        <v>300000</v>
      </c>
      <c r="D177" s="391">
        <v>340050</v>
      </c>
      <c r="E177" s="139">
        <f t="shared" si="29"/>
        <v>40050</v>
      </c>
      <c r="F177" s="175" t="str">
        <f t="shared" si="30"/>
        <v/>
      </c>
      <c r="H177" s="280">
        <v>289950</v>
      </c>
      <c r="I177" s="282">
        <f t="shared" si="31"/>
        <v>50100</v>
      </c>
    </row>
    <row r="178" spans="1:9">
      <c r="A178" s="313" t="s">
        <v>432</v>
      </c>
      <c r="B178" s="338"/>
      <c r="C178" s="316"/>
      <c r="D178" s="391"/>
      <c r="E178" s="139" t="str">
        <f t="shared" si="29"/>
        <v/>
      </c>
      <c r="F178" s="175">
        <f t="shared" si="30"/>
        <v>0</v>
      </c>
      <c r="I178" s="282"/>
    </row>
    <row r="179" spans="1:9">
      <c r="A179" s="137" t="s">
        <v>89</v>
      </c>
      <c r="B179" s="138" t="s">
        <v>256</v>
      </c>
      <c r="C179" s="316">
        <v>700000</v>
      </c>
      <c r="D179" s="391">
        <v>137917</v>
      </c>
      <c r="E179" s="139" t="str">
        <f t="shared" si="29"/>
        <v/>
      </c>
      <c r="F179" s="175">
        <f t="shared" si="30"/>
        <v>-562083</v>
      </c>
      <c r="H179" s="280">
        <v>77206</v>
      </c>
      <c r="I179" s="282">
        <f t="shared" si="31"/>
        <v>60711</v>
      </c>
    </row>
    <row r="180" spans="1:9">
      <c r="A180" s="137" t="s">
        <v>172</v>
      </c>
      <c r="B180" s="138" t="s">
        <v>257</v>
      </c>
      <c r="C180" s="316">
        <v>600000</v>
      </c>
      <c r="D180" s="391">
        <v>143684</v>
      </c>
      <c r="E180" s="139" t="str">
        <f t="shared" si="29"/>
        <v/>
      </c>
      <c r="F180" s="175">
        <f t="shared" si="30"/>
        <v>-456316</v>
      </c>
      <c r="H180" s="280">
        <v>63403</v>
      </c>
      <c r="I180" s="282">
        <f t="shared" si="31"/>
        <v>80281</v>
      </c>
    </row>
    <row r="181" spans="1:9">
      <c r="A181" s="137" t="s">
        <v>91</v>
      </c>
      <c r="B181" s="138" t="s">
        <v>259</v>
      </c>
      <c r="C181" s="316">
        <v>50000</v>
      </c>
      <c r="D181" s="391">
        <v>32575</v>
      </c>
      <c r="E181" s="139" t="str">
        <f t="shared" si="29"/>
        <v/>
      </c>
      <c r="F181" s="175">
        <f t="shared" si="30"/>
        <v>-17425</v>
      </c>
      <c r="H181" s="280">
        <v>26651</v>
      </c>
      <c r="I181" s="282">
        <f t="shared" si="31"/>
        <v>5924</v>
      </c>
    </row>
    <row r="182" spans="1:9">
      <c r="A182" s="137" t="s">
        <v>255</v>
      </c>
      <c r="B182" s="154" t="s">
        <v>261</v>
      </c>
      <c r="C182" s="316">
        <v>50000</v>
      </c>
      <c r="D182" s="391">
        <v>32020</v>
      </c>
      <c r="E182" s="139" t="str">
        <f t="shared" si="29"/>
        <v/>
      </c>
      <c r="F182" s="175">
        <f t="shared" si="30"/>
        <v>-17980</v>
      </c>
      <c r="H182" s="280">
        <v>26500</v>
      </c>
      <c r="I182" s="282">
        <f t="shared" si="31"/>
        <v>5520</v>
      </c>
    </row>
    <row r="183" spans="1:9">
      <c r="A183" s="137" t="s">
        <v>263</v>
      </c>
      <c r="B183" s="138" t="s">
        <v>262</v>
      </c>
      <c r="C183" s="316">
        <v>50000</v>
      </c>
      <c r="D183" s="391">
        <v>31980</v>
      </c>
      <c r="E183" s="139" t="str">
        <f t="shared" si="29"/>
        <v/>
      </c>
      <c r="F183" s="175">
        <f t="shared" si="30"/>
        <v>-18020</v>
      </c>
      <c r="H183" s="280">
        <v>26500</v>
      </c>
      <c r="I183" s="282">
        <f t="shared" si="31"/>
        <v>5480</v>
      </c>
    </row>
    <row r="184" spans="1:9" ht="13.5" thickBot="1">
      <c r="A184" s="155" t="s">
        <v>17</v>
      </c>
      <c r="B184" s="166"/>
      <c r="C184" s="361">
        <f>SUM(C170:C183)</f>
        <v>21696000</v>
      </c>
      <c r="D184" s="393">
        <f t="shared" ref="D184:F184" si="32">SUM(D170:D183)</f>
        <v>4779455.74</v>
      </c>
      <c r="E184" s="178">
        <f>SUM(E170:E183)</f>
        <v>40050</v>
      </c>
      <c r="F184" s="180">
        <f t="shared" si="32"/>
        <v>-16956594.259999998</v>
      </c>
      <c r="H184" s="292">
        <f>SUM(H170:H183)</f>
        <v>2332733.67</v>
      </c>
      <c r="I184" s="292">
        <f>SUM(I170:I183)</f>
        <v>2446722.0700000003</v>
      </c>
    </row>
    <row r="185" spans="1:9" s="298" customFormat="1">
      <c r="A185" s="312"/>
      <c r="B185" s="159"/>
      <c r="C185" s="362"/>
      <c r="D185" s="362"/>
      <c r="E185" s="209"/>
      <c r="F185" s="184"/>
      <c r="H185" s="299"/>
      <c r="I185" s="282"/>
    </row>
    <row r="186" spans="1:9" s="298" customFormat="1" ht="13.5" thickBot="1">
      <c r="A186" s="224"/>
      <c r="B186" s="156"/>
      <c r="C186" s="363"/>
      <c r="D186" s="363"/>
      <c r="E186" s="208"/>
      <c r="F186" s="309"/>
      <c r="H186" s="299"/>
      <c r="I186" s="282"/>
    </row>
    <row r="187" spans="1:9">
      <c r="A187" s="132" t="s">
        <v>368</v>
      </c>
      <c r="B187" s="315" t="s">
        <v>369</v>
      </c>
      <c r="C187" s="364"/>
      <c r="D187" s="394"/>
      <c r="E187" s="183"/>
      <c r="F187" s="184"/>
      <c r="I187" s="282"/>
    </row>
    <row r="188" spans="1:9">
      <c r="A188" s="137" t="s">
        <v>18</v>
      </c>
      <c r="B188" s="315" t="s">
        <v>370</v>
      </c>
      <c r="C188" s="365">
        <v>1400000</v>
      </c>
      <c r="D188" s="317">
        <v>198790</v>
      </c>
      <c r="E188" s="139" t="str">
        <f t="shared" ref="E188:E201" si="33">IF((D188-C188)&gt;0,D188-C188,"")</f>
        <v/>
      </c>
      <c r="F188" s="175">
        <f t="shared" ref="F188:F201" si="34">IF((D188-C188)&gt;0,"",D188-C188)</f>
        <v>-1201210</v>
      </c>
      <c r="I188" s="282">
        <f>+D188-H188</f>
        <v>198790</v>
      </c>
    </row>
    <row r="189" spans="1:9">
      <c r="A189" s="137" t="s">
        <v>121</v>
      </c>
      <c r="B189" s="315" t="s">
        <v>371</v>
      </c>
      <c r="C189" s="316">
        <v>650000</v>
      </c>
      <c r="D189" s="317">
        <v>103510</v>
      </c>
      <c r="E189" s="139" t="str">
        <f t="shared" si="33"/>
        <v/>
      </c>
      <c r="F189" s="175">
        <f t="shared" si="34"/>
        <v>-546490</v>
      </c>
      <c r="I189" s="282">
        <f t="shared" ref="I189:I199" si="35">+D189-H189</f>
        <v>103510</v>
      </c>
    </row>
    <row r="190" spans="1:9">
      <c r="A190" s="137" t="s">
        <v>122</v>
      </c>
      <c r="B190" s="315" t="s">
        <v>372</v>
      </c>
      <c r="C190" s="316">
        <v>280000</v>
      </c>
      <c r="D190" s="317">
        <v>45615</v>
      </c>
      <c r="E190" s="139" t="str">
        <f t="shared" si="33"/>
        <v/>
      </c>
      <c r="F190" s="175">
        <f t="shared" si="34"/>
        <v>-234385</v>
      </c>
      <c r="I190" s="282">
        <f t="shared" si="35"/>
        <v>45615</v>
      </c>
    </row>
    <row r="191" spans="1:9">
      <c r="A191" s="137" t="s">
        <v>19</v>
      </c>
      <c r="B191" s="315" t="s">
        <v>373</v>
      </c>
      <c r="C191" s="316">
        <v>1400000</v>
      </c>
      <c r="D191" s="317">
        <v>231430</v>
      </c>
      <c r="E191" s="139" t="str">
        <f t="shared" si="33"/>
        <v/>
      </c>
      <c r="F191" s="175">
        <f t="shared" si="34"/>
        <v>-1168570</v>
      </c>
      <c r="I191" s="282">
        <f t="shared" si="35"/>
        <v>231430</v>
      </c>
    </row>
    <row r="192" spans="1:9">
      <c r="A192" s="171" t="s">
        <v>20</v>
      </c>
      <c r="B192" s="315" t="s">
        <v>374</v>
      </c>
      <c r="C192" s="357">
        <v>790000</v>
      </c>
      <c r="D192" s="395">
        <v>126855</v>
      </c>
      <c r="E192" s="139" t="str">
        <f t="shared" si="33"/>
        <v/>
      </c>
      <c r="F192" s="175">
        <f t="shared" si="34"/>
        <v>-663145</v>
      </c>
      <c r="H192" s="280">
        <v>61255</v>
      </c>
      <c r="I192" s="282">
        <f t="shared" si="35"/>
        <v>65600</v>
      </c>
    </row>
    <row r="193" spans="1:10">
      <c r="A193" s="137" t="s">
        <v>9</v>
      </c>
      <c r="B193" s="315" t="s">
        <v>375</v>
      </c>
      <c r="C193" s="316">
        <v>120000</v>
      </c>
      <c r="D193" s="317">
        <v>20794</v>
      </c>
      <c r="E193" s="139" t="str">
        <f t="shared" si="33"/>
        <v/>
      </c>
      <c r="F193" s="175">
        <f t="shared" si="34"/>
        <v>-99206</v>
      </c>
      <c r="H193" s="280">
        <v>9532</v>
      </c>
      <c r="I193" s="282">
        <f t="shared" si="35"/>
        <v>11262</v>
      </c>
    </row>
    <row r="194" spans="1:10">
      <c r="A194" s="137" t="s">
        <v>4</v>
      </c>
      <c r="B194" s="315" t="s">
        <v>376</v>
      </c>
      <c r="C194" s="316">
        <v>720000</v>
      </c>
      <c r="D194" s="317">
        <v>103650</v>
      </c>
      <c r="E194" s="139" t="str">
        <f t="shared" si="33"/>
        <v/>
      </c>
      <c r="F194" s="175">
        <f t="shared" si="34"/>
        <v>-616350</v>
      </c>
      <c r="H194" s="280">
        <f>19400+37900</f>
        <v>57300</v>
      </c>
      <c r="I194" s="282">
        <f t="shared" si="35"/>
        <v>46350</v>
      </c>
    </row>
    <row r="195" spans="1:10">
      <c r="A195" s="313" t="s">
        <v>377</v>
      </c>
      <c r="B195" s="315" t="s">
        <v>378</v>
      </c>
      <c r="C195" s="316">
        <v>620000</v>
      </c>
      <c r="D195" s="317">
        <v>101125</v>
      </c>
      <c r="E195" s="139" t="str">
        <f t="shared" si="33"/>
        <v/>
      </c>
      <c r="F195" s="175">
        <f t="shared" si="34"/>
        <v>-518875</v>
      </c>
      <c r="H195" s="280">
        <v>49045</v>
      </c>
      <c r="I195" s="282">
        <f t="shared" si="35"/>
        <v>52080</v>
      </c>
    </row>
    <row r="196" spans="1:10">
      <c r="A196" s="313" t="s">
        <v>432</v>
      </c>
      <c r="B196" s="338"/>
      <c r="C196" s="316"/>
      <c r="D196" s="317"/>
      <c r="E196" s="139" t="str">
        <f t="shared" si="33"/>
        <v/>
      </c>
      <c r="F196" s="175">
        <f t="shared" si="34"/>
        <v>0</v>
      </c>
      <c r="I196" s="282"/>
    </row>
    <row r="197" spans="1:10">
      <c r="A197" s="137" t="s">
        <v>89</v>
      </c>
      <c r="B197" s="138" t="s">
        <v>256</v>
      </c>
      <c r="C197" s="373">
        <v>5000</v>
      </c>
      <c r="D197" s="396">
        <v>217</v>
      </c>
      <c r="E197" s="139" t="str">
        <f t="shared" si="33"/>
        <v/>
      </c>
      <c r="F197" s="175">
        <f t="shared" si="34"/>
        <v>-4783</v>
      </c>
      <c r="H197" s="280">
        <v>10821</v>
      </c>
      <c r="I197" s="282">
        <f t="shared" si="35"/>
        <v>-10604</v>
      </c>
      <c r="J197" s="286">
        <f>+I197+I218</f>
        <v>-15526.5</v>
      </c>
    </row>
    <row r="198" spans="1:10">
      <c r="A198" s="137" t="s">
        <v>172</v>
      </c>
      <c r="B198" s="138" t="s">
        <v>257</v>
      </c>
      <c r="C198" s="373">
        <v>140000</v>
      </c>
      <c r="D198" s="397">
        <v>20358</v>
      </c>
      <c r="E198" s="139" t="str">
        <f t="shared" si="33"/>
        <v/>
      </c>
      <c r="F198" s="175">
        <f t="shared" si="34"/>
        <v>-119642</v>
      </c>
      <c r="H198" s="280">
        <v>150</v>
      </c>
      <c r="I198" s="282">
        <f t="shared" si="35"/>
        <v>20208</v>
      </c>
      <c r="J198" s="286">
        <f>+I198+I219</f>
        <v>42075</v>
      </c>
    </row>
    <row r="199" spans="1:10">
      <c r="A199" s="137" t="s">
        <v>91</v>
      </c>
      <c r="B199" s="138" t="s">
        <v>259</v>
      </c>
      <c r="C199" s="373">
        <v>65000</v>
      </c>
      <c r="D199" s="397">
        <v>10838</v>
      </c>
      <c r="E199" s="139" t="str">
        <f t="shared" si="33"/>
        <v/>
      </c>
      <c r="F199" s="175">
        <f t="shared" si="34"/>
        <v>-54162</v>
      </c>
      <c r="H199" s="280">
        <v>5251</v>
      </c>
      <c r="I199" s="282">
        <f t="shared" si="35"/>
        <v>5587</v>
      </c>
      <c r="J199" s="286">
        <f>+I199+I220</f>
        <v>9659.5</v>
      </c>
    </row>
    <row r="200" spans="1:10">
      <c r="A200" s="137" t="s">
        <v>255</v>
      </c>
      <c r="B200" s="154" t="s">
        <v>261</v>
      </c>
      <c r="C200" s="373">
        <v>10000</v>
      </c>
      <c r="D200" s="380">
        <v>2740</v>
      </c>
      <c r="E200" s="139" t="str">
        <f t="shared" si="33"/>
        <v/>
      </c>
      <c r="F200" s="175">
        <f t="shared" si="34"/>
        <v>-7260</v>
      </c>
      <c r="G200" s="288">
        <v>46889</v>
      </c>
      <c r="I200" s="282">
        <f>+G200-H200</f>
        <v>46889</v>
      </c>
      <c r="J200" s="286" t="e">
        <f>+I200+#REF!</f>
        <v>#REF!</v>
      </c>
    </row>
    <row r="201" spans="1:10">
      <c r="A201" s="137" t="s">
        <v>263</v>
      </c>
      <c r="B201" s="138" t="s">
        <v>262</v>
      </c>
      <c r="C201" s="414">
        <v>10000</v>
      </c>
      <c r="D201" s="380">
        <v>2740</v>
      </c>
      <c r="E201" s="139" t="str">
        <f t="shared" si="33"/>
        <v/>
      </c>
      <c r="F201" s="175">
        <f t="shared" si="34"/>
        <v>-7260</v>
      </c>
      <c r="G201" s="288">
        <v>9210</v>
      </c>
      <c r="I201" s="282">
        <f>+G201-H201</f>
        <v>9210</v>
      </c>
      <c r="J201" s="286" t="e">
        <f>+I201+#REF!</f>
        <v>#REF!</v>
      </c>
    </row>
    <row r="202" spans="1:10" ht="13.5" thickBot="1">
      <c r="A202" s="137"/>
      <c r="B202" s="147"/>
      <c r="C202" s="359">
        <f>SUM(C188:C201)</f>
        <v>6210000</v>
      </c>
      <c r="D202" s="359">
        <f t="shared" ref="D202:F202" si="36">SUM(D188:D201)</f>
        <v>968662</v>
      </c>
      <c r="E202" s="172">
        <f>SUM(E188:E201)</f>
        <v>0</v>
      </c>
      <c r="F202" s="174">
        <f t="shared" si="36"/>
        <v>-5241338</v>
      </c>
      <c r="G202" s="288">
        <v>16391</v>
      </c>
      <c r="H202" s="292">
        <f>SUM(H188:H201)</f>
        <v>193354</v>
      </c>
      <c r="I202" s="282">
        <f>+G202-H202</f>
        <v>-176963</v>
      </c>
    </row>
    <row r="203" spans="1:10" ht="13.5" thickTop="1">
      <c r="A203" s="137"/>
      <c r="B203" s="147"/>
      <c r="C203" s="357"/>
      <c r="D203" s="316"/>
      <c r="E203" s="140"/>
      <c r="F203" s="175"/>
      <c r="G203" s="288">
        <v>3120</v>
      </c>
      <c r="I203" s="282">
        <f>+G203-H203</f>
        <v>3120</v>
      </c>
    </row>
    <row r="204" spans="1:10">
      <c r="A204" s="146" t="s">
        <v>367</v>
      </c>
      <c r="B204" s="147"/>
      <c r="C204" s="357"/>
      <c r="D204" s="360"/>
      <c r="E204" s="139"/>
      <c r="F204" s="175"/>
      <c r="G204" s="288">
        <v>3120</v>
      </c>
      <c r="I204" s="282">
        <f>+G204-H204</f>
        <v>3120</v>
      </c>
    </row>
    <row r="205" spans="1:10">
      <c r="A205" s="137" t="s">
        <v>21</v>
      </c>
      <c r="B205" s="315" t="s">
        <v>379</v>
      </c>
      <c r="C205" s="316">
        <v>85000</v>
      </c>
      <c r="D205" s="317">
        <v>17424</v>
      </c>
      <c r="E205" s="139" t="str">
        <f t="shared" ref="E205:E220" si="37">IF((D205-C205)&gt;0,D205-C205,"")</f>
        <v/>
      </c>
      <c r="F205" s="175">
        <f t="shared" ref="F205:F220" si="38">IF((D205-C205)&gt;0,"",D205-C205)</f>
        <v>-67576</v>
      </c>
      <c r="H205" s="280">
        <v>6052</v>
      </c>
      <c r="I205" s="282">
        <f>+D205-H205</f>
        <v>11372</v>
      </c>
    </row>
    <row r="206" spans="1:10">
      <c r="A206" s="137" t="s">
        <v>22</v>
      </c>
      <c r="B206" s="315" t="s">
        <v>380</v>
      </c>
      <c r="C206" s="316">
        <v>400000</v>
      </c>
      <c r="D206" s="317">
        <v>52927.5</v>
      </c>
      <c r="E206" s="139" t="str">
        <f t="shared" si="37"/>
        <v/>
      </c>
      <c r="F206" s="175">
        <f t="shared" si="38"/>
        <v>-347072.5</v>
      </c>
      <c r="H206" s="280">
        <v>26885</v>
      </c>
      <c r="I206" s="282">
        <f t="shared" ref="I206:I220" si="39">+D206-H206</f>
        <v>26042.5</v>
      </c>
    </row>
    <row r="207" spans="1:10">
      <c r="A207" s="137" t="s">
        <v>7</v>
      </c>
      <c r="B207" s="315" t="s">
        <v>381</v>
      </c>
      <c r="C207" s="316">
        <v>300000</v>
      </c>
      <c r="D207" s="317">
        <v>33392.5</v>
      </c>
      <c r="E207" s="139" t="str">
        <f t="shared" si="37"/>
        <v/>
      </c>
      <c r="F207" s="175">
        <f t="shared" si="38"/>
        <v>-266607.5</v>
      </c>
      <c r="H207" s="280">
        <v>12795</v>
      </c>
      <c r="I207" s="282">
        <f t="shared" si="39"/>
        <v>20597.5</v>
      </c>
    </row>
    <row r="208" spans="1:10">
      <c r="A208" s="137" t="s">
        <v>23</v>
      </c>
      <c r="B208" s="315" t="s">
        <v>382</v>
      </c>
      <c r="C208" s="316">
        <v>270000</v>
      </c>
      <c r="D208" s="317">
        <v>47848.5</v>
      </c>
      <c r="E208" s="139" t="str">
        <f t="shared" si="37"/>
        <v/>
      </c>
      <c r="F208" s="175">
        <f t="shared" si="38"/>
        <v>-222151.5</v>
      </c>
      <c r="H208" s="280">
        <v>27310.5</v>
      </c>
      <c r="I208" s="282">
        <f t="shared" si="39"/>
        <v>20538</v>
      </c>
    </row>
    <row r="209" spans="1:10">
      <c r="A209" s="137" t="s">
        <v>24</v>
      </c>
      <c r="B209" s="315" t="s">
        <v>383</v>
      </c>
      <c r="C209" s="316">
        <v>130000</v>
      </c>
      <c r="D209" s="317">
        <v>18033.75</v>
      </c>
      <c r="E209" s="139" t="str">
        <f t="shared" si="37"/>
        <v/>
      </c>
      <c r="F209" s="175">
        <f t="shared" si="38"/>
        <v>-111966.25</v>
      </c>
      <c r="H209" s="280">
        <v>12027.75</v>
      </c>
      <c r="I209" s="282">
        <f t="shared" si="39"/>
        <v>6006</v>
      </c>
    </row>
    <row r="210" spans="1:10">
      <c r="A210" s="137" t="s">
        <v>4</v>
      </c>
      <c r="B210" s="315" t="s">
        <v>384</v>
      </c>
      <c r="C210" s="316">
        <v>60000</v>
      </c>
      <c r="D210" s="317">
        <v>29070.65</v>
      </c>
      <c r="E210" s="139" t="str">
        <f t="shared" si="37"/>
        <v/>
      </c>
      <c r="F210" s="175">
        <f t="shared" si="38"/>
        <v>-30929.35</v>
      </c>
      <c r="H210" s="280">
        <f>600+8800+313.43</f>
        <v>9713.43</v>
      </c>
      <c r="I210" s="282">
        <f t="shared" si="39"/>
        <v>19357.22</v>
      </c>
    </row>
    <row r="211" spans="1:10">
      <c r="A211" s="313" t="s">
        <v>411</v>
      </c>
      <c r="B211" s="315" t="s">
        <v>412</v>
      </c>
      <c r="C211" s="316"/>
      <c r="D211" s="317">
        <v>813.75</v>
      </c>
      <c r="E211" s="139">
        <f t="shared" si="37"/>
        <v>813.75</v>
      </c>
      <c r="F211" s="175" t="str">
        <f t="shared" si="38"/>
        <v/>
      </c>
      <c r="I211" s="282"/>
    </row>
    <row r="212" spans="1:10" ht="12" customHeight="1">
      <c r="A212" s="137" t="s">
        <v>25</v>
      </c>
      <c r="B212" s="315" t="s">
        <v>385</v>
      </c>
      <c r="C212" s="316">
        <v>900000</v>
      </c>
      <c r="D212" s="317">
        <v>126540</v>
      </c>
      <c r="E212" s="139" t="str">
        <f t="shared" si="37"/>
        <v/>
      </c>
      <c r="F212" s="175">
        <f t="shared" si="38"/>
        <v>-773460</v>
      </c>
      <c r="G212" s="298"/>
      <c r="H212" s="299">
        <v>79860</v>
      </c>
      <c r="I212" s="282">
        <f t="shared" si="39"/>
        <v>46680</v>
      </c>
    </row>
    <row r="213" spans="1:10">
      <c r="A213" s="137" t="s">
        <v>29</v>
      </c>
      <c r="B213" s="315" t="s">
        <v>386</v>
      </c>
      <c r="C213" s="316">
        <v>40000</v>
      </c>
      <c r="D213" s="317">
        <v>11718</v>
      </c>
      <c r="E213" s="139" t="str">
        <f t="shared" si="37"/>
        <v/>
      </c>
      <c r="F213" s="175">
        <f t="shared" si="38"/>
        <v>-28282</v>
      </c>
      <c r="G213" s="298"/>
      <c r="H213" s="299">
        <v>3255</v>
      </c>
      <c r="I213" s="282">
        <f t="shared" si="39"/>
        <v>8463</v>
      </c>
    </row>
    <row r="214" spans="1:10">
      <c r="A214" s="313" t="s">
        <v>388</v>
      </c>
      <c r="B214" s="315" t="s">
        <v>387</v>
      </c>
      <c r="C214" s="316">
        <v>23170</v>
      </c>
      <c r="D214" s="317">
        <v>42000</v>
      </c>
      <c r="E214" s="139">
        <f t="shared" si="37"/>
        <v>18830</v>
      </c>
      <c r="F214" s="175" t="str">
        <f t="shared" si="38"/>
        <v/>
      </c>
      <c r="G214" s="298"/>
      <c r="H214" s="299">
        <v>42000</v>
      </c>
      <c r="I214" s="282">
        <f t="shared" si="39"/>
        <v>0</v>
      </c>
    </row>
    <row r="215" spans="1:10">
      <c r="A215" s="137" t="s">
        <v>8</v>
      </c>
      <c r="B215" s="315" t="s">
        <v>389</v>
      </c>
      <c r="C215" s="316">
        <v>115500</v>
      </c>
      <c r="D215" s="317">
        <v>20776.2</v>
      </c>
      <c r="E215" s="139" t="str">
        <f t="shared" si="37"/>
        <v/>
      </c>
      <c r="F215" s="175">
        <f t="shared" si="38"/>
        <v>-94723.8</v>
      </c>
      <c r="G215" s="298"/>
      <c r="H215" s="299">
        <v>12328.2</v>
      </c>
      <c r="I215" s="282">
        <f t="shared" si="39"/>
        <v>8448</v>
      </c>
    </row>
    <row r="216" spans="1:10">
      <c r="A216" s="137" t="s">
        <v>38</v>
      </c>
      <c r="B216" s="315" t="s">
        <v>390</v>
      </c>
      <c r="C216" s="316">
        <v>65000</v>
      </c>
      <c r="D216" s="398">
        <v>10080</v>
      </c>
      <c r="E216" s="139" t="str">
        <f t="shared" si="37"/>
        <v/>
      </c>
      <c r="F216" s="175">
        <f t="shared" si="38"/>
        <v>-54920</v>
      </c>
      <c r="G216" s="298"/>
      <c r="H216" s="299">
        <v>5445</v>
      </c>
      <c r="I216" s="282">
        <f t="shared" si="39"/>
        <v>4635</v>
      </c>
    </row>
    <row r="217" spans="1:10">
      <c r="A217" s="313" t="s">
        <v>432</v>
      </c>
      <c r="B217" s="338"/>
      <c r="C217" s="316"/>
      <c r="D217" s="357"/>
      <c r="E217" s="139" t="str">
        <f t="shared" si="37"/>
        <v/>
      </c>
      <c r="F217" s="175">
        <f t="shared" si="38"/>
        <v>0</v>
      </c>
      <c r="G217" s="298"/>
      <c r="H217" s="299"/>
      <c r="I217" s="282"/>
    </row>
    <row r="218" spans="1:10">
      <c r="A218" s="137" t="s">
        <v>89</v>
      </c>
      <c r="B218" s="138" t="s">
        <v>256</v>
      </c>
      <c r="C218" s="373">
        <v>40000</v>
      </c>
      <c r="D218" s="317">
        <v>8810.5</v>
      </c>
      <c r="E218" s="139" t="str">
        <f t="shared" si="37"/>
        <v/>
      </c>
      <c r="F218" s="175">
        <f t="shared" si="38"/>
        <v>-31189.5</v>
      </c>
      <c r="G218" s="298"/>
      <c r="H218" s="299">
        <v>13733</v>
      </c>
      <c r="I218" s="282">
        <f t="shared" si="39"/>
        <v>-4922.5</v>
      </c>
      <c r="J218" s="286">
        <f>+I218+I197</f>
        <v>-15526.5</v>
      </c>
    </row>
    <row r="219" spans="1:10">
      <c r="A219" s="137" t="s">
        <v>172</v>
      </c>
      <c r="B219" s="138" t="s">
        <v>257</v>
      </c>
      <c r="C219" s="373">
        <v>120000</v>
      </c>
      <c r="D219" s="317">
        <v>27201</v>
      </c>
      <c r="E219" s="139" t="str">
        <f t="shared" si="37"/>
        <v/>
      </c>
      <c r="F219" s="175">
        <f t="shared" si="38"/>
        <v>-92799</v>
      </c>
      <c r="G219" s="298"/>
      <c r="H219" s="299">
        <v>5334</v>
      </c>
      <c r="I219" s="282">
        <f t="shared" si="39"/>
        <v>21867</v>
      </c>
      <c r="J219" s="286">
        <f>+I219+I198</f>
        <v>42075</v>
      </c>
    </row>
    <row r="220" spans="1:10">
      <c r="A220" s="137" t="s">
        <v>91</v>
      </c>
      <c r="B220" s="138" t="s">
        <v>259</v>
      </c>
      <c r="C220" s="373">
        <v>30000</v>
      </c>
      <c r="D220" s="357">
        <v>6994.5</v>
      </c>
      <c r="E220" s="139" t="str">
        <f t="shared" si="37"/>
        <v/>
      </c>
      <c r="F220" s="175">
        <f t="shared" si="38"/>
        <v>-23005.5</v>
      </c>
      <c r="G220" s="298"/>
      <c r="H220" s="299">
        <v>2922</v>
      </c>
      <c r="I220" s="282">
        <f t="shared" si="39"/>
        <v>4072.5</v>
      </c>
      <c r="J220" s="286">
        <f>+I220+I199</f>
        <v>9659.5</v>
      </c>
    </row>
    <row r="221" spans="1:10" ht="13.5" thickBot="1">
      <c r="A221" s="137" t="s">
        <v>17</v>
      </c>
      <c r="B221" s="147"/>
      <c r="C221" s="359">
        <f>SUM(C205:C220)</f>
        <v>2578670</v>
      </c>
      <c r="D221" s="359">
        <f t="shared" ref="D221:F221" si="40">SUM(D205:D220)</f>
        <v>453630.85000000003</v>
      </c>
      <c r="E221" s="172">
        <f>SUM(E205:E220)</f>
        <v>19643.75</v>
      </c>
      <c r="F221" s="174">
        <f t="shared" si="40"/>
        <v>-2144682.9000000004</v>
      </c>
      <c r="G221" s="298"/>
      <c r="H221" s="292">
        <f>SUM(H205:H220)</f>
        <v>259660.88</v>
      </c>
      <c r="I221" s="292">
        <f>SUM(I205:I220)</f>
        <v>193156.22</v>
      </c>
    </row>
    <row r="222" spans="1:10" ht="13.5" thickTop="1">
      <c r="A222" s="146" t="s">
        <v>391</v>
      </c>
      <c r="B222" s="315" t="s">
        <v>392</v>
      </c>
      <c r="C222" s="366"/>
      <c r="D222" s="221"/>
      <c r="E222" s="163"/>
      <c r="F222" s="175"/>
      <c r="G222" s="298"/>
    </row>
    <row r="223" spans="1:10">
      <c r="A223" s="137" t="s">
        <v>27</v>
      </c>
      <c r="B223" s="315" t="s">
        <v>393</v>
      </c>
      <c r="C223" s="316">
        <v>3500000</v>
      </c>
      <c r="D223" s="221">
        <v>540025</v>
      </c>
      <c r="E223" s="139" t="str">
        <f>IF((D223-C223)&gt;0,D223-C223,"")</f>
        <v/>
      </c>
      <c r="F223" s="175">
        <f>IF((D223-C223)&gt;0,"",D223-C223)</f>
        <v>-2959975</v>
      </c>
      <c r="G223" s="298"/>
      <c r="H223" s="280">
        <f>261615+35800</f>
        <v>297415</v>
      </c>
      <c r="I223" s="282">
        <f>+D223-H223</f>
        <v>242610</v>
      </c>
    </row>
    <row r="224" spans="1:10">
      <c r="A224" s="313" t="s">
        <v>432</v>
      </c>
      <c r="B224" s="338"/>
      <c r="C224" s="316"/>
      <c r="D224" s="221"/>
      <c r="E224" s="139" t="str">
        <f>IF((D224-C224)&gt;0,D224-C224,"")</f>
        <v/>
      </c>
      <c r="F224" s="175">
        <f>IF((D224-C224)&gt;0,"",D224-C224)</f>
        <v>0</v>
      </c>
      <c r="G224" s="298"/>
      <c r="I224" s="282"/>
    </row>
    <row r="225" spans="1:10">
      <c r="A225" s="137" t="s">
        <v>172</v>
      </c>
      <c r="B225" s="138" t="s">
        <v>257</v>
      </c>
      <c r="C225" s="316">
        <v>500000</v>
      </c>
      <c r="D225" s="221">
        <v>89900</v>
      </c>
      <c r="E225" s="139" t="str">
        <f>IF((D225-C225)&gt;0,D225-C225,"")</f>
        <v/>
      </c>
      <c r="F225" s="175">
        <f t="shared" ref="F225:F227" si="41">IF((D225-C225)&gt;0,"",D225-C225)</f>
        <v>-410100</v>
      </c>
      <c r="G225" s="298"/>
      <c r="H225" s="280">
        <v>48300</v>
      </c>
      <c r="I225" s="282">
        <f>+D225-H225</f>
        <v>41600</v>
      </c>
    </row>
    <row r="226" spans="1:10">
      <c r="A226" s="137" t="s">
        <v>255</v>
      </c>
      <c r="B226" s="138" t="s">
        <v>261</v>
      </c>
      <c r="C226" s="316">
        <v>7000</v>
      </c>
      <c r="D226" s="221">
        <v>1900</v>
      </c>
      <c r="E226" s="139" t="str">
        <f>IF((D226-C226)&gt;0,D226-C226,"")</f>
        <v/>
      </c>
      <c r="F226" s="175">
        <f t="shared" si="41"/>
        <v>-5100</v>
      </c>
      <c r="G226" s="298"/>
      <c r="H226" s="280">
        <v>800</v>
      </c>
      <c r="I226" s="282">
        <f>+D226-H226</f>
        <v>1100</v>
      </c>
    </row>
    <row r="227" spans="1:10">
      <c r="A227" s="137" t="s">
        <v>263</v>
      </c>
      <c r="B227" s="138" t="s">
        <v>262</v>
      </c>
      <c r="C227" s="356">
        <v>7000</v>
      </c>
      <c r="D227" s="221">
        <v>1900</v>
      </c>
      <c r="E227" s="139" t="str">
        <f>IF((D227-C227)&gt;0,D227-C227,"")</f>
        <v/>
      </c>
      <c r="F227" s="175">
        <f t="shared" si="41"/>
        <v>-5100</v>
      </c>
      <c r="G227" s="298"/>
      <c r="H227" s="280">
        <v>800</v>
      </c>
      <c r="I227" s="282">
        <f>+D227-H227</f>
        <v>1100</v>
      </c>
    </row>
    <row r="228" spans="1:10" ht="13.5" thickBot="1">
      <c r="A228" s="137"/>
      <c r="B228" s="147"/>
      <c r="C228" s="367">
        <f>SUM(C223:C227)</f>
        <v>4014000</v>
      </c>
      <c r="D228" s="399">
        <f t="shared" ref="D228:F228" si="42">SUM(D223:D227)</f>
        <v>633725</v>
      </c>
      <c r="E228" s="189">
        <f>SUM(E223:E227)</f>
        <v>0</v>
      </c>
      <c r="F228" s="190">
        <f t="shared" si="42"/>
        <v>-3380275</v>
      </c>
      <c r="G228" s="298"/>
      <c r="H228" s="292">
        <f>SUM(H223:H227)</f>
        <v>347315</v>
      </c>
      <c r="I228" s="292">
        <f>SUM(I223:I227)</f>
        <v>286410</v>
      </c>
    </row>
    <row r="229" spans="1:10" ht="13.5" thickTop="1">
      <c r="A229" s="137" t="s">
        <v>123</v>
      </c>
      <c r="B229" s="147"/>
      <c r="C229" s="356">
        <f>SUM(C228+C221+C202+C184+C167+C151+C132)</f>
        <v>112768670</v>
      </c>
      <c r="D229" s="316">
        <f>SUM(D228+D221+D202+D184+D167+D151+D132)</f>
        <v>20476335.219999999</v>
      </c>
      <c r="E229" s="140">
        <f>+E132+E151+E167+E184+E202+E221+E228</f>
        <v>59693.75</v>
      </c>
      <c r="F229" s="169">
        <f>SUM(F228+F221+F202+F184+F167+F151+F132)</f>
        <v>-92352028.530000001</v>
      </c>
      <c r="G229" s="298"/>
    </row>
    <row r="230" spans="1:10" ht="13.5" thickBot="1">
      <c r="A230" s="191" t="s">
        <v>107</v>
      </c>
      <c r="B230" s="192"/>
      <c r="C230" s="368">
        <f>+C229+C128</f>
        <v>1087719420</v>
      </c>
      <c r="D230" s="383">
        <f>+D229+D128</f>
        <v>310137685.07000005</v>
      </c>
      <c r="E230" s="193">
        <f>+E229+E128</f>
        <v>335323.30999999994</v>
      </c>
      <c r="F230" s="194">
        <f>+F229+F128</f>
        <v>-777917058.24000001</v>
      </c>
      <c r="G230" s="298"/>
    </row>
    <row r="231" spans="1:10" ht="13.5" thickTop="1">
      <c r="A231" s="171" t="s">
        <v>111</v>
      </c>
      <c r="B231" s="154"/>
      <c r="C231" s="357"/>
      <c r="D231" s="357"/>
      <c r="E231" s="153"/>
      <c r="F231" s="175"/>
      <c r="G231" s="298"/>
      <c r="H231" s="280">
        <f>D33+I242</f>
        <v>131829234.86000001</v>
      </c>
      <c r="I231" s="300">
        <v>121064830.92</v>
      </c>
      <c r="J231" s="286">
        <f>H231-I231</f>
        <v>10764403.940000013</v>
      </c>
    </row>
    <row r="232" spans="1:10" ht="14.25">
      <c r="A232" s="195"/>
      <c r="B232" s="413"/>
      <c r="C232" s="2"/>
      <c r="D232" s="400"/>
      <c r="E232" s="197"/>
      <c r="F232" s="199"/>
    </row>
    <row r="233" spans="1:10" ht="14.25">
      <c r="A233" s="466" t="s">
        <v>196</v>
      </c>
      <c r="B233" s="467"/>
      <c r="C233" s="2"/>
      <c r="D233" s="2"/>
      <c r="E233" s="200"/>
      <c r="F233" s="201"/>
    </row>
    <row r="234" spans="1:10" ht="14.25">
      <c r="A234" s="468" t="s">
        <v>400</v>
      </c>
      <c r="B234" s="469"/>
      <c r="C234" s="3"/>
      <c r="D234" s="401" t="s">
        <v>114</v>
      </c>
      <c r="E234" s="413"/>
      <c r="F234" s="201"/>
    </row>
    <row r="235" spans="1:10" ht="14.25">
      <c r="A235" s="171"/>
      <c r="B235" s="413"/>
      <c r="C235" s="4"/>
      <c r="D235" s="4"/>
      <c r="E235" s="413"/>
      <c r="F235" s="201"/>
    </row>
    <row r="236" spans="1:10" ht="15">
      <c r="A236" s="195"/>
      <c r="B236" s="413"/>
      <c r="C236" s="369"/>
      <c r="D236" s="470" t="s">
        <v>115</v>
      </c>
      <c r="E236" s="470"/>
      <c r="F236" s="471"/>
      <c r="H236" s="296"/>
      <c r="I236" s="240"/>
      <c r="J236" s="240" t="s">
        <v>187</v>
      </c>
    </row>
    <row r="237" spans="1:10" ht="14.25">
      <c r="A237" s="195"/>
      <c r="B237" s="413"/>
      <c r="C237" s="369"/>
      <c r="D237" s="472" t="s">
        <v>116</v>
      </c>
      <c r="E237" s="472"/>
      <c r="F237" s="473"/>
      <c r="H237" s="301" t="s">
        <v>179</v>
      </c>
      <c r="I237" s="302">
        <v>312980767.91000003</v>
      </c>
      <c r="J237" s="240" t="s">
        <v>185</v>
      </c>
    </row>
    <row r="238" spans="1:10" ht="14.25">
      <c r="A238" s="195"/>
      <c r="B238" s="413"/>
      <c r="C238" s="369"/>
      <c r="D238" s="372"/>
      <c r="E238" s="222"/>
      <c r="F238" s="223"/>
      <c r="H238" s="301"/>
      <c r="I238" s="240"/>
      <c r="J238" s="240"/>
    </row>
    <row r="239" spans="1:10" ht="14.25">
      <c r="A239" s="171" t="s">
        <v>117</v>
      </c>
      <c r="B239" s="413"/>
      <c r="C239" s="369"/>
      <c r="D239" s="369"/>
      <c r="E239" s="148"/>
      <c r="F239" s="223"/>
      <c r="H239" s="301" t="s">
        <v>180</v>
      </c>
      <c r="I239" s="296"/>
      <c r="J239" s="240" t="s">
        <v>185</v>
      </c>
    </row>
    <row r="240" spans="1:10">
      <c r="A240" s="171" t="s">
        <v>118</v>
      </c>
      <c r="B240" s="154"/>
      <c r="C240" s="369"/>
      <c r="D240" s="369"/>
      <c r="E240" s="154"/>
      <c r="F240" s="151"/>
      <c r="H240" s="301" t="s">
        <v>181</v>
      </c>
      <c r="I240" s="241">
        <v>1299548.44</v>
      </c>
      <c r="J240" s="240" t="s">
        <v>186</v>
      </c>
    </row>
    <row r="241" spans="1:10" ht="15.75" thickBot="1">
      <c r="A241" s="224"/>
      <c r="B241" s="156"/>
      <c r="C241" s="370"/>
      <c r="D241" s="370"/>
      <c r="E241" s="225"/>
      <c r="F241" s="205"/>
      <c r="H241" s="301" t="s">
        <v>189</v>
      </c>
      <c r="I241" s="296">
        <v>0</v>
      </c>
      <c r="J241" s="240" t="s">
        <v>184</v>
      </c>
    </row>
    <row r="242" spans="1:10" ht="11.25" customHeight="1">
      <c r="C242" s="371"/>
      <c r="F242" s="413"/>
      <c r="H242" s="301" t="s">
        <v>183</v>
      </c>
      <c r="I242" s="241">
        <v>1543534.4</v>
      </c>
      <c r="J242" s="240" t="s">
        <v>185</v>
      </c>
    </row>
    <row r="243" spans="1:10" ht="14.25">
      <c r="A243" s="148"/>
      <c r="B243" s="413"/>
      <c r="C243" s="3"/>
      <c r="D243" s="3"/>
      <c r="E243" s="202"/>
      <c r="F243" s="202"/>
      <c r="H243" s="296"/>
      <c r="I243" s="296">
        <f>I237-I239-I240-I242-I241</f>
        <v>310137685.07000005</v>
      </c>
      <c r="J243" s="240"/>
    </row>
    <row r="244" spans="1:10">
      <c r="A244" s="206"/>
      <c r="B244" s="207"/>
      <c r="C244" s="372"/>
      <c r="D244" s="372"/>
      <c r="H244" s="296"/>
      <c r="I244" s="296"/>
      <c r="J244" s="240"/>
    </row>
    <row r="245" spans="1:10">
      <c r="A245" s="206"/>
      <c r="B245" s="207"/>
      <c r="C245" s="372"/>
      <c r="D245" s="372"/>
      <c r="H245" s="296"/>
      <c r="I245" s="296"/>
      <c r="J245" s="240"/>
    </row>
    <row r="246" spans="1:10" ht="12.75" customHeight="1">
      <c r="A246" s="206"/>
      <c r="B246" s="207"/>
      <c r="C246" s="372"/>
      <c r="D246" s="372"/>
      <c r="H246" s="296" t="s">
        <v>182</v>
      </c>
      <c r="I246" s="296">
        <f>D230</f>
        <v>310137685.07000005</v>
      </c>
      <c r="J246" s="240"/>
    </row>
    <row r="247" spans="1:10">
      <c r="A247" s="206"/>
      <c r="B247" s="207"/>
      <c r="C247" s="372"/>
      <c r="D247" s="372"/>
      <c r="H247" s="296" t="s">
        <v>176</v>
      </c>
      <c r="I247" s="296">
        <f>I243-I246</f>
        <v>0</v>
      </c>
      <c r="J247" s="240"/>
    </row>
    <row r="248" spans="1:10">
      <c r="A248" s="206"/>
      <c r="B248" s="207"/>
      <c r="C248" s="372"/>
      <c r="D248" s="372"/>
    </row>
    <row r="249" spans="1:10" ht="11.25" customHeight="1">
      <c r="A249" s="206"/>
      <c r="B249" s="207"/>
      <c r="C249" s="372"/>
      <c r="D249" s="372"/>
    </row>
    <row r="250" spans="1:10">
      <c r="A250" s="206"/>
      <c r="B250" s="207"/>
      <c r="C250" s="372"/>
      <c r="D250" s="372"/>
      <c r="E250" s="279"/>
      <c r="F250" s="279"/>
      <c r="H250" s="279"/>
      <c r="I250" s="279"/>
    </row>
    <row r="251" spans="1:10" ht="12.75" customHeight="1">
      <c r="A251" s="206"/>
      <c r="B251" s="207"/>
      <c r="C251" s="372"/>
      <c r="D251" s="372"/>
      <c r="E251" s="279"/>
      <c r="F251" s="279"/>
      <c r="H251" s="279"/>
      <c r="I251" s="279"/>
    </row>
    <row r="252" spans="1:10" ht="13.5" customHeight="1">
      <c r="A252" s="206"/>
      <c r="B252" s="207"/>
      <c r="C252" s="372"/>
      <c r="D252" s="372"/>
      <c r="E252" s="279"/>
      <c r="F252" s="279"/>
      <c r="H252" s="279"/>
      <c r="I252" s="279"/>
    </row>
    <row r="253" spans="1:10">
      <c r="A253" s="206"/>
      <c r="B253" s="207"/>
      <c r="C253" s="372"/>
      <c r="D253" s="372"/>
      <c r="E253" s="279"/>
      <c r="F253" s="279"/>
      <c r="H253" s="279"/>
      <c r="I253" s="279"/>
    </row>
    <row r="254" spans="1:10">
      <c r="A254" s="206"/>
      <c r="B254" s="207"/>
      <c r="C254" s="372"/>
      <c r="D254" s="372"/>
      <c r="E254" s="279"/>
      <c r="F254" s="279"/>
      <c r="H254" s="279"/>
      <c r="I254" s="279"/>
    </row>
    <row r="255" spans="1:10">
      <c r="A255" s="206"/>
      <c r="B255" s="207"/>
      <c r="C255" s="372"/>
      <c r="D255" s="372"/>
      <c r="E255" s="279"/>
      <c r="F255" s="279"/>
      <c r="H255" s="279"/>
      <c r="I255" s="279"/>
    </row>
    <row r="256" spans="1:10">
      <c r="A256" s="206"/>
      <c r="B256" s="207"/>
      <c r="C256" s="37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206"/>
      <c r="B283" s="207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  <row r="290" spans="1:9">
      <c r="A290" s="148"/>
      <c r="B290" s="154"/>
      <c r="C290" s="222"/>
      <c r="D290" s="372"/>
      <c r="E290" s="279"/>
      <c r="F290" s="279"/>
      <c r="H290" s="279"/>
      <c r="I290" s="279"/>
    </row>
  </sheetData>
  <mergeCells count="10">
    <mergeCell ref="A233:B233"/>
    <mergeCell ref="A234:B234"/>
    <mergeCell ref="D236:F236"/>
    <mergeCell ref="D237:F237"/>
    <mergeCell ref="A3:F3"/>
    <mergeCell ref="A4:F4"/>
    <mergeCell ref="A7:A8"/>
    <mergeCell ref="B7:B8"/>
    <mergeCell ref="E7:E8"/>
    <mergeCell ref="F7:F8"/>
  </mergeCells>
  <conditionalFormatting sqref="F129">
    <cfRule type="cellIs" dxfId="5" priority="1" stopIfTrue="1" operator="greaterThan">
      <formula>0</formula>
    </cfRule>
  </conditionalFormatting>
  <pageMargins left="0.441176470588235" right="0.12" top="0.40625" bottom="0.85416666666666696" header="0.5" footer="0.5"/>
  <pageSetup paperSize="258" scale="97" fitToHeight="0" orientation="portrait" verticalDpi="180" r:id="rId1"/>
  <headerFooter alignWithMargins="0">
    <oddFooter>Page &amp;P of &amp;N</oddFooter>
  </headerFooter>
  <rowBreaks count="3" manualBreakCount="3">
    <brk id="69" max="10" man="1"/>
    <brk id="133" max="10" man="1"/>
    <brk id="193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topLeftCell="A206" zoomScale="115" zoomScaleNormal="115" zoomScaleSheetLayoutView="10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80" customWidth="1"/>
    <col min="12" max="12" width="12.8554687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460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16"/>
      <c r="C6" s="307"/>
      <c r="D6" s="334"/>
      <c r="E6" s="307"/>
      <c r="F6" s="308"/>
      <c r="H6" s="281" t="s">
        <v>154</v>
      </c>
      <c r="I6" s="211" t="s">
        <v>176</v>
      </c>
      <c r="K6" s="419" t="s">
        <v>457</v>
      </c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323475</v>
      </c>
      <c r="E11" s="140" t="str">
        <f>IF((D11-C11)&gt;0,D11-C11,"")</f>
        <v/>
      </c>
      <c r="F11" s="175">
        <f>IF((D11-C11)&gt;0,"",D11-C11)</f>
        <v>-56525</v>
      </c>
      <c r="H11" s="280">
        <v>323475</v>
      </c>
      <c r="I11" s="282">
        <f>D11-H11</f>
        <v>0</v>
      </c>
      <c r="K11" s="280">
        <v>0</v>
      </c>
      <c r="L11" s="286">
        <f>I11-K11</f>
        <v>0</v>
      </c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3" si="0">IF((D12-C12)&gt;0,D12-C12,"")</f>
        <v/>
      </c>
      <c r="F12" s="141">
        <f t="shared" ref="F12:F33" si="1">IF((D12-C12)&gt;0,"",D12-C12)</f>
        <v>0</v>
      </c>
      <c r="I12" s="282">
        <f t="shared" ref="I12:I33" si="2">D12-H12</f>
        <v>0</v>
      </c>
      <c r="K12" s="280">
        <v>0</v>
      </c>
      <c r="L12" s="286">
        <f t="shared" ref="L12:L76" si="3">I12-K12</f>
        <v>0</v>
      </c>
    </row>
    <row r="13" spans="1:13">
      <c r="A13" s="137" t="s">
        <v>50</v>
      </c>
      <c r="B13" s="338" t="s">
        <v>203</v>
      </c>
      <c r="C13" s="316">
        <v>5000000</v>
      </c>
      <c r="D13" s="365">
        <v>3826086.69</v>
      </c>
      <c r="E13" s="140" t="str">
        <f t="shared" si="0"/>
        <v/>
      </c>
      <c r="F13" s="175">
        <f t="shared" si="1"/>
        <v>-1173913.31</v>
      </c>
      <c r="H13" s="280">
        <v>3826086.76</v>
      </c>
      <c r="I13" s="282">
        <f t="shared" si="2"/>
        <v>-6.9999999832361937E-2</v>
      </c>
      <c r="J13" s="284"/>
      <c r="K13" s="423">
        <v>-4.0000000037252903E-2</v>
      </c>
      <c r="L13" s="286">
        <f t="shared" si="3"/>
        <v>-2.9999999795109034E-2</v>
      </c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1232841.71</v>
      </c>
      <c r="E14" s="140" t="str">
        <f t="shared" si="0"/>
        <v/>
      </c>
      <c r="F14" s="175">
        <f t="shared" si="1"/>
        <v>-267158.29000000004</v>
      </c>
      <c r="H14" s="280">
        <v>1232841.71</v>
      </c>
      <c r="I14" s="282">
        <f t="shared" si="2"/>
        <v>0</v>
      </c>
      <c r="K14" s="280">
        <v>0</v>
      </c>
      <c r="L14" s="286">
        <f t="shared" si="3"/>
        <v>0</v>
      </c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  <c r="K15" s="280">
        <v>0</v>
      </c>
      <c r="L15" s="286">
        <f t="shared" si="3"/>
        <v>0</v>
      </c>
    </row>
    <row r="16" spans="1:13">
      <c r="A16" s="137" t="s">
        <v>217</v>
      </c>
      <c r="B16" s="338" t="s">
        <v>220</v>
      </c>
      <c r="C16" s="316">
        <v>45000000</v>
      </c>
      <c r="D16" s="380">
        <f>31314547.03-2884078.65</f>
        <v>28430468.380000003</v>
      </c>
      <c r="E16" s="140" t="str">
        <f t="shared" si="0"/>
        <v/>
      </c>
      <c r="F16" s="175">
        <f t="shared" si="1"/>
        <v>-16569531.619999997</v>
      </c>
      <c r="H16" s="415">
        <v>25977980.390000001</v>
      </c>
      <c r="I16" s="282">
        <f t="shared" si="2"/>
        <v>2452487.9900000021</v>
      </c>
      <c r="J16" s="284" t="s">
        <v>454</v>
      </c>
      <c r="L16" s="286"/>
    </row>
    <row r="17" spans="1:12">
      <c r="A17" s="137" t="s">
        <v>218</v>
      </c>
      <c r="B17" s="338" t="s">
        <v>221</v>
      </c>
      <c r="C17" s="316">
        <v>7500000</v>
      </c>
      <c r="D17" s="365">
        <v>3867660.16</v>
      </c>
      <c r="E17" s="140" t="str">
        <f t="shared" si="0"/>
        <v/>
      </c>
      <c r="F17" s="175">
        <f t="shared" si="1"/>
        <v>-3632339.84</v>
      </c>
      <c r="H17" s="280">
        <v>3867660.18</v>
      </c>
      <c r="I17" s="282">
        <f t="shared" si="2"/>
        <v>-2.0000000018626451E-2</v>
      </c>
      <c r="K17" s="280">
        <v>-9.9999997764825821E-3</v>
      </c>
      <c r="L17" s="286">
        <f t="shared" si="3"/>
        <v>-1.0000000242143869E-2</v>
      </c>
    </row>
    <row r="18" spans="1:12">
      <c r="A18" s="313" t="s">
        <v>222</v>
      </c>
      <c r="B18" s="338" t="s">
        <v>223</v>
      </c>
      <c r="C18" s="316">
        <v>200000</v>
      </c>
      <c r="D18" s="365">
        <v>73473.89</v>
      </c>
      <c r="E18" s="140" t="str">
        <f t="shared" si="0"/>
        <v/>
      </c>
      <c r="F18" s="175">
        <f t="shared" si="1"/>
        <v>-126526.11</v>
      </c>
      <c r="H18" s="280">
        <v>73473.89</v>
      </c>
      <c r="I18" s="282">
        <f t="shared" si="2"/>
        <v>0</v>
      </c>
      <c r="K18" s="280">
        <v>0</v>
      </c>
      <c r="L18" s="286">
        <f t="shared" si="3"/>
        <v>0</v>
      </c>
    </row>
    <row r="19" spans="1:12">
      <c r="A19" s="313" t="s">
        <v>401</v>
      </c>
      <c r="B19" s="338" t="s">
        <v>215</v>
      </c>
      <c r="C19" s="316">
        <v>6000000</v>
      </c>
      <c r="D19" s="365">
        <v>2897980.84</v>
      </c>
      <c r="E19" s="140" t="str">
        <f t="shared" si="0"/>
        <v/>
      </c>
      <c r="F19" s="175">
        <f t="shared" si="1"/>
        <v>-3102019.16</v>
      </c>
      <c r="H19" s="280">
        <v>2897980.84</v>
      </c>
      <c r="I19" s="282">
        <f t="shared" si="2"/>
        <v>0</v>
      </c>
      <c r="K19" s="280">
        <v>0</v>
      </c>
      <c r="L19" s="286">
        <f>I19-K19</f>
        <v>0</v>
      </c>
    </row>
    <row r="20" spans="1:12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  <c r="K20" s="280">
        <v>0</v>
      </c>
      <c r="L20" s="286">
        <f t="shared" si="3"/>
        <v>0</v>
      </c>
    </row>
    <row r="21" spans="1:12">
      <c r="A21" s="313" t="s">
        <v>47</v>
      </c>
      <c r="B21" s="338" t="s">
        <v>200</v>
      </c>
      <c r="C21" s="316">
        <v>170000000</v>
      </c>
      <c r="D21" s="365">
        <v>98483007.719999999</v>
      </c>
      <c r="E21" s="140" t="str">
        <f t="shared" si="0"/>
        <v/>
      </c>
      <c r="F21" s="175">
        <f t="shared" si="1"/>
        <v>-71516992.280000001</v>
      </c>
      <c r="H21" s="280">
        <v>98517645.299999997</v>
      </c>
      <c r="I21" s="282">
        <f t="shared" si="2"/>
        <v>-34637.579999998212</v>
      </c>
      <c r="J21" s="323" t="s">
        <v>424</v>
      </c>
      <c r="K21" s="280">
        <v>-34637.579999998212</v>
      </c>
      <c r="L21" s="286">
        <f t="shared" si="3"/>
        <v>0</v>
      </c>
    </row>
    <row r="22" spans="1:12">
      <c r="A22" s="137" t="s">
        <v>48</v>
      </c>
      <c r="B22" s="338" t="s">
        <v>201</v>
      </c>
      <c r="C22" s="316">
        <v>3000000</v>
      </c>
      <c r="D22" s="365">
        <v>2330712.14</v>
      </c>
      <c r="E22" s="140" t="str">
        <f t="shared" si="0"/>
        <v/>
      </c>
      <c r="F22" s="175">
        <f t="shared" si="1"/>
        <v>-669287.85999999987</v>
      </c>
      <c r="H22" s="280">
        <v>2296074.56</v>
      </c>
      <c r="I22" s="282">
        <f t="shared" si="2"/>
        <v>34637.580000000075</v>
      </c>
      <c r="J22" s="323" t="s">
        <v>424</v>
      </c>
      <c r="K22" s="280">
        <v>34637.580000000075</v>
      </c>
      <c r="L22" s="286">
        <f t="shared" si="3"/>
        <v>0</v>
      </c>
    </row>
    <row r="23" spans="1:12">
      <c r="A23" s="313" t="s">
        <v>190</v>
      </c>
      <c r="B23" s="338" t="s">
        <v>225</v>
      </c>
      <c r="C23" s="316">
        <v>2700000</v>
      </c>
      <c r="D23" s="365">
        <v>435311.25</v>
      </c>
      <c r="E23" s="140" t="str">
        <f t="shared" si="0"/>
        <v/>
      </c>
      <c r="F23" s="175">
        <f t="shared" si="1"/>
        <v>-2264688.75</v>
      </c>
      <c r="H23" s="280">
        <v>445086.96</v>
      </c>
      <c r="I23" s="283">
        <f>D23-H23</f>
        <v>-9775.710000000021</v>
      </c>
      <c r="K23" s="280">
        <v>9434.289999999979</v>
      </c>
      <c r="L23" s="286">
        <f t="shared" si="3"/>
        <v>-19210</v>
      </c>
    </row>
    <row r="24" spans="1:12">
      <c r="A24" s="313" t="s">
        <v>33</v>
      </c>
      <c r="B24" s="338" t="s">
        <v>224</v>
      </c>
      <c r="C24" s="316">
        <v>1500000</v>
      </c>
      <c r="D24" s="365">
        <v>1010000</v>
      </c>
      <c r="E24" s="140" t="str">
        <f t="shared" si="0"/>
        <v/>
      </c>
      <c r="F24" s="141">
        <f t="shared" si="1"/>
        <v>-490000</v>
      </c>
      <c r="H24" s="280">
        <v>1010000</v>
      </c>
      <c r="I24" s="282">
        <f t="shared" si="2"/>
        <v>0</v>
      </c>
      <c r="K24" s="280">
        <v>0</v>
      </c>
      <c r="L24" s="286">
        <f t="shared" si="3"/>
        <v>0</v>
      </c>
    </row>
    <row r="25" spans="1:12">
      <c r="A25" s="313" t="s">
        <v>31</v>
      </c>
      <c r="B25" s="338" t="s">
        <v>197</v>
      </c>
      <c r="C25" s="316">
        <v>2700000</v>
      </c>
      <c r="D25" s="365">
        <v>860135.8</v>
      </c>
      <c r="E25" s="140" t="str">
        <f t="shared" si="0"/>
        <v/>
      </c>
      <c r="F25" s="175">
        <f t="shared" si="1"/>
        <v>-1839864.2</v>
      </c>
      <c r="H25" s="280">
        <v>860135.8</v>
      </c>
      <c r="I25" s="282">
        <f t="shared" si="2"/>
        <v>0</v>
      </c>
      <c r="J25" s="288"/>
      <c r="K25" s="280">
        <v>0</v>
      </c>
      <c r="L25" s="286">
        <f>I25-K25</f>
        <v>0</v>
      </c>
    </row>
    <row r="26" spans="1:12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  <c r="K26" s="280">
        <v>0</v>
      </c>
      <c r="L26" s="286">
        <f t="shared" si="3"/>
        <v>0</v>
      </c>
    </row>
    <row r="27" spans="1:12">
      <c r="A27" s="313" t="s">
        <v>206</v>
      </c>
      <c r="B27" s="338" t="s">
        <v>208</v>
      </c>
      <c r="C27" s="316">
        <v>3300000</v>
      </c>
      <c r="D27" s="365">
        <v>1069434.8899999999</v>
      </c>
      <c r="E27" s="140" t="str">
        <f t="shared" si="0"/>
        <v/>
      </c>
      <c r="F27" s="175">
        <f t="shared" si="1"/>
        <v>-2230565.1100000003</v>
      </c>
      <c r="H27" s="280">
        <v>1069434.8899999999</v>
      </c>
      <c r="I27" s="282">
        <f t="shared" si="2"/>
        <v>0</v>
      </c>
      <c r="K27" s="280">
        <v>0</v>
      </c>
      <c r="L27" s="286">
        <f t="shared" si="3"/>
        <v>0</v>
      </c>
    </row>
    <row r="28" spans="1:12">
      <c r="A28" s="137" t="s">
        <v>207</v>
      </c>
      <c r="B28" s="338" t="s">
        <v>209</v>
      </c>
      <c r="C28" s="316">
        <v>586250</v>
      </c>
      <c r="D28" s="333">
        <v>195675</v>
      </c>
      <c r="E28" s="140" t="str">
        <f t="shared" si="0"/>
        <v/>
      </c>
      <c r="F28" s="175">
        <f t="shared" si="1"/>
        <v>-390575</v>
      </c>
      <c r="H28" s="280">
        <v>201305</v>
      </c>
      <c r="I28" s="282">
        <f>D28-H28</f>
        <v>-5630</v>
      </c>
      <c r="J28" s="323" t="s">
        <v>424</v>
      </c>
      <c r="K28" s="280">
        <v>20</v>
      </c>
      <c r="L28" s="427">
        <f t="shared" si="3"/>
        <v>-5650</v>
      </c>
    </row>
    <row r="29" spans="1:12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  <c r="K29" s="280">
        <v>0</v>
      </c>
      <c r="L29" s="286">
        <f t="shared" si="3"/>
        <v>0</v>
      </c>
    </row>
    <row r="30" spans="1:12">
      <c r="A30" s="313" t="s">
        <v>227</v>
      </c>
      <c r="B30" s="138" t="s">
        <v>229</v>
      </c>
      <c r="C30" s="316">
        <v>4000000</v>
      </c>
      <c r="D30" s="365">
        <v>1613830.26</v>
      </c>
      <c r="E30" s="140" t="str">
        <f>IF((D30-C30)&gt;0,D30-C30,"")</f>
        <v/>
      </c>
      <c r="F30" s="141">
        <f>IF((D30-C30)&gt;0,"",D30-C30)</f>
        <v>-2386169.7400000002</v>
      </c>
      <c r="H30" s="280">
        <v>1613830.25</v>
      </c>
      <c r="I30" s="282">
        <f>D30-H30</f>
        <v>1.0000000009313226E-2</v>
      </c>
      <c r="K30" s="280">
        <v>1.0000000009313226E-2</v>
      </c>
      <c r="L30" s="286">
        <f t="shared" si="3"/>
        <v>0</v>
      </c>
    </row>
    <row r="31" spans="1:12">
      <c r="A31" s="313" t="s">
        <v>426</v>
      </c>
      <c r="B31" s="338" t="s">
        <v>427</v>
      </c>
      <c r="C31" s="316">
        <v>5600000</v>
      </c>
      <c r="D31" s="365">
        <v>2467045.19</v>
      </c>
      <c r="E31" s="140" t="str">
        <f t="shared" si="0"/>
        <v/>
      </c>
      <c r="F31" s="175">
        <f t="shared" si="1"/>
        <v>-3132954.81</v>
      </c>
      <c r="H31" s="280">
        <v>2467045.19</v>
      </c>
      <c r="I31" s="282">
        <f t="shared" si="2"/>
        <v>0</v>
      </c>
      <c r="J31" s="284"/>
      <c r="K31" s="280">
        <v>0</v>
      </c>
      <c r="L31" s="286">
        <f t="shared" si="3"/>
        <v>0</v>
      </c>
    </row>
    <row r="32" spans="1:12">
      <c r="A32" s="137" t="s">
        <v>35</v>
      </c>
      <c r="B32" s="338" t="s">
        <v>329</v>
      </c>
      <c r="C32" s="316">
        <f>605000000+5210827</f>
        <v>610210827</v>
      </c>
      <c r="D32" s="316">
        <v>152552706</v>
      </c>
      <c r="E32" s="140" t="str">
        <f t="shared" si="0"/>
        <v/>
      </c>
      <c r="F32" s="175">
        <f t="shared" si="1"/>
        <v>-457658121</v>
      </c>
      <c r="H32" s="280">
        <v>152552706</v>
      </c>
      <c r="I32" s="282">
        <f>D32-H32</f>
        <v>0</v>
      </c>
      <c r="K32" s="280">
        <v>0</v>
      </c>
    </row>
    <row r="33" spans="1:13">
      <c r="A33" s="313"/>
      <c r="B33" s="338"/>
      <c r="C33" s="356"/>
      <c r="D33" s="356"/>
      <c r="E33" s="140" t="str">
        <f t="shared" si="0"/>
        <v/>
      </c>
      <c r="F33" s="175">
        <f t="shared" si="1"/>
        <v>0</v>
      </c>
      <c r="I33" s="282">
        <f t="shared" si="2"/>
        <v>0</v>
      </c>
      <c r="K33" s="280">
        <v>0</v>
      </c>
      <c r="L33" s="286">
        <f t="shared" si="3"/>
        <v>0</v>
      </c>
    </row>
    <row r="34" spans="1:13" ht="13.5" thickBot="1">
      <c r="A34" s="137" t="s">
        <v>34</v>
      </c>
      <c r="B34" s="138"/>
      <c r="C34" s="143">
        <f>SUM(C11:C33)</f>
        <v>869177077</v>
      </c>
      <c r="D34" s="381">
        <f>SUM(D11:D33)</f>
        <v>301669844.91999996</v>
      </c>
      <c r="E34" s="144">
        <f>SUM(E11:E33)</f>
        <v>0</v>
      </c>
      <c r="F34" s="145">
        <f>SUM(F11:F33)</f>
        <v>-567507232.08000004</v>
      </c>
      <c r="H34" s="289">
        <f>SUM(H11:H33)</f>
        <v>299232762.72000003</v>
      </c>
      <c r="I34" s="290">
        <f>SUM(I11:I33)</f>
        <v>2437082.2000000039</v>
      </c>
      <c r="K34" s="280">
        <v>2471337.2000000011</v>
      </c>
      <c r="L34" s="286">
        <f t="shared" si="3"/>
        <v>-34254.999999997206</v>
      </c>
    </row>
    <row r="35" spans="1:13" ht="13.5" thickTop="1">
      <c r="A35" s="355" t="s">
        <v>397</v>
      </c>
      <c r="B35" s="147"/>
      <c r="C35" s="148"/>
      <c r="D35" s="382"/>
      <c r="E35" s="150"/>
      <c r="F35" s="151"/>
      <c r="I35" s="282"/>
      <c r="L35" s="286">
        <f t="shared" si="3"/>
        <v>0</v>
      </c>
    </row>
    <row r="36" spans="1:13">
      <c r="A36" s="137" t="s">
        <v>53</v>
      </c>
      <c r="B36" s="138" t="s">
        <v>236</v>
      </c>
      <c r="C36" s="139"/>
      <c r="D36" s="365"/>
      <c r="E36" s="140" t="str">
        <f t="shared" ref="E36:E104" si="4">IF((D36-C36)&gt;0,D36-C36,"")</f>
        <v/>
      </c>
      <c r="F36" s="175">
        <f t="shared" ref="F36:F104" si="5">IF((D36-C36)&gt;0,"",D36-C36)</f>
        <v>0</v>
      </c>
      <c r="I36" s="282"/>
      <c r="L36" s="286">
        <f t="shared" si="3"/>
        <v>0</v>
      </c>
    </row>
    <row r="37" spans="1:13">
      <c r="A37" s="137" t="s">
        <v>65</v>
      </c>
      <c r="B37" s="138" t="s">
        <v>245</v>
      </c>
      <c r="C37" s="139">
        <v>500000</v>
      </c>
      <c r="D37" s="365">
        <v>52927.9</v>
      </c>
      <c r="E37" s="140" t="str">
        <f t="shared" si="4"/>
        <v/>
      </c>
      <c r="F37" s="175">
        <f t="shared" si="5"/>
        <v>-447072.1</v>
      </c>
      <c r="H37" s="280">
        <v>52927.9</v>
      </c>
      <c r="I37" s="282">
        <f t="shared" ref="I37:I104" si="6">D37-H37</f>
        <v>0</v>
      </c>
      <c r="K37" s="280">
        <v>0</v>
      </c>
      <c r="L37" s="286">
        <f t="shared" si="3"/>
        <v>0</v>
      </c>
    </row>
    <row r="38" spans="1:13">
      <c r="A38" s="137" t="s">
        <v>66</v>
      </c>
      <c r="B38" s="138" t="s">
        <v>246</v>
      </c>
      <c r="C38" s="139">
        <v>5100000</v>
      </c>
      <c r="D38" s="365">
        <v>2190900.2999999998</v>
      </c>
      <c r="E38" s="140" t="str">
        <f t="shared" si="4"/>
        <v/>
      </c>
      <c r="F38" s="175">
        <f t="shared" si="5"/>
        <v>-2909099.7</v>
      </c>
      <c r="H38" s="419">
        <v>2738625.38</v>
      </c>
      <c r="I38" s="282">
        <f>D38-H38</f>
        <v>-547725.08000000007</v>
      </c>
      <c r="K38" s="280">
        <v>-212605.2799999998</v>
      </c>
      <c r="L38" s="286">
        <f t="shared" si="3"/>
        <v>-335119.80000000028</v>
      </c>
    </row>
    <row r="39" spans="1:13">
      <c r="A39" s="137" t="s">
        <v>67</v>
      </c>
      <c r="B39" s="138" t="s">
        <v>247</v>
      </c>
      <c r="C39" s="139">
        <v>100000</v>
      </c>
      <c r="D39" s="365">
        <v>4182</v>
      </c>
      <c r="E39" s="140" t="str">
        <f t="shared" si="4"/>
        <v/>
      </c>
      <c r="F39" s="175">
        <f t="shared" si="5"/>
        <v>-95818</v>
      </c>
      <c r="H39" s="280">
        <v>4182</v>
      </c>
      <c r="I39" s="282">
        <f t="shared" si="6"/>
        <v>0</v>
      </c>
      <c r="K39" s="280">
        <v>0</v>
      </c>
      <c r="L39" s="286">
        <f t="shared" si="3"/>
        <v>0</v>
      </c>
    </row>
    <row r="40" spans="1:13">
      <c r="A40" s="137" t="s">
        <v>68</v>
      </c>
      <c r="B40" s="138" t="s">
        <v>248</v>
      </c>
      <c r="C40" s="139">
        <v>3200000</v>
      </c>
      <c r="D40" s="365">
        <v>636545.43000000005</v>
      </c>
      <c r="E40" s="140" t="str">
        <f t="shared" si="4"/>
        <v/>
      </c>
      <c r="F40" s="175">
        <f t="shared" si="5"/>
        <v>-2563454.5699999998</v>
      </c>
      <c r="H40" s="280">
        <v>636545.43000000005</v>
      </c>
      <c r="I40" s="282">
        <f t="shared" si="6"/>
        <v>0</v>
      </c>
      <c r="K40" s="280">
        <v>0</v>
      </c>
      <c r="L40" s="286">
        <f t="shared" si="3"/>
        <v>0</v>
      </c>
    </row>
    <row r="41" spans="1:13">
      <c r="A41" s="137" t="s">
        <v>69</v>
      </c>
      <c r="B41" s="138" t="s">
        <v>249</v>
      </c>
      <c r="C41" s="139">
        <v>1200000</v>
      </c>
      <c r="D41" s="365">
        <v>25990</v>
      </c>
      <c r="E41" s="140" t="str">
        <f t="shared" si="4"/>
        <v/>
      </c>
      <c r="F41" s="175">
        <f t="shared" si="5"/>
        <v>-1174010</v>
      </c>
      <c r="H41" s="280">
        <v>25990</v>
      </c>
      <c r="I41" s="282">
        <f t="shared" si="6"/>
        <v>0</v>
      </c>
      <c r="K41" s="280">
        <v>0</v>
      </c>
      <c r="L41" s="286">
        <f t="shared" si="3"/>
        <v>0</v>
      </c>
    </row>
    <row r="42" spans="1:13">
      <c r="A42" s="137" t="s">
        <v>56</v>
      </c>
      <c r="B42" s="138" t="s">
        <v>237</v>
      </c>
      <c r="C42" s="139">
        <v>11000000</v>
      </c>
      <c r="D42" s="365">
        <v>10078760.99</v>
      </c>
      <c r="E42" s="140" t="str">
        <f t="shared" si="4"/>
        <v/>
      </c>
      <c r="F42" s="175">
        <f t="shared" si="5"/>
        <v>-921239.00999999978</v>
      </c>
      <c r="H42" s="280">
        <v>10059550.99</v>
      </c>
      <c r="I42" s="282">
        <f t="shared" si="6"/>
        <v>19210</v>
      </c>
      <c r="K42" s="280">
        <v>0</v>
      </c>
      <c r="L42" s="425">
        <f t="shared" si="3"/>
        <v>19210</v>
      </c>
      <c r="M42" s="323" t="s">
        <v>459</v>
      </c>
    </row>
    <row r="43" spans="1:13">
      <c r="A43" s="137" t="s">
        <v>57</v>
      </c>
      <c r="B43" s="138" t="s">
        <v>238</v>
      </c>
      <c r="C43" s="139">
        <v>50000</v>
      </c>
      <c r="D43" s="365">
        <v>3453</v>
      </c>
      <c r="E43" s="140" t="str">
        <f t="shared" si="4"/>
        <v/>
      </c>
      <c r="F43" s="175">
        <f t="shared" si="5"/>
        <v>-46547</v>
      </c>
      <c r="H43" s="280">
        <v>3453</v>
      </c>
      <c r="I43" s="282">
        <f t="shared" si="6"/>
        <v>0</v>
      </c>
      <c r="K43" s="280">
        <v>0</v>
      </c>
      <c r="L43" s="286">
        <f t="shared" si="3"/>
        <v>0</v>
      </c>
    </row>
    <row r="44" spans="1:13">
      <c r="A44" s="137" t="s">
        <v>58</v>
      </c>
      <c r="B44" s="138" t="s">
        <v>239</v>
      </c>
      <c r="C44" s="139">
        <v>180000</v>
      </c>
      <c r="D44" s="365">
        <v>190250</v>
      </c>
      <c r="E44" s="140">
        <f t="shared" si="4"/>
        <v>10250</v>
      </c>
      <c r="F44" s="175" t="str">
        <f t="shared" si="5"/>
        <v/>
      </c>
      <c r="H44" s="280">
        <v>190250</v>
      </c>
      <c r="I44" s="282">
        <f t="shared" si="6"/>
        <v>0</v>
      </c>
      <c r="K44" s="280">
        <v>0</v>
      </c>
      <c r="L44" s="286">
        <f t="shared" si="3"/>
        <v>0</v>
      </c>
    </row>
    <row r="45" spans="1:13">
      <c r="A45" s="137" t="s">
        <v>54</v>
      </c>
      <c r="B45" s="138" t="s">
        <v>241</v>
      </c>
      <c r="C45" s="139"/>
      <c r="D45" s="365"/>
      <c r="E45" s="140" t="str">
        <f t="shared" si="4"/>
        <v/>
      </c>
      <c r="F45" s="175">
        <f t="shared" si="5"/>
        <v>0</v>
      </c>
      <c r="I45" s="282">
        <f t="shared" si="6"/>
        <v>0</v>
      </c>
      <c r="K45" s="280">
        <v>0</v>
      </c>
      <c r="L45" s="286">
        <f t="shared" si="3"/>
        <v>0</v>
      </c>
    </row>
    <row r="46" spans="1:13">
      <c r="A46" s="137" t="s">
        <v>55</v>
      </c>
      <c r="B46" s="138" t="s">
        <v>242</v>
      </c>
      <c r="C46" s="139">
        <v>100000</v>
      </c>
      <c r="D46" s="365">
        <v>27205</v>
      </c>
      <c r="E46" s="140" t="str">
        <f t="shared" si="4"/>
        <v/>
      </c>
      <c r="F46" s="175">
        <f t="shared" si="5"/>
        <v>-72795</v>
      </c>
      <c r="G46" s="420" t="s">
        <v>422</v>
      </c>
      <c r="H46" s="421"/>
      <c r="I46" s="422">
        <f t="shared" si="6"/>
        <v>27205</v>
      </c>
      <c r="K46" s="280">
        <v>17525</v>
      </c>
      <c r="L46" s="286">
        <f t="shared" si="3"/>
        <v>9680</v>
      </c>
    </row>
    <row r="47" spans="1:13">
      <c r="A47" s="137" t="s">
        <v>59</v>
      </c>
      <c r="B47" s="138" t="s">
        <v>243</v>
      </c>
      <c r="C47" s="139">
        <v>50000</v>
      </c>
      <c r="D47" s="365">
        <v>2750</v>
      </c>
      <c r="E47" s="140" t="str">
        <f t="shared" si="4"/>
        <v/>
      </c>
      <c r="F47" s="175">
        <f t="shared" si="5"/>
        <v>-47250</v>
      </c>
      <c r="H47" s="280">
        <v>13550</v>
      </c>
      <c r="I47" s="282">
        <f t="shared" si="6"/>
        <v>-10800</v>
      </c>
      <c r="K47" s="280">
        <v>0</v>
      </c>
      <c r="L47" s="427">
        <f t="shared" si="3"/>
        <v>-10800</v>
      </c>
    </row>
    <row r="48" spans="1:13">
      <c r="A48" s="137" t="s">
        <v>60</v>
      </c>
      <c r="B48" s="138" t="s">
        <v>244</v>
      </c>
      <c r="C48" s="139">
        <v>1000000</v>
      </c>
      <c r="D48" s="365">
        <v>304360</v>
      </c>
      <c r="E48" s="140" t="str">
        <f t="shared" si="4"/>
        <v/>
      </c>
      <c r="F48" s="175">
        <f t="shared" si="5"/>
        <v>-695640</v>
      </c>
      <c r="H48" s="280">
        <v>298710</v>
      </c>
      <c r="I48" s="282">
        <f t="shared" si="6"/>
        <v>5650</v>
      </c>
      <c r="K48" s="280">
        <v>0</v>
      </c>
      <c r="L48" s="428">
        <f t="shared" si="3"/>
        <v>5650</v>
      </c>
    </row>
    <row r="49" spans="1:12">
      <c r="A49" s="137" t="s">
        <v>276</v>
      </c>
      <c r="B49" s="138" t="s">
        <v>235</v>
      </c>
      <c r="C49" s="139"/>
      <c r="D49" s="365"/>
      <c r="E49" s="140" t="str">
        <f t="shared" si="4"/>
        <v/>
      </c>
      <c r="F49" s="175">
        <f t="shared" si="5"/>
        <v>0</v>
      </c>
      <c r="I49" s="282">
        <f t="shared" si="6"/>
        <v>0</v>
      </c>
      <c r="K49" s="280">
        <v>0</v>
      </c>
      <c r="L49" s="286">
        <f t="shared" si="3"/>
        <v>0</v>
      </c>
    </row>
    <row r="50" spans="1:12">
      <c r="A50" s="137" t="s">
        <v>277</v>
      </c>
      <c r="B50" s="138" t="s">
        <v>282</v>
      </c>
      <c r="C50" s="139">
        <v>1350000</v>
      </c>
      <c r="D50" s="365">
        <v>442840</v>
      </c>
      <c r="E50" s="140" t="str">
        <f t="shared" si="4"/>
        <v/>
      </c>
      <c r="F50" s="175">
        <f t="shared" si="5"/>
        <v>-907160</v>
      </c>
      <c r="H50" s="280">
        <v>432040</v>
      </c>
      <c r="I50" s="282">
        <f t="shared" si="6"/>
        <v>10800</v>
      </c>
      <c r="K50" s="280">
        <v>0</v>
      </c>
      <c r="L50" s="428">
        <f t="shared" si="3"/>
        <v>10800</v>
      </c>
    </row>
    <row r="51" spans="1:12">
      <c r="A51" s="137" t="s">
        <v>278</v>
      </c>
      <c r="B51" s="138" t="s">
        <v>283</v>
      </c>
      <c r="C51" s="139">
        <v>850000</v>
      </c>
      <c r="D51" s="365">
        <v>208800</v>
      </c>
      <c r="E51" s="140" t="str">
        <f t="shared" si="4"/>
        <v/>
      </c>
      <c r="F51" s="175">
        <f t="shared" si="5"/>
        <v>-641200</v>
      </c>
      <c r="H51" s="280">
        <v>205220</v>
      </c>
      <c r="I51" s="282">
        <f t="shared" si="6"/>
        <v>3580</v>
      </c>
      <c r="J51" s="323" t="s">
        <v>424</v>
      </c>
      <c r="K51" s="280">
        <v>3600</v>
      </c>
      <c r="L51" s="286">
        <f t="shared" si="3"/>
        <v>-20</v>
      </c>
    </row>
    <row r="52" spans="1:12">
      <c r="A52" s="137" t="s">
        <v>279</v>
      </c>
      <c r="B52" s="138" t="s">
        <v>284</v>
      </c>
      <c r="C52" s="139">
        <v>5000</v>
      </c>
      <c r="D52" s="365"/>
      <c r="E52" s="140" t="str">
        <f t="shared" si="4"/>
        <v/>
      </c>
      <c r="F52" s="175">
        <f t="shared" si="5"/>
        <v>-5000</v>
      </c>
      <c r="I52" s="282">
        <f t="shared" si="6"/>
        <v>0</v>
      </c>
      <c r="K52" s="280">
        <v>0</v>
      </c>
      <c r="L52" s="286">
        <f t="shared" si="3"/>
        <v>0</v>
      </c>
    </row>
    <row r="53" spans="1:12">
      <c r="A53" s="137" t="s">
        <v>280</v>
      </c>
      <c r="B53" s="138" t="s">
        <v>285</v>
      </c>
      <c r="C53" s="139">
        <v>70000</v>
      </c>
      <c r="D53" s="365">
        <v>11320</v>
      </c>
      <c r="E53" s="140" t="str">
        <f t="shared" si="4"/>
        <v/>
      </c>
      <c r="F53" s="175">
        <f t="shared" si="5"/>
        <v>-58680</v>
      </c>
      <c r="H53" s="280">
        <v>11320</v>
      </c>
      <c r="I53" s="282">
        <f t="shared" si="6"/>
        <v>0</v>
      </c>
      <c r="K53" s="280">
        <v>0</v>
      </c>
      <c r="L53" s="286">
        <f t="shared" si="3"/>
        <v>0</v>
      </c>
    </row>
    <row r="54" spans="1:12">
      <c r="A54" s="137" t="s">
        <v>71</v>
      </c>
      <c r="B54" s="138" t="s">
        <v>287</v>
      </c>
      <c r="C54" s="139">
        <v>500</v>
      </c>
      <c r="D54" s="365"/>
      <c r="E54" s="140" t="str">
        <f t="shared" si="4"/>
        <v/>
      </c>
      <c r="F54" s="175">
        <f t="shared" si="5"/>
        <v>-500</v>
      </c>
      <c r="I54" s="282">
        <f t="shared" si="6"/>
        <v>0</v>
      </c>
      <c r="K54" s="280">
        <v>0</v>
      </c>
      <c r="L54" s="286">
        <f t="shared" si="3"/>
        <v>0</v>
      </c>
    </row>
    <row r="55" spans="1:12">
      <c r="A55" s="137" t="s">
        <v>72</v>
      </c>
      <c r="B55" s="138" t="s">
        <v>288</v>
      </c>
      <c r="C55" s="139">
        <v>2500</v>
      </c>
      <c r="D55" s="365">
        <v>5000</v>
      </c>
      <c r="E55" s="140">
        <f t="shared" si="4"/>
        <v>2500</v>
      </c>
      <c r="F55" s="175" t="str">
        <f t="shared" si="5"/>
        <v/>
      </c>
      <c r="H55" s="280">
        <v>5100</v>
      </c>
      <c r="I55" s="282">
        <f t="shared" si="6"/>
        <v>-100</v>
      </c>
      <c r="J55" s="323" t="s">
        <v>424</v>
      </c>
      <c r="K55" s="280">
        <v>-100</v>
      </c>
      <c r="L55" s="286">
        <f t="shared" si="3"/>
        <v>0</v>
      </c>
    </row>
    <row r="56" spans="1:12">
      <c r="A56" s="137" t="s">
        <v>73</v>
      </c>
      <c r="B56" s="138" t="s">
        <v>289</v>
      </c>
      <c r="C56" s="139">
        <v>3000000</v>
      </c>
      <c r="D56" s="365">
        <v>517995.2</v>
      </c>
      <c r="E56" s="140" t="str">
        <f t="shared" si="4"/>
        <v/>
      </c>
      <c r="F56" s="175">
        <f t="shared" si="5"/>
        <v>-2482004.7999999998</v>
      </c>
      <c r="H56" s="280">
        <v>517995.2</v>
      </c>
      <c r="I56" s="282">
        <f t="shared" si="6"/>
        <v>0</v>
      </c>
      <c r="K56" s="280">
        <v>0</v>
      </c>
      <c r="L56" s="286">
        <f t="shared" si="3"/>
        <v>0</v>
      </c>
    </row>
    <row r="57" spans="1:12">
      <c r="A57" s="313" t="s">
        <v>402</v>
      </c>
      <c r="B57" s="138" t="s">
        <v>290</v>
      </c>
      <c r="C57" s="139">
        <v>60000</v>
      </c>
      <c r="D57" s="365">
        <v>12200</v>
      </c>
      <c r="E57" s="140" t="str">
        <f t="shared" si="4"/>
        <v/>
      </c>
      <c r="F57" s="175">
        <f t="shared" si="5"/>
        <v>-47800</v>
      </c>
      <c r="H57" s="280">
        <v>12200</v>
      </c>
      <c r="I57" s="282">
        <f t="shared" si="6"/>
        <v>0</v>
      </c>
      <c r="K57" s="280">
        <v>0</v>
      </c>
      <c r="L57" s="286">
        <f t="shared" si="3"/>
        <v>0</v>
      </c>
    </row>
    <row r="58" spans="1:12">
      <c r="A58" s="137" t="s">
        <v>74</v>
      </c>
      <c r="B58" s="138" t="s">
        <v>291</v>
      </c>
      <c r="C58" s="139">
        <v>5000</v>
      </c>
      <c r="D58" s="365">
        <v>1200</v>
      </c>
      <c r="E58" s="140" t="str">
        <f t="shared" si="4"/>
        <v/>
      </c>
      <c r="F58" s="175">
        <f t="shared" si="5"/>
        <v>-3800</v>
      </c>
      <c r="H58" s="280">
        <v>1100</v>
      </c>
      <c r="I58" s="282">
        <f t="shared" si="6"/>
        <v>100</v>
      </c>
      <c r="J58" s="323" t="s">
        <v>424</v>
      </c>
      <c r="K58" s="280">
        <v>100</v>
      </c>
      <c r="L58" s="286">
        <f t="shared" si="3"/>
        <v>0</v>
      </c>
    </row>
    <row r="59" spans="1:12">
      <c r="A59" s="137" t="s">
        <v>75</v>
      </c>
      <c r="B59" s="138" t="s">
        <v>292</v>
      </c>
      <c r="C59" s="139">
        <v>100000</v>
      </c>
      <c r="D59" s="365">
        <v>57650</v>
      </c>
      <c r="E59" s="140" t="str">
        <f t="shared" si="4"/>
        <v/>
      </c>
      <c r="F59" s="175">
        <f t="shared" si="5"/>
        <v>-42350</v>
      </c>
      <c r="H59" s="280">
        <v>57740</v>
      </c>
      <c r="I59" s="282">
        <f t="shared" si="6"/>
        <v>-90</v>
      </c>
      <c r="J59" s="323" t="s">
        <v>424</v>
      </c>
      <c r="K59" s="280">
        <v>-90</v>
      </c>
      <c r="L59" s="286">
        <f t="shared" si="3"/>
        <v>0</v>
      </c>
    </row>
    <row r="60" spans="1:12">
      <c r="A60" s="137" t="s">
        <v>76</v>
      </c>
      <c r="B60" s="138" t="s">
        <v>293</v>
      </c>
      <c r="C60" s="139">
        <v>100000</v>
      </c>
      <c r="D60" s="365">
        <v>24300</v>
      </c>
      <c r="E60" s="140" t="str">
        <f t="shared" si="4"/>
        <v/>
      </c>
      <c r="F60" s="175">
        <f t="shared" si="5"/>
        <v>-75700</v>
      </c>
      <c r="H60" s="280">
        <v>24300</v>
      </c>
      <c r="I60" s="282">
        <f t="shared" si="6"/>
        <v>0</v>
      </c>
      <c r="K60" s="280">
        <v>0</v>
      </c>
      <c r="L60" s="286">
        <f t="shared" si="3"/>
        <v>0</v>
      </c>
    </row>
    <row r="61" spans="1:12">
      <c r="A61" s="137" t="s">
        <v>77</v>
      </c>
      <c r="B61" s="138" t="s">
        <v>294</v>
      </c>
      <c r="C61" s="139">
        <v>180000</v>
      </c>
      <c r="D61" s="365">
        <v>52163.1</v>
      </c>
      <c r="E61" s="140" t="str">
        <f t="shared" si="4"/>
        <v/>
      </c>
      <c r="F61" s="175">
        <f t="shared" si="5"/>
        <v>-127836.9</v>
      </c>
      <c r="H61" s="280">
        <v>52163.1</v>
      </c>
      <c r="I61" s="282">
        <f t="shared" si="6"/>
        <v>0</v>
      </c>
      <c r="K61" s="280">
        <v>0</v>
      </c>
      <c r="L61" s="286">
        <f t="shared" si="3"/>
        <v>0</v>
      </c>
    </row>
    <row r="62" spans="1:12">
      <c r="A62" s="137" t="s">
        <v>78</v>
      </c>
      <c r="B62" s="138" t="s">
        <v>295</v>
      </c>
      <c r="C62" s="139">
        <v>500</v>
      </c>
      <c r="D62" s="365"/>
      <c r="E62" s="140" t="str">
        <f t="shared" si="4"/>
        <v/>
      </c>
      <c r="F62" s="175">
        <f t="shared" si="5"/>
        <v>-500</v>
      </c>
      <c r="I62" s="282">
        <f t="shared" si="6"/>
        <v>0</v>
      </c>
      <c r="K62" s="280">
        <v>0</v>
      </c>
      <c r="L62" s="286">
        <f t="shared" si="3"/>
        <v>0</v>
      </c>
    </row>
    <row r="63" spans="1:12">
      <c r="A63" s="137" t="s">
        <v>79</v>
      </c>
      <c r="B63" s="138" t="s">
        <v>296</v>
      </c>
      <c r="C63" s="139">
        <v>50000</v>
      </c>
      <c r="D63" s="365">
        <v>1450</v>
      </c>
      <c r="E63" s="140" t="str">
        <f t="shared" si="4"/>
        <v/>
      </c>
      <c r="F63" s="175">
        <f t="shared" si="5"/>
        <v>-48550</v>
      </c>
      <c r="H63" s="280">
        <v>1450</v>
      </c>
      <c r="I63" s="282">
        <f t="shared" si="6"/>
        <v>0</v>
      </c>
      <c r="K63" s="280">
        <v>0</v>
      </c>
      <c r="L63" s="286">
        <f t="shared" si="3"/>
        <v>0</v>
      </c>
    </row>
    <row r="64" spans="1:12">
      <c r="A64" s="137" t="s">
        <v>80</v>
      </c>
      <c r="B64" s="138" t="s">
        <v>297</v>
      </c>
      <c r="C64" s="139">
        <v>20000</v>
      </c>
      <c r="D64" s="365"/>
      <c r="E64" s="140" t="str">
        <f t="shared" si="4"/>
        <v/>
      </c>
      <c r="F64" s="175">
        <f t="shared" si="5"/>
        <v>-20000</v>
      </c>
      <c r="I64" s="282">
        <f t="shared" si="6"/>
        <v>0</v>
      </c>
      <c r="K64" s="280">
        <v>0</v>
      </c>
      <c r="L64" s="286">
        <f t="shared" si="3"/>
        <v>0</v>
      </c>
    </row>
    <row r="65" spans="1:13">
      <c r="A65" s="313" t="s">
        <v>449</v>
      </c>
      <c r="B65" s="338" t="s">
        <v>450</v>
      </c>
      <c r="C65" s="139"/>
      <c r="D65" s="365">
        <v>20</v>
      </c>
      <c r="E65" s="140">
        <f t="shared" si="4"/>
        <v>20</v>
      </c>
      <c r="F65" s="175" t="str">
        <f t="shared" si="5"/>
        <v/>
      </c>
      <c r="H65" s="280">
        <v>20</v>
      </c>
      <c r="I65" s="282">
        <f t="shared" si="6"/>
        <v>0</v>
      </c>
      <c r="K65" s="280">
        <v>0</v>
      </c>
      <c r="L65" s="286">
        <f t="shared" si="3"/>
        <v>0</v>
      </c>
    </row>
    <row r="66" spans="1:13">
      <c r="A66" s="313" t="s">
        <v>432</v>
      </c>
      <c r="B66" s="138" t="s">
        <v>431</v>
      </c>
      <c r="C66" s="139"/>
      <c r="D66" s="365"/>
      <c r="E66" s="140"/>
      <c r="F66" s="175"/>
      <c r="I66" s="282"/>
      <c r="L66" s="286">
        <f t="shared" si="3"/>
        <v>0</v>
      </c>
    </row>
    <row r="67" spans="1:13">
      <c r="A67" s="137" t="s">
        <v>172</v>
      </c>
      <c r="B67" s="338" t="s">
        <v>435</v>
      </c>
      <c r="C67" s="316">
        <v>13000000</v>
      </c>
      <c r="D67" s="365">
        <v>9195576.4800000004</v>
      </c>
      <c r="E67" s="140" t="str">
        <f t="shared" ref="E67:E74" si="7">IF((D67-C67)&gt;0,D67-C67,"")</f>
        <v/>
      </c>
      <c r="F67" s="175">
        <f t="shared" ref="F67:F74" si="8">IF((D67-C67)&gt;0,"",D67-C67)</f>
        <v>-3804423.5199999996</v>
      </c>
      <c r="H67" s="280">
        <v>9195566.4800000004</v>
      </c>
      <c r="I67" s="282">
        <f t="shared" ref="I67:I74" si="9">D67-H67</f>
        <v>10</v>
      </c>
      <c r="J67" s="323" t="s">
        <v>424</v>
      </c>
      <c r="K67" s="280">
        <v>10</v>
      </c>
      <c r="L67" s="286">
        <f t="shared" si="3"/>
        <v>0</v>
      </c>
    </row>
    <row r="68" spans="1:13">
      <c r="A68" s="137" t="s">
        <v>91</v>
      </c>
      <c r="B68" s="138" t="s">
        <v>436</v>
      </c>
      <c r="C68" s="316">
        <v>2500000</v>
      </c>
      <c r="D68" s="365">
        <v>1420722.62</v>
      </c>
      <c r="E68" s="140" t="str">
        <f t="shared" si="7"/>
        <v/>
      </c>
      <c r="F68" s="175">
        <f t="shared" si="8"/>
        <v>-1079277.3799999999</v>
      </c>
      <c r="H68" s="280">
        <v>1420722.62</v>
      </c>
      <c r="I68" s="282">
        <f t="shared" si="9"/>
        <v>0</v>
      </c>
      <c r="K68" s="280">
        <v>0</v>
      </c>
      <c r="L68" s="286">
        <f t="shared" si="3"/>
        <v>0</v>
      </c>
    </row>
    <row r="69" spans="1:13">
      <c r="A69" s="137" t="s">
        <v>90</v>
      </c>
      <c r="B69" s="138" t="s">
        <v>437</v>
      </c>
      <c r="C69" s="316">
        <v>8000000</v>
      </c>
      <c r="D69" s="365">
        <v>6053630</v>
      </c>
      <c r="E69" s="140" t="str">
        <f t="shared" si="7"/>
        <v/>
      </c>
      <c r="F69" s="175">
        <f t="shared" si="8"/>
        <v>-1946370</v>
      </c>
      <c r="H69" s="280">
        <v>6053610</v>
      </c>
      <c r="I69" s="282">
        <f t="shared" si="9"/>
        <v>20</v>
      </c>
      <c r="K69" s="280">
        <v>0</v>
      </c>
      <c r="L69" s="425">
        <f t="shared" si="3"/>
        <v>20</v>
      </c>
      <c r="M69" s="279" t="s">
        <v>458</v>
      </c>
    </row>
    <row r="70" spans="1:13">
      <c r="A70" s="137" t="s">
        <v>255</v>
      </c>
      <c r="B70" s="138" t="s">
        <v>438</v>
      </c>
      <c r="C70" s="316">
        <v>5500000</v>
      </c>
      <c r="D70" s="365">
        <v>2277951</v>
      </c>
      <c r="E70" s="140" t="str">
        <f t="shared" si="7"/>
        <v/>
      </c>
      <c r="F70" s="175">
        <f t="shared" si="8"/>
        <v>-3222049</v>
      </c>
      <c r="H70" s="280">
        <v>2277951</v>
      </c>
      <c r="I70" s="282">
        <f t="shared" si="9"/>
        <v>0</v>
      </c>
      <c r="K70" s="280">
        <v>-5140</v>
      </c>
      <c r="L70" s="286">
        <f t="shared" si="3"/>
        <v>5140</v>
      </c>
    </row>
    <row r="71" spans="1:13">
      <c r="A71" s="137" t="s">
        <v>434</v>
      </c>
      <c r="B71" s="138" t="s">
        <v>439</v>
      </c>
      <c r="C71" s="139">
        <v>600000</v>
      </c>
      <c r="D71" s="365">
        <v>399098.42</v>
      </c>
      <c r="E71" s="140" t="str">
        <f t="shared" si="7"/>
        <v/>
      </c>
      <c r="F71" s="175">
        <f t="shared" si="8"/>
        <v>-200901.58000000002</v>
      </c>
      <c r="H71" s="280">
        <v>399108.42</v>
      </c>
      <c r="I71" s="282">
        <f t="shared" si="9"/>
        <v>-10</v>
      </c>
      <c r="J71" s="323" t="s">
        <v>424</v>
      </c>
      <c r="K71" s="280">
        <v>-10</v>
      </c>
      <c r="L71" s="286">
        <f t="shared" si="3"/>
        <v>0</v>
      </c>
    </row>
    <row r="72" spans="1:13">
      <c r="A72" s="137" t="s">
        <v>254</v>
      </c>
      <c r="B72" s="138" t="s">
        <v>440</v>
      </c>
      <c r="C72" s="316">
        <v>1600000</v>
      </c>
      <c r="D72" s="365">
        <v>446650</v>
      </c>
      <c r="E72" s="140" t="str">
        <f t="shared" si="7"/>
        <v/>
      </c>
      <c r="F72" s="175">
        <f t="shared" si="8"/>
        <v>-1153350</v>
      </c>
      <c r="H72" s="280">
        <v>446650</v>
      </c>
      <c r="I72" s="282">
        <f t="shared" si="9"/>
        <v>0</v>
      </c>
      <c r="K72" s="280">
        <v>0</v>
      </c>
      <c r="L72" s="286">
        <f t="shared" si="3"/>
        <v>0</v>
      </c>
    </row>
    <row r="73" spans="1:13">
      <c r="A73" s="137" t="s">
        <v>263</v>
      </c>
      <c r="B73" s="138" t="s">
        <v>441</v>
      </c>
      <c r="C73" s="316">
        <v>5500000</v>
      </c>
      <c r="D73" s="365">
        <v>2281949.63</v>
      </c>
      <c r="E73" s="140" t="str">
        <f t="shared" si="7"/>
        <v/>
      </c>
      <c r="F73" s="175">
        <f t="shared" si="8"/>
        <v>-3218050.37</v>
      </c>
      <c r="H73" s="280">
        <v>2281949.63</v>
      </c>
      <c r="I73" s="282">
        <f t="shared" si="9"/>
        <v>0</v>
      </c>
      <c r="K73" s="280">
        <v>0</v>
      </c>
      <c r="L73" s="286">
        <f t="shared" si="3"/>
        <v>0</v>
      </c>
    </row>
    <row r="74" spans="1:13">
      <c r="A74" s="313" t="s">
        <v>433</v>
      </c>
      <c r="B74" s="147" t="s">
        <v>442</v>
      </c>
      <c r="C74" s="357">
        <v>1500000</v>
      </c>
      <c r="D74" s="316">
        <v>165290</v>
      </c>
      <c r="E74" s="140" t="str">
        <f t="shared" si="7"/>
        <v/>
      </c>
      <c r="F74" s="175">
        <f t="shared" si="8"/>
        <v>-1334710</v>
      </c>
      <c r="H74" s="280">
        <v>165290</v>
      </c>
      <c r="I74" s="282">
        <f t="shared" si="9"/>
        <v>0</v>
      </c>
      <c r="K74" s="280">
        <v>0</v>
      </c>
      <c r="L74" s="286">
        <f t="shared" si="3"/>
        <v>0</v>
      </c>
    </row>
    <row r="75" spans="1:13">
      <c r="A75" s="313" t="s">
        <v>299</v>
      </c>
      <c r="B75" s="138" t="s">
        <v>300</v>
      </c>
      <c r="C75" s="139"/>
      <c r="D75" s="365"/>
      <c r="E75" s="140" t="str">
        <f t="shared" si="4"/>
        <v/>
      </c>
      <c r="F75" s="175">
        <f t="shared" si="5"/>
        <v>0</v>
      </c>
      <c r="I75" s="282">
        <f t="shared" si="6"/>
        <v>0</v>
      </c>
      <c r="K75" s="280">
        <v>0</v>
      </c>
      <c r="L75" s="286">
        <f t="shared" si="3"/>
        <v>0</v>
      </c>
    </row>
    <row r="76" spans="1:13">
      <c r="A76" s="137" t="s">
        <v>81</v>
      </c>
      <c r="B76" s="138" t="s">
        <v>301</v>
      </c>
      <c r="C76" s="139">
        <v>730000</v>
      </c>
      <c r="D76" s="365">
        <v>654370</v>
      </c>
      <c r="E76" s="140" t="str">
        <f t="shared" si="4"/>
        <v/>
      </c>
      <c r="F76" s="175">
        <f t="shared" si="5"/>
        <v>-75630</v>
      </c>
      <c r="H76" s="280">
        <v>654370</v>
      </c>
      <c r="I76" s="282">
        <f t="shared" si="6"/>
        <v>0</v>
      </c>
      <c r="K76" s="280">
        <v>0</v>
      </c>
      <c r="L76" s="286">
        <f t="shared" si="3"/>
        <v>0</v>
      </c>
    </row>
    <row r="77" spans="1:13">
      <c r="A77" s="137" t="s">
        <v>82</v>
      </c>
      <c r="B77" s="138" t="s">
        <v>302</v>
      </c>
      <c r="C77" s="139">
        <v>6700000</v>
      </c>
      <c r="D77" s="365">
        <v>4161923.32</v>
      </c>
      <c r="E77" s="140" t="str">
        <f t="shared" si="4"/>
        <v/>
      </c>
      <c r="F77" s="175">
        <f t="shared" si="5"/>
        <v>-2538076.6800000002</v>
      </c>
      <c r="H77" s="280">
        <v>4161923.32</v>
      </c>
      <c r="I77" s="282">
        <f t="shared" si="6"/>
        <v>0</v>
      </c>
      <c r="K77" s="280">
        <v>0</v>
      </c>
      <c r="L77" s="286">
        <f t="shared" ref="L77:L124" si="10">I77-K77</f>
        <v>0</v>
      </c>
    </row>
    <row r="78" spans="1:13">
      <c r="A78" s="137" t="s">
        <v>83</v>
      </c>
      <c r="B78" s="138" t="s">
        <v>303</v>
      </c>
      <c r="C78" s="139">
        <v>2100000</v>
      </c>
      <c r="D78" s="365">
        <v>1905184</v>
      </c>
      <c r="E78" s="140" t="str">
        <f t="shared" si="4"/>
        <v/>
      </c>
      <c r="F78" s="175">
        <f t="shared" si="5"/>
        <v>-194816</v>
      </c>
      <c r="H78" s="280">
        <v>1905184</v>
      </c>
      <c r="I78" s="282">
        <f t="shared" si="6"/>
        <v>0</v>
      </c>
      <c r="K78" s="280">
        <v>0</v>
      </c>
      <c r="L78" s="286">
        <f t="shared" si="10"/>
        <v>0</v>
      </c>
    </row>
    <row r="79" spans="1:13">
      <c r="A79" s="313" t="s">
        <v>443</v>
      </c>
      <c r="B79" s="138" t="s">
        <v>444</v>
      </c>
      <c r="C79" s="139"/>
      <c r="D79" s="365"/>
      <c r="E79" s="140"/>
      <c r="F79" s="175"/>
      <c r="I79" s="282"/>
      <c r="L79" s="286">
        <f t="shared" si="10"/>
        <v>0</v>
      </c>
    </row>
    <row r="80" spans="1:13">
      <c r="A80" s="137" t="s">
        <v>281</v>
      </c>
      <c r="B80" s="138" t="s">
        <v>286</v>
      </c>
      <c r="C80" s="139">
        <v>555000</v>
      </c>
      <c r="D80" s="365">
        <v>184840</v>
      </c>
      <c r="E80" s="140" t="str">
        <f>IF((D80-C80)&gt;0,D80-C80,"")</f>
        <v/>
      </c>
      <c r="F80" s="175">
        <f>IF((D80-C80)&gt;0,"",D80-C80)</f>
        <v>-370160</v>
      </c>
      <c r="H80" s="280">
        <v>184750</v>
      </c>
      <c r="I80" s="282">
        <f>D80-H80</f>
        <v>90</v>
      </c>
      <c r="J80" s="323" t="s">
        <v>424</v>
      </c>
      <c r="K80" s="280">
        <v>90</v>
      </c>
      <c r="L80" s="286">
        <f t="shared" si="10"/>
        <v>0</v>
      </c>
    </row>
    <row r="81" spans="1:12">
      <c r="A81" s="313" t="s">
        <v>403</v>
      </c>
      <c r="B81" s="138" t="s">
        <v>212</v>
      </c>
      <c r="C81" s="139">
        <v>5500000</v>
      </c>
      <c r="D81" s="365">
        <v>4742180</v>
      </c>
      <c r="E81" s="140" t="str">
        <f t="shared" si="4"/>
        <v/>
      </c>
      <c r="F81" s="175">
        <f t="shared" si="5"/>
        <v>-757820</v>
      </c>
      <c r="H81" s="280">
        <v>4742180</v>
      </c>
      <c r="I81" s="282">
        <f t="shared" si="6"/>
        <v>0</v>
      </c>
      <c r="K81" s="280">
        <v>0</v>
      </c>
      <c r="L81" s="286">
        <f t="shared" si="10"/>
        <v>0</v>
      </c>
    </row>
    <row r="82" spans="1:12">
      <c r="A82" s="313" t="s">
        <v>408</v>
      </c>
      <c r="B82" s="338" t="s">
        <v>409</v>
      </c>
      <c r="C82" s="139"/>
      <c r="D82" s="365"/>
      <c r="E82" s="140" t="str">
        <f t="shared" si="4"/>
        <v/>
      </c>
      <c r="F82" s="175">
        <f t="shared" si="5"/>
        <v>0</v>
      </c>
      <c r="I82" s="282">
        <f t="shared" si="6"/>
        <v>0</v>
      </c>
      <c r="K82" s="280">
        <v>0</v>
      </c>
      <c r="L82" s="286">
        <f t="shared" si="10"/>
        <v>0</v>
      </c>
    </row>
    <row r="83" spans="1:12">
      <c r="A83" s="313" t="s">
        <v>404</v>
      </c>
      <c r="B83" s="138" t="s">
        <v>231</v>
      </c>
      <c r="C83" s="139">
        <v>200000</v>
      </c>
      <c r="D83" s="365">
        <v>5300</v>
      </c>
      <c r="E83" s="140" t="str">
        <f t="shared" si="4"/>
        <v/>
      </c>
      <c r="F83" s="175">
        <f t="shared" si="5"/>
        <v>-194700</v>
      </c>
      <c r="H83" s="280">
        <v>5300</v>
      </c>
      <c r="I83" s="282">
        <f t="shared" si="6"/>
        <v>0</v>
      </c>
      <c r="K83" s="280">
        <v>0</v>
      </c>
      <c r="L83" s="286">
        <f t="shared" si="10"/>
        <v>0</v>
      </c>
    </row>
    <row r="84" spans="1:12">
      <c r="A84" s="313" t="s">
        <v>405</v>
      </c>
      <c r="B84" s="138" t="s">
        <v>232</v>
      </c>
      <c r="C84" s="139">
        <v>70000</v>
      </c>
      <c r="D84" s="365">
        <v>6098</v>
      </c>
      <c r="E84" s="140" t="str">
        <f t="shared" si="4"/>
        <v/>
      </c>
      <c r="F84" s="175">
        <f t="shared" si="5"/>
        <v>-63902</v>
      </c>
      <c r="H84" s="280">
        <v>6098</v>
      </c>
      <c r="I84" s="282">
        <f t="shared" si="6"/>
        <v>0</v>
      </c>
      <c r="K84" s="280">
        <v>0</v>
      </c>
      <c r="L84" s="286">
        <f t="shared" si="10"/>
        <v>0</v>
      </c>
    </row>
    <row r="85" spans="1:12">
      <c r="A85" s="313" t="s">
        <v>406</v>
      </c>
      <c r="B85" s="138" t="s">
        <v>233</v>
      </c>
      <c r="C85" s="139">
        <v>30000</v>
      </c>
      <c r="D85" s="365">
        <v>805</v>
      </c>
      <c r="E85" s="140" t="str">
        <f t="shared" si="4"/>
        <v/>
      </c>
      <c r="F85" s="175">
        <f t="shared" si="5"/>
        <v>-29195</v>
      </c>
      <c r="H85" s="280">
        <v>805</v>
      </c>
      <c r="I85" s="282">
        <f t="shared" si="6"/>
        <v>0</v>
      </c>
      <c r="K85" s="280">
        <v>0</v>
      </c>
      <c r="L85" s="286">
        <f t="shared" si="10"/>
        <v>0</v>
      </c>
    </row>
    <row r="86" spans="1:12">
      <c r="A86" s="313" t="s">
        <v>407</v>
      </c>
      <c r="B86" s="138" t="s">
        <v>234</v>
      </c>
      <c r="C86" s="139">
        <v>550000</v>
      </c>
      <c r="D86" s="365">
        <v>584236.6</v>
      </c>
      <c r="E86" s="140">
        <f t="shared" si="4"/>
        <v>34236.599999999977</v>
      </c>
      <c r="F86" s="175" t="str">
        <f t="shared" si="5"/>
        <v/>
      </c>
      <c r="H86" s="280">
        <v>584236.6</v>
      </c>
      <c r="I86" s="282">
        <f t="shared" si="6"/>
        <v>0</v>
      </c>
      <c r="K86" s="280">
        <v>0</v>
      </c>
      <c r="L86" s="286">
        <f t="shared" si="10"/>
        <v>0</v>
      </c>
    </row>
    <row r="87" spans="1:12">
      <c r="A87" s="137" t="s">
        <v>85</v>
      </c>
      <c r="B87" s="138" t="s">
        <v>240</v>
      </c>
      <c r="C87" s="139"/>
      <c r="D87" s="365"/>
      <c r="E87" s="140" t="str">
        <f t="shared" si="4"/>
        <v/>
      </c>
      <c r="F87" s="175">
        <f t="shared" si="5"/>
        <v>0</v>
      </c>
      <c r="I87" s="282">
        <f t="shared" si="6"/>
        <v>0</v>
      </c>
      <c r="K87" s="280">
        <v>0</v>
      </c>
      <c r="L87" s="286">
        <f t="shared" si="10"/>
        <v>0</v>
      </c>
    </row>
    <row r="88" spans="1:12">
      <c r="A88" s="137" t="s">
        <v>250</v>
      </c>
      <c r="B88" s="138" t="s">
        <v>251</v>
      </c>
      <c r="C88" s="139">
        <v>600000</v>
      </c>
      <c r="D88" s="365">
        <v>103588</v>
      </c>
      <c r="E88" s="140" t="str">
        <f t="shared" si="4"/>
        <v/>
      </c>
      <c r="F88" s="175">
        <f t="shared" si="5"/>
        <v>-496412</v>
      </c>
      <c r="H88" s="280">
        <v>103588</v>
      </c>
      <c r="I88" s="282">
        <f t="shared" si="6"/>
        <v>0</v>
      </c>
      <c r="K88" s="280">
        <v>0</v>
      </c>
      <c r="L88" s="286">
        <f t="shared" si="10"/>
        <v>0</v>
      </c>
    </row>
    <row r="89" spans="1:12">
      <c r="A89" s="137" t="s">
        <v>253</v>
      </c>
      <c r="B89" s="138" t="s">
        <v>252</v>
      </c>
      <c r="C89" s="139">
        <v>150000</v>
      </c>
      <c r="D89" s="365">
        <v>202000</v>
      </c>
      <c r="E89" s="140">
        <f t="shared" si="4"/>
        <v>52000</v>
      </c>
      <c r="F89" s="175" t="str">
        <f t="shared" si="5"/>
        <v/>
      </c>
      <c r="H89" s="280">
        <v>202000</v>
      </c>
      <c r="I89" s="282">
        <f t="shared" si="6"/>
        <v>0</v>
      </c>
      <c r="K89" s="280">
        <v>0</v>
      </c>
      <c r="L89" s="286">
        <f t="shared" si="10"/>
        <v>0</v>
      </c>
    </row>
    <row r="90" spans="1:12">
      <c r="A90" s="137" t="s">
        <v>265</v>
      </c>
      <c r="B90" s="338" t="s">
        <v>266</v>
      </c>
      <c r="C90" s="316">
        <v>3500000</v>
      </c>
      <c r="D90" s="365">
        <v>1064590</v>
      </c>
      <c r="E90" s="140" t="str">
        <f t="shared" si="4"/>
        <v/>
      </c>
      <c r="F90" s="175">
        <f t="shared" si="5"/>
        <v>-2435410</v>
      </c>
      <c r="H90" s="280">
        <v>1064590</v>
      </c>
      <c r="I90" s="282">
        <f t="shared" si="6"/>
        <v>0</v>
      </c>
      <c r="K90" s="280">
        <v>0</v>
      </c>
      <c r="L90" s="286">
        <f t="shared" si="10"/>
        <v>0</v>
      </c>
    </row>
    <row r="91" spans="1:12">
      <c r="A91" s="137" t="s">
        <v>84</v>
      </c>
      <c r="B91" s="338" t="s">
        <v>268</v>
      </c>
      <c r="C91" s="316">
        <v>2700000</v>
      </c>
      <c r="D91" s="365">
        <v>2529270</v>
      </c>
      <c r="E91" s="140" t="str">
        <f t="shared" si="4"/>
        <v/>
      </c>
      <c r="F91" s="175">
        <f t="shared" si="5"/>
        <v>-170730</v>
      </c>
      <c r="H91" s="280">
        <v>2529270</v>
      </c>
      <c r="I91" s="282">
        <f t="shared" si="6"/>
        <v>0</v>
      </c>
      <c r="K91" s="280">
        <v>0</v>
      </c>
      <c r="L91" s="286">
        <f t="shared" si="10"/>
        <v>0</v>
      </c>
    </row>
    <row r="92" spans="1:12">
      <c r="A92" s="137" t="s">
        <v>267</v>
      </c>
      <c r="B92" s="338" t="s">
        <v>269</v>
      </c>
      <c r="C92" s="316">
        <v>2000000</v>
      </c>
      <c r="D92" s="365">
        <v>1654460</v>
      </c>
      <c r="E92" s="140" t="str">
        <f t="shared" si="4"/>
        <v/>
      </c>
      <c r="F92" s="175">
        <f t="shared" si="5"/>
        <v>-345540</v>
      </c>
      <c r="H92" s="280">
        <v>1654560</v>
      </c>
      <c r="I92" s="282">
        <f t="shared" si="6"/>
        <v>-100</v>
      </c>
      <c r="K92" s="280">
        <v>-100</v>
      </c>
      <c r="L92" s="286">
        <f t="shared" si="10"/>
        <v>0</v>
      </c>
    </row>
    <row r="93" spans="1:12">
      <c r="A93" s="137" t="s">
        <v>264</v>
      </c>
      <c r="B93" s="338" t="s">
        <v>270</v>
      </c>
      <c r="C93" s="316">
        <v>2000000</v>
      </c>
      <c r="D93" s="365">
        <v>1667051</v>
      </c>
      <c r="E93" s="140" t="str">
        <f t="shared" si="4"/>
        <v/>
      </c>
      <c r="F93" s="175">
        <f t="shared" si="5"/>
        <v>-332949</v>
      </c>
      <c r="H93" s="280">
        <v>1666951</v>
      </c>
      <c r="I93" s="282">
        <f t="shared" si="6"/>
        <v>100</v>
      </c>
      <c r="J93" s="279" t="s">
        <v>425</v>
      </c>
      <c r="K93" s="280">
        <v>100</v>
      </c>
      <c r="L93" s="286">
        <f t="shared" si="10"/>
        <v>0</v>
      </c>
    </row>
    <row r="94" spans="1:12">
      <c r="A94" s="137" t="s">
        <v>86</v>
      </c>
      <c r="B94" s="338" t="s">
        <v>272</v>
      </c>
      <c r="C94" s="316">
        <v>150000</v>
      </c>
      <c r="D94" s="365">
        <v>33600</v>
      </c>
      <c r="E94" s="140" t="str">
        <f t="shared" si="4"/>
        <v/>
      </c>
      <c r="F94" s="175">
        <f t="shared" si="5"/>
        <v>-116400</v>
      </c>
      <c r="H94" s="280">
        <v>33600</v>
      </c>
      <c r="I94" s="282">
        <f t="shared" si="6"/>
        <v>0</v>
      </c>
      <c r="K94" s="280">
        <v>0</v>
      </c>
      <c r="L94" s="286">
        <f t="shared" si="10"/>
        <v>0</v>
      </c>
    </row>
    <row r="95" spans="1:12">
      <c r="A95" s="137" t="s">
        <v>87</v>
      </c>
      <c r="B95" s="338" t="s">
        <v>273</v>
      </c>
      <c r="C95" s="316">
        <v>450000</v>
      </c>
      <c r="D95" s="365">
        <v>76100</v>
      </c>
      <c r="E95" s="140" t="str">
        <f t="shared" si="4"/>
        <v/>
      </c>
      <c r="F95" s="175">
        <f t="shared" si="5"/>
        <v>-373900</v>
      </c>
      <c r="H95" s="280">
        <v>76100</v>
      </c>
      <c r="I95" s="282">
        <f t="shared" si="6"/>
        <v>0</v>
      </c>
      <c r="K95" s="280">
        <v>0</v>
      </c>
      <c r="L95" s="286">
        <f t="shared" si="10"/>
        <v>0</v>
      </c>
    </row>
    <row r="96" spans="1:12">
      <c r="A96" s="137" t="s">
        <v>88</v>
      </c>
      <c r="B96" s="338" t="s">
        <v>274</v>
      </c>
      <c r="C96" s="316">
        <v>2000000</v>
      </c>
      <c r="D96" s="365">
        <v>1315900</v>
      </c>
      <c r="E96" s="140" t="str">
        <f t="shared" si="4"/>
        <v/>
      </c>
      <c r="F96" s="175">
        <f t="shared" si="5"/>
        <v>-684100</v>
      </c>
      <c r="H96" s="280">
        <v>1315920</v>
      </c>
      <c r="I96" s="282">
        <f t="shared" si="6"/>
        <v>-20</v>
      </c>
      <c r="J96" s="323" t="s">
        <v>424</v>
      </c>
      <c r="K96" s="280">
        <v>-20</v>
      </c>
      <c r="L96" s="286">
        <f t="shared" si="10"/>
        <v>0</v>
      </c>
    </row>
    <row r="97" spans="1:12">
      <c r="A97" s="137" t="s">
        <v>271</v>
      </c>
      <c r="B97" s="338" t="s">
        <v>275</v>
      </c>
      <c r="C97" s="316">
        <v>100000</v>
      </c>
      <c r="D97" s="365">
        <v>18750</v>
      </c>
      <c r="E97" s="140" t="str">
        <f t="shared" si="4"/>
        <v/>
      </c>
      <c r="F97" s="175">
        <f t="shared" si="5"/>
        <v>-81250</v>
      </c>
      <c r="H97" s="280">
        <v>18750</v>
      </c>
      <c r="I97" s="282">
        <f t="shared" si="6"/>
        <v>0</v>
      </c>
      <c r="K97" s="280">
        <v>0</v>
      </c>
      <c r="L97" s="286">
        <f t="shared" si="10"/>
        <v>0</v>
      </c>
    </row>
    <row r="98" spans="1:12">
      <c r="A98" s="137" t="s">
        <v>318</v>
      </c>
      <c r="B98" s="338" t="s">
        <v>319</v>
      </c>
      <c r="C98" s="316">
        <v>350000</v>
      </c>
      <c r="D98" s="365">
        <v>82440</v>
      </c>
      <c r="E98" s="140" t="str">
        <f t="shared" si="4"/>
        <v/>
      </c>
      <c r="F98" s="175">
        <f t="shared" si="5"/>
        <v>-267560</v>
      </c>
      <c r="H98" s="280">
        <v>82440</v>
      </c>
      <c r="I98" s="326">
        <f t="shared" si="6"/>
        <v>0</v>
      </c>
      <c r="K98" s="280">
        <v>0</v>
      </c>
      <c r="L98" s="286">
        <f t="shared" si="10"/>
        <v>0</v>
      </c>
    </row>
    <row r="99" spans="1:12">
      <c r="A99" s="137" t="s">
        <v>321</v>
      </c>
      <c r="B99" s="338" t="s">
        <v>320</v>
      </c>
      <c r="C99" s="316">
        <v>900000</v>
      </c>
      <c r="D99" s="365">
        <v>254956</v>
      </c>
      <c r="E99" s="140" t="str">
        <f t="shared" si="4"/>
        <v/>
      </c>
      <c r="F99" s="175">
        <f t="shared" si="5"/>
        <v>-645044</v>
      </c>
      <c r="H99" s="280">
        <v>254956</v>
      </c>
      <c r="I99" s="282">
        <f t="shared" si="6"/>
        <v>0</v>
      </c>
      <c r="K99" s="280">
        <v>0</v>
      </c>
      <c r="L99" s="286">
        <f t="shared" si="10"/>
        <v>0</v>
      </c>
    </row>
    <row r="100" spans="1:12">
      <c r="A100" s="137" t="s">
        <v>304</v>
      </c>
      <c r="B100" s="338" t="s">
        <v>307</v>
      </c>
      <c r="C100" s="316"/>
      <c r="D100" s="365"/>
      <c r="E100" s="140" t="str">
        <f t="shared" si="4"/>
        <v/>
      </c>
      <c r="F100" s="175">
        <f t="shared" si="5"/>
        <v>0</v>
      </c>
      <c r="I100" s="282">
        <f t="shared" si="6"/>
        <v>0</v>
      </c>
      <c r="K100" s="280">
        <v>0</v>
      </c>
      <c r="L100" s="286">
        <f t="shared" si="10"/>
        <v>0</v>
      </c>
    </row>
    <row r="101" spans="1:12">
      <c r="A101" s="313" t="s">
        <v>305</v>
      </c>
      <c r="B101" s="338" t="s">
        <v>308</v>
      </c>
      <c r="C101" s="316">
        <v>36000</v>
      </c>
      <c r="D101" s="365">
        <v>1750</v>
      </c>
      <c r="E101" s="140" t="str">
        <f t="shared" si="4"/>
        <v/>
      </c>
      <c r="F101" s="175">
        <f t="shared" si="5"/>
        <v>-34250</v>
      </c>
      <c r="H101" s="280">
        <v>2155</v>
      </c>
      <c r="I101" s="282">
        <f t="shared" si="6"/>
        <v>-405</v>
      </c>
      <c r="K101" s="280">
        <v>-405</v>
      </c>
      <c r="L101" s="286">
        <f t="shared" si="10"/>
        <v>0</v>
      </c>
    </row>
    <row r="102" spans="1:12">
      <c r="A102" s="313" t="s">
        <v>306</v>
      </c>
      <c r="B102" s="338" t="s">
        <v>309</v>
      </c>
      <c r="C102" s="316">
        <v>500000</v>
      </c>
      <c r="D102" s="365">
        <v>24652</v>
      </c>
      <c r="E102" s="140" t="str">
        <f t="shared" si="4"/>
        <v/>
      </c>
      <c r="F102" s="175">
        <f t="shared" si="5"/>
        <v>-475348</v>
      </c>
      <c r="H102" s="280">
        <v>24652</v>
      </c>
      <c r="I102" s="282">
        <f t="shared" si="6"/>
        <v>0</v>
      </c>
      <c r="K102" s="280">
        <v>0</v>
      </c>
      <c r="L102" s="286">
        <f t="shared" si="10"/>
        <v>0</v>
      </c>
    </row>
    <row r="103" spans="1:12">
      <c r="A103" s="313" t="s">
        <v>2</v>
      </c>
      <c r="B103" s="338" t="s">
        <v>298</v>
      </c>
      <c r="C103" s="316">
        <v>9000000</v>
      </c>
      <c r="D103" s="365">
        <v>8170890</v>
      </c>
      <c r="E103" s="140" t="str">
        <f t="shared" si="4"/>
        <v/>
      </c>
      <c r="F103" s="175">
        <f t="shared" si="5"/>
        <v>-829110</v>
      </c>
      <c r="H103" s="280">
        <v>8170890</v>
      </c>
      <c r="I103" s="282">
        <f t="shared" si="6"/>
        <v>0</v>
      </c>
      <c r="K103" s="280">
        <v>0</v>
      </c>
      <c r="L103" s="286">
        <f t="shared" si="10"/>
        <v>0</v>
      </c>
    </row>
    <row r="104" spans="1:12">
      <c r="A104" s="313" t="s">
        <v>3</v>
      </c>
      <c r="B104" s="338" t="s">
        <v>310</v>
      </c>
      <c r="C104" s="316"/>
      <c r="D104" s="365"/>
      <c r="E104" s="140" t="str">
        <f t="shared" si="4"/>
        <v/>
      </c>
      <c r="F104" s="175">
        <f t="shared" si="5"/>
        <v>0</v>
      </c>
      <c r="I104" s="282">
        <f t="shared" si="6"/>
        <v>0</v>
      </c>
      <c r="K104" s="280">
        <v>0</v>
      </c>
      <c r="L104" s="286">
        <f t="shared" si="10"/>
        <v>0</v>
      </c>
    </row>
    <row r="105" spans="1:12">
      <c r="A105" s="313" t="s">
        <v>94</v>
      </c>
      <c r="B105" s="338" t="s">
        <v>311</v>
      </c>
      <c r="C105" s="316">
        <v>700000</v>
      </c>
      <c r="D105" s="380">
        <f>277897.4-5171.56</f>
        <v>272725.84000000003</v>
      </c>
      <c r="E105" s="140" t="str">
        <f t="shared" ref="E105:E107" si="11">IF((D105-C105)&gt;0,D105-C105,"")</f>
        <v/>
      </c>
      <c r="F105" s="175">
        <f t="shared" ref="F105:F107" si="12">IF((D105-C105)&gt;0,"",D105-C105)</f>
        <v>-427274.16</v>
      </c>
      <c r="G105" s="323" t="s">
        <v>423</v>
      </c>
      <c r="H105" s="280">
        <v>261552.03</v>
      </c>
      <c r="I105" s="282">
        <f t="shared" ref="I105:I107" si="13">D105-H105</f>
        <v>11173.810000000027</v>
      </c>
      <c r="K105" s="280">
        <v>11144.029999999999</v>
      </c>
      <c r="L105" s="286">
        <f t="shared" si="10"/>
        <v>29.78000000002794</v>
      </c>
    </row>
    <row r="106" spans="1:12">
      <c r="A106" s="313" t="s">
        <v>95</v>
      </c>
      <c r="B106" s="338" t="s">
        <v>312</v>
      </c>
      <c r="C106" s="316"/>
      <c r="D106" s="365"/>
      <c r="E106" s="140" t="str">
        <f t="shared" si="11"/>
        <v/>
      </c>
      <c r="F106" s="175">
        <f t="shared" si="12"/>
        <v>0</v>
      </c>
      <c r="I106" s="282">
        <f t="shared" si="13"/>
        <v>0</v>
      </c>
      <c r="K106" s="280">
        <v>0</v>
      </c>
      <c r="L106" s="286">
        <f t="shared" si="10"/>
        <v>0</v>
      </c>
    </row>
    <row r="107" spans="1:12" ht="12.75" hidden="1" customHeight="1">
      <c r="A107" s="137"/>
      <c r="B107" s="138"/>
      <c r="C107" s="142"/>
      <c r="D107" s="365"/>
      <c r="E107" s="140" t="str">
        <f t="shared" si="11"/>
        <v/>
      </c>
      <c r="F107" s="175">
        <f t="shared" si="12"/>
        <v>0</v>
      </c>
      <c r="I107" s="282">
        <f t="shared" si="13"/>
        <v>0</v>
      </c>
      <c r="K107" s="280">
        <v>0</v>
      </c>
      <c r="L107" s="286">
        <f t="shared" si="10"/>
        <v>0</v>
      </c>
    </row>
    <row r="108" spans="1:12" ht="13.5" thickBot="1">
      <c r="A108" s="137"/>
      <c r="B108" s="147"/>
      <c r="C108" s="152">
        <f>SUM(C35:C107)</f>
        <v>108044500</v>
      </c>
      <c r="D108" s="383">
        <f>SUM(D35:D107)</f>
        <v>66810790.830000006</v>
      </c>
      <c r="E108" s="152">
        <f>SUM(E35:E107)</f>
        <v>99006.599999999977</v>
      </c>
      <c r="F108" s="194">
        <f>SUM(F35:F107)</f>
        <v>-41332715.769999996</v>
      </c>
      <c r="G108" s="153"/>
      <c r="H108" s="291">
        <f>SUM(H68:H107)</f>
        <v>42752102.620000005</v>
      </c>
      <c r="I108" s="291">
        <f>SUM(I36:I107)</f>
        <v>-481311.27</v>
      </c>
      <c r="K108" s="280">
        <v>-185901.2499999998</v>
      </c>
      <c r="L108" s="286">
        <f t="shared" si="10"/>
        <v>-295410.02000000025</v>
      </c>
    </row>
    <row r="109" spans="1:12" ht="12.75" hidden="1" customHeight="1">
      <c r="A109" s="146" t="s">
        <v>398</v>
      </c>
      <c r="B109" s="147"/>
      <c r="C109" s="153"/>
      <c r="D109" s="316"/>
      <c r="E109" s="140"/>
      <c r="F109" s="175"/>
      <c r="I109" s="282"/>
      <c r="L109" s="286">
        <f t="shared" si="10"/>
        <v>0</v>
      </c>
    </row>
    <row r="110" spans="1:12" ht="13.5" thickTop="1">
      <c r="A110" s="313" t="s">
        <v>313</v>
      </c>
      <c r="B110" s="338" t="s">
        <v>314</v>
      </c>
      <c r="C110" s="139">
        <v>300000</v>
      </c>
      <c r="D110" s="365"/>
      <c r="E110" s="140" t="str">
        <f t="shared" ref="E110:E111" si="14">IF((D110-C110)&gt;0,D110-C110,"")</f>
        <v/>
      </c>
      <c r="F110" s="175">
        <f t="shared" ref="F110:F111" si="15">IF((D110-C110)&gt;0,"",D110-C110)</f>
        <v>-300000</v>
      </c>
      <c r="I110" s="282">
        <f>D110-H110</f>
        <v>0</v>
      </c>
      <c r="K110" s="280">
        <v>0</v>
      </c>
      <c r="L110" s="286">
        <f t="shared" si="10"/>
        <v>0</v>
      </c>
    </row>
    <row r="111" spans="1:12">
      <c r="A111" s="137"/>
      <c r="B111" s="147"/>
      <c r="C111" s="153"/>
      <c r="D111" s="316"/>
      <c r="E111" s="140" t="str">
        <f t="shared" si="14"/>
        <v/>
      </c>
      <c r="F111" s="175">
        <f t="shared" si="15"/>
        <v>0</v>
      </c>
      <c r="I111" s="282">
        <f t="shared" ref="I111" si="16">D111-H111</f>
        <v>0</v>
      </c>
      <c r="J111" s="284"/>
      <c r="K111" s="280">
        <v>0</v>
      </c>
      <c r="L111" s="286">
        <f t="shared" si="10"/>
        <v>0</v>
      </c>
    </row>
    <row r="112" spans="1:12" ht="13.5" thickBot="1">
      <c r="A112" s="137"/>
      <c r="B112" s="147"/>
      <c r="C112" s="161">
        <f>SUM(C109:C111)</f>
        <v>300000</v>
      </c>
      <c r="D112" s="368">
        <f t="shared" ref="D112:F112" si="17">SUM(D109:D111)</f>
        <v>0</v>
      </c>
      <c r="E112" s="161">
        <f t="shared" si="17"/>
        <v>0</v>
      </c>
      <c r="F112" s="194">
        <f t="shared" si="17"/>
        <v>-300000</v>
      </c>
      <c r="H112" s="292">
        <f>SUM(H111:H111)</f>
        <v>0</v>
      </c>
      <c r="I112" s="291">
        <f>SUM(I111:I111)</f>
        <v>0</v>
      </c>
      <c r="K112" s="280">
        <v>0</v>
      </c>
      <c r="L112" s="286">
        <f t="shared" si="10"/>
        <v>0</v>
      </c>
    </row>
    <row r="113" spans="1:13" ht="13.5" thickTop="1">
      <c r="A113" s="146" t="s">
        <v>399</v>
      </c>
      <c r="B113" s="147"/>
      <c r="C113" s="153"/>
      <c r="D113" s="316"/>
      <c r="E113" s="153"/>
      <c r="F113" s="169"/>
      <c r="I113" s="282"/>
      <c r="L113" s="286">
        <f t="shared" si="10"/>
        <v>0</v>
      </c>
    </row>
    <row r="114" spans="1:13">
      <c r="A114" s="313" t="s">
        <v>4</v>
      </c>
      <c r="B114" s="315" t="s">
        <v>315</v>
      </c>
      <c r="C114" s="153">
        <v>900000</v>
      </c>
      <c r="D114" s="373">
        <v>54726.93</v>
      </c>
      <c r="E114" s="153" t="str">
        <f t="shared" ref="E114:E123" si="18">IF((D114-C114)&gt;0,D114-C114,"")</f>
        <v/>
      </c>
      <c r="F114" s="169">
        <f t="shared" ref="F114:F123" si="19">IF((D114-C114)&gt;0,"",D114-C114)</f>
        <v>-845273.07</v>
      </c>
      <c r="H114" s="280">
        <v>24708.89</v>
      </c>
      <c r="I114" s="283">
        <f t="shared" ref="I114:I123" si="20">D114-H114</f>
        <v>30018.04</v>
      </c>
      <c r="K114" s="280">
        <v>29588.82</v>
      </c>
      <c r="L114" s="425">
        <f t="shared" si="10"/>
        <v>429.22000000000116</v>
      </c>
    </row>
    <row r="115" spans="1:13">
      <c r="A115" s="313" t="s">
        <v>5</v>
      </c>
      <c r="B115" s="315" t="s">
        <v>317</v>
      </c>
      <c r="C115" s="357">
        <v>20000</v>
      </c>
      <c r="D115" s="316">
        <v>6000</v>
      </c>
      <c r="E115" s="153" t="str">
        <f t="shared" si="18"/>
        <v/>
      </c>
      <c r="F115" s="169">
        <f t="shared" si="19"/>
        <v>-14000</v>
      </c>
      <c r="H115" s="280">
        <v>6000</v>
      </c>
      <c r="I115" s="282">
        <f t="shared" si="20"/>
        <v>0</v>
      </c>
      <c r="K115" s="280">
        <v>0</v>
      </c>
      <c r="L115" s="286">
        <f t="shared" si="10"/>
        <v>0</v>
      </c>
    </row>
    <row r="116" spans="1:13">
      <c r="A116" s="313" t="s">
        <v>96</v>
      </c>
      <c r="B116" s="315"/>
      <c r="C116" s="357"/>
      <c r="D116" s="316"/>
      <c r="E116" s="153" t="str">
        <f t="shared" si="18"/>
        <v/>
      </c>
      <c r="F116" s="169">
        <f t="shared" si="19"/>
        <v>0</v>
      </c>
      <c r="I116" s="282">
        <f t="shared" si="20"/>
        <v>0</v>
      </c>
      <c r="K116" s="280">
        <v>0</v>
      </c>
      <c r="L116" s="286">
        <f t="shared" si="10"/>
        <v>0</v>
      </c>
    </row>
    <row r="117" spans="1:13">
      <c r="A117" s="137" t="s">
        <v>97</v>
      </c>
      <c r="B117" s="315" t="s">
        <v>322</v>
      </c>
      <c r="C117" s="357">
        <v>400000</v>
      </c>
      <c r="D117" s="316">
        <v>189080</v>
      </c>
      <c r="E117" s="153" t="str">
        <f t="shared" si="18"/>
        <v/>
      </c>
      <c r="F117" s="169">
        <f t="shared" si="19"/>
        <v>-210920</v>
      </c>
      <c r="H117" s="280">
        <v>187225</v>
      </c>
      <c r="I117" s="282">
        <f t="shared" si="20"/>
        <v>1855</v>
      </c>
      <c r="J117" s="279" t="s">
        <v>424</v>
      </c>
      <c r="K117" s="280">
        <v>5545</v>
      </c>
      <c r="L117" s="286">
        <f t="shared" si="10"/>
        <v>-3690</v>
      </c>
    </row>
    <row r="118" spans="1:13">
      <c r="A118" s="137" t="s">
        <v>98</v>
      </c>
      <c r="B118" s="315" t="s">
        <v>323</v>
      </c>
      <c r="C118" s="357">
        <v>150000</v>
      </c>
      <c r="D118" s="316">
        <v>65125</v>
      </c>
      <c r="E118" s="140" t="str">
        <f t="shared" si="18"/>
        <v/>
      </c>
      <c r="F118" s="175">
        <f t="shared" si="19"/>
        <v>-84875</v>
      </c>
      <c r="H118" s="280">
        <v>66575</v>
      </c>
      <c r="I118" s="282">
        <f t="shared" si="20"/>
        <v>-1450</v>
      </c>
      <c r="K118" s="280">
        <v>0</v>
      </c>
      <c r="L118" s="286">
        <f t="shared" si="10"/>
        <v>-1450</v>
      </c>
    </row>
    <row r="119" spans="1:13">
      <c r="A119" s="137" t="s">
        <v>6</v>
      </c>
      <c r="B119" s="315" t="s">
        <v>324</v>
      </c>
      <c r="C119" s="357">
        <v>300000</v>
      </c>
      <c r="D119" s="316">
        <v>7770</v>
      </c>
      <c r="E119" s="140" t="str">
        <f t="shared" si="18"/>
        <v/>
      </c>
      <c r="F119" s="175">
        <f t="shared" si="19"/>
        <v>-292230</v>
      </c>
      <c r="H119" s="280">
        <v>9570</v>
      </c>
      <c r="I119" s="282">
        <f t="shared" si="20"/>
        <v>-1800</v>
      </c>
      <c r="K119" s="280">
        <v>-2100</v>
      </c>
      <c r="L119" s="425">
        <f t="shared" si="10"/>
        <v>300</v>
      </c>
      <c r="M119" s="279" t="s">
        <v>458</v>
      </c>
    </row>
    <row r="120" spans="1:13">
      <c r="A120" s="313" t="s">
        <v>36</v>
      </c>
      <c r="B120" s="315" t="s">
        <v>325</v>
      </c>
      <c r="C120" s="357">
        <v>10000</v>
      </c>
      <c r="D120" s="316"/>
      <c r="E120" s="140" t="str">
        <f t="shared" si="18"/>
        <v/>
      </c>
      <c r="F120" s="175">
        <f t="shared" si="19"/>
        <v>-10000</v>
      </c>
      <c r="I120" s="282">
        <f t="shared" si="20"/>
        <v>0</v>
      </c>
      <c r="K120" s="280">
        <v>0</v>
      </c>
      <c r="L120" s="286">
        <f t="shared" si="10"/>
        <v>0</v>
      </c>
    </row>
    <row r="121" spans="1:13">
      <c r="A121" s="137" t="s">
        <v>99</v>
      </c>
      <c r="B121" s="315" t="s">
        <v>326</v>
      </c>
      <c r="C121" s="357">
        <v>800000</v>
      </c>
      <c r="D121" s="373">
        <v>288309.01</v>
      </c>
      <c r="E121" s="140" t="str">
        <f t="shared" si="18"/>
        <v/>
      </c>
      <c r="F121" s="175">
        <f t="shared" si="19"/>
        <v>-511690.99</v>
      </c>
      <c r="H121" s="280">
        <v>32335.83</v>
      </c>
      <c r="I121" s="283">
        <f t="shared" si="20"/>
        <v>255973.18</v>
      </c>
      <c r="J121" s="294"/>
      <c r="K121" s="424">
        <v>173049.82</v>
      </c>
      <c r="L121" s="286">
        <f t="shared" si="10"/>
        <v>82923.359999999986</v>
      </c>
    </row>
    <row r="122" spans="1:13">
      <c r="A122" s="137" t="s">
        <v>101</v>
      </c>
      <c r="B122" s="315" t="s">
        <v>328</v>
      </c>
      <c r="C122" s="357">
        <v>60000</v>
      </c>
      <c r="D122" s="373">
        <v>530748.03</v>
      </c>
      <c r="E122" s="140">
        <f t="shared" si="18"/>
        <v>470748.03</v>
      </c>
      <c r="F122" s="175" t="str">
        <f t="shared" si="19"/>
        <v/>
      </c>
      <c r="I122" s="282">
        <f t="shared" si="20"/>
        <v>530748.03</v>
      </c>
      <c r="J122" s="323" t="s">
        <v>421</v>
      </c>
      <c r="K122" s="280">
        <v>315862.95999999996</v>
      </c>
      <c r="L122" s="286">
        <f t="shared" si="10"/>
        <v>214885.07000000007</v>
      </c>
    </row>
    <row r="123" spans="1:13">
      <c r="A123" s="137"/>
      <c r="B123" s="315"/>
      <c r="C123" s="357"/>
      <c r="D123" s="316"/>
      <c r="E123" s="140" t="str">
        <f t="shared" si="18"/>
        <v/>
      </c>
      <c r="F123" s="175">
        <f t="shared" si="19"/>
        <v>0</v>
      </c>
      <c r="I123" s="282">
        <f t="shared" si="20"/>
        <v>0</v>
      </c>
      <c r="K123" s="280">
        <v>0</v>
      </c>
      <c r="L123" s="286">
        <f t="shared" si="10"/>
        <v>0</v>
      </c>
    </row>
    <row r="124" spans="1:13" ht="13.5" thickBot="1">
      <c r="A124" s="146"/>
      <c r="B124" s="138"/>
      <c r="C124" s="163">
        <f>SUM(C114:C123)</f>
        <v>2640000</v>
      </c>
      <c r="D124" s="384">
        <f>SUM(D114:D123)</f>
        <v>1141758.97</v>
      </c>
      <c r="E124" s="163">
        <f>SUM(E114:E123)</f>
        <v>470748.03</v>
      </c>
      <c r="F124" s="164">
        <f>SUM(F114:F123)</f>
        <v>-1968989.0599999998</v>
      </c>
      <c r="I124" s="406">
        <f>SUM(I113:I123)</f>
        <v>815344.25</v>
      </c>
      <c r="K124" s="280">
        <v>521946.6</v>
      </c>
      <c r="L124" s="286">
        <f t="shared" si="10"/>
        <v>293397.65000000002</v>
      </c>
    </row>
    <row r="125" spans="1:13" ht="13.5" thickBot="1">
      <c r="A125" s="165" t="s">
        <v>124</v>
      </c>
      <c r="B125" s="166"/>
      <c r="C125" s="167">
        <f>SUM(C124+C112+C108+C34)</f>
        <v>980161577</v>
      </c>
      <c r="D125" s="385">
        <f>SUM(D124+D112+D108+D34)</f>
        <v>369622394.71999997</v>
      </c>
      <c r="E125" s="157">
        <f>SUM(E124+E112+E108+E34)</f>
        <v>569754.63</v>
      </c>
      <c r="F125" s="210">
        <f>SUM(F124+F112+F108+F34)</f>
        <v>-611108936.91000009</v>
      </c>
      <c r="I125" s="282"/>
    </row>
    <row r="126" spans="1:13">
      <c r="A126" s="158"/>
      <c r="B126" s="348"/>
      <c r="C126" s="358"/>
      <c r="D126" s="358"/>
      <c r="E126" s="310"/>
      <c r="F126" s="184"/>
      <c r="I126" s="282"/>
    </row>
    <row r="127" spans="1:13">
      <c r="A127" s="171" t="s">
        <v>102</v>
      </c>
      <c r="B127" s="138"/>
      <c r="C127" s="160">
        <f>+C125</f>
        <v>980161577</v>
      </c>
      <c r="D127" s="316">
        <f>+D125</f>
        <v>369622394.71999997</v>
      </c>
      <c r="E127" s="139">
        <f>+E125</f>
        <v>569754.63</v>
      </c>
      <c r="F127" s="169">
        <f>+F125</f>
        <v>-611108936.91000009</v>
      </c>
      <c r="I127" s="282"/>
    </row>
    <row r="128" spans="1:13">
      <c r="A128" s="137"/>
      <c r="B128" s="147"/>
      <c r="C128" s="153"/>
      <c r="D128" s="316"/>
      <c r="E128" s="139"/>
      <c r="F128" s="169"/>
      <c r="I128" s="282"/>
    </row>
    <row r="129" spans="1:11">
      <c r="A129" s="146" t="s">
        <v>103</v>
      </c>
      <c r="B129" s="147"/>
      <c r="C129" s="153"/>
      <c r="D129" s="316"/>
      <c r="E129" s="140"/>
      <c r="F129" s="151"/>
      <c r="I129" s="282"/>
    </row>
    <row r="130" spans="1:11">
      <c r="A130" s="137" t="s">
        <v>17</v>
      </c>
      <c r="B130" s="147"/>
      <c r="C130" s="153"/>
      <c r="D130" s="356"/>
      <c r="E130" s="140"/>
      <c r="F130" s="151"/>
      <c r="I130" s="282"/>
    </row>
    <row r="131" spans="1:11">
      <c r="A131" s="146" t="s">
        <v>104</v>
      </c>
      <c r="B131" s="315" t="s">
        <v>330</v>
      </c>
      <c r="C131" s="359">
        <v>15000000</v>
      </c>
      <c r="D131" s="386">
        <v>1169000</v>
      </c>
      <c r="E131" s="172">
        <v>0</v>
      </c>
      <c r="F131" s="177">
        <f>IF((D131-C131)&gt;0,"",D131-C131)</f>
        <v>-13831000</v>
      </c>
      <c r="H131" s="280">
        <v>1358877.21</v>
      </c>
      <c r="I131" s="282">
        <f>+D131-H131</f>
        <v>-189877.20999999996</v>
      </c>
      <c r="K131" s="280">
        <v>0</v>
      </c>
    </row>
    <row r="132" spans="1:11">
      <c r="A132" s="137"/>
      <c r="B132" s="147"/>
      <c r="C132" s="357"/>
      <c r="D132" s="316"/>
      <c r="E132" s="140"/>
      <c r="F132" s="175"/>
      <c r="I132" s="282"/>
    </row>
    <row r="133" spans="1:11">
      <c r="A133" s="146" t="s">
        <v>331</v>
      </c>
      <c r="B133" s="315" t="s">
        <v>332</v>
      </c>
      <c r="C133" s="316"/>
      <c r="D133" s="365"/>
      <c r="E133" s="140" t="str">
        <f t="shared" ref="E133:E149" si="21">IF((D133-C133)&gt;0,D133-C133,"")</f>
        <v/>
      </c>
      <c r="F133" s="175">
        <f t="shared" ref="F133:F149" si="22">IF((D133-C133)&gt;0,"",D133-C133)</f>
        <v>0</v>
      </c>
      <c r="H133" s="280" t="s">
        <v>192</v>
      </c>
      <c r="I133" s="282"/>
    </row>
    <row r="134" spans="1:11">
      <c r="A134" s="313" t="s">
        <v>333</v>
      </c>
      <c r="B134" s="315" t="s">
        <v>334</v>
      </c>
      <c r="C134" s="316">
        <v>5000000</v>
      </c>
      <c r="D134" s="357">
        <v>1579738.74</v>
      </c>
      <c r="E134" s="139" t="str">
        <f>IF((D134-C134)&gt;0,D134-C134,"")</f>
        <v/>
      </c>
      <c r="F134" s="175">
        <f t="shared" si="22"/>
        <v>-3420261.26</v>
      </c>
      <c r="H134" s="280">
        <v>427987.48</v>
      </c>
      <c r="I134" s="282">
        <f>+D134-H134</f>
        <v>1151751.26</v>
      </c>
      <c r="K134" s="280">
        <v>562627.55000000005</v>
      </c>
    </row>
    <row r="135" spans="1:11">
      <c r="A135" s="137" t="s">
        <v>8</v>
      </c>
      <c r="B135" s="315" t="s">
        <v>335</v>
      </c>
      <c r="C135" s="316">
        <v>25350000</v>
      </c>
      <c r="D135" s="360">
        <v>7390040.2400000002</v>
      </c>
      <c r="E135" s="139" t="str">
        <f>IF((D135-C135)&gt;0,D135-C135,"")</f>
        <v/>
      </c>
      <c r="F135" s="175">
        <f t="shared" si="22"/>
        <v>-17959959.759999998</v>
      </c>
      <c r="H135" s="280">
        <v>3424818.37</v>
      </c>
      <c r="I135" s="282">
        <f t="shared" ref="I135:I149" si="23">+D135-H135</f>
        <v>3965221.87</v>
      </c>
      <c r="K135" s="280">
        <v>1979808.2999999998</v>
      </c>
    </row>
    <row r="136" spans="1:11">
      <c r="A136" s="171" t="s">
        <v>9</v>
      </c>
      <c r="B136" s="315" t="s">
        <v>336</v>
      </c>
      <c r="C136" s="357">
        <v>8000000</v>
      </c>
      <c r="D136" s="360">
        <v>2343475.62</v>
      </c>
      <c r="E136" s="139" t="str">
        <f t="shared" si="21"/>
        <v/>
      </c>
      <c r="F136" s="175">
        <f t="shared" si="22"/>
        <v>-5656524.3799999999</v>
      </c>
      <c r="H136" s="280">
        <v>692943</v>
      </c>
      <c r="I136" s="282">
        <f t="shared" si="23"/>
        <v>1650532.62</v>
      </c>
      <c r="K136" s="280">
        <v>844190.33000000007</v>
      </c>
    </row>
    <row r="137" spans="1:11">
      <c r="A137" s="313" t="s">
        <v>344</v>
      </c>
      <c r="B137" s="315" t="s">
        <v>345</v>
      </c>
      <c r="C137" s="360">
        <v>1980000</v>
      </c>
      <c r="D137" s="360"/>
      <c r="E137" s="139" t="str">
        <f t="shared" si="21"/>
        <v/>
      </c>
      <c r="F137" s="175">
        <f t="shared" si="22"/>
        <v>-1980000</v>
      </c>
      <c r="H137" s="280">
        <v>0</v>
      </c>
      <c r="I137" s="282">
        <f t="shared" si="23"/>
        <v>0</v>
      </c>
      <c r="K137" s="280">
        <v>0</v>
      </c>
    </row>
    <row r="138" spans="1:11">
      <c r="A138" s="171" t="s">
        <v>4</v>
      </c>
      <c r="B138" s="315" t="s">
        <v>337</v>
      </c>
      <c r="C138" s="360">
        <v>600000</v>
      </c>
      <c r="D138" s="387">
        <v>327682.5</v>
      </c>
      <c r="E138" s="139" t="str">
        <f t="shared" si="21"/>
        <v/>
      </c>
      <c r="F138" s="175">
        <f t="shared" si="22"/>
        <v>-272317.5</v>
      </c>
      <c r="H138" s="280">
        <f>21060+184800</f>
        <v>205860</v>
      </c>
      <c r="I138" s="282">
        <f t="shared" si="23"/>
        <v>121822.5</v>
      </c>
      <c r="K138" s="280">
        <v>87462.5</v>
      </c>
    </row>
    <row r="139" spans="1:11">
      <c r="A139" s="313" t="s">
        <v>338</v>
      </c>
      <c r="B139" s="315" t="s">
        <v>339</v>
      </c>
      <c r="C139" s="360">
        <v>1400000</v>
      </c>
      <c r="D139" s="387">
        <v>396504</v>
      </c>
      <c r="E139" s="139" t="str">
        <f t="shared" si="21"/>
        <v/>
      </c>
      <c r="F139" s="175">
        <f t="shared" si="22"/>
        <v>-1003496</v>
      </c>
      <c r="H139" s="280">
        <v>64008</v>
      </c>
      <c r="I139" s="282">
        <f t="shared" si="23"/>
        <v>332496</v>
      </c>
      <c r="K139" s="280">
        <v>204804</v>
      </c>
    </row>
    <row r="140" spans="1:11">
      <c r="A140" s="137" t="s">
        <v>106</v>
      </c>
      <c r="B140" s="315" t="s">
        <v>340</v>
      </c>
      <c r="C140" s="360">
        <v>400000</v>
      </c>
      <c r="D140" s="387">
        <v>186523.75</v>
      </c>
      <c r="E140" s="139" t="str">
        <f t="shared" si="21"/>
        <v/>
      </c>
      <c r="F140" s="175">
        <f t="shared" si="22"/>
        <v>-213476.25</v>
      </c>
      <c r="H140" s="280">
        <v>90887.28</v>
      </c>
      <c r="I140" s="282">
        <f t="shared" si="23"/>
        <v>95636.47</v>
      </c>
      <c r="K140" s="280">
        <v>47750.579999999987</v>
      </c>
    </row>
    <row r="141" spans="1:11">
      <c r="A141" s="137" t="s">
        <v>10</v>
      </c>
      <c r="B141" s="315" t="s">
        <v>341</v>
      </c>
      <c r="C141" s="316">
        <v>1000000</v>
      </c>
      <c r="D141" s="388">
        <v>563300</v>
      </c>
      <c r="E141" s="139" t="str">
        <f t="shared" si="21"/>
        <v/>
      </c>
      <c r="F141" s="175">
        <f t="shared" si="22"/>
        <v>-436700</v>
      </c>
      <c r="H141" s="280">
        <v>485000</v>
      </c>
      <c r="I141" s="282">
        <f t="shared" si="23"/>
        <v>78300</v>
      </c>
      <c r="K141" s="280">
        <v>56300</v>
      </c>
    </row>
    <row r="142" spans="1:11">
      <c r="A142" s="137" t="s">
        <v>28</v>
      </c>
      <c r="B142" s="315" t="s">
        <v>342</v>
      </c>
      <c r="C142" s="316">
        <v>160000</v>
      </c>
      <c r="D142" s="357">
        <v>162700</v>
      </c>
      <c r="E142" s="139">
        <f t="shared" si="21"/>
        <v>2700</v>
      </c>
      <c r="F142" s="175" t="str">
        <f t="shared" si="22"/>
        <v/>
      </c>
      <c r="I142" s="282">
        <f t="shared" si="23"/>
        <v>162700</v>
      </c>
      <c r="K142" s="280">
        <v>112700</v>
      </c>
    </row>
    <row r="143" spans="1:11">
      <c r="A143" s="137" t="s">
        <v>30</v>
      </c>
      <c r="B143" s="315" t="s">
        <v>343</v>
      </c>
      <c r="C143" s="316">
        <v>170000</v>
      </c>
      <c r="D143" s="388">
        <v>28500</v>
      </c>
      <c r="E143" s="139" t="str">
        <f t="shared" si="21"/>
        <v/>
      </c>
      <c r="F143" s="175">
        <f t="shared" si="22"/>
        <v>-141500</v>
      </c>
      <c r="H143" s="280">
        <v>13500</v>
      </c>
      <c r="I143" s="282">
        <f t="shared" si="23"/>
        <v>15000</v>
      </c>
      <c r="K143" s="280">
        <v>1500</v>
      </c>
    </row>
    <row r="144" spans="1:11">
      <c r="A144" s="313" t="s">
        <v>432</v>
      </c>
      <c r="B144" s="338"/>
      <c r="C144" s="316"/>
      <c r="D144" s="388"/>
      <c r="E144" s="139" t="str">
        <f t="shared" si="21"/>
        <v/>
      </c>
      <c r="F144" s="175">
        <f t="shared" si="22"/>
        <v>0</v>
      </c>
      <c r="I144" s="282"/>
    </row>
    <row r="145" spans="1:11">
      <c r="A145" s="137" t="s">
        <v>89</v>
      </c>
      <c r="B145" s="338" t="s">
        <v>439</v>
      </c>
      <c r="C145" s="316">
        <v>430000</v>
      </c>
      <c r="D145" s="221">
        <v>46430</v>
      </c>
      <c r="E145" s="139" t="str">
        <f t="shared" si="21"/>
        <v/>
      </c>
      <c r="F145" s="175">
        <f t="shared" si="22"/>
        <v>-383570</v>
      </c>
      <c r="H145" s="280">
        <v>136136.47</v>
      </c>
      <c r="I145" s="282">
        <f t="shared" si="23"/>
        <v>-89706.47</v>
      </c>
      <c r="K145" s="280">
        <v>-99966.47</v>
      </c>
    </row>
    <row r="146" spans="1:11">
      <c r="A146" s="137" t="s">
        <v>172</v>
      </c>
      <c r="B146" s="338" t="s">
        <v>435</v>
      </c>
      <c r="C146" s="316">
        <v>1000000</v>
      </c>
      <c r="D146" s="221">
        <v>356898.46</v>
      </c>
      <c r="E146" s="139" t="str">
        <f t="shared" si="21"/>
        <v/>
      </c>
      <c r="F146" s="175">
        <f t="shared" si="22"/>
        <v>-643101.54</v>
      </c>
      <c r="H146" s="280">
        <v>14000</v>
      </c>
      <c r="I146" s="282">
        <f t="shared" si="23"/>
        <v>342898.46</v>
      </c>
      <c r="K146" s="280">
        <v>240690.55</v>
      </c>
    </row>
    <row r="147" spans="1:11">
      <c r="A147" s="137" t="s">
        <v>91</v>
      </c>
      <c r="B147" s="338" t="s">
        <v>436</v>
      </c>
      <c r="C147" s="316">
        <v>250000</v>
      </c>
      <c r="D147" s="221">
        <v>77570</v>
      </c>
      <c r="E147" s="139" t="str">
        <f t="shared" si="21"/>
        <v/>
      </c>
      <c r="F147" s="175">
        <f t="shared" si="22"/>
        <v>-172430</v>
      </c>
      <c r="H147" s="280">
        <v>35000</v>
      </c>
      <c r="I147" s="282">
        <f t="shared" si="23"/>
        <v>42570</v>
      </c>
      <c r="K147" s="280">
        <v>21190</v>
      </c>
    </row>
    <row r="148" spans="1:11">
      <c r="A148" s="137" t="s">
        <v>255</v>
      </c>
      <c r="B148" s="338" t="s">
        <v>438</v>
      </c>
      <c r="C148" s="316">
        <v>250000</v>
      </c>
      <c r="D148" s="221">
        <v>91340</v>
      </c>
      <c r="E148" s="139" t="str">
        <f t="shared" si="21"/>
        <v/>
      </c>
      <c r="F148" s="175">
        <f t="shared" si="22"/>
        <v>-158660</v>
      </c>
      <c r="H148" s="280">
        <v>35700</v>
      </c>
      <c r="I148" s="282">
        <f t="shared" si="23"/>
        <v>55640</v>
      </c>
      <c r="K148" s="280">
        <v>30580</v>
      </c>
    </row>
    <row r="149" spans="1:11">
      <c r="A149" s="137" t="s">
        <v>263</v>
      </c>
      <c r="B149" s="315" t="s">
        <v>441</v>
      </c>
      <c r="C149" s="316">
        <v>610000</v>
      </c>
      <c r="D149" s="221">
        <v>89700</v>
      </c>
      <c r="E149" s="142" t="str">
        <f t="shared" si="21"/>
        <v/>
      </c>
      <c r="F149" s="175">
        <f t="shared" si="22"/>
        <v>-520300</v>
      </c>
      <c r="H149" s="280">
        <v>35700</v>
      </c>
      <c r="I149" s="282">
        <f t="shared" si="23"/>
        <v>54000</v>
      </c>
      <c r="K149" s="280">
        <v>28940</v>
      </c>
    </row>
    <row r="150" spans="1:11" ht="13.5" thickBot="1">
      <c r="A150" s="137"/>
      <c r="B150" s="147"/>
      <c r="C150" s="172">
        <f>SUM(C134:C149)</f>
        <v>46600000</v>
      </c>
      <c r="D150" s="359">
        <f>SUM(D134:D149)</f>
        <v>13640403.310000002</v>
      </c>
      <c r="E150" s="172">
        <f>SUM(E134:E149)</f>
        <v>2700</v>
      </c>
      <c r="F150" s="174">
        <f>SUM(F134:F149)</f>
        <v>-32962296.689999994</v>
      </c>
      <c r="H150" s="292">
        <f>SUM(H134:H149)</f>
        <v>5661540.5999999996</v>
      </c>
      <c r="I150" s="292">
        <f>SUM(I134:I149)</f>
        <v>7978862.71</v>
      </c>
      <c r="K150" s="280">
        <v>4118577.3399999994</v>
      </c>
    </row>
    <row r="151" spans="1:11" ht="13.5" thickTop="1">
      <c r="A151" s="146" t="s">
        <v>395</v>
      </c>
      <c r="B151" s="315" t="s">
        <v>332</v>
      </c>
      <c r="C151" s="153"/>
      <c r="D151" s="360"/>
      <c r="E151" s="163"/>
      <c r="F151" s="151"/>
      <c r="I151" s="282"/>
    </row>
    <row r="152" spans="1:11">
      <c r="A152" s="137" t="s">
        <v>8</v>
      </c>
      <c r="B152" s="315" t="s">
        <v>346</v>
      </c>
      <c r="C152" s="316">
        <v>8000000</v>
      </c>
      <c r="D152" s="317">
        <v>2311893</v>
      </c>
      <c r="E152" s="139" t="str">
        <f t="shared" ref="E152:E165" si="24">IF((D152-C152)&gt;0,D152-C152,"")</f>
        <v/>
      </c>
      <c r="F152" s="175">
        <f t="shared" ref="F152:F165" si="25">IF((D152-C152)&gt;0,"",D152-C152)</f>
        <v>-5688107</v>
      </c>
      <c r="H152" s="280">
        <v>757628.52</v>
      </c>
      <c r="I152" s="282">
        <f>+D152-H152</f>
        <v>1554264.48</v>
      </c>
      <c r="K152" s="280">
        <v>763524.74</v>
      </c>
    </row>
    <row r="153" spans="1:11">
      <c r="A153" s="137" t="s">
        <v>106</v>
      </c>
      <c r="B153" s="315" t="s">
        <v>347</v>
      </c>
      <c r="C153" s="316">
        <v>100000</v>
      </c>
      <c r="D153" s="317">
        <v>35549.599999999999</v>
      </c>
      <c r="E153" s="139" t="str">
        <f t="shared" si="24"/>
        <v/>
      </c>
      <c r="F153" s="175">
        <f t="shared" si="25"/>
        <v>-64450.400000000001</v>
      </c>
      <c r="H153" s="280">
        <v>9418.23</v>
      </c>
      <c r="I153" s="282">
        <f t="shared" ref="I153:I165" si="26">+D153-H153</f>
        <v>26131.37</v>
      </c>
      <c r="K153" s="280">
        <v>15767.2</v>
      </c>
    </row>
    <row r="154" spans="1:11">
      <c r="A154" s="137" t="s">
        <v>4</v>
      </c>
      <c r="B154" s="315" t="s">
        <v>348</v>
      </c>
      <c r="C154" s="316">
        <v>30000</v>
      </c>
      <c r="D154" s="317">
        <v>24920</v>
      </c>
      <c r="E154" s="139" t="str">
        <f t="shared" si="24"/>
        <v/>
      </c>
      <c r="F154" s="175">
        <f t="shared" si="25"/>
        <v>-5080</v>
      </c>
      <c r="H154" s="280">
        <f>300+21600</f>
        <v>21900</v>
      </c>
      <c r="I154" s="282">
        <f t="shared" si="26"/>
        <v>3020</v>
      </c>
      <c r="K154" s="280">
        <v>1660</v>
      </c>
    </row>
    <row r="155" spans="1:11">
      <c r="A155" s="137" t="s">
        <v>11</v>
      </c>
      <c r="B155" s="315" t="s">
        <v>349</v>
      </c>
      <c r="C155" s="316">
        <v>200000</v>
      </c>
      <c r="D155" s="317">
        <v>1000</v>
      </c>
      <c r="E155" s="139" t="str">
        <f t="shared" si="24"/>
        <v/>
      </c>
      <c r="F155" s="175">
        <f t="shared" si="25"/>
        <v>-199000</v>
      </c>
      <c r="H155" s="280">
        <v>21000</v>
      </c>
      <c r="I155" s="282">
        <f t="shared" si="26"/>
        <v>-20000</v>
      </c>
      <c r="K155" s="280">
        <v>-20000</v>
      </c>
    </row>
    <row r="156" spans="1:11">
      <c r="A156" s="137" t="s">
        <v>12</v>
      </c>
      <c r="B156" s="315" t="s">
        <v>350</v>
      </c>
      <c r="C156" s="316">
        <v>1100000</v>
      </c>
      <c r="D156" s="317">
        <v>197799</v>
      </c>
      <c r="E156" s="139" t="str">
        <f t="shared" si="24"/>
        <v/>
      </c>
      <c r="F156" s="175">
        <f t="shared" si="25"/>
        <v>-902201</v>
      </c>
      <c r="H156" s="280">
        <v>72531</v>
      </c>
      <c r="I156" s="282">
        <f t="shared" si="26"/>
        <v>125268</v>
      </c>
      <c r="K156" s="280">
        <v>62265</v>
      </c>
    </row>
    <row r="157" spans="1:11">
      <c r="A157" s="137" t="s">
        <v>37</v>
      </c>
      <c r="B157" s="315" t="s">
        <v>351</v>
      </c>
      <c r="C157" s="316">
        <v>6500000</v>
      </c>
      <c r="D157" s="317">
        <v>1653048</v>
      </c>
      <c r="E157" s="139" t="str">
        <f t="shared" si="24"/>
        <v/>
      </c>
      <c r="F157" s="175">
        <f t="shared" si="25"/>
        <v>-4846952</v>
      </c>
      <c r="H157" s="280">
        <v>505073</v>
      </c>
      <c r="I157" s="282">
        <f t="shared" si="26"/>
        <v>1147975</v>
      </c>
      <c r="K157" s="280">
        <v>606790</v>
      </c>
    </row>
    <row r="158" spans="1:11">
      <c r="A158" s="313" t="s">
        <v>447</v>
      </c>
      <c r="B158" s="315" t="s">
        <v>446</v>
      </c>
      <c r="C158" s="316">
        <v>120000</v>
      </c>
      <c r="D158" s="317">
        <v>106200</v>
      </c>
      <c r="E158" s="139" t="str">
        <f>IF((D158-C158)&gt;0,D158-C158,"")</f>
        <v/>
      </c>
      <c r="F158" s="175">
        <f>IF((D158-C158)&gt;0,"",D158-C158)</f>
        <v>-13800</v>
      </c>
      <c r="I158" s="282">
        <f>+D158-H158</f>
        <v>106200</v>
      </c>
      <c r="K158" s="280">
        <v>95600</v>
      </c>
    </row>
    <row r="159" spans="1:11">
      <c r="A159" s="313" t="s">
        <v>432</v>
      </c>
      <c r="B159" s="338"/>
      <c r="C159" s="316"/>
      <c r="D159" s="317"/>
      <c r="E159" s="139" t="str">
        <f t="shared" si="24"/>
        <v/>
      </c>
      <c r="F159" s="175">
        <f t="shared" si="25"/>
        <v>0</v>
      </c>
      <c r="I159" s="282"/>
    </row>
    <row r="160" spans="1:11">
      <c r="A160" s="313" t="s">
        <v>352</v>
      </c>
      <c r="B160" s="338" t="s">
        <v>439</v>
      </c>
      <c r="C160" s="316">
        <v>250000</v>
      </c>
      <c r="D160" s="221">
        <v>40549</v>
      </c>
      <c r="E160" s="139" t="str">
        <f t="shared" si="24"/>
        <v/>
      </c>
      <c r="F160" s="175">
        <f t="shared" si="25"/>
        <v>-209451</v>
      </c>
      <c r="H160" s="280">
        <v>9658</v>
      </c>
      <c r="I160" s="282">
        <f>+D160-H160</f>
        <v>30891</v>
      </c>
      <c r="K160" s="280">
        <v>22440</v>
      </c>
    </row>
    <row r="161" spans="1:11">
      <c r="A161" s="313" t="s">
        <v>353</v>
      </c>
      <c r="B161" s="338" t="s">
        <v>435</v>
      </c>
      <c r="C161" s="373">
        <v>50000</v>
      </c>
      <c r="D161" s="389">
        <v>11550</v>
      </c>
      <c r="E161" s="139" t="str">
        <f t="shared" si="24"/>
        <v/>
      </c>
      <c r="F161" s="175">
        <f t="shared" si="25"/>
        <v>-38450</v>
      </c>
      <c r="H161" s="280">
        <v>6490</v>
      </c>
      <c r="I161" s="282">
        <f t="shared" si="26"/>
        <v>5060</v>
      </c>
      <c r="K161" s="280">
        <v>2480</v>
      </c>
    </row>
    <row r="162" spans="1:11">
      <c r="A162" s="313" t="s">
        <v>354</v>
      </c>
      <c r="B162" s="338" t="s">
        <v>435</v>
      </c>
      <c r="C162" s="373">
        <v>250000</v>
      </c>
      <c r="D162" s="389">
        <f>40774-325</f>
        <v>40449</v>
      </c>
      <c r="E162" s="139" t="str">
        <f t="shared" si="24"/>
        <v/>
      </c>
      <c r="F162" s="175">
        <f t="shared" si="25"/>
        <v>-209551</v>
      </c>
      <c r="H162" s="280">
        <v>9058</v>
      </c>
      <c r="I162" s="282">
        <f t="shared" si="26"/>
        <v>31391</v>
      </c>
      <c r="K162" s="280">
        <v>22940</v>
      </c>
    </row>
    <row r="163" spans="1:11" s="321" customFormat="1">
      <c r="A163" s="352" t="s">
        <v>355</v>
      </c>
      <c r="B163" s="338" t="s">
        <v>436</v>
      </c>
      <c r="C163" s="316">
        <v>20000</v>
      </c>
      <c r="D163" s="221">
        <v>8660</v>
      </c>
      <c r="E163" s="316" t="str">
        <f t="shared" si="24"/>
        <v/>
      </c>
      <c r="F163" s="318">
        <f t="shared" si="25"/>
        <v>-11340</v>
      </c>
      <c r="G163" s="319">
        <v>43933</v>
      </c>
      <c r="H163" s="320">
        <v>3260</v>
      </c>
      <c r="I163" s="25">
        <f t="shared" si="26"/>
        <v>5400</v>
      </c>
      <c r="K163" s="320">
        <v>3100</v>
      </c>
    </row>
    <row r="164" spans="1:11" s="321" customFormat="1">
      <c r="A164" s="352" t="s">
        <v>356</v>
      </c>
      <c r="B164" s="338" t="s">
        <v>438</v>
      </c>
      <c r="C164" s="316">
        <v>25000</v>
      </c>
      <c r="D164" s="221">
        <v>11965</v>
      </c>
      <c r="E164" s="316" t="str">
        <f t="shared" si="24"/>
        <v/>
      </c>
      <c r="F164" s="318">
        <f t="shared" si="25"/>
        <v>-13035</v>
      </c>
      <c r="H164" s="320">
        <v>2180</v>
      </c>
      <c r="I164" s="25">
        <f t="shared" si="26"/>
        <v>9785</v>
      </c>
      <c r="K164" s="320">
        <v>8400</v>
      </c>
    </row>
    <row r="165" spans="1:11">
      <c r="A165" s="313" t="s">
        <v>92</v>
      </c>
      <c r="B165" s="315" t="s">
        <v>441</v>
      </c>
      <c r="C165" s="316">
        <v>25000</v>
      </c>
      <c r="D165" s="390">
        <v>11965</v>
      </c>
      <c r="E165" s="139" t="str">
        <f t="shared" si="24"/>
        <v/>
      </c>
      <c r="F165" s="175">
        <f t="shared" si="25"/>
        <v>-13035</v>
      </c>
      <c r="H165" s="280">
        <v>2180</v>
      </c>
      <c r="I165" s="282">
        <f t="shared" si="26"/>
        <v>9785</v>
      </c>
      <c r="K165" s="280">
        <v>8400</v>
      </c>
    </row>
    <row r="166" spans="1:11" ht="13.5" thickBot="1">
      <c r="A166" s="137"/>
      <c r="B166" s="147"/>
      <c r="C166" s="176">
        <f>SUM(C152:C165)</f>
        <v>16670000</v>
      </c>
      <c r="D166" s="359">
        <f>SUM(D152:D165)</f>
        <v>4455547.5999999996</v>
      </c>
      <c r="E166" s="173">
        <f>SUM(E152:E165)</f>
        <v>0</v>
      </c>
      <c r="F166" s="177">
        <f>SUM(F152:F165)</f>
        <v>-12214452.4</v>
      </c>
      <c r="H166" s="292">
        <f>SUM(H152:H165)</f>
        <v>1420376.75</v>
      </c>
      <c r="I166" s="292">
        <f>SUM(I152:I165)</f>
        <v>3035170.85</v>
      </c>
      <c r="J166" s="297"/>
      <c r="K166" s="280">
        <v>1593366.94</v>
      </c>
    </row>
    <row r="167" spans="1:11" ht="13.5" customHeight="1" thickTop="1">
      <c r="A167" s="146"/>
      <c r="B167" s="147"/>
      <c r="C167" s="153"/>
      <c r="D167" s="316"/>
      <c r="E167" s="140"/>
      <c r="F167" s="151"/>
      <c r="I167" s="282"/>
    </row>
    <row r="168" spans="1:11">
      <c r="A168" s="146" t="s">
        <v>420</v>
      </c>
      <c r="B168" s="315" t="s">
        <v>358</v>
      </c>
      <c r="C168" s="153"/>
      <c r="D168" s="360"/>
      <c r="E168" s="139"/>
      <c r="F168" s="151"/>
      <c r="H168" s="280" t="s">
        <v>192</v>
      </c>
      <c r="I168" s="282"/>
    </row>
    <row r="169" spans="1:11">
      <c r="A169" s="313" t="s">
        <v>410</v>
      </c>
      <c r="B169" s="315" t="s">
        <v>359</v>
      </c>
      <c r="C169" s="316">
        <v>12100000</v>
      </c>
      <c r="D169" s="391">
        <v>3919790</v>
      </c>
      <c r="E169" s="139" t="str">
        <f t="shared" ref="E169:E182" si="27">IF((D169-C169)&gt;0,D169-C169,"")</f>
        <v/>
      </c>
      <c r="F169" s="175">
        <f t="shared" ref="F169:F182" si="28">IF((D169-C169)&gt;0,"",D169-C169)</f>
        <v>-8180210</v>
      </c>
      <c r="H169" s="280">
        <v>1024740</v>
      </c>
      <c r="I169" s="282">
        <f>+D169-H169</f>
        <v>2895050</v>
      </c>
      <c r="K169" s="280">
        <v>1567700</v>
      </c>
    </row>
    <row r="170" spans="1:11">
      <c r="A170" s="137" t="s">
        <v>14</v>
      </c>
      <c r="B170" s="315" t="s">
        <v>360</v>
      </c>
      <c r="C170" s="316">
        <v>2000000</v>
      </c>
      <c r="D170" s="391">
        <v>537510</v>
      </c>
      <c r="E170" s="139" t="str">
        <f t="shared" si="27"/>
        <v/>
      </c>
      <c r="F170" s="175">
        <f t="shared" si="28"/>
        <v>-1462490</v>
      </c>
      <c r="H170" s="280">
        <v>157270</v>
      </c>
      <c r="I170" s="282">
        <f t="shared" ref="I170:I182" si="29">+D170-H170</f>
        <v>380240</v>
      </c>
      <c r="K170" s="280">
        <v>194155</v>
      </c>
    </row>
    <row r="171" spans="1:11">
      <c r="A171" s="137" t="s">
        <v>8</v>
      </c>
      <c r="B171" s="315" t="s">
        <v>361</v>
      </c>
      <c r="C171" s="316">
        <v>2626000</v>
      </c>
      <c r="D171" s="392">
        <v>797821.78</v>
      </c>
      <c r="E171" s="139" t="str">
        <f t="shared" si="27"/>
        <v/>
      </c>
      <c r="F171" s="175">
        <f t="shared" si="28"/>
        <v>-1828178.22</v>
      </c>
      <c r="H171" s="280">
        <v>334433.96999999997</v>
      </c>
      <c r="I171" s="282">
        <f t="shared" si="29"/>
        <v>463387.81000000006</v>
      </c>
      <c r="K171" s="280">
        <v>200867.87</v>
      </c>
    </row>
    <row r="172" spans="1:11">
      <c r="A172" s="137" t="s">
        <v>15</v>
      </c>
      <c r="B172" s="315" t="s">
        <v>362</v>
      </c>
      <c r="C172" s="316">
        <v>3000000</v>
      </c>
      <c r="D172" s="392">
        <v>777525</v>
      </c>
      <c r="E172" s="139" t="str">
        <f t="shared" si="27"/>
        <v/>
      </c>
      <c r="F172" s="175">
        <f t="shared" si="28"/>
        <v>-2222475</v>
      </c>
      <c r="H172" s="280">
        <v>266606</v>
      </c>
      <c r="I172" s="282">
        <f t="shared" si="29"/>
        <v>510919</v>
      </c>
      <c r="K172" s="280">
        <v>242409</v>
      </c>
    </row>
    <row r="173" spans="1:11">
      <c r="A173" s="137" t="s">
        <v>4</v>
      </c>
      <c r="B173" s="315" t="s">
        <v>363</v>
      </c>
      <c r="C173" s="316">
        <v>100000</v>
      </c>
      <c r="D173" s="391">
        <v>46700</v>
      </c>
      <c r="E173" s="139" t="str">
        <f t="shared" si="27"/>
        <v/>
      </c>
      <c r="F173" s="175">
        <f t="shared" si="28"/>
        <v>-53300</v>
      </c>
      <c r="H173" s="280">
        <v>14700</v>
      </c>
      <c r="I173" s="282">
        <f t="shared" si="29"/>
        <v>32000</v>
      </c>
      <c r="K173" s="280">
        <v>2400</v>
      </c>
    </row>
    <row r="174" spans="1:11">
      <c r="A174" s="137" t="s">
        <v>16</v>
      </c>
      <c r="B174" s="315" t="s">
        <v>364</v>
      </c>
      <c r="C174" s="316">
        <v>60000</v>
      </c>
      <c r="D174" s="391">
        <v>93000</v>
      </c>
      <c r="E174" s="139">
        <f t="shared" si="27"/>
        <v>33000</v>
      </c>
      <c r="F174" s="175" t="str">
        <f t="shared" si="28"/>
        <v/>
      </c>
      <c r="H174" s="280">
        <v>1000</v>
      </c>
      <c r="I174" s="282">
        <f t="shared" si="29"/>
        <v>92000</v>
      </c>
      <c r="K174" s="280">
        <v>22000</v>
      </c>
    </row>
    <row r="175" spans="1:11">
      <c r="A175" s="137" t="s">
        <v>106</v>
      </c>
      <c r="B175" s="315" t="s">
        <v>365</v>
      </c>
      <c r="C175" s="316">
        <v>60000</v>
      </c>
      <c r="D175" s="391">
        <v>43902.45</v>
      </c>
      <c r="E175" s="139" t="str">
        <f t="shared" si="27"/>
        <v/>
      </c>
      <c r="F175" s="175">
        <f t="shared" si="28"/>
        <v>-16097.550000000003</v>
      </c>
      <c r="H175" s="280">
        <v>23773.7</v>
      </c>
      <c r="I175" s="282">
        <f t="shared" si="29"/>
        <v>20128.749999999996</v>
      </c>
      <c r="K175" s="280">
        <v>9174.2000000000007</v>
      </c>
    </row>
    <row r="176" spans="1:11">
      <c r="A176" s="137" t="s">
        <v>173</v>
      </c>
      <c r="B176" s="315" t="s">
        <v>366</v>
      </c>
      <c r="C176" s="316">
        <v>300000</v>
      </c>
      <c r="D176" s="391">
        <v>351150</v>
      </c>
      <c r="E176" s="139">
        <f t="shared" si="27"/>
        <v>51150</v>
      </c>
      <c r="F176" s="175" t="str">
        <f t="shared" si="28"/>
        <v/>
      </c>
      <c r="H176" s="280">
        <v>289950</v>
      </c>
      <c r="I176" s="282">
        <f t="shared" si="29"/>
        <v>61200</v>
      </c>
      <c r="K176" s="280">
        <v>50100</v>
      </c>
    </row>
    <row r="177" spans="1:11">
      <c r="A177" s="313" t="s">
        <v>432</v>
      </c>
      <c r="B177" s="338"/>
      <c r="C177" s="316"/>
      <c r="D177" s="391"/>
      <c r="E177" s="139" t="str">
        <f t="shared" si="27"/>
        <v/>
      </c>
      <c r="F177" s="175">
        <f t="shared" si="28"/>
        <v>0</v>
      </c>
      <c r="I177" s="282"/>
    </row>
    <row r="178" spans="1:11">
      <c r="A178" s="137" t="s">
        <v>89</v>
      </c>
      <c r="B178" s="338" t="s">
        <v>439</v>
      </c>
      <c r="C178" s="316">
        <v>700000</v>
      </c>
      <c r="D178" s="391">
        <v>213851</v>
      </c>
      <c r="E178" s="139" t="str">
        <f t="shared" si="27"/>
        <v/>
      </c>
      <c r="F178" s="175">
        <f t="shared" si="28"/>
        <v>-486149</v>
      </c>
      <c r="H178" s="280">
        <v>77206</v>
      </c>
      <c r="I178" s="282">
        <f t="shared" si="29"/>
        <v>136645</v>
      </c>
      <c r="K178" s="280">
        <v>60711</v>
      </c>
    </row>
    <row r="179" spans="1:11">
      <c r="A179" s="137" t="s">
        <v>172</v>
      </c>
      <c r="B179" s="338" t="s">
        <v>435</v>
      </c>
      <c r="C179" s="316">
        <v>600000</v>
      </c>
      <c r="D179" s="391">
        <v>211459</v>
      </c>
      <c r="E179" s="139" t="str">
        <f t="shared" si="27"/>
        <v/>
      </c>
      <c r="F179" s="175">
        <f t="shared" si="28"/>
        <v>-388541</v>
      </c>
      <c r="H179" s="280">
        <v>63403</v>
      </c>
      <c r="I179" s="282">
        <f t="shared" si="29"/>
        <v>148056</v>
      </c>
      <c r="K179" s="280">
        <v>80281</v>
      </c>
    </row>
    <row r="180" spans="1:11">
      <c r="A180" s="137" t="s">
        <v>91</v>
      </c>
      <c r="B180" s="338" t="s">
        <v>436</v>
      </c>
      <c r="C180" s="316">
        <v>50000</v>
      </c>
      <c r="D180" s="391">
        <v>35130</v>
      </c>
      <c r="E180" s="139" t="str">
        <f t="shared" si="27"/>
        <v/>
      </c>
      <c r="F180" s="175">
        <f t="shared" si="28"/>
        <v>-14870</v>
      </c>
      <c r="H180" s="280">
        <v>26651</v>
      </c>
      <c r="I180" s="282">
        <f t="shared" si="29"/>
        <v>8479</v>
      </c>
      <c r="K180" s="280">
        <v>5924</v>
      </c>
    </row>
    <row r="181" spans="1:11">
      <c r="A181" s="137" t="s">
        <v>255</v>
      </c>
      <c r="B181" s="418" t="s">
        <v>438</v>
      </c>
      <c r="C181" s="316">
        <v>50000</v>
      </c>
      <c r="D181" s="391">
        <v>35340</v>
      </c>
      <c r="E181" s="139" t="str">
        <f t="shared" si="27"/>
        <v/>
      </c>
      <c r="F181" s="175">
        <f t="shared" si="28"/>
        <v>-14660</v>
      </c>
      <c r="H181" s="280">
        <v>26500</v>
      </c>
      <c r="I181" s="282">
        <f t="shared" si="29"/>
        <v>8840</v>
      </c>
      <c r="K181" s="280">
        <v>5520</v>
      </c>
    </row>
    <row r="182" spans="1:11">
      <c r="A182" s="137" t="s">
        <v>263</v>
      </c>
      <c r="B182" s="338" t="s">
        <v>441</v>
      </c>
      <c r="C182" s="316">
        <v>50000</v>
      </c>
      <c r="D182" s="391">
        <v>35300</v>
      </c>
      <c r="E182" s="139" t="str">
        <f t="shared" si="27"/>
        <v/>
      </c>
      <c r="F182" s="175">
        <f t="shared" si="28"/>
        <v>-14700</v>
      </c>
      <c r="H182" s="280">
        <v>26500</v>
      </c>
      <c r="I182" s="282">
        <f t="shared" si="29"/>
        <v>8800</v>
      </c>
      <c r="K182" s="280">
        <v>5480</v>
      </c>
    </row>
    <row r="183" spans="1:11" ht="13.5" thickBot="1">
      <c r="A183" s="155" t="s">
        <v>17</v>
      </c>
      <c r="B183" s="166"/>
      <c r="C183" s="361">
        <f>SUM(C169:C182)</f>
        <v>21696000</v>
      </c>
      <c r="D183" s="393">
        <f t="shared" ref="D183:F183" si="30">SUM(D169:D182)</f>
        <v>7098479.2300000004</v>
      </c>
      <c r="E183" s="178">
        <f>SUM(E169:E182)</f>
        <v>84150</v>
      </c>
      <c r="F183" s="180">
        <f t="shared" si="30"/>
        <v>-14681670.770000001</v>
      </c>
      <c r="H183" s="292">
        <f>SUM(H169:H182)</f>
        <v>2332733.67</v>
      </c>
      <c r="I183" s="292">
        <f>SUM(I169:I182)</f>
        <v>4765745.5600000005</v>
      </c>
      <c r="K183" s="280">
        <v>2446722.0700000003</v>
      </c>
    </row>
    <row r="184" spans="1:11" s="298" customFormat="1">
      <c r="A184" s="312"/>
      <c r="B184" s="159"/>
      <c r="C184" s="362"/>
      <c r="D184" s="362"/>
      <c r="E184" s="209"/>
      <c r="F184" s="184"/>
      <c r="H184" s="299"/>
      <c r="I184" s="282"/>
      <c r="K184" s="299"/>
    </row>
    <row r="185" spans="1:11" s="298" customFormat="1" ht="13.5" thickBot="1">
      <c r="A185" s="224"/>
      <c r="B185" s="156"/>
      <c r="C185" s="363"/>
      <c r="D185" s="363"/>
      <c r="E185" s="208"/>
      <c r="F185" s="309"/>
      <c r="H185" s="299"/>
      <c r="I185" s="282"/>
      <c r="K185" s="299"/>
    </row>
    <row r="186" spans="1:11">
      <c r="A186" s="132" t="s">
        <v>368</v>
      </c>
      <c r="B186" s="315" t="s">
        <v>369</v>
      </c>
      <c r="C186" s="364"/>
      <c r="D186" s="394"/>
      <c r="E186" s="183"/>
      <c r="F186" s="184"/>
      <c r="I186" s="282"/>
    </row>
    <row r="187" spans="1:11">
      <c r="A187" s="137" t="s">
        <v>18</v>
      </c>
      <c r="B187" s="315" t="s">
        <v>370</v>
      </c>
      <c r="C187" s="365">
        <v>1400000</v>
      </c>
      <c r="D187" s="317">
        <v>304920</v>
      </c>
      <c r="E187" s="139" t="str">
        <f t="shared" ref="E187:E200" si="31">IF((D187-C187)&gt;0,D187-C187,"")</f>
        <v/>
      </c>
      <c r="F187" s="175">
        <f t="shared" ref="F187:F200" si="32">IF((D187-C187)&gt;0,"",D187-C187)</f>
        <v>-1095080</v>
      </c>
      <c r="I187" s="282">
        <f>+D187-H187</f>
        <v>304920</v>
      </c>
      <c r="K187" s="280">
        <v>198790</v>
      </c>
    </row>
    <row r="188" spans="1:11">
      <c r="A188" s="137" t="s">
        <v>121</v>
      </c>
      <c r="B188" s="315" t="s">
        <v>371</v>
      </c>
      <c r="C188" s="316">
        <v>650000</v>
      </c>
      <c r="D188" s="317">
        <v>160680</v>
      </c>
      <c r="E188" s="139" t="str">
        <f t="shared" si="31"/>
        <v/>
      </c>
      <c r="F188" s="175">
        <f t="shared" si="32"/>
        <v>-489320</v>
      </c>
      <c r="I188" s="282">
        <f t="shared" ref="I188:I198" si="33">+D188-H188</f>
        <v>160680</v>
      </c>
      <c r="K188" s="280">
        <v>103510</v>
      </c>
    </row>
    <row r="189" spans="1:11">
      <c r="A189" s="137" t="s">
        <v>122</v>
      </c>
      <c r="B189" s="315" t="s">
        <v>372</v>
      </c>
      <c r="C189" s="316">
        <v>280000</v>
      </c>
      <c r="D189" s="317">
        <v>69925</v>
      </c>
      <c r="E189" s="139" t="str">
        <f t="shared" si="31"/>
        <v/>
      </c>
      <c r="F189" s="175">
        <f t="shared" si="32"/>
        <v>-210075</v>
      </c>
      <c r="I189" s="282">
        <f t="shared" si="33"/>
        <v>69925</v>
      </c>
      <c r="K189" s="280">
        <v>45615</v>
      </c>
    </row>
    <row r="190" spans="1:11">
      <c r="A190" s="137" t="s">
        <v>19</v>
      </c>
      <c r="B190" s="315" t="s">
        <v>373</v>
      </c>
      <c r="C190" s="316">
        <v>1400000</v>
      </c>
      <c r="D190" s="317">
        <v>355380</v>
      </c>
      <c r="E190" s="139" t="str">
        <f t="shared" si="31"/>
        <v/>
      </c>
      <c r="F190" s="175">
        <f t="shared" si="32"/>
        <v>-1044620</v>
      </c>
      <c r="I190" s="282">
        <f t="shared" si="33"/>
        <v>355380</v>
      </c>
      <c r="K190" s="280">
        <v>231430</v>
      </c>
    </row>
    <row r="191" spans="1:11">
      <c r="A191" s="171" t="s">
        <v>20</v>
      </c>
      <c r="B191" s="315" t="s">
        <v>374</v>
      </c>
      <c r="C191" s="357">
        <v>790000</v>
      </c>
      <c r="D191" s="395">
        <v>195315</v>
      </c>
      <c r="E191" s="139" t="str">
        <f t="shared" si="31"/>
        <v/>
      </c>
      <c r="F191" s="175">
        <f t="shared" si="32"/>
        <v>-594685</v>
      </c>
      <c r="H191" s="280">
        <v>61255</v>
      </c>
      <c r="I191" s="282">
        <f t="shared" si="33"/>
        <v>134060</v>
      </c>
      <c r="K191" s="280">
        <v>65600</v>
      </c>
    </row>
    <row r="192" spans="1:11">
      <c r="A192" s="137" t="s">
        <v>9</v>
      </c>
      <c r="B192" s="315" t="s">
        <v>375</v>
      </c>
      <c r="C192" s="316">
        <v>120000</v>
      </c>
      <c r="D192" s="317">
        <v>32780</v>
      </c>
      <c r="E192" s="139" t="str">
        <f t="shared" si="31"/>
        <v/>
      </c>
      <c r="F192" s="175">
        <f t="shared" si="32"/>
        <v>-87220</v>
      </c>
      <c r="H192" s="280">
        <v>9532</v>
      </c>
      <c r="I192" s="282">
        <f t="shared" si="33"/>
        <v>23248</v>
      </c>
      <c r="K192" s="280">
        <v>11262</v>
      </c>
    </row>
    <row r="193" spans="1:11">
      <c r="A193" s="137" t="s">
        <v>4</v>
      </c>
      <c r="B193" s="315" t="s">
        <v>376</v>
      </c>
      <c r="C193" s="316">
        <v>720000</v>
      </c>
      <c r="D193" s="317">
        <v>182057</v>
      </c>
      <c r="E193" s="139" t="str">
        <f t="shared" si="31"/>
        <v/>
      </c>
      <c r="F193" s="175">
        <f t="shared" si="32"/>
        <v>-537943</v>
      </c>
      <c r="H193" s="280">
        <f>19400+37900</f>
        <v>57300</v>
      </c>
      <c r="I193" s="282">
        <f t="shared" si="33"/>
        <v>124757</v>
      </c>
      <c r="K193" s="280">
        <v>46350</v>
      </c>
    </row>
    <row r="194" spans="1:11">
      <c r="A194" s="313" t="s">
        <v>377</v>
      </c>
      <c r="B194" s="315" t="s">
        <v>378</v>
      </c>
      <c r="C194" s="316">
        <v>620000</v>
      </c>
      <c r="D194" s="317">
        <v>154215</v>
      </c>
      <c r="E194" s="139" t="str">
        <f t="shared" si="31"/>
        <v/>
      </c>
      <c r="F194" s="175">
        <f t="shared" si="32"/>
        <v>-465785</v>
      </c>
      <c r="H194" s="280">
        <v>49045</v>
      </c>
      <c r="I194" s="282">
        <f t="shared" si="33"/>
        <v>105170</v>
      </c>
      <c r="K194" s="280">
        <v>52080</v>
      </c>
    </row>
    <row r="195" spans="1:11">
      <c r="A195" s="313" t="s">
        <v>432</v>
      </c>
      <c r="B195" s="338"/>
      <c r="C195" s="316"/>
      <c r="D195" s="317"/>
      <c r="E195" s="139" t="str">
        <f t="shared" si="31"/>
        <v/>
      </c>
      <c r="F195" s="175">
        <f t="shared" si="32"/>
        <v>0</v>
      </c>
      <c r="I195" s="282"/>
    </row>
    <row r="196" spans="1:11">
      <c r="A196" s="137" t="s">
        <v>89</v>
      </c>
      <c r="B196" s="338" t="s">
        <v>439</v>
      </c>
      <c r="C196" s="373">
        <v>5000</v>
      </c>
      <c r="D196" s="396">
        <f>2516-13</f>
        <v>2503</v>
      </c>
      <c r="E196" s="139" t="str">
        <f t="shared" si="31"/>
        <v/>
      </c>
      <c r="F196" s="175">
        <f t="shared" si="32"/>
        <v>-2497</v>
      </c>
      <c r="H196" s="280">
        <v>10821</v>
      </c>
      <c r="I196" s="282">
        <f t="shared" si="33"/>
        <v>-8318</v>
      </c>
      <c r="J196" s="286">
        <f>+I196+I217</f>
        <v>-9354.25</v>
      </c>
      <c r="K196" s="280">
        <v>-10604</v>
      </c>
    </row>
    <row r="197" spans="1:11">
      <c r="A197" s="137" t="s">
        <v>172</v>
      </c>
      <c r="B197" s="338" t="s">
        <v>435</v>
      </c>
      <c r="C197" s="373">
        <v>140000</v>
      </c>
      <c r="D197" s="397">
        <v>33193</v>
      </c>
      <c r="E197" s="139" t="str">
        <f t="shared" si="31"/>
        <v/>
      </c>
      <c r="F197" s="175">
        <f t="shared" si="32"/>
        <v>-106807</v>
      </c>
      <c r="H197" s="280">
        <v>150</v>
      </c>
      <c r="I197" s="282">
        <f t="shared" si="33"/>
        <v>33043</v>
      </c>
      <c r="J197" s="286">
        <f>+I197+I218</f>
        <v>65534.25</v>
      </c>
      <c r="K197" s="280">
        <v>20208</v>
      </c>
    </row>
    <row r="198" spans="1:11">
      <c r="A198" s="137" t="s">
        <v>91</v>
      </c>
      <c r="B198" s="338" t="s">
        <v>436</v>
      </c>
      <c r="C198" s="373">
        <v>65000</v>
      </c>
      <c r="D198" s="397">
        <f>16369+13</f>
        <v>16382</v>
      </c>
      <c r="E198" s="139" t="str">
        <f t="shared" si="31"/>
        <v/>
      </c>
      <c r="F198" s="175">
        <f t="shared" si="32"/>
        <v>-48618</v>
      </c>
      <c r="H198" s="280">
        <v>5251</v>
      </c>
      <c r="I198" s="282">
        <f t="shared" si="33"/>
        <v>11131</v>
      </c>
      <c r="J198" s="286">
        <f>+I198+I219</f>
        <v>18350.5</v>
      </c>
      <c r="K198" s="280">
        <v>5587</v>
      </c>
    </row>
    <row r="199" spans="1:11">
      <c r="A199" s="137" t="s">
        <v>255</v>
      </c>
      <c r="B199" s="418" t="s">
        <v>441</v>
      </c>
      <c r="C199" s="373">
        <v>10000</v>
      </c>
      <c r="D199" s="380">
        <v>5040</v>
      </c>
      <c r="E199" s="139" t="str">
        <f t="shared" si="31"/>
        <v/>
      </c>
      <c r="F199" s="175">
        <f t="shared" si="32"/>
        <v>-4960</v>
      </c>
      <c r="G199" s="288">
        <v>46889</v>
      </c>
      <c r="I199" s="282">
        <f>+G199-H199</f>
        <v>46889</v>
      </c>
      <c r="J199" s="286" t="e">
        <f>+I199+#REF!</f>
        <v>#REF!</v>
      </c>
      <c r="K199" s="280">
        <v>46889</v>
      </c>
    </row>
    <row r="200" spans="1:11">
      <c r="A200" s="137" t="s">
        <v>263</v>
      </c>
      <c r="B200" s="338" t="s">
        <v>438</v>
      </c>
      <c r="C200" s="414">
        <v>10000</v>
      </c>
      <c r="D200" s="380">
        <v>5040</v>
      </c>
      <c r="E200" s="139" t="str">
        <f t="shared" si="31"/>
        <v/>
      </c>
      <c r="F200" s="175">
        <f t="shared" si="32"/>
        <v>-4960</v>
      </c>
      <c r="G200" s="288">
        <v>9210</v>
      </c>
      <c r="I200" s="282">
        <f>+G200-H200</f>
        <v>9210</v>
      </c>
      <c r="J200" s="286" t="e">
        <f>+I200+#REF!</f>
        <v>#REF!</v>
      </c>
      <c r="K200" s="280">
        <v>9210</v>
      </c>
    </row>
    <row r="201" spans="1:11" ht="13.5" thickBot="1">
      <c r="A201" s="137"/>
      <c r="B201" s="147"/>
      <c r="C201" s="359">
        <f>SUM(C187:C200)</f>
        <v>6210000</v>
      </c>
      <c r="D201" s="359">
        <f>SUM(D187:D200)</f>
        <v>1517430</v>
      </c>
      <c r="E201" s="172">
        <f>SUM(E187:E200)</f>
        <v>0</v>
      </c>
      <c r="F201" s="174">
        <f t="shared" ref="F201" si="34">SUM(F187:F200)</f>
        <v>-4692570</v>
      </c>
      <c r="G201" s="288">
        <v>16391</v>
      </c>
      <c r="H201" s="292">
        <f>SUM(H187:H200)</f>
        <v>193354</v>
      </c>
      <c r="I201" s="282">
        <f>+G201-H201</f>
        <v>-176963</v>
      </c>
      <c r="K201" s="280">
        <v>-176963</v>
      </c>
    </row>
    <row r="202" spans="1:11" ht="13.5" thickTop="1">
      <c r="A202" s="137"/>
      <c r="B202" s="147"/>
      <c r="C202" s="357"/>
      <c r="D202" s="316"/>
      <c r="E202" s="140"/>
      <c r="F202" s="175"/>
      <c r="G202" s="288">
        <v>3120</v>
      </c>
      <c r="I202" s="282">
        <f>+G202-H202</f>
        <v>3120</v>
      </c>
      <c r="K202" s="280">
        <v>3120</v>
      </c>
    </row>
    <row r="203" spans="1:11">
      <c r="A203" s="146" t="s">
        <v>367</v>
      </c>
      <c r="B203" s="147"/>
      <c r="C203" s="357"/>
      <c r="D203" s="360"/>
      <c r="E203" s="139"/>
      <c r="F203" s="175"/>
      <c r="G203" s="288">
        <v>3120</v>
      </c>
      <c r="I203" s="282">
        <f>+G203-H203</f>
        <v>3120</v>
      </c>
      <c r="K203" s="280">
        <v>3120</v>
      </c>
    </row>
    <row r="204" spans="1:11">
      <c r="A204" s="137" t="s">
        <v>21</v>
      </c>
      <c r="B204" s="315" t="s">
        <v>379</v>
      </c>
      <c r="C204" s="316">
        <v>85000</v>
      </c>
      <c r="D204" s="317">
        <v>24896</v>
      </c>
      <c r="E204" s="139" t="str">
        <f t="shared" ref="E204:E219" si="35">IF((D204-C204)&gt;0,D204-C204,"")</f>
        <v/>
      </c>
      <c r="F204" s="175">
        <f t="shared" ref="F204:F219" si="36">IF((D204-C204)&gt;0,"",D204-C204)</f>
        <v>-60104</v>
      </c>
      <c r="H204" s="280">
        <v>6052</v>
      </c>
      <c r="I204" s="282">
        <f>+D204-H204</f>
        <v>18844</v>
      </c>
      <c r="K204" s="280">
        <v>11372</v>
      </c>
    </row>
    <row r="205" spans="1:11">
      <c r="A205" s="137" t="s">
        <v>22</v>
      </c>
      <c r="B205" s="315" t="s">
        <v>380</v>
      </c>
      <c r="C205" s="316">
        <v>400000</v>
      </c>
      <c r="D205" s="317">
        <v>74116.5</v>
      </c>
      <c r="E205" s="139" t="str">
        <f t="shared" si="35"/>
        <v/>
      </c>
      <c r="F205" s="175">
        <f t="shared" si="36"/>
        <v>-325883.5</v>
      </c>
      <c r="H205" s="280">
        <v>26885</v>
      </c>
      <c r="I205" s="282">
        <f t="shared" ref="I205:I219" si="37">+D205-H205</f>
        <v>47231.5</v>
      </c>
      <c r="K205" s="280">
        <v>26042.5</v>
      </c>
    </row>
    <row r="206" spans="1:11">
      <c r="A206" s="137" t="s">
        <v>7</v>
      </c>
      <c r="B206" s="315" t="s">
        <v>381</v>
      </c>
      <c r="C206" s="316">
        <v>300000</v>
      </c>
      <c r="D206" s="317">
        <v>46416.5</v>
      </c>
      <c r="E206" s="139" t="str">
        <f t="shared" si="35"/>
        <v/>
      </c>
      <c r="F206" s="175">
        <f t="shared" si="36"/>
        <v>-253583.5</v>
      </c>
      <c r="H206" s="280">
        <v>12795</v>
      </c>
      <c r="I206" s="282">
        <f t="shared" si="37"/>
        <v>33621.5</v>
      </c>
      <c r="K206" s="280">
        <v>20597.5</v>
      </c>
    </row>
    <row r="207" spans="1:11">
      <c r="A207" s="137" t="s">
        <v>23</v>
      </c>
      <c r="B207" s="315" t="s">
        <v>382</v>
      </c>
      <c r="C207" s="316">
        <v>270000</v>
      </c>
      <c r="D207" s="317">
        <v>72639</v>
      </c>
      <c r="E207" s="139" t="str">
        <f t="shared" si="35"/>
        <v/>
      </c>
      <c r="F207" s="175">
        <f t="shared" si="36"/>
        <v>-197361</v>
      </c>
      <c r="H207" s="280">
        <v>27310.5</v>
      </c>
      <c r="I207" s="282">
        <f t="shared" si="37"/>
        <v>45328.5</v>
      </c>
      <c r="K207" s="280">
        <v>20538</v>
      </c>
    </row>
    <row r="208" spans="1:11">
      <c r="A208" s="137" t="s">
        <v>24</v>
      </c>
      <c r="B208" s="315" t="s">
        <v>383</v>
      </c>
      <c r="C208" s="316">
        <v>130000</v>
      </c>
      <c r="D208" s="317">
        <v>31038</v>
      </c>
      <c r="E208" s="139" t="str">
        <f t="shared" si="35"/>
        <v/>
      </c>
      <c r="F208" s="175">
        <f t="shared" si="36"/>
        <v>-98962</v>
      </c>
      <c r="H208" s="280">
        <v>12027.75</v>
      </c>
      <c r="I208" s="282">
        <f t="shared" si="37"/>
        <v>19010.25</v>
      </c>
      <c r="K208" s="280">
        <v>6006</v>
      </c>
    </row>
    <row r="209" spans="1:11">
      <c r="A209" s="137" t="s">
        <v>4</v>
      </c>
      <c r="B209" s="315" t="s">
        <v>384</v>
      </c>
      <c r="C209" s="316">
        <v>60000</v>
      </c>
      <c r="D209" s="317">
        <v>34997.599999999999</v>
      </c>
      <c r="E209" s="139" t="str">
        <f t="shared" si="35"/>
        <v/>
      </c>
      <c r="F209" s="175">
        <f t="shared" si="36"/>
        <v>-25002.400000000001</v>
      </c>
      <c r="H209" s="280">
        <f>600+8800+313.43</f>
        <v>9713.43</v>
      </c>
      <c r="I209" s="282">
        <f t="shared" si="37"/>
        <v>25284.17</v>
      </c>
      <c r="K209" s="280">
        <v>19357.22</v>
      </c>
    </row>
    <row r="210" spans="1:11">
      <c r="A210" s="313" t="s">
        <v>411</v>
      </c>
      <c r="B210" s="315" t="s">
        <v>412</v>
      </c>
      <c r="C210" s="316"/>
      <c r="D210" s="317">
        <v>813.75</v>
      </c>
      <c r="E210" s="139">
        <f t="shared" si="35"/>
        <v>813.75</v>
      </c>
      <c r="F210" s="175" t="str">
        <f t="shared" si="36"/>
        <v/>
      </c>
      <c r="I210" s="282"/>
    </row>
    <row r="211" spans="1:11" ht="12" customHeight="1">
      <c r="A211" s="137" t="s">
        <v>25</v>
      </c>
      <c r="B211" s="315" t="s">
        <v>385</v>
      </c>
      <c r="C211" s="316">
        <v>900000</v>
      </c>
      <c r="D211" s="317">
        <v>201180</v>
      </c>
      <c r="E211" s="139" t="str">
        <f t="shared" si="35"/>
        <v/>
      </c>
      <c r="F211" s="175">
        <f t="shared" si="36"/>
        <v>-698820</v>
      </c>
      <c r="G211" s="298"/>
      <c r="H211" s="299">
        <v>79860</v>
      </c>
      <c r="I211" s="282">
        <f t="shared" si="37"/>
        <v>121320</v>
      </c>
      <c r="K211" s="280">
        <v>46680</v>
      </c>
    </row>
    <row r="212" spans="1:11">
      <c r="A212" s="137" t="s">
        <v>29</v>
      </c>
      <c r="B212" s="315" t="s">
        <v>386</v>
      </c>
      <c r="C212" s="316">
        <v>40000</v>
      </c>
      <c r="D212" s="317">
        <v>14001.75</v>
      </c>
      <c r="E212" s="139" t="str">
        <f t="shared" si="35"/>
        <v/>
      </c>
      <c r="F212" s="175">
        <f t="shared" si="36"/>
        <v>-25998.25</v>
      </c>
      <c r="G212" s="298"/>
      <c r="H212" s="299">
        <v>3255</v>
      </c>
      <c r="I212" s="282">
        <f t="shared" si="37"/>
        <v>10746.75</v>
      </c>
      <c r="K212" s="280">
        <v>8463</v>
      </c>
    </row>
    <row r="213" spans="1:11">
      <c r="A213" s="313" t="s">
        <v>388</v>
      </c>
      <c r="B213" s="315" t="s">
        <v>387</v>
      </c>
      <c r="C213" s="316">
        <v>23170</v>
      </c>
      <c r="D213" s="317">
        <v>42000</v>
      </c>
      <c r="E213" s="139">
        <f t="shared" si="35"/>
        <v>18830</v>
      </c>
      <c r="F213" s="175" t="str">
        <f t="shared" si="36"/>
        <v/>
      </c>
      <c r="G213" s="298"/>
      <c r="H213" s="299">
        <v>42000</v>
      </c>
      <c r="I213" s="282">
        <f t="shared" si="37"/>
        <v>0</v>
      </c>
      <c r="K213" s="280">
        <v>0</v>
      </c>
    </row>
    <row r="214" spans="1:11">
      <c r="A214" s="137" t="s">
        <v>8</v>
      </c>
      <c r="B214" s="315" t="s">
        <v>389</v>
      </c>
      <c r="C214" s="316">
        <v>115500</v>
      </c>
      <c r="D214" s="317">
        <v>33264.65</v>
      </c>
      <c r="E214" s="139" t="str">
        <f t="shared" si="35"/>
        <v/>
      </c>
      <c r="F214" s="175">
        <f t="shared" si="36"/>
        <v>-82235.350000000006</v>
      </c>
      <c r="G214" s="298"/>
      <c r="H214" s="299">
        <v>12328.2</v>
      </c>
      <c r="I214" s="282">
        <f t="shared" si="37"/>
        <v>20936.45</v>
      </c>
      <c r="K214" s="280">
        <v>8448</v>
      </c>
    </row>
    <row r="215" spans="1:11">
      <c r="A215" s="137" t="s">
        <v>38</v>
      </c>
      <c r="B215" s="315" t="s">
        <v>390</v>
      </c>
      <c r="C215" s="316">
        <v>65000</v>
      </c>
      <c r="D215" s="398">
        <v>17625</v>
      </c>
      <c r="E215" s="139" t="str">
        <f t="shared" si="35"/>
        <v/>
      </c>
      <c r="F215" s="175">
        <f t="shared" si="36"/>
        <v>-47375</v>
      </c>
      <c r="G215" s="298"/>
      <c r="H215" s="299">
        <v>5445</v>
      </c>
      <c r="I215" s="282">
        <f t="shared" si="37"/>
        <v>12180</v>
      </c>
      <c r="K215" s="280">
        <v>4635</v>
      </c>
    </row>
    <row r="216" spans="1:11">
      <c r="A216" s="313" t="s">
        <v>432</v>
      </c>
      <c r="B216" s="338"/>
      <c r="C216" s="316"/>
      <c r="D216" s="357"/>
      <c r="E216" s="139" t="str">
        <f t="shared" si="35"/>
        <v/>
      </c>
      <c r="F216" s="175">
        <f t="shared" si="36"/>
        <v>0</v>
      </c>
      <c r="G216" s="298"/>
      <c r="H216" s="299"/>
      <c r="I216" s="282"/>
    </row>
    <row r="217" spans="1:11">
      <c r="A217" s="137" t="s">
        <v>89</v>
      </c>
      <c r="B217" s="338" t="s">
        <v>439</v>
      </c>
      <c r="C217" s="373">
        <v>40000</v>
      </c>
      <c r="D217" s="317">
        <v>12696.75</v>
      </c>
      <c r="E217" s="139" t="str">
        <f t="shared" si="35"/>
        <v/>
      </c>
      <c r="F217" s="175">
        <f t="shared" si="36"/>
        <v>-27303.25</v>
      </c>
      <c r="G217" s="298"/>
      <c r="H217" s="299">
        <v>13733</v>
      </c>
      <c r="I217" s="282">
        <f t="shared" si="37"/>
        <v>-1036.25</v>
      </c>
      <c r="J217" s="286">
        <f>+I217+I196</f>
        <v>-9354.25</v>
      </c>
      <c r="K217" s="280">
        <v>-4922.5</v>
      </c>
    </row>
    <row r="218" spans="1:11">
      <c r="A218" s="137" t="s">
        <v>172</v>
      </c>
      <c r="B218" s="338" t="s">
        <v>435</v>
      </c>
      <c r="C218" s="373">
        <v>120000</v>
      </c>
      <c r="D218" s="317">
        <v>37825.25</v>
      </c>
      <c r="E218" s="139" t="str">
        <f t="shared" si="35"/>
        <v/>
      </c>
      <c r="F218" s="175">
        <f t="shared" si="36"/>
        <v>-82174.75</v>
      </c>
      <c r="G218" s="298"/>
      <c r="H218" s="299">
        <v>5334</v>
      </c>
      <c r="I218" s="282">
        <f t="shared" si="37"/>
        <v>32491.25</v>
      </c>
      <c r="J218" s="286">
        <f>+I218+I197</f>
        <v>65534.25</v>
      </c>
      <c r="K218" s="280">
        <v>21867</v>
      </c>
    </row>
    <row r="219" spans="1:11">
      <c r="A219" s="137" t="s">
        <v>91</v>
      </c>
      <c r="B219" s="338" t="s">
        <v>436</v>
      </c>
      <c r="C219" s="373">
        <v>30000</v>
      </c>
      <c r="D219" s="357">
        <v>10141.5</v>
      </c>
      <c r="E219" s="139" t="str">
        <f t="shared" si="35"/>
        <v/>
      </c>
      <c r="F219" s="175">
        <f t="shared" si="36"/>
        <v>-19858.5</v>
      </c>
      <c r="G219" s="298"/>
      <c r="H219" s="299">
        <v>2922</v>
      </c>
      <c r="I219" s="282">
        <f t="shared" si="37"/>
        <v>7219.5</v>
      </c>
      <c r="J219" s="286">
        <f>+I219+I198</f>
        <v>18350.5</v>
      </c>
      <c r="K219" s="280">
        <v>4072.5</v>
      </c>
    </row>
    <row r="220" spans="1:11" ht="13.5" thickBot="1">
      <c r="A220" s="137" t="s">
        <v>17</v>
      </c>
      <c r="B220" s="147"/>
      <c r="C220" s="359">
        <f>SUM(C204:C219)</f>
        <v>2578670</v>
      </c>
      <c r="D220" s="359">
        <f>SUM(D204:D219)</f>
        <v>653652.25</v>
      </c>
      <c r="E220" s="172">
        <f>SUM(E204:E219)</f>
        <v>19643.75</v>
      </c>
      <c r="F220" s="174">
        <f t="shared" ref="F220" si="38">SUM(F204:F219)</f>
        <v>-1944661.5</v>
      </c>
      <c r="G220" s="298"/>
      <c r="H220" s="292">
        <f>SUM(H204:H219)</f>
        <v>259660.88</v>
      </c>
      <c r="I220" s="292">
        <f>SUM(I204:I219)</f>
        <v>393177.62</v>
      </c>
      <c r="K220" s="280">
        <v>193156.22</v>
      </c>
    </row>
    <row r="221" spans="1:11" ht="13.5" thickTop="1">
      <c r="A221" s="146" t="s">
        <v>391</v>
      </c>
      <c r="B221" s="315" t="s">
        <v>392</v>
      </c>
      <c r="C221" s="366"/>
      <c r="D221" s="221"/>
      <c r="E221" s="163"/>
      <c r="F221" s="175"/>
      <c r="G221" s="298"/>
    </row>
    <row r="222" spans="1:11">
      <c r="A222" s="137" t="s">
        <v>27</v>
      </c>
      <c r="B222" s="315" t="s">
        <v>393</v>
      </c>
      <c r="C222" s="316">
        <v>3500000</v>
      </c>
      <c r="D222" s="221">
        <v>829045</v>
      </c>
      <c r="E222" s="139" t="str">
        <f>IF((D222-C222)&gt;0,D222-C222,"")</f>
        <v/>
      </c>
      <c r="F222" s="175">
        <f>IF((D222-C222)&gt;0,"",D222-C222)</f>
        <v>-2670955</v>
      </c>
      <c r="G222" s="298"/>
      <c r="H222" s="280">
        <f>261615+35800</f>
        <v>297415</v>
      </c>
      <c r="I222" s="282">
        <f>+D222-H222</f>
        <v>531630</v>
      </c>
      <c r="K222" s="280">
        <v>242610</v>
      </c>
    </row>
    <row r="223" spans="1:11">
      <c r="A223" s="313" t="s">
        <v>432</v>
      </c>
      <c r="B223" s="338"/>
      <c r="C223" s="316"/>
      <c r="D223" s="221"/>
      <c r="E223" s="139" t="str">
        <f>IF((D223-C223)&gt;0,D223-C223,"")</f>
        <v/>
      </c>
      <c r="F223" s="175">
        <f>IF((D223-C223)&gt;0,"",D223-C223)</f>
        <v>0</v>
      </c>
      <c r="G223" s="298"/>
      <c r="I223" s="282"/>
    </row>
    <row r="224" spans="1:11">
      <c r="A224" s="137" t="s">
        <v>172</v>
      </c>
      <c r="B224" s="338" t="s">
        <v>435</v>
      </c>
      <c r="C224" s="316">
        <v>500000</v>
      </c>
      <c r="D224" s="221">
        <v>138920</v>
      </c>
      <c r="E224" s="139" t="str">
        <f>IF((D224-C224)&gt;0,D224-C224,"")</f>
        <v/>
      </c>
      <c r="F224" s="175">
        <f t="shared" ref="F224:F226" si="39">IF((D224-C224)&gt;0,"",D224-C224)</f>
        <v>-361080</v>
      </c>
      <c r="G224" s="298"/>
      <c r="H224" s="280">
        <v>48300</v>
      </c>
      <c r="I224" s="282">
        <f>+D224-H224</f>
        <v>90620</v>
      </c>
      <c r="K224" s="280">
        <v>41600</v>
      </c>
    </row>
    <row r="225" spans="1:11">
      <c r="A225" s="137" t="s">
        <v>255</v>
      </c>
      <c r="B225" s="338" t="s">
        <v>438</v>
      </c>
      <c r="C225" s="316">
        <v>7000</v>
      </c>
      <c r="D225" s="221">
        <v>2700</v>
      </c>
      <c r="E225" s="139" t="str">
        <f>IF((D225-C225)&gt;0,D225-C225,"")</f>
        <v/>
      </c>
      <c r="F225" s="175">
        <f t="shared" si="39"/>
        <v>-4300</v>
      </c>
      <c r="G225" s="298"/>
      <c r="H225" s="280">
        <v>800</v>
      </c>
      <c r="I225" s="282">
        <f>+D225-H225</f>
        <v>1900</v>
      </c>
      <c r="K225" s="280">
        <v>1100</v>
      </c>
    </row>
    <row r="226" spans="1:11">
      <c r="A226" s="137" t="s">
        <v>263</v>
      </c>
      <c r="B226" s="338" t="s">
        <v>441</v>
      </c>
      <c r="C226" s="356">
        <v>7000</v>
      </c>
      <c r="D226" s="221">
        <v>2700</v>
      </c>
      <c r="E226" s="139" t="str">
        <f>IF((D226-C226)&gt;0,D226-C226,"")</f>
        <v/>
      </c>
      <c r="F226" s="175">
        <f t="shared" si="39"/>
        <v>-4300</v>
      </c>
      <c r="G226" s="298"/>
      <c r="H226" s="280">
        <v>800</v>
      </c>
      <c r="I226" s="282">
        <f>+D226-H226</f>
        <v>1900</v>
      </c>
      <c r="K226" s="280">
        <v>1100</v>
      </c>
    </row>
    <row r="227" spans="1:11" ht="13.5" thickBot="1">
      <c r="A227" s="137"/>
      <c r="B227" s="147"/>
      <c r="C227" s="367">
        <f>SUM(C222:C226)</f>
        <v>4014000</v>
      </c>
      <c r="D227" s="399">
        <f t="shared" ref="D227:F227" si="40">SUM(D222:D226)</f>
        <v>973365</v>
      </c>
      <c r="E227" s="189">
        <f>SUM(E222:E226)</f>
        <v>0</v>
      </c>
      <c r="F227" s="190">
        <f t="shared" si="40"/>
        <v>-3040635</v>
      </c>
      <c r="G227" s="298"/>
      <c r="H227" s="292">
        <f>SUM(H222:H226)</f>
        <v>347315</v>
      </c>
      <c r="I227" s="292">
        <f>SUM(I222:I226)</f>
        <v>626050</v>
      </c>
      <c r="K227" s="280">
        <v>286410</v>
      </c>
    </row>
    <row r="228" spans="1:11" ht="13.5" thickTop="1">
      <c r="A228" s="137" t="s">
        <v>123</v>
      </c>
      <c r="B228" s="147"/>
      <c r="C228" s="356">
        <f>SUM(C227+C220+C201+C183+C166+C150+C131)</f>
        <v>112768670</v>
      </c>
      <c r="D228" s="316">
        <f>SUM(D227+D220+D201+D183+D166+D150+D131)</f>
        <v>29507877.390000001</v>
      </c>
      <c r="E228" s="140">
        <f>+E131+E150+E166+E183+E201+E220+E227</f>
        <v>106493.75</v>
      </c>
      <c r="F228" s="169">
        <f>SUM(F227+F220+F201+F183+F166+F150+F131)</f>
        <v>-83367286.359999999</v>
      </c>
      <c r="G228" s="298"/>
    </row>
    <row r="229" spans="1:11" ht="13.5" thickBot="1">
      <c r="A229" s="191" t="s">
        <v>107</v>
      </c>
      <c r="B229" s="192"/>
      <c r="C229" s="368">
        <f>+C228+C127</f>
        <v>1092930247</v>
      </c>
      <c r="D229" s="383">
        <f>+D228+D127</f>
        <v>399130272.10999995</v>
      </c>
      <c r="E229" s="193">
        <f>+E228+E127</f>
        <v>676248.38</v>
      </c>
      <c r="F229" s="194">
        <f>+F228+F127</f>
        <v>-694476223.2700001</v>
      </c>
      <c r="G229" s="298"/>
    </row>
    <row r="230" spans="1:11" ht="13.5" thickTop="1">
      <c r="A230" s="171" t="s">
        <v>111</v>
      </c>
      <c r="B230" s="154"/>
      <c r="C230" s="357"/>
      <c r="D230" s="357"/>
      <c r="E230" s="153"/>
      <c r="F230" s="175"/>
      <c r="G230" s="298"/>
      <c r="H230" s="280">
        <f>D34+I241</f>
        <v>304553923.56999993</v>
      </c>
      <c r="I230" s="300">
        <v>121064830.92</v>
      </c>
      <c r="J230" s="286">
        <f>H230-I230</f>
        <v>183489092.64999992</v>
      </c>
      <c r="K230" s="280">
        <v>121064830.92</v>
      </c>
    </row>
    <row r="231" spans="1:11" ht="14.25">
      <c r="A231" s="195"/>
      <c r="B231" s="417"/>
      <c r="C231" s="2"/>
      <c r="D231" s="400"/>
      <c r="E231" s="197"/>
      <c r="F231" s="199"/>
    </row>
    <row r="232" spans="1:11" ht="14.25">
      <c r="A232" s="466" t="s">
        <v>196</v>
      </c>
      <c r="B232" s="467"/>
      <c r="C232" s="2"/>
      <c r="D232" s="2"/>
      <c r="E232" s="200"/>
      <c r="F232" s="201"/>
    </row>
    <row r="233" spans="1:11" ht="14.25">
      <c r="A233" s="468" t="s">
        <v>400</v>
      </c>
      <c r="B233" s="469"/>
      <c r="C233" s="3"/>
      <c r="D233" s="401" t="s">
        <v>114</v>
      </c>
      <c r="E233" s="417"/>
      <c r="F233" s="201"/>
    </row>
    <row r="234" spans="1:11" ht="14.25">
      <c r="A234" s="171"/>
      <c r="B234" s="417"/>
      <c r="C234" s="4"/>
      <c r="D234" s="4"/>
      <c r="E234" s="417"/>
      <c r="F234" s="201"/>
    </row>
    <row r="235" spans="1:11" ht="15">
      <c r="A235" s="195"/>
      <c r="B235" s="417"/>
      <c r="C235" s="369"/>
      <c r="D235" s="470" t="s">
        <v>115</v>
      </c>
      <c r="E235" s="470"/>
      <c r="F235" s="471"/>
      <c r="H235" s="296"/>
      <c r="I235" s="240"/>
      <c r="J235" s="240" t="s">
        <v>187</v>
      </c>
    </row>
    <row r="236" spans="1:11" ht="14.25">
      <c r="A236" s="195"/>
      <c r="B236" s="417"/>
      <c r="C236" s="369"/>
      <c r="D236" s="472" t="s">
        <v>116</v>
      </c>
      <c r="E236" s="472"/>
      <c r="F236" s="473"/>
      <c r="H236" s="301" t="s">
        <v>179</v>
      </c>
      <c r="I236" s="302">
        <v>404234300.75999999</v>
      </c>
      <c r="J236" s="240" t="s">
        <v>185</v>
      </c>
      <c r="K236" s="280">
        <v>312980767.91000003</v>
      </c>
    </row>
    <row r="237" spans="1:11" ht="14.25">
      <c r="A237" s="195"/>
      <c r="B237" s="417"/>
      <c r="C237" s="369"/>
      <c r="D237" s="372"/>
      <c r="E237" s="222"/>
      <c r="F237" s="223"/>
      <c r="H237" s="301"/>
      <c r="I237" s="240"/>
      <c r="J237" s="240"/>
    </row>
    <row r="238" spans="1:11" ht="14.25">
      <c r="A238" s="171" t="s">
        <v>117</v>
      </c>
      <c r="B238" s="417"/>
      <c r="C238" s="369"/>
      <c r="D238" s="369"/>
      <c r="E238" s="148"/>
      <c r="F238" s="223"/>
      <c r="H238" s="301" t="s">
        <v>180</v>
      </c>
      <c r="I238" s="296"/>
      <c r="J238" s="240" t="s">
        <v>185</v>
      </c>
    </row>
    <row r="239" spans="1:11">
      <c r="A239" s="171" t="s">
        <v>118</v>
      </c>
      <c r="B239" s="154"/>
      <c r="C239" s="369"/>
      <c r="D239" s="369"/>
      <c r="E239" s="154"/>
      <c r="F239" s="151"/>
      <c r="H239" s="429" t="s">
        <v>181</v>
      </c>
      <c r="I239" s="241">
        <v>2214778.44</v>
      </c>
      <c r="J239" s="240" t="s">
        <v>186</v>
      </c>
      <c r="K239" s="280">
        <v>1299548.44</v>
      </c>
    </row>
    <row r="240" spans="1:11" ht="15.75" thickBot="1">
      <c r="A240" s="224"/>
      <c r="B240" s="156"/>
      <c r="C240" s="370"/>
      <c r="D240" s="370"/>
      <c r="E240" s="225"/>
      <c r="F240" s="205"/>
      <c r="H240" s="301" t="s">
        <v>189</v>
      </c>
      <c r="I240" s="296">
        <v>5171.5600000000004</v>
      </c>
      <c r="J240" s="240" t="s">
        <v>184</v>
      </c>
      <c r="K240" s="280">
        <v>0</v>
      </c>
    </row>
    <row r="241" spans="1:11" ht="11.25" customHeight="1">
      <c r="C241" s="371"/>
      <c r="F241" s="417"/>
      <c r="H241" s="301" t="s">
        <v>183</v>
      </c>
      <c r="I241" s="426">
        <v>2884078.65</v>
      </c>
      <c r="J241" s="240" t="s">
        <v>185</v>
      </c>
      <c r="K241" s="280">
        <v>1543534.4</v>
      </c>
    </row>
    <row r="242" spans="1:11" ht="14.25">
      <c r="A242" s="148"/>
      <c r="B242" s="417"/>
      <c r="C242" s="3"/>
      <c r="D242" s="3"/>
      <c r="E242" s="202"/>
      <c r="F242" s="202"/>
      <c r="H242" s="296"/>
      <c r="I242" s="296">
        <f>I236-I238-I239-I241-I240</f>
        <v>399130272.11000001</v>
      </c>
      <c r="J242" s="240"/>
      <c r="K242" s="280">
        <v>310137685.07000005</v>
      </c>
    </row>
    <row r="243" spans="1:11">
      <c r="A243" s="206"/>
      <c r="B243" s="207"/>
      <c r="C243" s="372"/>
      <c r="D243" s="372"/>
      <c r="H243" s="296"/>
      <c r="I243" s="296"/>
      <c r="J243" s="240"/>
    </row>
    <row r="244" spans="1:11">
      <c r="A244" s="206"/>
      <c r="B244" s="207"/>
      <c r="C244" s="372"/>
      <c r="D244" s="372"/>
      <c r="H244" s="296"/>
      <c r="I244" s="296"/>
      <c r="J244" s="240"/>
    </row>
    <row r="245" spans="1:11" ht="12.75" customHeight="1">
      <c r="A245" s="206"/>
      <c r="B245" s="207"/>
      <c r="C245" s="372"/>
      <c r="D245" s="372"/>
      <c r="H245" s="296" t="s">
        <v>182</v>
      </c>
      <c r="I245" s="296">
        <f>D229</f>
        <v>399130272.10999995</v>
      </c>
      <c r="J245" s="240"/>
      <c r="K245" s="280">
        <v>310137685.07000005</v>
      </c>
    </row>
    <row r="246" spans="1:11">
      <c r="A246" s="206"/>
      <c r="B246" s="207"/>
      <c r="C246" s="372"/>
      <c r="D246" s="372"/>
      <c r="H246" s="296" t="s">
        <v>176</v>
      </c>
      <c r="I246" s="296">
        <f>I242-I245</f>
        <v>0</v>
      </c>
      <c r="J246" s="240"/>
      <c r="K246" s="280">
        <v>0</v>
      </c>
    </row>
    <row r="247" spans="1:11">
      <c r="A247" s="206"/>
      <c r="B247" s="207"/>
      <c r="C247" s="372"/>
      <c r="D247" s="372"/>
    </row>
    <row r="248" spans="1:11" ht="11.25" customHeight="1">
      <c r="A248" s="206"/>
      <c r="B248" s="207"/>
      <c r="C248" s="372"/>
      <c r="D248" s="372"/>
    </row>
    <row r="249" spans="1:11">
      <c r="A249" s="206"/>
      <c r="B249" s="207"/>
      <c r="C249" s="372"/>
      <c r="D249" s="372"/>
      <c r="E249" s="279"/>
      <c r="F249" s="279"/>
      <c r="H249" s="279"/>
      <c r="I249" s="279"/>
    </row>
    <row r="250" spans="1:11" ht="12.75" customHeight="1">
      <c r="A250" s="206"/>
      <c r="B250" s="207"/>
      <c r="C250" s="372"/>
      <c r="D250" s="372"/>
      <c r="E250" s="279"/>
      <c r="F250" s="279"/>
      <c r="H250" s="279"/>
      <c r="I250" s="279"/>
    </row>
    <row r="251" spans="1:11" ht="13.5" customHeight="1">
      <c r="A251" s="206"/>
      <c r="B251" s="207"/>
      <c r="C251" s="372"/>
      <c r="D251" s="372"/>
      <c r="E251" s="279"/>
      <c r="F251" s="279"/>
      <c r="H251" s="279"/>
      <c r="I251" s="279"/>
    </row>
    <row r="252" spans="1:11">
      <c r="A252" s="206"/>
      <c r="B252" s="207"/>
      <c r="C252" s="372"/>
      <c r="D252" s="372"/>
      <c r="E252" s="279"/>
      <c r="F252" s="279"/>
      <c r="H252" s="279"/>
      <c r="I252" s="279"/>
    </row>
    <row r="253" spans="1:11">
      <c r="A253" s="206"/>
      <c r="B253" s="207"/>
      <c r="C253" s="372"/>
      <c r="D253" s="372"/>
      <c r="E253" s="279"/>
      <c r="F253" s="279"/>
      <c r="H253" s="279"/>
      <c r="I253" s="279"/>
    </row>
    <row r="254" spans="1:11">
      <c r="A254" s="206"/>
      <c r="B254" s="207"/>
      <c r="C254" s="372"/>
      <c r="D254" s="372"/>
      <c r="E254" s="279"/>
      <c r="F254" s="279"/>
      <c r="H254" s="279"/>
      <c r="I254" s="279"/>
    </row>
    <row r="255" spans="1:11">
      <c r="A255" s="206"/>
      <c r="B255" s="207"/>
      <c r="C255" s="372"/>
      <c r="D255" s="372"/>
      <c r="E255" s="279"/>
      <c r="F255" s="279"/>
      <c r="H255" s="279"/>
      <c r="I255" s="279"/>
    </row>
    <row r="256" spans="1:11">
      <c r="A256" s="206"/>
      <c r="B256" s="207"/>
      <c r="C256" s="22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148"/>
      <c r="B283" s="154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</sheetData>
  <mergeCells count="10">
    <mergeCell ref="A232:B232"/>
    <mergeCell ref="A233:B233"/>
    <mergeCell ref="D235:F235"/>
    <mergeCell ref="D236:F236"/>
    <mergeCell ref="A3:F3"/>
    <mergeCell ref="A4:F4"/>
    <mergeCell ref="A7:A8"/>
    <mergeCell ref="B7:B8"/>
    <mergeCell ref="E7:E8"/>
    <mergeCell ref="F7:F8"/>
  </mergeCells>
  <conditionalFormatting sqref="F128">
    <cfRule type="cellIs" dxfId="4" priority="1" stopIfTrue="1" operator="greaterThan">
      <formula>0</formula>
    </cfRule>
  </conditionalFormatting>
  <pageMargins left="0.441176470588235" right="0.12" top="0.40625" bottom="0.85416666666666696" header="0.5" footer="0.5"/>
  <pageSetup paperSize="258" scale="97" fitToHeight="0" orientation="portrait" verticalDpi="180" r:id="rId1"/>
  <headerFooter alignWithMargins="0">
    <oddFooter>Page &amp;P of &amp;N</oddFooter>
  </headerFooter>
  <rowBreaks count="3" manualBreakCount="3">
    <brk id="70" max="10" man="1"/>
    <brk id="132" max="10" man="1"/>
    <brk id="192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topLeftCell="A195" zoomScale="115" zoomScaleNormal="115" zoomScaleSheetLayoutView="10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80" customWidth="1"/>
    <col min="12" max="12" width="12.8554687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461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30"/>
      <c r="C6" s="307"/>
      <c r="D6" s="334"/>
      <c r="E6" s="307"/>
      <c r="F6" s="308"/>
      <c r="H6" s="281" t="s">
        <v>154</v>
      </c>
      <c r="I6" s="211" t="s">
        <v>176</v>
      </c>
      <c r="K6" s="419"/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332475</v>
      </c>
      <c r="E11" s="140" t="str">
        <f>IF((D11-C11)&gt;0,D11-C11,"")</f>
        <v/>
      </c>
      <c r="F11" s="175">
        <f>IF((D11-C11)&gt;0,"",D11-C11)</f>
        <v>-47525</v>
      </c>
      <c r="H11" s="280">
        <v>359949.02</v>
      </c>
      <c r="I11" s="282">
        <f>D11-H11</f>
        <v>-27474.020000000019</v>
      </c>
      <c r="J11" s="279" t="s">
        <v>463</v>
      </c>
      <c r="L11" s="286"/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3" si="0">IF((D12-C12)&gt;0,D12-C12,"")</f>
        <v/>
      </c>
      <c r="F12" s="141">
        <f t="shared" ref="F12:F33" si="1">IF((D12-C12)&gt;0,"",D12-C12)</f>
        <v>0</v>
      </c>
      <c r="I12" s="282">
        <f t="shared" ref="I12:I33" si="2">D12-H12</f>
        <v>0</v>
      </c>
      <c r="L12" s="286"/>
    </row>
    <row r="13" spans="1:13">
      <c r="A13" s="137" t="s">
        <v>50</v>
      </c>
      <c r="B13" s="338" t="s">
        <v>203</v>
      </c>
      <c r="C13" s="316">
        <v>5000000</v>
      </c>
      <c r="D13" s="365">
        <v>4003866.65</v>
      </c>
      <c r="E13" s="140" t="str">
        <f t="shared" si="0"/>
        <v/>
      </c>
      <c r="F13" s="175">
        <f t="shared" si="1"/>
        <v>-996133.35000000009</v>
      </c>
      <c r="H13" s="280">
        <v>4004446.73</v>
      </c>
      <c r="I13" s="282">
        <f t="shared" si="2"/>
        <v>-580.08000000007451</v>
      </c>
      <c r="J13" s="279" t="s">
        <v>463</v>
      </c>
      <c r="K13" s="423"/>
      <c r="L13" s="286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1252973.3400000001</v>
      </c>
      <c r="E14" s="140" t="str">
        <f t="shared" si="0"/>
        <v/>
      </c>
      <c r="F14" s="175">
        <f t="shared" si="1"/>
        <v>-247026.65999999992</v>
      </c>
      <c r="H14" s="280">
        <v>1252973.3400000001</v>
      </c>
      <c r="I14" s="282">
        <f t="shared" si="2"/>
        <v>0</v>
      </c>
      <c r="L14" s="286"/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  <c r="L15" s="286"/>
    </row>
    <row r="16" spans="1:13">
      <c r="A16" s="137" t="s">
        <v>217</v>
      </c>
      <c r="B16" s="338" t="s">
        <v>220</v>
      </c>
      <c r="C16" s="316">
        <v>45000000</v>
      </c>
      <c r="D16" s="380">
        <f>33852066.44-3107949.63</f>
        <v>30744116.809999999</v>
      </c>
      <c r="E16" s="140" t="str">
        <f t="shared" si="0"/>
        <v/>
      </c>
      <c r="F16" s="175">
        <f t="shared" si="1"/>
        <v>-14255883.190000001</v>
      </c>
      <c r="H16" s="415">
        <v>28321117.969999999</v>
      </c>
      <c r="I16" s="282">
        <f t="shared" si="2"/>
        <v>2422998.84</v>
      </c>
      <c r="J16" s="284" t="s">
        <v>454</v>
      </c>
      <c r="L16" s="286"/>
    </row>
    <row r="17" spans="1:12">
      <c r="A17" s="137" t="s">
        <v>218</v>
      </c>
      <c r="B17" s="338" t="s">
        <v>221</v>
      </c>
      <c r="C17" s="316">
        <v>7500000</v>
      </c>
      <c r="D17" s="365">
        <v>4362908.88</v>
      </c>
      <c r="E17" s="140" t="str">
        <f t="shared" si="0"/>
        <v/>
      </c>
      <c r="F17" s="175">
        <f t="shared" si="1"/>
        <v>-3137091.12</v>
      </c>
      <c r="H17" s="280">
        <v>4362908.8899999997</v>
      </c>
      <c r="I17" s="282">
        <f t="shared" si="2"/>
        <v>-9.9999997764825821E-3</v>
      </c>
      <c r="L17" s="286"/>
    </row>
    <row r="18" spans="1:12">
      <c r="A18" s="313" t="s">
        <v>222</v>
      </c>
      <c r="B18" s="338" t="s">
        <v>223</v>
      </c>
      <c r="C18" s="316">
        <v>200000</v>
      </c>
      <c r="D18" s="365">
        <v>74240.06</v>
      </c>
      <c r="E18" s="140" t="str">
        <f t="shared" si="0"/>
        <v/>
      </c>
      <c r="F18" s="175">
        <f t="shared" si="1"/>
        <v>-125759.94</v>
      </c>
      <c r="H18" s="280">
        <v>74240.06</v>
      </c>
      <c r="I18" s="282">
        <f t="shared" si="2"/>
        <v>0</v>
      </c>
      <c r="L18" s="286"/>
    </row>
    <row r="19" spans="1:12">
      <c r="A19" s="313" t="s">
        <v>401</v>
      </c>
      <c r="B19" s="338" t="s">
        <v>215</v>
      </c>
      <c r="C19" s="316">
        <v>6000000</v>
      </c>
      <c r="D19" s="365">
        <v>3531525.16</v>
      </c>
      <c r="E19" s="140" t="str">
        <f t="shared" si="0"/>
        <v/>
      </c>
      <c r="F19" s="175">
        <f t="shared" si="1"/>
        <v>-2468474.84</v>
      </c>
      <c r="H19" s="280">
        <v>3504051.14</v>
      </c>
      <c r="I19" s="282">
        <f t="shared" si="2"/>
        <v>27474.020000000019</v>
      </c>
      <c r="J19" s="279" t="s">
        <v>463</v>
      </c>
      <c r="L19" s="286"/>
    </row>
    <row r="20" spans="1:12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  <c r="L20" s="286"/>
    </row>
    <row r="21" spans="1:12">
      <c r="A21" s="313" t="s">
        <v>47</v>
      </c>
      <c r="B21" s="338" t="s">
        <v>200</v>
      </c>
      <c r="C21" s="316">
        <v>170000000</v>
      </c>
      <c r="D21" s="365">
        <v>128525308.43000001</v>
      </c>
      <c r="E21" s="140" t="str">
        <f t="shared" si="0"/>
        <v/>
      </c>
      <c r="F21" s="175">
        <f t="shared" si="1"/>
        <v>-41474691.569999993</v>
      </c>
      <c r="H21" s="280">
        <v>128525308.43000001</v>
      </c>
      <c r="I21" s="282">
        <f t="shared" si="2"/>
        <v>0</v>
      </c>
      <c r="J21" s="323"/>
      <c r="L21" s="286"/>
    </row>
    <row r="22" spans="1:12">
      <c r="A22" s="137" t="s">
        <v>48</v>
      </c>
      <c r="B22" s="338" t="s">
        <v>201</v>
      </c>
      <c r="C22" s="316">
        <v>3000000</v>
      </c>
      <c r="D22" s="365">
        <v>2378609.81</v>
      </c>
      <c r="E22" s="140" t="str">
        <f t="shared" si="0"/>
        <v/>
      </c>
      <c r="F22" s="175">
        <f t="shared" si="1"/>
        <v>-621390.18999999994</v>
      </c>
      <c r="H22" s="280">
        <v>2378609.81</v>
      </c>
      <c r="I22" s="282">
        <f t="shared" si="2"/>
        <v>0</v>
      </c>
      <c r="J22" s="323"/>
      <c r="L22" s="286"/>
    </row>
    <row r="23" spans="1:12">
      <c r="A23" s="313" t="s">
        <v>190</v>
      </c>
      <c r="B23" s="338" t="s">
        <v>225</v>
      </c>
      <c r="C23" s="316">
        <v>2700000</v>
      </c>
      <c r="D23" s="365">
        <v>1152592.5</v>
      </c>
      <c r="E23" s="140" t="str">
        <f t="shared" si="0"/>
        <v/>
      </c>
      <c r="F23" s="175">
        <f t="shared" si="1"/>
        <v>-1547407.5</v>
      </c>
      <c r="H23" s="280">
        <v>999753.21</v>
      </c>
      <c r="I23" s="283">
        <f>D23-H23</f>
        <v>152839.29000000004</v>
      </c>
      <c r="J23" s="279" t="s">
        <v>463</v>
      </c>
      <c r="L23" s="286"/>
    </row>
    <row r="24" spans="1:12">
      <c r="A24" s="313" t="s">
        <v>33</v>
      </c>
      <c r="B24" s="338" t="s">
        <v>224</v>
      </c>
      <c r="C24" s="316">
        <v>1500000</v>
      </c>
      <c r="D24" s="365">
        <v>1013900</v>
      </c>
      <c r="E24" s="140" t="str">
        <f t="shared" si="0"/>
        <v/>
      </c>
      <c r="F24" s="141">
        <f t="shared" si="1"/>
        <v>-486100</v>
      </c>
      <c r="H24" s="280">
        <v>1013900</v>
      </c>
      <c r="I24" s="282">
        <f t="shared" si="2"/>
        <v>0</v>
      </c>
      <c r="L24" s="286"/>
    </row>
    <row r="25" spans="1:12">
      <c r="A25" s="313" t="s">
        <v>31</v>
      </c>
      <c r="B25" s="338" t="s">
        <v>197</v>
      </c>
      <c r="C25" s="316">
        <v>2700000</v>
      </c>
      <c r="D25" s="365">
        <v>877956.4</v>
      </c>
      <c r="E25" s="140" t="str">
        <f t="shared" si="0"/>
        <v/>
      </c>
      <c r="F25" s="175">
        <f t="shared" si="1"/>
        <v>-1822043.6</v>
      </c>
      <c r="H25" s="280">
        <v>877956.4</v>
      </c>
      <c r="I25" s="282">
        <f t="shared" si="2"/>
        <v>0</v>
      </c>
      <c r="J25" s="288"/>
      <c r="L25" s="286"/>
    </row>
    <row r="26" spans="1:12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  <c r="L26" s="286"/>
    </row>
    <row r="27" spans="1:12">
      <c r="A27" s="313" t="s">
        <v>206</v>
      </c>
      <c r="B27" s="338" t="s">
        <v>208</v>
      </c>
      <c r="C27" s="316">
        <v>3300000</v>
      </c>
      <c r="D27" s="365">
        <v>1324899.26</v>
      </c>
      <c r="E27" s="140" t="str">
        <f t="shared" si="0"/>
        <v/>
      </c>
      <c r="F27" s="175">
        <f t="shared" si="1"/>
        <v>-1975100.74</v>
      </c>
      <c r="H27" s="280">
        <v>1324899.26</v>
      </c>
      <c r="I27" s="282">
        <f t="shared" si="2"/>
        <v>0</v>
      </c>
      <c r="L27" s="286"/>
    </row>
    <row r="28" spans="1:12">
      <c r="A28" s="137" t="s">
        <v>207</v>
      </c>
      <c r="B28" s="338" t="s">
        <v>209</v>
      </c>
      <c r="C28" s="316">
        <v>586250</v>
      </c>
      <c r="D28" s="333">
        <v>274465</v>
      </c>
      <c r="E28" s="140" t="str">
        <f t="shared" si="0"/>
        <v/>
      </c>
      <c r="F28" s="175">
        <f t="shared" si="1"/>
        <v>-311785</v>
      </c>
      <c r="H28" s="280">
        <v>274465</v>
      </c>
      <c r="I28" s="282">
        <f>D28-H28</f>
        <v>0</v>
      </c>
      <c r="J28" s="323"/>
      <c r="L28" s="427"/>
    </row>
    <row r="29" spans="1:12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  <c r="L29" s="286"/>
    </row>
    <row r="30" spans="1:12">
      <c r="A30" s="313" t="s">
        <v>227</v>
      </c>
      <c r="B30" s="138" t="s">
        <v>229</v>
      </c>
      <c r="C30" s="316">
        <v>4000000</v>
      </c>
      <c r="D30" s="365">
        <v>1905468.22</v>
      </c>
      <c r="E30" s="140" t="str">
        <f>IF((D30-C30)&gt;0,D30-C30,"")</f>
        <v/>
      </c>
      <c r="F30" s="141">
        <f>IF((D30-C30)&gt;0,"",D30-C30)</f>
        <v>-2094531.78</v>
      </c>
      <c r="H30" s="280">
        <v>1905468.2</v>
      </c>
      <c r="I30" s="282">
        <f>D30-H30</f>
        <v>2.0000000018626451E-2</v>
      </c>
      <c r="L30" s="286"/>
    </row>
    <row r="31" spans="1:12">
      <c r="A31" s="313" t="s">
        <v>426</v>
      </c>
      <c r="B31" s="338" t="s">
        <v>427</v>
      </c>
      <c r="C31" s="316">
        <v>5600000</v>
      </c>
      <c r="D31" s="365">
        <v>2844775.39</v>
      </c>
      <c r="E31" s="140" t="str">
        <f t="shared" si="0"/>
        <v/>
      </c>
      <c r="F31" s="175">
        <f t="shared" si="1"/>
        <v>-2755224.61</v>
      </c>
      <c r="H31" s="280">
        <v>2844775.39</v>
      </c>
      <c r="I31" s="282">
        <f t="shared" si="2"/>
        <v>0</v>
      </c>
      <c r="J31" s="284"/>
      <c r="L31" s="286"/>
    </row>
    <row r="32" spans="1:12">
      <c r="A32" s="137" t="s">
        <v>35</v>
      </c>
      <c r="B32" s="338" t="s">
        <v>329</v>
      </c>
      <c r="C32" s="316">
        <f>605000000+5210827</f>
        <v>610210827</v>
      </c>
      <c r="D32" s="316">
        <v>203403608</v>
      </c>
      <c r="E32" s="140" t="str">
        <f t="shared" si="0"/>
        <v/>
      </c>
      <c r="F32" s="175">
        <f t="shared" si="1"/>
        <v>-406807219</v>
      </c>
      <c r="H32" s="280">
        <v>203403608</v>
      </c>
      <c r="I32" s="282">
        <f>D32-H32</f>
        <v>0</v>
      </c>
    </row>
    <row r="33" spans="1:13">
      <c r="A33" s="313"/>
      <c r="B33" s="338"/>
      <c r="C33" s="356"/>
      <c r="D33" s="356"/>
      <c r="E33" s="140" t="str">
        <f t="shared" si="0"/>
        <v/>
      </c>
      <c r="F33" s="175">
        <f t="shared" si="1"/>
        <v>0</v>
      </c>
      <c r="I33" s="282">
        <f t="shared" si="2"/>
        <v>0</v>
      </c>
      <c r="L33" s="286"/>
    </row>
    <row r="34" spans="1:13" ht="13.5" thickBot="1">
      <c r="A34" s="137" t="s">
        <v>34</v>
      </c>
      <c r="B34" s="138"/>
      <c r="C34" s="143">
        <f>SUM(C11:C33)</f>
        <v>869177077</v>
      </c>
      <c r="D34" s="381">
        <f>SUM(D11:D33)</f>
        <v>388003688.90999997</v>
      </c>
      <c r="E34" s="144">
        <f>SUM(E11:E33)</f>
        <v>0</v>
      </c>
      <c r="F34" s="145">
        <f>SUM(F11:F33)</f>
        <v>-481173388.08999997</v>
      </c>
      <c r="H34" s="289">
        <f>SUM(H11:H33)</f>
        <v>385428430.85000002</v>
      </c>
      <c r="I34" s="290">
        <f>SUM(I11:I33)</f>
        <v>2575258.06</v>
      </c>
      <c r="L34" s="286"/>
    </row>
    <row r="35" spans="1:13" ht="13.5" thickTop="1">
      <c r="A35" s="355" t="s">
        <v>397</v>
      </c>
      <c r="B35" s="147"/>
      <c r="C35" s="148"/>
      <c r="D35" s="382"/>
      <c r="E35" s="150"/>
      <c r="F35" s="151"/>
      <c r="I35" s="282"/>
      <c r="L35" s="286"/>
    </row>
    <row r="36" spans="1:13">
      <c r="A36" s="137" t="s">
        <v>53</v>
      </c>
      <c r="B36" s="138" t="s">
        <v>236</v>
      </c>
      <c r="C36" s="139"/>
      <c r="D36" s="365"/>
      <c r="E36" s="140" t="str">
        <f t="shared" ref="E36:E104" si="3">IF((D36-C36)&gt;0,D36-C36,"")</f>
        <v/>
      </c>
      <c r="F36" s="175">
        <f t="shared" ref="F36:F104" si="4">IF((D36-C36)&gt;0,"",D36-C36)</f>
        <v>0</v>
      </c>
      <c r="I36" s="282"/>
      <c r="L36" s="286"/>
    </row>
    <row r="37" spans="1:13">
      <c r="A37" s="137" t="s">
        <v>65</v>
      </c>
      <c r="B37" s="138" t="s">
        <v>245</v>
      </c>
      <c r="C37" s="139">
        <v>500000</v>
      </c>
      <c r="D37" s="365">
        <v>66620.7</v>
      </c>
      <c r="E37" s="140" t="str">
        <f t="shared" si="3"/>
        <v/>
      </c>
      <c r="F37" s="175">
        <f t="shared" si="4"/>
        <v>-433379.3</v>
      </c>
      <c r="H37" s="280">
        <v>66620.7</v>
      </c>
      <c r="I37" s="282">
        <f t="shared" ref="I37:I104" si="5">D37-H37</f>
        <v>0</v>
      </c>
      <c r="L37" s="286"/>
    </row>
    <row r="38" spans="1:13">
      <c r="A38" s="137" t="s">
        <v>66</v>
      </c>
      <c r="B38" s="138" t="s">
        <v>246</v>
      </c>
      <c r="C38" s="139">
        <v>5100000</v>
      </c>
      <c r="D38" s="380">
        <v>2994148.75</v>
      </c>
      <c r="E38" s="140" t="str">
        <f t="shared" si="3"/>
        <v/>
      </c>
      <c r="F38" s="175">
        <f t="shared" si="4"/>
        <v>-2105851.25</v>
      </c>
      <c r="H38" s="419">
        <v>2994148.75</v>
      </c>
      <c r="I38" s="282">
        <f>D38-H38</f>
        <v>0</v>
      </c>
      <c r="L38" s="286"/>
    </row>
    <row r="39" spans="1:13">
      <c r="A39" s="137" t="s">
        <v>67</v>
      </c>
      <c r="B39" s="138" t="s">
        <v>247</v>
      </c>
      <c r="C39" s="139">
        <v>100000</v>
      </c>
      <c r="D39" s="365">
        <v>8158</v>
      </c>
      <c r="E39" s="140" t="str">
        <f t="shared" si="3"/>
        <v/>
      </c>
      <c r="F39" s="175">
        <f t="shared" si="4"/>
        <v>-91842</v>
      </c>
      <c r="H39" s="280">
        <v>8158</v>
      </c>
      <c r="I39" s="282">
        <f t="shared" si="5"/>
        <v>0</v>
      </c>
      <c r="L39" s="286"/>
    </row>
    <row r="40" spans="1:13">
      <c r="A40" s="137" t="s">
        <v>68</v>
      </c>
      <c r="B40" s="138" t="s">
        <v>248</v>
      </c>
      <c r="C40" s="139">
        <v>3200000</v>
      </c>
      <c r="D40" s="365">
        <v>927779.76</v>
      </c>
      <c r="E40" s="140" t="str">
        <f t="shared" si="3"/>
        <v/>
      </c>
      <c r="F40" s="175">
        <f t="shared" si="4"/>
        <v>-2272220.2400000002</v>
      </c>
      <c r="H40" s="280">
        <v>927779.76</v>
      </c>
      <c r="I40" s="282">
        <f t="shared" si="5"/>
        <v>0</v>
      </c>
      <c r="L40" s="286"/>
    </row>
    <row r="41" spans="1:13">
      <c r="A41" s="137" t="s">
        <v>69</v>
      </c>
      <c r="B41" s="138" t="s">
        <v>249</v>
      </c>
      <c r="C41" s="139">
        <v>1200000</v>
      </c>
      <c r="D41" s="365">
        <v>40110</v>
      </c>
      <c r="E41" s="140" t="str">
        <f t="shared" si="3"/>
        <v/>
      </c>
      <c r="F41" s="175">
        <f t="shared" si="4"/>
        <v>-1159890</v>
      </c>
      <c r="H41" s="280">
        <v>40110</v>
      </c>
      <c r="I41" s="282">
        <f t="shared" si="5"/>
        <v>0</v>
      </c>
      <c r="L41" s="286"/>
    </row>
    <row r="42" spans="1:13">
      <c r="A42" s="137" t="s">
        <v>56</v>
      </c>
      <c r="B42" s="138" t="s">
        <v>237</v>
      </c>
      <c r="C42" s="139">
        <v>11000000</v>
      </c>
      <c r="D42" s="365">
        <v>10457822.51</v>
      </c>
      <c r="E42" s="140" t="str">
        <f t="shared" si="3"/>
        <v/>
      </c>
      <c r="F42" s="175">
        <f t="shared" si="4"/>
        <v>-542177.49000000022</v>
      </c>
      <c r="H42" s="280">
        <v>10457822.51</v>
      </c>
      <c r="I42" s="282">
        <f t="shared" si="5"/>
        <v>0</v>
      </c>
      <c r="L42" s="425"/>
      <c r="M42" s="323"/>
    </row>
    <row r="43" spans="1:13">
      <c r="A43" s="137" t="s">
        <v>57</v>
      </c>
      <c r="B43" s="138" t="s">
        <v>238</v>
      </c>
      <c r="C43" s="139">
        <v>50000</v>
      </c>
      <c r="D43" s="365">
        <v>3453</v>
      </c>
      <c r="E43" s="140" t="str">
        <f t="shared" si="3"/>
        <v/>
      </c>
      <c r="F43" s="175">
        <f t="shared" si="4"/>
        <v>-46547</v>
      </c>
      <c r="H43" s="280">
        <v>3453</v>
      </c>
      <c r="I43" s="282">
        <f t="shared" si="5"/>
        <v>0</v>
      </c>
      <c r="L43" s="286"/>
    </row>
    <row r="44" spans="1:13">
      <c r="A44" s="137" t="s">
        <v>58</v>
      </c>
      <c r="B44" s="138" t="s">
        <v>239</v>
      </c>
      <c r="C44" s="139">
        <v>180000</v>
      </c>
      <c r="D44" s="365">
        <v>190250</v>
      </c>
      <c r="E44" s="140">
        <f t="shared" si="3"/>
        <v>10250</v>
      </c>
      <c r="F44" s="175" t="str">
        <f t="shared" si="4"/>
        <v/>
      </c>
      <c r="H44" s="280">
        <v>190250</v>
      </c>
      <c r="I44" s="282">
        <f t="shared" si="5"/>
        <v>0</v>
      </c>
      <c r="L44" s="286"/>
    </row>
    <row r="45" spans="1:13">
      <c r="A45" s="137" t="s">
        <v>54</v>
      </c>
      <c r="B45" s="138" t="s">
        <v>241</v>
      </c>
      <c r="C45" s="139"/>
      <c r="D45" s="365"/>
      <c r="E45" s="140" t="str">
        <f t="shared" si="3"/>
        <v/>
      </c>
      <c r="F45" s="175">
        <f t="shared" si="4"/>
        <v>0</v>
      </c>
      <c r="I45" s="282">
        <f t="shared" si="5"/>
        <v>0</v>
      </c>
      <c r="L45" s="286"/>
    </row>
    <row r="46" spans="1:13">
      <c r="A46" s="137" t="s">
        <v>55</v>
      </c>
      <c r="B46" s="138" t="s">
        <v>242</v>
      </c>
      <c r="C46" s="139">
        <v>100000</v>
      </c>
      <c r="D46" s="365">
        <v>37680</v>
      </c>
      <c r="E46" s="140" t="str">
        <f t="shared" si="3"/>
        <v/>
      </c>
      <c r="F46" s="175">
        <f t="shared" si="4"/>
        <v>-62320</v>
      </c>
      <c r="G46" s="420" t="s">
        <v>422</v>
      </c>
      <c r="H46" s="421"/>
      <c r="I46" s="422">
        <f t="shared" si="5"/>
        <v>37680</v>
      </c>
      <c r="L46" s="286"/>
    </row>
    <row r="47" spans="1:13">
      <c r="A47" s="137" t="s">
        <v>59</v>
      </c>
      <c r="B47" s="138" t="s">
        <v>243</v>
      </c>
      <c r="C47" s="139">
        <v>50000</v>
      </c>
      <c r="D47" s="365">
        <v>2850</v>
      </c>
      <c r="E47" s="140" t="str">
        <f t="shared" si="3"/>
        <v/>
      </c>
      <c r="F47" s="175">
        <f t="shared" si="4"/>
        <v>-47150</v>
      </c>
      <c r="H47" s="280">
        <v>2850</v>
      </c>
      <c r="I47" s="282">
        <f t="shared" si="5"/>
        <v>0</v>
      </c>
      <c r="L47" s="427"/>
    </row>
    <row r="48" spans="1:13">
      <c r="A48" s="137" t="s">
        <v>60</v>
      </c>
      <c r="B48" s="138" t="s">
        <v>244</v>
      </c>
      <c r="C48" s="139">
        <v>1000000</v>
      </c>
      <c r="D48" s="365">
        <v>400210</v>
      </c>
      <c r="E48" s="140" t="str">
        <f t="shared" si="3"/>
        <v/>
      </c>
      <c r="F48" s="175">
        <f t="shared" si="4"/>
        <v>-599790</v>
      </c>
      <c r="H48" s="280">
        <v>400210</v>
      </c>
      <c r="I48" s="282">
        <f t="shared" si="5"/>
        <v>0</v>
      </c>
      <c r="L48" s="428"/>
    </row>
    <row r="49" spans="1:12">
      <c r="A49" s="137" t="s">
        <v>276</v>
      </c>
      <c r="B49" s="138" t="s">
        <v>235</v>
      </c>
      <c r="C49" s="139"/>
      <c r="D49" s="365"/>
      <c r="E49" s="140" t="str">
        <f t="shared" si="3"/>
        <v/>
      </c>
      <c r="F49" s="175">
        <f t="shared" si="4"/>
        <v>0</v>
      </c>
      <c r="I49" s="282">
        <f t="shared" si="5"/>
        <v>0</v>
      </c>
      <c r="L49" s="286"/>
    </row>
    <row r="50" spans="1:12">
      <c r="A50" s="137" t="s">
        <v>277</v>
      </c>
      <c r="B50" s="138" t="s">
        <v>282</v>
      </c>
      <c r="C50" s="139">
        <v>1350000</v>
      </c>
      <c r="D50" s="365">
        <v>597840</v>
      </c>
      <c r="E50" s="140" t="str">
        <f t="shared" si="3"/>
        <v/>
      </c>
      <c r="F50" s="175">
        <f t="shared" si="4"/>
        <v>-752160</v>
      </c>
      <c r="H50" s="280">
        <v>597840</v>
      </c>
      <c r="I50" s="282">
        <f t="shared" si="5"/>
        <v>0</v>
      </c>
      <c r="L50" s="428"/>
    </row>
    <row r="51" spans="1:12">
      <c r="A51" s="137" t="s">
        <v>278</v>
      </c>
      <c r="B51" s="138" t="s">
        <v>283</v>
      </c>
      <c r="C51" s="139">
        <v>850000</v>
      </c>
      <c r="D51" s="365">
        <v>277600</v>
      </c>
      <c r="E51" s="140" t="str">
        <f t="shared" si="3"/>
        <v/>
      </c>
      <c r="F51" s="175">
        <f t="shared" si="4"/>
        <v>-572400</v>
      </c>
      <c r="H51" s="280">
        <v>277600</v>
      </c>
      <c r="I51" s="282">
        <f t="shared" si="5"/>
        <v>0</v>
      </c>
      <c r="J51" s="323"/>
      <c r="L51" s="286"/>
    </row>
    <row r="52" spans="1:12">
      <c r="A52" s="137" t="s">
        <v>279</v>
      </c>
      <c r="B52" s="138" t="s">
        <v>284</v>
      </c>
      <c r="C52" s="139">
        <v>5000</v>
      </c>
      <c r="D52" s="365">
        <v>200</v>
      </c>
      <c r="E52" s="140" t="str">
        <f t="shared" si="3"/>
        <v/>
      </c>
      <c r="F52" s="175">
        <f t="shared" si="4"/>
        <v>-4800</v>
      </c>
      <c r="H52" s="280">
        <v>200</v>
      </c>
      <c r="I52" s="282">
        <f t="shared" si="5"/>
        <v>0</v>
      </c>
      <c r="L52" s="286"/>
    </row>
    <row r="53" spans="1:12">
      <c r="A53" s="137" t="s">
        <v>280</v>
      </c>
      <c r="B53" s="138" t="s">
        <v>285</v>
      </c>
      <c r="C53" s="139">
        <v>70000</v>
      </c>
      <c r="D53" s="365">
        <v>20720</v>
      </c>
      <c r="E53" s="140" t="str">
        <f t="shared" si="3"/>
        <v/>
      </c>
      <c r="F53" s="175">
        <f t="shared" si="4"/>
        <v>-49280</v>
      </c>
      <c r="H53" s="280">
        <v>20720</v>
      </c>
      <c r="I53" s="282">
        <f t="shared" si="5"/>
        <v>0</v>
      </c>
      <c r="L53" s="286"/>
    </row>
    <row r="54" spans="1:12">
      <c r="A54" s="137" t="s">
        <v>71</v>
      </c>
      <c r="B54" s="138" t="s">
        <v>287</v>
      </c>
      <c r="C54" s="139">
        <v>500</v>
      </c>
      <c r="D54" s="365"/>
      <c r="E54" s="140" t="str">
        <f t="shared" si="3"/>
        <v/>
      </c>
      <c r="F54" s="175">
        <f t="shared" si="4"/>
        <v>-500</v>
      </c>
      <c r="I54" s="282">
        <f t="shared" si="5"/>
        <v>0</v>
      </c>
      <c r="L54" s="286"/>
    </row>
    <row r="55" spans="1:12">
      <c r="A55" s="137" t="s">
        <v>72</v>
      </c>
      <c r="B55" s="138" t="s">
        <v>288</v>
      </c>
      <c r="C55" s="139">
        <v>2500</v>
      </c>
      <c r="D55" s="365">
        <v>5200</v>
      </c>
      <c r="E55" s="140">
        <f t="shared" si="3"/>
        <v>2700</v>
      </c>
      <c r="F55" s="175" t="str">
        <f t="shared" si="4"/>
        <v/>
      </c>
      <c r="H55" s="280">
        <v>5200</v>
      </c>
      <c r="I55" s="282">
        <f t="shared" si="5"/>
        <v>0</v>
      </c>
      <c r="J55" s="323"/>
      <c r="L55" s="286"/>
    </row>
    <row r="56" spans="1:12">
      <c r="A56" s="137" t="s">
        <v>73</v>
      </c>
      <c r="B56" s="138" t="s">
        <v>289</v>
      </c>
      <c r="C56" s="139">
        <v>3000000</v>
      </c>
      <c r="D56" s="365">
        <v>687995.2</v>
      </c>
      <c r="E56" s="140" t="str">
        <f t="shared" si="3"/>
        <v/>
      </c>
      <c r="F56" s="175">
        <f t="shared" si="4"/>
        <v>-2312004.7999999998</v>
      </c>
      <c r="H56" s="280">
        <v>687995.2</v>
      </c>
      <c r="I56" s="282">
        <f t="shared" si="5"/>
        <v>0</v>
      </c>
      <c r="L56" s="286"/>
    </row>
    <row r="57" spans="1:12">
      <c r="A57" s="313" t="s">
        <v>402</v>
      </c>
      <c r="B57" s="138" t="s">
        <v>290</v>
      </c>
      <c r="C57" s="139">
        <v>60000</v>
      </c>
      <c r="D57" s="365">
        <v>15800</v>
      </c>
      <c r="E57" s="140" t="str">
        <f t="shared" si="3"/>
        <v/>
      </c>
      <c r="F57" s="175">
        <f t="shared" si="4"/>
        <v>-44200</v>
      </c>
      <c r="H57" s="280">
        <v>15800</v>
      </c>
      <c r="I57" s="282">
        <f t="shared" si="5"/>
        <v>0</v>
      </c>
      <c r="L57" s="286"/>
    </row>
    <row r="58" spans="1:12">
      <c r="A58" s="137" t="s">
        <v>74</v>
      </c>
      <c r="B58" s="138" t="s">
        <v>291</v>
      </c>
      <c r="C58" s="139">
        <v>5000</v>
      </c>
      <c r="D58" s="365">
        <v>1700</v>
      </c>
      <c r="E58" s="140" t="str">
        <f t="shared" si="3"/>
        <v/>
      </c>
      <c r="F58" s="175">
        <f t="shared" si="4"/>
        <v>-3300</v>
      </c>
      <c r="H58" s="280">
        <v>1700</v>
      </c>
      <c r="I58" s="282">
        <f t="shared" si="5"/>
        <v>0</v>
      </c>
      <c r="J58" s="323"/>
      <c r="L58" s="286"/>
    </row>
    <row r="59" spans="1:12">
      <c r="A59" s="137" t="s">
        <v>75</v>
      </c>
      <c r="B59" s="138" t="s">
        <v>292</v>
      </c>
      <c r="C59" s="139">
        <v>100000</v>
      </c>
      <c r="D59" s="365">
        <v>71650</v>
      </c>
      <c r="E59" s="140" t="str">
        <f t="shared" si="3"/>
        <v/>
      </c>
      <c r="F59" s="175">
        <f t="shared" si="4"/>
        <v>-28350</v>
      </c>
      <c r="H59" s="280">
        <v>71650</v>
      </c>
      <c r="I59" s="282">
        <f t="shared" si="5"/>
        <v>0</v>
      </c>
      <c r="J59" s="323"/>
      <c r="L59" s="286"/>
    </row>
    <row r="60" spans="1:12">
      <c r="A60" s="137" t="s">
        <v>76</v>
      </c>
      <c r="B60" s="138" t="s">
        <v>293</v>
      </c>
      <c r="C60" s="139">
        <v>100000</v>
      </c>
      <c r="D60" s="365">
        <v>32100</v>
      </c>
      <c r="E60" s="140" t="str">
        <f t="shared" si="3"/>
        <v/>
      </c>
      <c r="F60" s="175">
        <f t="shared" si="4"/>
        <v>-67900</v>
      </c>
      <c r="H60" s="280">
        <v>32100</v>
      </c>
      <c r="I60" s="282">
        <f t="shared" si="5"/>
        <v>0</v>
      </c>
      <c r="L60" s="286"/>
    </row>
    <row r="61" spans="1:12">
      <c r="A61" s="137" t="s">
        <v>77</v>
      </c>
      <c r="B61" s="138" t="s">
        <v>294</v>
      </c>
      <c r="C61" s="139">
        <v>180000</v>
      </c>
      <c r="D61" s="365">
        <v>69603.100000000006</v>
      </c>
      <c r="E61" s="140" t="str">
        <f t="shared" si="3"/>
        <v/>
      </c>
      <c r="F61" s="175">
        <f t="shared" si="4"/>
        <v>-110396.9</v>
      </c>
      <c r="H61" s="280">
        <v>69603.100000000006</v>
      </c>
      <c r="I61" s="282">
        <f t="shared" si="5"/>
        <v>0</v>
      </c>
      <c r="L61" s="286"/>
    </row>
    <row r="62" spans="1:12">
      <c r="A62" s="137" t="s">
        <v>78</v>
      </c>
      <c r="B62" s="138" t="s">
        <v>295</v>
      </c>
      <c r="C62" s="139">
        <v>500</v>
      </c>
      <c r="D62" s="365"/>
      <c r="E62" s="140" t="str">
        <f t="shared" si="3"/>
        <v/>
      </c>
      <c r="F62" s="175">
        <f t="shared" si="4"/>
        <v>-500</v>
      </c>
      <c r="I62" s="282">
        <f t="shared" si="5"/>
        <v>0</v>
      </c>
      <c r="L62" s="286"/>
    </row>
    <row r="63" spans="1:12">
      <c r="A63" s="137" t="s">
        <v>79</v>
      </c>
      <c r="B63" s="138" t="s">
        <v>296</v>
      </c>
      <c r="C63" s="139">
        <v>50000</v>
      </c>
      <c r="D63" s="365">
        <v>2200</v>
      </c>
      <c r="E63" s="140" t="str">
        <f t="shared" si="3"/>
        <v/>
      </c>
      <c r="F63" s="175">
        <f t="shared" si="4"/>
        <v>-47800</v>
      </c>
      <c r="H63" s="280">
        <v>2200</v>
      </c>
      <c r="I63" s="282">
        <f t="shared" si="5"/>
        <v>0</v>
      </c>
      <c r="L63" s="286"/>
    </row>
    <row r="64" spans="1:12">
      <c r="A64" s="137" t="s">
        <v>80</v>
      </c>
      <c r="B64" s="138" t="s">
        <v>297</v>
      </c>
      <c r="C64" s="139">
        <v>20000</v>
      </c>
      <c r="D64" s="365">
        <v>100</v>
      </c>
      <c r="E64" s="140" t="str">
        <f t="shared" si="3"/>
        <v/>
      </c>
      <c r="F64" s="175">
        <f t="shared" si="4"/>
        <v>-19900</v>
      </c>
      <c r="H64" s="280">
        <v>100</v>
      </c>
      <c r="I64" s="282">
        <f t="shared" si="5"/>
        <v>0</v>
      </c>
      <c r="L64" s="286"/>
    </row>
    <row r="65" spans="1:12">
      <c r="A65" s="313" t="s">
        <v>449</v>
      </c>
      <c r="B65" s="338" t="s">
        <v>450</v>
      </c>
      <c r="C65" s="139"/>
      <c r="D65" s="365">
        <v>170</v>
      </c>
      <c r="E65" s="140">
        <f t="shared" si="3"/>
        <v>170</v>
      </c>
      <c r="F65" s="175" t="str">
        <f t="shared" si="4"/>
        <v/>
      </c>
      <c r="H65" s="280">
        <v>170</v>
      </c>
      <c r="I65" s="282">
        <f t="shared" si="5"/>
        <v>0</v>
      </c>
      <c r="L65" s="286"/>
    </row>
    <row r="66" spans="1:12">
      <c r="A66" s="313" t="s">
        <v>432</v>
      </c>
      <c r="B66" s="138" t="s">
        <v>431</v>
      </c>
      <c r="C66" s="139"/>
      <c r="D66" s="365"/>
      <c r="E66" s="140"/>
      <c r="F66" s="175"/>
      <c r="I66" s="282"/>
      <c r="L66" s="286"/>
    </row>
    <row r="67" spans="1:12">
      <c r="A67" s="137" t="s">
        <v>172</v>
      </c>
      <c r="B67" s="338" t="s">
        <v>435</v>
      </c>
      <c r="C67" s="316">
        <v>13000000</v>
      </c>
      <c r="D67" s="365">
        <v>9966690.5600000005</v>
      </c>
      <c r="E67" s="140" t="str">
        <f t="shared" ref="E67:E74" si="6">IF((D67-C67)&gt;0,D67-C67,"")</f>
        <v/>
      </c>
      <c r="F67" s="175">
        <f t="shared" ref="F67:F74" si="7">IF((D67-C67)&gt;0,"",D67-C67)</f>
        <v>-3033309.4399999995</v>
      </c>
      <c r="H67" s="280">
        <v>9966690.5600000005</v>
      </c>
      <c r="I67" s="282">
        <f t="shared" ref="I67:I74" si="8">D67-H67</f>
        <v>0</v>
      </c>
      <c r="J67" s="323"/>
      <c r="L67" s="286"/>
    </row>
    <row r="68" spans="1:12">
      <c r="A68" s="137" t="s">
        <v>91</v>
      </c>
      <c r="B68" s="138" t="s">
        <v>436</v>
      </c>
      <c r="C68" s="316">
        <v>2500000</v>
      </c>
      <c r="D68" s="365">
        <v>1586914.04</v>
      </c>
      <c r="E68" s="140" t="str">
        <f t="shared" si="6"/>
        <v/>
      </c>
      <c r="F68" s="175">
        <f t="shared" si="7"/>
        <v>-913085.96</v>
      </c>
      <c r="H68" s="280">
        <v>1586914.04</v>
      </c>
      <c r="I68" s="282">
        <f t="shared" si="8"/>
        <v>0</v>
      </c>
      <c r="L68" s="286"/>
    </row>
    <row r="69" spans="1:12">
      <c r="A69" s="137" t="s">
        <v>90</v>
      </c>
      <c r="B69" s="138" t="s">
        <v>437</v>
      </c>
      <c r="C69" s="316">
        <v>8000000</v>
      </c>
      <c r="D69" s="365">
        <v>6581050</v>
      </c>
      <c r="E69" s="140" t="str">
        <f t="shared" si="6"/>
        <v/>
      </c>
      <c r="F69" s="175">
        <f t="shared" si="7"/>
        <v>-1418950</v>
      </c>
      <c r="H69" s="280">
        <v>6581050</v>
      </c>
      <c r="I69" s="282">
        <f t="shared" si="8"/>
        <v>0</v>
      </c>
      <c r="L69" s="425"/>
    </row>
    <row r="70" spans="1:12">
      <c r="A70" s="137" t="s">
        <v>255</v>
      </c>
      <c r="B70" s="138" t="s">
        <v>438</v>
      </c>
      <c r="C70" s="316">
        <v>5500000</v>
      </c>
      <c r="D70" s="365">
        <v>2706235</v>
      </c>
      <c r="E70" s="140" t="str">
        <f t="shared" si="6"/>
        <v/>
      </c>
      <c r="F70" s="175">
        <f t="shared" si="7"/>
        <v>-2793765</v>
      </c>
      <c r="H70" s="280">
        <v>2705771</v>
      </c>
      <c r="I70" s="282">
        <f t="shared" si="8"/>
        <v>464</v>
      </c>
      <c r="J70" s="279" t="s">
        <v>463</v>
      </c>
      <c r="L70" s="286"/>
    </row>
    <row r="71" spans="1:12">
      <c r="A71" s="137" t="s">
        <v>434</v>
      </c>
      <c r="B71" s="138" t="s">
        <v>439</v>
      </c>
      <c r="C71" s="139">
        <v>600000</v>
      </c>
      <c r="D71" s="365">
        <v>425023.59</v>
      </c>
      <c r="E71" s="140" t="str">
        <f t="shared" si="6"/>
        <v/>
      </c>
      <c r="F71" s="175">
        <f t="shared" si="7"/>
        <v>-174976.40999999997</v>
      </c>
      <c r="H71" s="280">
        <v>425023.59</v>
      </c>
      <c r="I71" s="282">
        <f t="shared" si="8"/>
        <v>0</v>
      </c>
      <c r="J71" s="323"/>
      <c r="L71" s="286"/>
    </row>
    <row r="72" spans="1:12">
      <c r="A72" s="137" t="s">
        <v>254</v>
      </c>
      <c r="B72" s="138" t="s">
        <v>440</v>
      </c>
      <c r="C72" s="316">
        <v>1600000</v>
      </c>
      <c r="D72" s="365">
        <v>562350</v>
      </c>
      <c r="E72" s="140" t="str">
        <f t="shared" si="6"/>
        <v/>
      </c>
      <c r="F72" s="175">
        <f t="shared" si="7"/>
        <v>-1037650</v>
      </c>
      <c r="H72" s="280">
        <v>562350</v>
      </c>
      <c r="I72" s="282">
        <f t="shared" si="8"/>
        <v>0</v>
      </c>
      <c r="L72" s="286"/>
    </row>
    <row r="73" spans="1:12">
      <c r="A73" s="137" t="s">
        <v>263</v>
      </c>
      <c r="B73" s="138" t="s">
        <v>441</v>
      </c>
      <c r="C73" s="316">
        <v>5500000</v>
      </c>
      <c r="D73" s="365">
        <v>2710233.63</v>
      </c>
      <c r="E73" s="140" t="str">
        <f t="shared" si="6"/>
        <v/>
      </c>
      <c r="F73" s="175">
        <f t="shared" si="7"/>
        <v>-2789766.37</v>
      </c>
      <c r="H73" s="280">
        <v>2709769.63</v>
      </c>
      <c r="I73" s="282">
        <f t="shared" si="8"/>
        <v>464</v>
      </c>
      <c r="J73" s="279" t="s">
        <v>463</v>
      </c>
      <c r="L73" s="286"/>
    </row>
    <row r="74" spans="1:12">
      <c r="A74" s="313" t="s">
        <v>433</v>
      </c>
      <c r="B74" s="147" t="s">
        <v>442</v>
      </c>
      <c r="C74" s="357">
        <v>1500000</v>
      </c>
      <c r="D74" s="316">
        <v>208090</v>
      </c>
      <c r="E74" s="140" t="str">
        <f t="shared" si="6"/>
        <v/>
      </c>
      <c r="F74" s="175">
        <f t="shared" si="7"/>
        <v>-1291910</v>
      </c>
      <c r="H74" s="280">
        <v>208090</v>
      </c>
      <c r="I74" s="282">
        <f t="shared" si="8"/>
        <v>0</v>
      </c>
      <c r="L74" s="286"/>
    </row>
    <row r="75" spans="1:12">
      <c r="A75" s="313" t="s">
        <v>299</v>
      </c>
      <c r="B75" s="138" t="s">
        <v>300</v>
      </c>
      <c r="C75" s="139"/>
      <c r="D75" s="365"/>
      <c r="E75" s="140" t="str">
        <f t="shared" si="3"/>
        <v/>
      </c>
      <c r="F75" s="175">
        <f t="shared" si="4"/>
        <v>0</v>
      </c>
      <c r="I75" s="282">
        <f t="shared" si="5"/>
        <v>0</v>
      </c>
      <c r="L75" s="286"/>
    </row>
    <row r="76" spans="1:12">
      <c r="A76" s="137" t="s">
        <v>81</v>
      </c>
      <c r="B76" s="138" t="s">
        <v>301</v>
      </c>
      <c r="C76" s="139">
        <v>730000</v>
      </c>
      <c r="D76" s="365">
        <v>679270</v>
      </c>
      <c r="E76" s="140" t="str">
        <f t="shared" si="3"/>
        <v/>
      </c>
      <c r="F76" s="175">
        <f t="shared" si="4"/>
        <v>-50730</v>
      </c>
      <c r="H76" s="280">
        <v>679270</v>
      </c>
      <c r="I76" s="282">
        <f t="shared" si="5"/>
        <v>0</v>
      </c>
      <c r="L76" s="286"/>
    </row>
    <row r="77" spans="1:12">
      <c r="A77" s="137" t="s">
        <v>82</v>
      </c>
      <c r="B77" s="138" t="s">
        <v>302</v>
      </c>
      <c r="C77" s="139">
        <v>6700000</v>
      </c>
      <c r="D77" s="365">
        <v>4258536.4800000004</v>
      </c>
      <c r="E77" s="140" t="str">
        <f t="shared" si="3"/>
        <v/>
      </c>
      <c r="F77" s="175">
        <f t="shared" si="4"/>
        <v>-2441463.5199999996</v>
      </c>
      <c r="H77" s="280">
        <v>4258536.4800000004</v>
      </c>
      <c r="I77" s="282">
        <f t="shared" si="5"/>
        <v>0</v>
      </c>
      <c r="L77" s="286"/>
    </row>
    <row r="78" spans="1:12">
      <c r="A78" s="137" t="s">
        <v>83</v>
      </c>
      <c r="B78" s="138" t="s">
        <v>303</v>
      </c>
      <c r="C78" s="139">
        <v>2100000</v>
      </c>
      <c r="D78" s="365">
        <v>1976269</v>
      </c>
      <c r="E78" s="140" t="str">
        <f t="shared" si="3"/>
        <v/>
      </c>
      <c r="F78" s="175">
        <f t="shared" si="4"/>
        <v>-123731</v>
      </c>
      <c r="H78" s="280">
        <v>1976269</v>
      </c>
      <c r="I78" s="282">
        <f t="shared" si="5"/>
        <v>0</v>
      </c>
      <c r="L78" s="286"/>
    </row>
    <row r="79" spans="1:12">
      <c r="A79" s="313" t="s">
        <v>464</v>
      </c>
      <c r="B79" s="338" t="s">
        <v>462</v>
      </c>
      <c r="C79" s="316">
        <v>2000000</v>
      </c>
      <c r="D79" s="365">
        <v>1730051</v>
      </c>
      <c r="E79" s="140" t="str">
        <f>IF((D79-C79)&gt;0,D79-C79,"")</f>
        <v/>
      </c>
      <c r="F79" s="175">
        <f>IF((D79-C79)&gt;0,"",D79-C79)</f>
        <v>-269949</v>
      </c>
      <c r="H79" s="280">
        <v>1730051</v>
      </c>
      <c r="I79" s="282">
        <f>D79-H79</f>
        <v>0</v>
      </c>
      <c r="L79" s="286"/>
    </row>
    <row r="80" spans="1:12">
      <c r="A80" s="313" t="s">
        <v>443</v>
      </c>
      <c r="B80" s="138" t="s">
        <v>444</v>
      </c>
      <c r="C80" s="139"/>
      <c r="D80" s="365"/>
      <c r="E80" s="140"/>
      <c r="F80" s="175"/>
      <c r="I80" s="282"/>
      <c r="L80" s="286"/>
    </row>
    <row r="81" spans="1:12">
      <c r="A81" s="137" t="s">
        <v>281</v>
      </c>
      <c r="B81" s="138" t="s">
        <v>286</v>
      </c>
      <c r="C81" s="139">
        <v>555000</v>
      </c>
      <c r="D81" s="365">
        <v>238740</v>
      </c>
      <c r="E81" s="140" t="str">
        <f>IF((D81-C81)&gt;0,D81-C81,"")</f>
        <v/>
      </c>
      <c r="F81" s="175">
        <f>IF((D81-C81)&gt;0,"",D81-C81)</f>
        <v>-316260</v>
      </c>
      <c r="H81" s="280">
        <v>238740</v>
      </c>
      <c r="I81" s="282">
        <f>D81-H81</f>
        <v>0</v>
      </c>
      <c r="J81" s="323"/>
      <c r="L81" s="286"/>
    </row>
    <row r="82" spans="1:12">
      <c r="A82" s="313" t="s">
        <v>403</v>
      </c>
      <c r="B82" s="138" t="s">
        <v>212</v>
      </c>
      <c r="C82" s="139">
        <v>5500000</v>
      </c>
      <c r="D82" s="365">
        <v>5088680</v>
      </c>
      <c r="E82" s="140" t="str">
        <f t="shared" si="3"/>
        <v/>
      </c>
      <c r="F82" s="175">
        <f t="shared" si="4"/>
        <v>-411320</v>
      </c>
      <c r="H82" s="280">
        <v>5088680</v>
      </c>
      <c r="I82" s="282">
        <f t="shared" si="5"/>
        <v>0</v>
      </c>
      <c r="L82" s="286"/>
    </row>
    <row r="83" spans="1:12">
      <c r="A83" s="313" t="s">
        <v>408</v>
      </c>
      <c r="B83" s="338" t="s">
        <v>409</v>
      </c>
      <c r="C83" s="139"/>
      <c r="D83" s="365"/>
      <c r="E83" s="140" t="str">
        <f t="shared" si="3"/>
        <v/>
      </c>
      <c r="F83" s="175">
        <f t="shared" si="4"/>
        <v>0</v>
      </c>
      <c r="I83" s="282">
        <f t="shared" si="5"/>
        <v>0</v>
      </c>
      <c r="L83" s="286"/>
    </row>
    <row r="84" spans="1:12">
      <c r="A84" s="313" t="s">
        <v>404</v>
      </c>
      <c r="B84" s="138" t="s">
        <v>231</v>
      </c>
      <c r="C84" s="139">
        <v>200000</v>
      </c>
      <c r="D84" s="365">
        <v>7800</v>
      </c>
      <c r="E84" s="140" t="str">
        <f t="shared" si="3"/>
        <v/>
      </c>
      <c r="F84" s="175">
        <f t="shared" si="4"/>
        <v>-192200</v>
      </c>
      <c r="H84" s="280">
        <v>7800</v>
      </c>
      <c r="I84" s="282">
        <f t="shared" si="5"/>
        <v>0</v>
      </c>
      <c r="L84" s="286"/>
    </row>
    <row r="85" spans="1:12">
      <c r="A85" s="313" t="s">
        <v>405</v>
      </c>
      <c r="B85" s="138" t="s">
        <v>232</v>
      </c>
      <c r="C85" s="139">
        <v>70000</v>
      </c>
      <c r="D85" s="365">
        <v>7028</v>
      </c>
      <c r="E85" s="140" t="str">
        <f t="shared" si="3"/>
        <v/>
      </c>
      <c r="F85" s="175">
        <f t="shared" si="4"/>
        <v>-62972</v>
      </c>
      <c r="H85" s="280">
        <v>7028</v>
      </c>
      <c r="I85" s="282">
        <f t="shared" si="5"/>
        <v>0</v>
      </c>
      <c r="L85" s="286"/>
    </row>
    <row r="86" spans="1:12">
      <c r="A86" s="313" t="s">
        <v>406</v>
      </c>
      <c r="B86" s="138" t="s">
        <v>233</v>
      </c>
      <c r="C86" s="139">
        <v>30000</v>
      </c>
      <c r="D86" s="365">
        <v>1345</v>
      </c>
      <c r="E86" s="140" t="str">
        <f t="shared" si="3"/>
        <v/>
      </c>
      <c r="F86" s="175">
        <f t="shared" si="4"/>
        <v>-28655</v>
      </c>
      <c r="H86" s="280">
        <v>1345</v>
      </c>
      <c r="I86" s="282">
        <f t="shared" si="5"/>
        <v>0</v>
      </c>
      <c r="L86" s="286"/>
    </row>
    <row r="87" spans="1:12">
      <c r="A87" s="313" t="s">
        <v>407</v>
      </c>
      <c r="B87" s="138" t="s">
        <v>234</v>
      </c>
      <c r="C87" s="139">
        <v>550000</v>
      </c>
      <c r="D87" s="365">
        <v>609565.6</v>
      </c>
      <c r="E87" s="140">
        <f t="shared" si="3"/>
        <v>59565.599999999977</v>
      </c>
      <c r="F87" s="175" t="str">
        <f t="shared" si="4"/>
        <v/>
      </c>
      <c r="H87" s="280">
        <v>609565.6</v>
      </c>
      <c r="I87" s="282">
        <f t="shared" si="5"/>
        <v>0</v>
      </c>
      <c r="L87" s="286"/>
    </row>
    <row r="88" spans="1:12">
      <c r="A88" s="137" t="s">
        <v>85</v>
      </c>
      <c r="B88" s="138" t="s">
        <v>240</v>
      </c>
      <c r="C88" s="139"/>
      <c r="D88" s="365"/>
      <c r="E88" s="140" t="str">
        <f t="shared" si="3"/>
        <v/>
      </c>
      <c r="F88" s="175">
        <f t="shared" si="4"/>
        <v>0</v>
      </c>
      <c r="I88" s="282">
        <f t="shared" si="5"/>
        <v>0</v>
      </c>
      <c r="L88" s="286"/>
    </row>
    <row r="89" spans="1:12">
      <c r="A89" s="137" t="s">
        <v>250</v>
      </c>
      <c r="B89" s="138" t="s">
        <v>251</v>
      </c>
      <c r="C89" s="139">
        <v>600000</v>
      </c>
      <c r="D89" s="365">
        <v>142538</v>
      </c>
      <c r="E89" s="140" t="str">
        <f t="shared" si="3"/>
        <v/>
      </c>
      <c r="F89" s="175">
        <f t="shared" si="4"/>
        <v>-457462</v>
      </c>
      <c r="H89" s="280">
        <v>142538</v>
      </c>
      <c r="I89" s="282">
        <f t="shared" si="5"/>
        <v>0</v>
      </c>
      <c r="L89" s="286"/>
    </row>
    <row r="90" spans="1:12">
      <c r="A90" s="137" t="s">
        <v>253</v>
      </c>
      <c r="B90" s="138" t="s">
        <v>252</v>
      </c>
      <c r="C90" s="139">
        <v>150000</v>
      </c>
      <c r="D90" s="365">
        <v>280000</v>
      </c>
      <c r="E90" s="140">
        <f t="shared" si="3"/>
        <v>130000</v>
      </c>
      <c r="F90" s="175" t="str">
        <f t="shared" si="4"/>
        <v/>
      </c>
      <c r="H90" s="280">
        <v>280000</v>
      </c>
      <c r="I90" s="282">
        <f t="shared" si="5"/>
        <v>0</v>
      </c>
      <c r="L90" s="286"/>
    </row>
    <row r="91" spans="1:12">
      <c r="A91" s="137" t="s">
        <v>265</v>
      </c>
      <c r="B91" s="338" t="s">
        <v>266</v>
      </c>
      <c r="C91" s="316">
        <v>3500000</v>
      </c>
      <c r="D91" s="365">
        <v>1326420</v>
      </c>
      <c r="E91" s="140" t="str">
        <f t="shared" si="3"/>
        <v/>
      </c>
      <c r="F91" s="175">
        <f t="shared" si="4"/>
        <v>-2173580</v>
      </c>
      <c r="H91" s="280">
        <v>1326420</v>
      </c>
      <c r="I91" s="282">
        <f t="shared" si="5"/>
        <v>0</v>
      </c>
      <c r="L91" s="286"/>
    </row>
    <row r="92" spans="1:12">
      <c r="A92" s="137" t="s">
        <v>84</v>
      </c>
      <c r="B92" s="338" t="s">
        <v>268</v>
      </c>
      <c r="C92" s="316">
        <v>2700000</v>
      </c>
      <c r="D92" s="365">
        <v>2620180</v>
      </c>
      <c r="E92" s="140" t="str">
        <f t="shared" si="3"/>
        <v/>
      </c>
      <c r="F92" s="175">
        <f t="shared" si="4"/>
        <v>-79820</v>
      </c>
      <c r="H92" s="280">
        <v>2620180</v>
      </c>
      <c r="I92" s="282">
        <f t="shared" si="5"/>
        <v>0</v>
      </c>
      <c r="L92" s="286"/>
    </row>
    <row r="93" spans="1:12">
      <c r="A93" s="137" t="s">
        <v>267</v>
      </c>
      <c r="B93" s="338" t="s">
        <v>269</v>
      </c>
      <c r="C93" s="316">
        <v>2000000</v>
      </c>
      <c r="D93" s="365">
        <v>1712690</v>
      </c>
      <c r="E93" s="140" t="str">
        <f t="shared" si="3"/>
        <v/>
      </c>
      <c r="F93" s="175">
        <f t="shared" si="4"/>
        <v>-287310</v>
      </c>
      <c r="H93" s="280">
        <v>1712690</v>
      </c>
      <c r="I93" s="282">
        <f t="shared" si="5"/>
        <v>0</v>
      </c>
      <c r="L93" s="286"/>
    </row>
    <row r="94" spans="1:12">
      <c r="A94" s="137" t="s">
        <v>86</v>
      </c>
      <c r="B94" s="338" t="s">
        <v>272</v>
      </c>
      <c r="C94" s="316">
        <v>150000</v>
      </c>
      <c r="D94" s="365">
        <v>51300</v>
      </c>
      <c r="E94" s="140" t="str">
        <f t="shared" si="3"/>
        <v/>
      </c>
      <c r="F94" s="175">
        <f t="shared" si="4"/>
        <v>-98700</v>
      </c>
      <c r="H94" s="280">
        <v>51300</v>
      </c>
      <c r="I94" s="282">
        <f t="shared" si="5"/>
        <v>0</v>
      </c>
      <c r="L94" s="286"/>
    </row>
    <row r="95" spans="1:12">
      <c r="A95" s="137" t="s">
        <v>87</v>
      </c>
      <c r="B95" s="338" t="s">
        <v>273</v>
      </c>
      <c r="C95" s="316">
        <v>450000</v>
      </c>
      <c r="D95" s="365">
        <v>103600</v>
      </c>
      <c r="E95" s="140" t="str">
        <f t="shared" si="3"/>
        <v/>
      </c>
      <c r="F95" s="175">
        <f t="shared" si="4"/>
        <v>-346400</v>
      </c>
      <c r="H95" s="280">
        <v>103600</v>
      </c>
      <c r="I95" s="282">
        <f t="shared" si="5"/>
        <v>0</v>
      </c>
      <c r="L95" s="286"/>
    </row>
    <row r="96" spans="1:12">
      <c r="A96" s="137" t="s">
        <v>88</v>
      </c>
      <c r="B96" s="338" t="s">
        <v>274</v>
      </c>
      <c r="C96" s="316">
        <v>2000000</v>
      </c>
      <c r="D96" s="365">
        <v>1367800</v>
      </c>
      <c r="E96" s="140" t="str">
        <f t="shared" si="3"/>
        <v/>
      </c>
      <c r="F96" s="175">
        <f t="shared" si="4"/>
        <v>-632200</v>
      </c>
      <c r="H96" s="280">
        <v>1367800</v>
      </c>
      <c r="I96" s="282">
        <f t="shared" si="5"/>
        <v>0</v>
      </c>
      <c r="J96" s="323"/>
      <c r="L96" s="286"/>
    </row>
    <row r="97" spans="1:12">
      <c r="A97" s="137" t="s">
        <v>271</v>
      </c>
      <c r="B97" s="338" t="s">
        <v>275</v>
      </c>
      <c r="C97" s="316">
        <v>100000</v>
      </c>
      <c r="D97" s="365">
        <v>23750</v>
      </c>
      <c r="E97" s="140" t="str">
        <f t="shared" si="3"/>
        <v/>
      </c>
      <c r="F97" s="175">
        <f t="shared" si="4"/>
        <v>-76250</v>
      </c>
      <c r="H97" s="280">
        <v>23750</v>
      </c>
      <c r="I97" s="282">
        <f t="shared" si="5"/>
        <v>0</v>
      </c>
      <c r="L97" s="286"/>
    </row>
    <row r="98" spans="1:12">
      <c r="A98" s="137" t="s">
        <v>318</v>
      </c>
      <c r="B98" s="338" t="s">
        <v>319</v>
      </c>
      <c r="C98" s="316">
        <v>350000</v>
      </c>
      <c r="D98" s="365">
        <v>114440</v>
      </c>
      <c r="E98" s="140" t="str">
        <f t="shared" si="3"/>
        <v/>
      </c>
      <c r="F98" s="175">
        <f t="shared" si="4"/>
        <v>-235560</v>
      </c>
      <c r="H98" s="280">
        <v>114440</v>
      </c>
      <c r="I98" s="326">
        <f t="shared" si="5"/>
        <v>0</v>
      </c>
      <c r="L98" s="286"/>
    </row>
    <row r="99" spans="1:12">
      <c r="A99" s="137" t="s">
        <v>321</v>
      </c>
      <c r="B99" s="338" t="s">
        <v>320</v>
      </c>
      <c r="C99" s="316">
        <v>900000</v>
      </c>
      <c r="D99" s="365">
        <v>340506</v>
      </c>
      <c r="E99" s="140" t="str">
        <f t="shared" si="3"/>
        <v/>
      </c>
      <c r="F99" s="175">
        <f t="shared" si="4"/>
        <v>-559494</v>
      </c>
      <c r="H99" s="280">
        <v>340506</v>
      </c>
      <c r="I99" s="282">
        <f t="shared" si="5"/>
        <v>0</v>
      </c>
      <c r="L99" s="286"/>
    </row>
    <row r="100" spans="1:12">
      <c r="A100" s="137" t="s">
        <v>304</v>
      </c>
      <c r="B100" s="338" t="s">
        <v>307</v>
      </c>
      <c r="C100" s="316"/>
      <c r="D100" s="365"/>
      <c r="E100" s="140" t="str">
        <f t="shared" si="3"/>
        <v/>
      </c>
      <c r="F100" s="175">
        <f t="shared" si="4"/>
        <v>0</v>
      </c>
      <c r="I100" s="282">
        <f t="shared" si="5"/>
        <v>0</v>
      </c>
      <c r="L100" s="286"/>
    </row>
    <row r="101" spans="1:12">
      <c r="A101" s="313" t="s">
        <v>305</v>
      </c>
      <c r="B101" s="338" t="s">
        <v>308</v>
      </c>
      <c r="C101" s="316">
        <v>36000</v>
      </c>
      <c r="D101" s="365">
        <v>3500</v>
      </c>
      <c r="E101" s="140" t="str">
        <f t="shared" si="3"/>
        <v/>
      </c>
      <c r="F101" s="175">
        <f t="shared" si="4"/>
        <v>-32500</v>
      </c>
      <c r="H101" s="280">
        <v>3500</v>
      </c>
      <c r="I101" s="282">
        <f t="shared" si="5"/>
        <v>0</v>
      </c>
      <c r="L101" s="286"/>
    </row>
    <row r="102" spans="1:12">
      <c r="A102" s="313" t="s">
        <v>306</v>
      </c>
      <c r="B102" s="338" t="s">
        <v>309</v>
      </c>
      <c r="C102" s="316">
        <v>500000</v>
      </c>
      <c r="D102" s="365">
        <v>24652</v>
      </c>
      <c r="E102" s="140" t="str">
        <f t="shared" si="3"/>
        <v/>
      </c>
      <c r="F102" s="175">
        <f t="shared" si="4"/>
        <v>-475348</v>
      </c>
      <c r="H102" s="280">
        <v>24652</v>
      </c>
      <c r="I102" s="282">
        <f t="shared" si="5"/>
        <v>0</v>
      </c>
      <c r="L102" s="286"/>
    </row>
    <row r="103" spans="1:12">
      <c r="A103" s="313" t="s">
        <v>2</v>
      </c>
      <c r="B103" s="338" t="s">
        <v>298</v>
      </c>
      <c r="C103" s="316">
        <v>9000000</v>
      </c>
      <c r="D103" s="365">
        <v>8484077.5</v>
      </c>
      <c r="E103" s="140" t="str">
        <f t="shared" si="3"/>
        <v/>
      </c>
      <c r="F103" s="175">
        <f t="shared" si="4"/>
        <v>-515922.5</v>
      </c>
      <c r="H103" s="280">
        <v>8484077.5</v>
      </c>
      <c r="I103" s="282">
        <f t="shared" si="5"/>
        <v>0</v>
      </c>
      <c r="L103" s="286"/>
    </row>
    <row r="104" spans="1:12">
      <c r="A104" s="313" t="s">
        <v>3</v>
      </c>
      <c r="B104" s="338" t="s">
        <v>310</v>
      </c>
      <c r="C104" s="316"/>
      <c r="D104" s="365"/>
      <c r="E104" s="140" t="str">
        <f t="shared" si="3"/>
        <v/>
      </c>
      <c r="F104" s="175">
        <f t="shared" si="4"/>
        <v>0</v>
      </c>
      <c r="I104" s="282">
        <f t="shared" si="5"/>
        <v>0</v>
      </c>
      <c r="L104" s="286"/>
    </row>
    <row r="105" spans="1:12">
      <c r="A105" s="313" t="s">
        <v>94</v>
      </c>
      <c r="B105" s="338" t="s">
        <v>311</v>
      </c>
      <c r="C105" s="316">
        <v>700000</v>
      </c>
      <c r="D105" s="380">
        <f>289042.43-5171.56</f>
        <v>283870.87</v>
      </c>
      <c r="E105" s="140" t="str">
        <f t="shared" ref="E105:E107" si="9">IF((D105-C105)&gt;0,D105-C105,"")</f>
        <v/>
      </c>
      <c r="F105" s="175">
        <f t="shared" ref="F105:F107" si="10">IF((D105-C105)&gt;0,"",D105-C105)</f>
        <v>-416129.13</v>
      </c>
      <c r="G105" s="323" t="s">
        <v>423</v>
      </c>
      <c r="H105" s="280">
        <v>283869.87</v>
      </c>
      <c r="I105" s="282">
        <f t="shared" ref="I105:I107" si="11">D105-H105</f>
        <v>1</v>
      </c>
      <c r="L105" s="286"/>
    </row>
    <row r="106" spans="1:12">
      <c r="A106" s="313" t="s">
        <v>95</v>
      </c>
      <c r="B106" s="338" t="s">
        <v>312</v>
      </c>
      <c r="C106" s="316"/>
      <c r="D106" s="365"/>
      <c r="E106" s="140" t="str">
        <f t="shared" si="9"/>
        <v/>
      </c>
      <c r="F106" s="175">
        <f t="shared" si="10"/>
        <v>0</v>
      </c>
      <c r="I106" s="282">
        <f t="shared" si="11"/>
        <v>0</v>
      </c>
      <c r="L106" s="286"/>
    </row>
    <row r="107" spans="1:12" ht="12.75" hidden="1" customHeight="1">
      <c r="A107" s="137"/>
      <c r="B107" s="138"/>
      <c r="C107" s="142"/>
      <c r="D107" s="365"/>
      <c r="E107" s="140" t="str">
        <f t="shared" si="9"/>
        <v/>
      </c>
      <c r="F107" s="175">
        <f t="shared" si="10"/>
        <v>0</v>
      </c>
      <c r="I107" s="282">
        <f t="shared" si="11"/>
        <v>0</v>
      </c>
      <c r="L107" s="286"/>
    </row>
    <row r="108" spans="1:12" ht="13.5" thickBot="1">
      <c r="A108" s="137"/>
      <c r="B108" s="147"/>
      <c r="C108" s="152">
        <f>SUM(C35:C107)</f>
        <v>108044500</v>
      </c>
      <c r="D108" s="383">
        <f>SUM(D35:D107)</f>
        <v>73135157.290000021</v>
      </c>
      <c r="E108" s="152">
        <f>SUM(E35:E107)</f>
        <v>202685.59999999998</v>
      </c>
      <c r="F108" s="194">
        <f>SUM(F35:F107)</f>
        <v>-35112028.31000001</v>
      </c>
      <c r="G108" s="153"/>
      <c r="H108" s="291">
        <f>SUM(H68:H107)</f>
        <v>46255576.710000001</v>
      </c>
      <c r="I108" s="291">
        <f>SUM(I36:I107)</f>
        <v>38609</v>
      </c>
      <c r="L108" s="286"/>
    </row>
    <row r="109" spans="1:12" ht="12.75" hidden="1" customHeight="1">
      <c r="A109" s="146" t="s">
        <v>398</v>
      </c>
      <c r="B109" s="147"/>
      <c r="C109" s="153"/>
      <c r="D109" s="316"/>
      <c r="E109" s="140"/>
      <c r="F109" s="175"/>
      <c r="I109" s="282"/>
      <c r="L109" s="286"/>
    </row>
    <row r="110" spans="1:12" ht="13.5" thickTop="1">
      <c r="A110" s="313" t="s">
        <v>313</v>
      </c>
      <c r="B110" s="338" t="s">
        <v>314</v>
      </c>
      <c r="C110" s="139">
        <v>300000</v>
      </c>
      <c r="D110" s="365">
        <v>291652.84999999998</v>
      </c>
      <c r="E110" s="140" t="str">
        <f t="shared" ref="E110:E111" si="12">IF((D110-C110)&gt;0,D110-C110,"")</f>
        <v/>
      </c>
      <c r="F110" s="175">
        <f t="shared" ref="F110:F111" si="13">IF((D110-C110)&gt;0,"",D110-C110)</f>
        <v>-8347.1500000000233</v>
      </c>
      <c r="H110" s="280">
        <v>291652.84999999998</v>
      </c>
      <c r="I110" s="282">
        <f>D110-H110</f>
        <v>0</v>
      </c>
      <c r="L110" s="286"/>
    </row>
    <row r="111" spans="1:12">
      <c r="A111" s="137"/>
      <c r="B111" s="147"/>
      <c r="C111" s="153"/>
      <c r="D111" s="316"/>
      <c r="E111" s="140" t="str">
        <f t="shared" si="12"/>
        <v/>
      </c>
      <c r="F111" s="175">
        <f t="shared" si="13"/>
        <v>0</v>
      </c>
      <c r="I111" s="282">
        <f t="shared" ref="I111" si="14">D111-H111</f>
        <v>0</v>
      </c>
      <c r="J111" s="284"/>
      <c r="L111" s="286"/>
    </row>
    <row r="112" spans="1:12" ht="13.5" thickBot="1">
      <c r="A112" s="137"/>
      <c r="B112" s="147"/>
      <c r="C112" s="161">
        <f>SUM(C109:C111)</f>
        <v>300000</v>
      </c>
      <c r="D112" s="368">
        <f t="shared" ref="D112:F112" si="15">SUM(D109:D111)</f>
        <v>291652.84999999998</v>
      </c>
      <c r="E112" s="161">
        <f t="shared" si="15"/>
        <v>0</v>
      </c>
      <c r="F112" s="194">
        <f t="shared" si="15"/>
        <v>-8347.1500000000233</v>
      </c>
      <c r="H112" s="292">
        <f>SUM(H111:H111)</f>
        <v>0</v>
      </c>
      <c r="I112" s="291">
        <f>SUM(I111:I111)</f>
        <v>0</v>
      </c>
      <c r="L112" s="286"/>
    </row>
    <row r="113" spans="1:12" ht="13.5" thickTop="1">
      <c r="A113" s="146" t="s">
        <v>399</v>
      </c>
      <c r="B113" s="147"/>
      <c r="C113" s="153"/>
      <c r="D113" s="316"/>
      <c r="E113" s="153"/>
      <c r="F113" s="169"/>
      <c r="I113" s="282"/>
      <c r="L113" s="286"/>
    </row>
    <row r="114" spans="1:12">
      <c r="A114" s="313" t="s">
        <v>4</v>
      </c>
      <c r="B114" s="315" t="s">
        <v>315</v>
      </c>
      <c r="C114" s="153">
        <v>900000</v>
      </c>
      <c r="D114" s="373">
        <f>65501.32-243.1</f>
        <v>65258.22</v>
      </c>
      <c r="E114" s="153" t="str">
        <f t="shared" ref="E114:E123" si="16">IF((D114-C114)&gt;0,D114-C114,"")</f>
        <v/>
      </c>
      <c r="F114" s="169">
        <f t="shared" ref="F114:F123" si="17">IF((D114-C114)&gt;0,"",D114-C114)</f>
        <v>-834741.78</v>
      </c>
      <c r="H114" s="280">
        <v>77196.67</v>
      </c>
      <c r="I114" s="283">
        <f t="shared" ref="I114:I123" si="18">D114-H114</f>
        <v>-11938.449999999997</v>
      </c>
      <c r="L114" s="425"/>
    </row>
    <row r="115" spans="1:12">
      <c r="A115" s="313" t="s">
        <v>5</v>
      </c>
      <c r="B115" s="315" t="s">
        <v>317</v>
      </c>
      <c r="C115" s="357">
        <v>20000</v>
      </c>
      <c r="D115" s="316">
        <v>10300</v>
      </c>
      <c r="E115" s="153" t="str">
        <f t="shared" si="16"/>
        <v/>
      </c>
      <c r="F115" s="169">
        <f t="shared" si="17"/>
        <v>-9700</v>
      </c>
      <c r="H115" s="280">
        <v>10300</v>
      </c>
      <c r="I115" s="282">
        <f t="shared" si="18"/>
        <v>0</v>
      </c>
      <c r="L115" s="286"/>
    </row>
    <row r="116" spans="1:12">
      <c r="A116" s="313" t="s">
        <v>96</v>
      </c>
      <c r="B116" s="315"/>
      <c r="C116" s="357"/>
      <c r="D116" s="316"/>
      <c r="E116" s="153" t="str">
        <f t="shared" si="16"/>
        <v/>
      </c>
      <c r="F116" s="169">
        <f t="shared" si="17"/>
        <v>0</v>
      </c>
      <c r="I116" s="282">
        <f t="shared" si="18"/>
        <v>0</v>
      </c>
      <c r="L116" s="286"/>
    </row>
    <row r="117" spans="1:12">
      <c r="A117" s="137" t="s">
        <v>97</v>
      </c>
      <c r="B117" s="315" t="s">
        <v>322</v>
      </c>
      <c r="C117" s="357">
        <v>400000</v>
      </c>
      <c r="D117" s="316">
        <v>204270</v>
      </c>
      <c r="E117" s="153" t="str">
        <f t="shared" si="16"/>
        <v/>
      </c>
      <c r="F117" s="169">
        <f t="shared" si="17"/>
        <v>-195730</v>
      </c>
      <c r="H117" s="280">
        <v>204170</v>
      </c>
      <c r="I117" s="282">
        <f t="shared" si="18"/>
        <v>100</v>
      </c>
      <c r="J117" s="279" t="s">
        <v>463</v>
      </c>
      <c r="L117" s="286"/>
    </row>
    <row r="118" spans="1:12">
      <c r="A118" s="137" t="s">
        <v>98</v>
      </c>
      <c r="B118" s="315" t="s">
        <v>323</v>
      </c>
      <c r="C118" s="357">
        <v>150000</v>
      </c>
      <c r="D118" s="316">
        <v>74750</v>
      </c>
      <c r="E118" s="140" t="str">
        <f t="shared" si="16"/>
        <v/>
      </c>
      <c r="F118" s="175">
        <f t="shared" si="17"/>
        <v>-75250</v>
      </c>
      <c r="H118" s="280">
        <v>74850</v>
      </c>
      <c r="I118" s="282">
        <f t="shared" si="18"/>
        <v>-100</v>
      </c>
      <c r="J118" s="279" t="s">
        <v>463</v>
      </c>
      <c r="L118" s="286"/>
    </row>
    <row r="119" spans="1:12">
      <c r="A119" s="137" t="s">
        <v>6</v>
      </c>
      <c r="B119" s="315" t="s">
        <v>324</v>
      </c>
      <c r="C119" s="357">
        <v>300000</v>
      </c>
      <c r="D119" s="316">
        <v>11670</v>
      </c>
      <c r="E119" s="140" t="str">
        <f t="shared" si="16"/>
        <v/>
      </c>
      <c r="F119" s="175">
        <f t="shared" si="17"/>
        <v>-288330</v>
      </c>
      <c r="H119" s="280">
        <v>11670</v>
      </c>
      <c r="I119" s="282">
        <f t="shared" si="18"/>
        <v>0</v>
      </c>
      <c r="L119" s="425"/>
    </row>
    <row r="120" spans="1:12">
      <c r="A120" s="313" t="s">
        <v>36</v>
      </c>
      <c r="B120" s="315" t="s">
        <v>325</v>
      </c>
      <c r="C120" s="357">
        <v>10000</v>
      </c>
      <c r="D120" s="316"/>
      <c r="E120" s="140" t="str">
        <f t="shared" si="16"/>
        <v/>
      </c>
      <c r="F120" s="175">
        <f t="shared" si="17"/>
        <v>-10000</v>
      </c>
      <c r="I120" s="282">
        <f t="shared" si="18"/>
        <v>0</v>
      </c>
      <c r="L120" s="286"/>
    </row>
    <row r="121" spans="1:12">
      <c r="A121" s="137" t="s">
        <v>99</v>
      </c>
      <c r="B121" s="315" t="s">
        <v>326</v>
      </c>
      <c r="C121" s="357">
        <v>800000</v>
      </c>
      <c r="D121" s="373">
        <v>373098.28</v>
      </c>
      <c r="E121" s="140" t="str">
        <f t="shared" si="16"/>
        <v/>
      </c>
      <c r="F121" s="175">
        <f t="shared" si="17"/>
        <v>-426901.72</v>
      </c>
      <c r="H121" s="280">
        <v>45430.32</v>
      </c>
      <c r="I121" s="283">
        <f t="shared" si="18"/>
        <v>327667.96000000002</v>
      </c>
      <c r="J121" s="294"/>
      <c r="K121" s="424"/>
      <c r="L121" s="286"/>
    </row>
    <row r="122" spans="1:12">
      <c r="A122" s="137" t="s">
        <v>101</v>
      </c>
      <c r="B122" s="315" t="s">
        <v>328</v>
      </c>
      <c r="C122" s="357">
        <v>60000</v>
      </c>
      <c r="D122" s="373">
        <v>789810.76</v>
      </c>
      <c r="E122" s="140">
        <f t="shared" si="16"/>
        <v>729810.76</v>
      </c>
      <c r="F122" s="175" t="str">
        <f t="shared" si="17"/>
        <v/>
      </c>
      <c r="I122" s="282">
        <f t="shared" si="18"/>
        <v>789810.76</v>
      </c>
      <c r="J122" s="323" t="s">
        <v>421</v>
      </c>
      <c r="L122" s="286"/>
    </row>
    <row r="123" spans="1:12">
      <c r="A123" s="137"/>
      <c r="B123" s="315"/>
      <c r="C123" s="357"/>
      <c r="D123" s="316"/>
      <c r="E123" s="140" t="str">
        <f t="shared" si="16"/>
        <v/>
      </c>
      <c r="F123" s="175">
        <f t="shared" si="17"/>
        <v>0</v>
      </c>
      <c r="I123" s="282">
        <f t="shared" si="18"/>
        <v>0</v>
      </c>
      <c r="L123" s="286"/>
    </row>
    <row r="124" spans="1:12" ht="13.5" thickBot="1">
      <c r="A124" s="146"/>
      <c r="B124" s="138"/>
      <c r="C124" s="163">
        <f>SUM(C114:C123)</f>
        <v>2640000</v>
      </c>
      <c r="D124" s="384">
        <f>SUM(D114:D123)</f>
        <v>1529157.26</v>
      </c>
      <c r="E124" s="163">
        <f>SUM(E114:E123)</f>
        <v>729810.76</v>
      </c>
      <c r="F124" s="164">
        <f>SUM(F114:F123)</f>
        <v>-1840653.5</v>
      </c>
      <c r="I124" s="406">
        <f>SUM(I113:I123)</f>
        <v>1105540.27</v>
      </c>
      <c r="L124" s="286"/>
    </row>
    <row r="125" spans="1:12" ht="13.5" thickBot="1">
      <c r="A125" s="165" t="s">
        <v>124</v>
      </c>
      <c r="B125" s="166"/>
      <c r="C125" s="167">
        <f>SUM(C124+C112+C108+C34)</f>
        <v>980161577</v>
      </c>
      <c r="D125" s="385">
        <f>SUM(D124+D112+D108+D34)</f>
        <v>462959656.31</v>
      </c>
      <c r="E125" s="157">
        <f>SUM(E124+E112+E108+E34)</f>
        <v>932496.36</v>
      </c>
      <c r="F125" s="210">
        <f>SUM(F124+F112+F108+F34)</f>
        <v>-518134417.04999995</v>
      </c>
      <c r="I125" s="282"/>
    </row>
    <row r="126" spans="1:12">
      <c r="A126" s="158"/>
      <c r="B126" s="348"/>
      <c r="C126" s="358"/>
      <c r="D126" s="358"/>
      <c r="E126" s="310"/>
      <c r="F126" s="184"/>
      <c r="I126" s="282"/>
    </row>
    <row r="127" spans="1:12">
      <c r="A127" s="171" t="s">
        <v>102</v>
      </c>
      <c r="B127" s="138"/>
      <c r="C127" s="160">
        <f>+C125</f>
        <v>980161577</v>
      </c>
      <c r="D127" s="316">
        <f>+D125</f>
        <v>462959656.31</v>
      </c>
      <c r="E127" s="139">
        <f>+E125</f>
        <v>932496.36</v>
      </c>
      <c r="F127" s="169">
        <f>+F125</f>
        <v>-518134417.04999995</v>
      </c>
      <c r="I127" s="282"/>
    </row>
    <row r="128" spans="1:12">
      <c r="A128" s="137"/>
      <c r="B128" s="147"/>
      <c r="C128" s="153"/>
      <c r="D128" s="316"/>
      <c r="E128" s="139"/>
      <c r="F128" s="169"/>
      <c r="I128" s="282"/>
    </row>
    <row r="129" spans="1:9">
      <c r="A129" s="146" t="s">
        <v>103</v>
      </c>
      <c r="B129" s="147"/>
      <c r="C129" s="153"/>
      <c r="D129" s="316"/>
      <c r="E129" s="140"/>
      <c r="F129" s="151"/>
      <c r="I129" s="282"/>
    </row>
    <row r="130" spans="1:9">
      <c r="A130" s="137" t="s">
        <v>17</v>
      </c>
      <c r="B130" s="147"/>
      <c r="C130" s="153"/>
      <c r="D130" s="356"/>
      <c r="E130" s="140"/>
      <c r="F130" s="151"/>
      <c r="I130" s="282"/>
    </row>
    <row r="131" spans="1:9">
      <c r="A131" s="146" t="s">
        <v>104</v>
      </c>
      <c r="B131" s="315" t="s">
        <v>330</v>
      </c>
      <c r="C131" s="359">
        <v>15000000</v>
      </c>
      <c r="D131" s="386">
        <v>1400000</v>
      </c>
      <c r="E131" s="172">
        <v>0</v>
      </c>
      <c r="F131" s="177">
        <f>IF((D131-C131)&gt;0,"",D131-C131)</f>
        <v>-13600000</v>
      </c>
      <c r="H131" s="280">
        <v>1358877.21</v>
      </c>
      <c r="I131" s="282">
        <f>+D131-H131</f>
        <v>41122.790000000037</v>
      </c>
    </row>
    <row r="132" spans="1:9">
      <c r="A132" s="137"/>
      <c r="B132" s="147"/>
      <c r="C132" s="357"/>
      <c r="D132" s="316"/>
      <c r="E132" s="140"/>
      <c r="F132" s="175"/>
      <c r="I132" s="282"/>
    </row>
    <row r="133" spans="1:9">
      <c r="A133" s="146" t="s">
        <v>331</v>
      </c>
      <c r="B133" s="315" t="s">
        <v>332</v>
      </c>
      <c r="C133" s="316"/>
      <c r="D133" s="365"/>
      <c r="E133" s="140" t="str">
        <f t="shared" ref="E133:E149" si="19">IF((D133-C133)&gt;0,D133-C133,"")</f>
        <v/>
      </c>
      <c r="F133" s="175">
        <f t="shared" ref="F133:F149" si="20">IF((D133-C133)&gt;0,"",D133-C133)</f>
        <v>0</v>
      </c>
      <c r="H133" s="280" t="s">
        <v>192</v>
      </c>
      <c r="I133" s="282"/>
    </row>
    <row r="134" spans="1:9">
      <c r="A134" s="313" t="s">
        <v>333</v>
      </c>
      <c r="B134" s="315" t="s">
        <v>334</v>
      </c>
      <c r="C134" s="316">
        <v>5000000</v>
      </c>
      <c r="D134" s="357">
        <v>2181916.33</v>
      </c>
      <c r="E134" s="139" t="str">
        <f>IF((D134-C134)&gt;0,D134-C134,"")</f>
        <v/>
      </c>
      <c r="F134" s="175">
        <f t="shared" si="20"/>
        <v>-2818083.67</v>
      </c>
      <c r="H134" s="280">
        <v>427987.48</v>
      </c>
      <c r="I134" s="282">
        <f>+D134-H134</f>
        <v>1753928.85</v>
      </c>
    </row>
    <row r="135" spans="1:9">
      <c r="A135" s="137" t="s">
        <v>8</v>
      </c>
      <c r="B135" s="315" t="s">
        <v>335</v>
      </c>
      <c r="C135" s="316">
        <v>25350000</v>
      </c>
      <c r="D135" s="360">
        <v>9256777.1600000001</v>
      </c>
      <c r="E135" s="139" t="str">
        <f>IF((D135-C135)&gt;0,D135-C135,"")</f>
        <v/>
      </c>
      <c r="F135" s="175">
        <f t="shared" si="20"/>
        <v>-16093222.84</v>
      </c>
      <c r="H135" s="280">
        <v>3424818.37</v>
      </c>
      <c r="I135" s="282">
        <f t="shared" ref="I135:I149" si="21">+D135-H135</f>
        <v>5831958.79</v>
      </c>
    </row>
    <row r="136" spans="1:9">
      <c r="A136" s="171" t="s">
        <v>9</v>
      </c>
      <c r="B136" s="315" t="s">
        <v>336</v>
      </c>
      <c r="C136" s="357">
        <v>8000000</v>
      </c>
      <c r="D136" s="360">
        <v>3089591.62</v>
      </c>
      <c r="E136" s="139" t="str">
        <f t="shared" si="19"/>
        <v/>
      </c>
      <c r="F136" s="175">
        <f t="shared" si="20"/>
        <v>-4910408.38</v>
      </c>
      <c r="H136" s="280">
        <v>692943</v>
      </c>
      <c r="I136" s="282">
        <f t="shared" si="21"/>
        <v>2396648.62</v>
      </c>
    </row>
    <row r="137" spans="1:9">
      <c r="A137" s="313" t="s">
        <v>344</v>
      </c>
      <c r="B137" s="315" t="s">
        <v>345</v>
      </c>
      <c r="C137" s="360">
        <v>1980000</v>
      </c>
      <c r="D137" s="360"/>
      <c r="E137" s="139" t="str">
        <f t="shared" si="19"/>
        <v/>
      </c>
      <c r="F137" s="175">
        <f t="shared" si="20"/>
        <v>-1980000</v>
      </c>
      <c r="H137" s="280">
        <v>0</v>
      </c>
      <c r="I137" s="282">
        <f t="shared" si="21"/>
        <v>0</v>
      </c>
    </row>
    <row r="138" spans="1:9">
      <c r="A138" s="171" t="s">
        <v>4</v>
      </c>
      <c r="B138" s="315" t="s">
        <v>337</v>
      </c>
      <c r="C138" s="360">
        <v>600000</v>
      </c>
      <c r="D138" s="387">
        <v>352926.35</v>
      </c>
      <c r="E138" s="139" t="str">
        <f t="shared" si="19"/>
        <v/>
      </c>
      <c r="F138" s="175">
        <f t="shared" si="20"/>
        <v>-247073.65000000002</v>
      </c>
      <c r="H138" s="280">
        <f>21060+184800</f>
        <v>205860</v>
      </c>
      <c r="I138" s="282">
        <f t="shared" si="21"/>
        <v>147066.34999999998</v>
      </c>
    </row>
    <row r="139" spans="1:9">
      <c r="A139" s="313" t="s">
        <v>338</v>
      </c>
      <c r="B139" s="315" t="s">
        <v>339</v>
      </c>
      <c r="C139" s="360">
        <v>1400000</v>
      </c>
      <c r="D139" s="387">
        <v>441564</v>
      </c>
      <c r="E139" s="139" t="str">
        <f t="shared" si="19"/>
        <v/>
      </c>
      <c r="F139" s="175">
        <f t="shared" si="20"/>
        <v>-958436</v>
      </c>
      <c r="H139" s="280">
        <v>64008</v>
      </c>
      <c r="I139" s="282">
        <f t="shared" si="21"/>
        <v>377556</v>
      </c>
    </row>
    <row r="140" spans="1:9">
      <c r="A140" s="137" t="s">
        <v>106</v>
      </c>
      <c r="B140" s="315" t="s">
        <v>340</v>
      </c>
      <c r="C140" s="360">
        <v>400000</v>
      </c>
      <c r="D140" s="387">
        <v>225661.62</v>
      </c>
      <c r="E140" s="139" t="str">
        <f t="shared" si="19"/>
        <v/>
      </c>
      <c r="F140" s="175">
        <f t="shared" si="20"/>
        <v>-174338.38</v>
      </c>
      <c r="H140" s="280">
        <v>90887.28</v>
      </c>
      <c r="I140" s="282">
        <f t="shared" si="21"/>
        <v>134774.34</v>
      </c>
    </row>
    <row r="141" spans="1:9">
      <c r="A141" s="137" t="s">
        <v>10</v>
      </c>
      <c r="B141" s="315" t="s">
        <v>341</v>
      </c>
      <c r="C141" s="316">
        <v>1000000</v>
      </c>
      <c r="D141" s="388">
        <v>700900</v>
      </c>
      <c r="E141" s="139" t="str">
        <f t="shared" si="19"/>
        <v/>
      </c>
      <c r="F141" s="175">
        <f t="shared" si="20"/>
        <v>-299100</v>
      </c>
      <c r="H141" s="280">
        <v>485000</v>
      </c>
      <c r="I141" s="282">
        <f t="shared" si="21"/>
        <v>215900</v>
      </c>
    </row>
    <row r="142" spans="1:9">
      <c r="A142" s="137" t="s">
        <v>28</v>
      </c>
      <c r="B142" s="315" t="s">
        <v>342</v>
      </c>
      <c r="C142" s="316">
        <v>160000</v>
      </c>
      <c r="D142" s="357">
        <v>167300</v>
      </c>
      <c r="E142" s="139">
        <f t="shared" si="19"/>
        <v>7300</v>
      </c>
      <c r="F142" s="175" t="str">
        <f t="shared" si="20"/>
        <v/>
      </c>
      <c r="I142" s="282">
        <f t="shared" si="21"/>
        <v>167300</v>
      </c>
    </row>
    <row r="143" spans="1:9">
      <c r="A143" s="137" t="s">
        <v>30</v>
      </c>
      <c r="B143" s="315" t="s">
        <v>343</v>
      </c>
      <c r="C143" s="316">
        <v>170000</v>
      </c>
      <c r="D143" s="388">
        <v>42000</v>
      </c>
      <c r="E143" s="139" t="str">
        <f t="shared" si="19"/>
        <v/>
      </c>
      <c r="F143" s="175">
        <f t="shared" si="20"/>
        <v>-128000</v>
      </c>
      <c r="H143" s="280">
        <v>13500</v>
      </c>
      <c r="I143" s="282">
        <f t="shared" si="21"/>
        <v>28500</v>
      </c>
    </row>
    <row r="144" spans="1:9">
      <c r="A144" s="313" t="s">
        <v>432</v>
      </c>
      <c r="B144" s="338"/>
      <c r="C144" s="316"/>
      <c r="D144" s="388"/>
      <c r="E144" s="139" t="str">
        <f t="shared" si="19"/>
        <v/>
      </c>
      <c r="F144" s="175">
        <f t="shared" si="20"/>
        <v>0</v>
      </c>
      <c r="I144" s="282"/>
    </row>
    <row r="145" spans="1:9">
      <c r="A145" s="137" t="s">
        <v>89</v>
      </c>
      <c r="B145" s="338" t="s">
        <v>439</v>
      </c>
      <c r="C145" s="316">
        <v>430000</v>
      </c>
      <c r="D145" s="221">
        <v>50480</v>
      </c>
      <c r="E145" s="139" t="str">
        <f t="shared" si="19"/>
        <v/>
      </c>
      <c r="F145" s="175">
        <f t="shared" si="20"/>
        <v>-379520</v>
      </c>
      <c r="H145" s="280">
        <v>136136.47</v>
      </c>
      <c r="I145" s="282">
        <f t="shared" si="21"/>
        <v>-85656.47</v>
      </c>
    </row>
    <row r="146" spans="1:9">
      <c r="A146" s="137" t="s">
        <v>172</v>
      </c>
      <c r="B146" s="338" t="s">
        <v>435</v>
      </c>
      <c r="C146" s="316">
        <v>1000000</v>
      </c>
      <c r="D146" s="221">
        <v>452844.81</v>
      </c>
      <c r="E146" s="139" t="str">
        <f t="shared" si="19"/>
        <v/>
      </c>
      <c r="F146" s="175">
        <f t="shared" si="20"/>
        <v>-547155.18999999994</v>
      </c>
      <c r="H146" s="280">
        <v>14000</v>
      </c>
      <c r="I146" s="282">
        <f t="shared" si="21"/>
        <v>438844.81</v>
      </c>
    </row>
    <row r="147" spans="1:9">
      <c r="A147" s="137" t="s">
        <v>91</v>
      </c>
      <c r="B147" s="338" t="s">
        <v>436</v>
      </c>
      <c r="C147" s="316">
        <v>250000</v>
      </c>
      <c r="D147" s="221">
        <v>95690</v>
      </c>
      <c r="E147" s="139" t="str">
        <f t="shared" si="19"/>
        <v/>
      </c>
      <c r="F147" s="175">
        <f t="shared" si="20"/>
        <v>-154310</v>
      </c>
      <c r="H147" s="280">
        <v>35000</v>
      </c>
      <c r="I147" s="282">
        <f t="shared" si="21"/>
        <v>60690</v>
      </c>
    </row>
    <row r="148" spans="1:9">
      <c r="A148" s="137" t="s">
        <v>255</v>
      </c>
      <c r="B148" s="338" t="s">
        <v>438</v>
      </c>
      <c r="C148" s="316">
        <v>250000</v>
      </c>
      <c r="D148" s="221">
        <v>113260</v>
      </c>
      <c r="E148" s="139" t="str">
        <f t="shared" si="19"/>
        <v/>
      </c>
      <c r="F148" s="175">
        <f t="shared" si="20"/>
        <v>-136740</v>
      </c>
      <c r="H148" s="280">
        <v>35700</v>
      </c>
      <c r="I148" s="282">
        <f t="shared" si="21"/>
        <v>77560</v>
      </c>
    </row>
    <row r="149" spans="1:9">
      <c r="A149" s="137" t="s">
        <v>263</v>
      </c>
      <c r="B149" s="315" t="s">
        <v>441</v>
      </c>
      <c r="C149" s="316">
        <v>610000</v>
      </c>
      <c r="D149" s="221">
        <v>111620</v>
      </c>
      <c r="E149" s="142" t="str">
        <f t="shared" si="19"/>
        <v/>
      </c>
      <c r="F149" s="175">
        <f t="shared" si="20"/>
        <v>-498380</v>
      </c>
      <c r="H149" s="280">
        <v>35700</v>
      </c>
      <c r="I149" s="282">
        <f t="shared" si="21"/>
        <v>75920</v>
      </c>
    </row>
    <row r="150" spans="1:9" ht="13.5" thickBot="1">
      <c r="A150" s="137"/>
      <c r="B150" s="147"/>
      <c r="C150" s="172">
        <f>SUM(C134:C149)</f>
        <v>46600000</v>
      </c>
      <c r="D150" s="359">
        <f>SUM(D134:D149)</f>
        <v>17282531.889999997</v>
      </c>
      <c r="E150" s="172">
        <f>SUM(E134:E149)</f>
        <v>7300</v>
      </c>
      <c r="F150" s="174">
        <f>SUM(F134:F149)</f>
        <v>-29324768.109999996</v>
      </c>
      <c r="H150" s="292">
        <f>SUM(H134:H149)</f>
        <v>5661540.5999999996</v>
      </c>
      <c r="I150" s="292">
        <f>SUM(I134:I149)</f>
        <v>11620991.290000001</v>
      </c>
    </row>
    <row r="151" spans="1:9" ht="13.5" thickTop="1">
      <c r="A151" s="146" t="s">
        <v>395</v>
      </c>
      <c r="B151" s="315" t="s">
        <v>332</v>
      </c>
      <c r="C151" s="153"/>
      <c r="D151" s="360"/>
      <c r="E151" s="163"/>
      <c r="F151" s="151"/>
      <c r="I151" s="282"/>
    </row>
    <row r="152" spans="1:9">
      <c r="A152" s="137" t="s">
        <v>8</v>
      </c>
      <c r="B152" s="315" t="s">
        <v>346</v>
      </c>
      <c r="C152" s="316">
        <v>8000000</v>
      </c>
      <c r="D152" s="317">
        <v>2902288.54</v>
      </c>
      <c r="E152" s="139" t="str">
        <f t="shared" ref="E152:E165" si="22">IF((D152-C152)&gt;0,D152-C152,"")</f>
        <v/>
      </c>
      <c r="F152" s="175">
        <f t="shared" ref="F152:F165" si="23">IF((D152-C152)&gt;0,"",D152-C152)</f>
        <v>-5097711.46</v>
      </c>
      <c r="H152" s="280">
        <v>757628.52</v>
      </c>
      <c r="I152" s="282">
        <f>+D152-H152</f>
        <v>2144660.02</v>
      </c>
    </row>
    <row r="153" spans="1:9">
      <c r="A153" s="137" t="s">
        <v>106</v>
      </c>
      <c r="B153" s="315" t="s">
        <v>347</v>
      </c>
      <c r="C153" s="316">
        <v>100000</v>
      </c>
      <c r="D153" s="317">
        <v>44851.89</v>
      </c>
      <c r="E153" s="139" t="str">
        <f t="shared" si="22"/>
        <v/>
      </c>
      <c r="F153" s="175">
        <f t="shared" si="23"/>
        <v>-55148.11</v>
      </c>
      <c r="H153" s="280">
        <v>9418.23</v>
      </c>
      <c r="I153" s="282">
        <f t="shared" ref="I153:I165" si="24">+D153-H153</f>
        <v>35433.660000000003</v>
      </c>
    </row>
    <row r="154" spans="1:9">
      <c r="A154" s="137" t="s">
        <v>4</v>
      </c>
      <c r="B154" s="315" t="s">
        <v>348</v>
      </c>
      <c r="C154" s="316">
        <v>30000</v>
      </c>
      <c r="D154" s="317">
        <v>25120</v>
      </c>
      <c r="E154" s="139" t="str">
        <f t="shared" si="22"/>
        <v/>
      </c>
      <c r="F154" s="175">
        <f t="shared" si="23"/>
        <v>-4880</v>
      </c>
      <c r="H154" s="280">
        <f>300+21600</f>
        <v>21900</v>
      </c>
      <c r="I154" s="282">
        <f t="shared" si="24"/>
        <v>3220</v>
      </c>
    </row>
    <row r="155" spans="1:9">
      <c r="A155" s="137" t="s">
        <v>11</v>
      </c>
      <c r="B155" s="315" t="s">
        <v>349</v>
      </c>
      <c r="C155" s="316">
        <v>200000</v>
      </c>
      <c r="D155" s="317">
        <v>1000</v>
      </c>
      <c r="E155" s="139" t="str">
        <f t="shared" si="22"/>
        <v/>
      </c>
      <c r="F155" s="175">
        <f t="shared" si="23"/>
        <v>-199000</v>
      </c>
      <c r="H155" s="280">
        <v>21000</v>
      </c>
      <c r="I155" s="282">
        <f t="shared" si="24"/>
        <v>-20000</v>
      </c>
    </row>
    <row r="156" spans="1:9">
      <c r="A156" s="137" t="s">
        <v>12</v>
      </c>
      <c r="B156" s="315" t="s">
        <v>350</v>
      </c>
      <c r="C156" s="316">
        <v>1100000</v>
      </c>
      <c r="D156" s="317">
        <v>258225</v>
      </c>
      <c r="E156" s="139" t="str">
        <f t="shared" si="22"/>
        <v/>
      </c>
      <c r="F156" s="175">
        <f t="shared" si="23"/>
        <v>-841775</v>
      </c>
      <c r="H156" s="280">
        <v>72531</v>
      </c>
      <c r="I156" s="282">
        <f t="shared" si="24"/>
        <v>185694</v>
      </c>
    </row>
    <row r="157" spans="1:9">
      <c r="A157" s="137" t="s">
        <v>37</v>
      </c>
      <c r="B157" s="315" t="s">
        <v>351</v>
      </c>
      <c r="C157" s="316">
        <v>6500000</v>
      </c>
      <c r="D157" s="317">
        <v>2149220</v>
      </c>
      <c r="E157" s="139" t="str">
        <f t="shared" si="22"/>
        <v/>
      </c>
      <c r="F157" s="175">
        <f t="shared" si="23"/>
        <v>-4350780</v>
      </c>
      <c r="H157" s="280">
        <v>505073</v>
      </c>
      <c r="I157" s="282">
        <f t="shared" si="24"/>
        <v>1644147</v>
      </c>
    </row>
    <row r="158" spans="1:9">
      <c r="A158" s="313" t="s">
        <v>447</v>
      </c>
      <c r="B158" s="315" t="s">
        <v>446</v>
      </c>
      <c r="C158" s="316">
        <v>120000</v>
      </c>
      <c r="D158" s="317">
        <v>112300</v>
      </c>
      <c r="E158" s="139" t="str">
        <f>IF((D158-C158)&gt;0,D158-C158,"")</f>
        <v/>
      </c>
      <c r="F158" s="175">
        <f>IF((D158-C158)&gt;0,"",D158-C158)</f>
        <v>-7700</v>
      </c>
      <c r="I158" s="282">
        <f>+D158-H158</f>
        <v>112300</v>
      </c>
    </row>
    <row r="159" spans="1:9">
      <c r="A159" s="313" t="s">
        <v>432</v>
      </c>
      <c r="B159" s="338"/>
      <c r="C159" s="316"/>
      <c r="D159" s="317"/>
      <c r="E159" s="139" t="str">
        <f t="shared" si="22"/>
        <v/>
      </c>
      <c r="F159" s="175">
        <f t="shared" si="23"/>
        <v>0</v>
      </c>
      <c r="I159" s="282"/>
    </row>
    <row r="160" spans="1:9">
      <c r="A160" s="313" t="s">
        <v>352</v>
      </c>
      <c r="B160" s="338" t="s">
        <v>439</v>
      </c>
      <c r="C160" s="316">
        <v>250000</v>
      </c>
      <c r="D160" s="221">
        <v>48133</v>
      </c>
      <c r="E160" s="139" t="str">
        <f t="shared" si="22"/>
        <v/>
      </c>
      <c r="F160" s="175">
        <f t="shared" si="23"/>
        <v>-201867</v>
      </c>
      <c r="H160" s="280">
        <v>9658</v>
      </c>
      <c r="I160" s="282">
        <f>+D160-H160</f>
        <v>38475</v>
      </c>
    </row>
    <row r="161" spans="1:11">
      <c r="A161" s="313" t="s">
        <v>353</v>
      </c>
      <c r="B161" s="338" t="s">
        <v>435</v>
      </c>
      <c r="C161" s="373">
        <v>50000</v>
      </c>
      <c r="D161" s="389">
        <v>13470</v>
      </c>
      <c r="E161" s="139" t="str">
        <f t="shared" si="22"/>
        <v/>
      </c>
      <c r="F161" s="175">
        <f t="shared" si="23"/>
        <v>-36530</v>
      </c>
      <c r="H161" s="280">
        <v>6490</v>
      </c>
      <c r="I161" s="282">
        <f t="shared" si="24"/>
        <v>6980</v>
      </c>
    </row>
    <row r="162" spans="1:11">
      <c r="A162" s="313" t="s">
        <v>354</v>
      </c>
      <c r="B162" s="338" t="s">
        <v>435</v>
      </c>
      <c r="C162" s="373">
        <v>250000</v>
      </c>
      <c r="D162" s="389">
        <f>48358-325</f>
        <v>48033</v>
      </c>
      <c r="E162" s="139" t="str">
        <f t="shared" si="22"/>
        <v/>
      </c>
      <c r="F162" s="175">
        <f t="shared" si="23"/>
        <v>-201967</v>
      </c>
      <c r="H162" s="280">
        <v>9058</v>
      </c>
      <c r="I162" s="282">
        <f t="shared" si="24"/>
        <v>38975</v>
      </c>
    </row>
    <row r="163" spans="1:11" s="321" customFormat="1">
      <c r="A163" s="352" t="s">
        <v>355</v>
      </c>
      <c r="B163" s="338" t="s">
        <v>436</v>
      </c>
      <c r="C163" s="316">
        <v>20000</v>
      </c>
      <c r="D163" s="221">
        <v>10560</v>
      </c>
      <c r="E163" s="316" t="str">
        <f t="shared" si="22"/>
        <v/>
      </c>
      <c r="F163" s="318">
        <f t="shared" si="23"/>
        <v>-9440</v>
      </c>
      <c r="G163" s="319">
        <v>43933</v>
      </c>
      <c r="H163" s="320">
        <v>3260</v>
      </c>
      <c r="I163" s="25">
        <f t="shared" si="24"/>
        <v>7300</v>
      </c>
      <c r="K163" s="320"/>
    </row>
    <row r="164" spans="1:11" s="321" customFormat="1">
      <c r="A164" s="352" t="s">
        <v>356</v>
      </c>
      <c r="B164" s="338" t="s">
        <v>438</v>
      </c>
      <c r="C164" s="316">
        <v>25000</v>
      </c>
      <c r="D164" s="221">
        <v>12545</v>
      </c>
      <c r="E164" s="316" t="str">
        <f t="shared" si="22"/>
        <v/>
      </c>
      <c r="F164" s="318">
        <f t="shared" si="23"/>
        <v>-12455</v>
      </c>
      <c r="H164" s="320">
        <v>2180</v>
      </c>
      <c r="I164" s="25">
        <f t="shared" si="24"/>
        <v>10365</v>
      </c>
      <c r="K164" s="320"/>
    </row>
    <row r="165" spans="1:11">
      <c r="A165" s="313" t="s">
        <v>92</v>
      </c>
      <c r="B165" s="315" t="s">
        <v>441</v>
      </c>
      <c r="C165" s="316">
        <v>25000</v>
      </c>
      <c r="D165" s="390">
        <v>12545</v>
      </c>
      <c r="E165" s="139" t="str">
        <f t="shared" si="22"/>
        <v/>
      </c>
      <c r="F165" s="175">
        <f t="shared" si="23"/>
        <v>-12455</v>
      </c>
      <c r="H165" s="280">
        <v>2180</v>
      </c>
      <c r="I165" s="282">
        <f t="shared" si="24"/>
        <v>10365</v>
      </c>
    </row>
    <row r="166" spans="1:11" ht="13.5" thickBot="1">
      <c r="A166" s="137"/>
      <c r="B166" s="147"/>
      <c r="C166" s="176">
        <f>SUM(C152:C165)</f>
        <v>16670000</v>
      </c>
      <c r="D166" s="359">
        <f>SUM(D152:D165)</f>
        <v>5638291.4299999997</v>
      </c>
      <c r="E166" s="173">
        <f>SUM(E152:E165)</f>
        <v>0</v>
      </c>
      <c r="F166" s="177">
        <f>SUM(F152:F165)</f>
        <v>-11031708.57</v>
      </c>
      <c r="H166" s="292">
        <f>SUM(H152:H165)</f>
        <v>1420376.75</v>
      </c>
      <c r="I166" s="292">
        <f>SUM(I152:I165)</f>
        <v>4217914.68</v>
      </c>
      <c r="J166" s="297"/>
    </row>
    <row r="167" spans="1:11" ht="13.5" customHeight="1" thickTop="1">
      <c r="A167" s="146"/>
      <c r="B167" s="147"/>
      <c r="C167" s="153"/>
      <c r="D167" s="316"/>
      <c r="E167" s="140"/>
      <c r="F167" s="151"/>
      <c r="I167" s="282"/>
    </row>
    <row r="168" spans="1:11">
      <c r="A168" s="146" t="s">
        <v>420</v>
      </c>
      <c r="B168" s="315" t="s">
        <v>358</v>
      </c>
      <c r="C168" s="153"/>
      <c r="D168" s="360"/>
      <c r="E168" s="139"/>
      <c r="F168" s="151"/>
      <c r="H168" s="280" t="s">
        <v>192</v>
      </c>
      <c r="I168" s="282"/>
    </row>
    <row r="169" spans="1:11">
      <c r="A169" s="313" t="s">
        <v>410</v>
      </c>
      <c r="B169" s="315" t="s">
        <v>359</v>
      </c>
      <c r="C169" s="316">
        <v>12100000</v>
      </c>
      <c r="D169" s="391">
        <v>5214630</v>
      </c>
      <c r="E169" s="139" t="str">
        <f t="shared" ref="E169:E182" si="25">IF((D169-C169)&gt;0,D169-C169,"")</f>
        <v/>
      </c>
      <c r="F169" s="175">
        <f t="shared" ref="F169:F182" si="26">IF((D169-C169)&gt;0,"",D169-C169)</f>
        <v>-6885370</v>
      </c>
      <c r="H169" s="280">
        <v>1024740</v>
      </c>
      <c r="I169" s="282">
        <f>+D169-H169</f>
        <v>4189890</v>
      </c>
    </row>
    <row r="170" spans="1:11">
      <c r="A170" s="137" t="s">
        <v>14</v>
      </c>
      <c r="B170" s="315" t="s">
        <v>360</v>
      </c>
      <c r="C170" s="316">
        <v>2000000</v>
      </c>
      <c r="D170" s="391">
        <v>706645</v>
      </c>
      <c r="E170" s="139" t="str">
        <f t="shared" si="25"/>
        <v/>
      </c>
      <c r="F170" s="175">
        <f t="shared" si="26"/>
        <v>-1293355</v>
      </c>
      <c r="H170" s="280">
        <v>157270</v>
      </c>
      <c r="I170" s="282">
        <f t="shared" ref="I170:I182" si="27">+D170-H170</f>
        <v>549375</v>
      </c>
    </row>
    <row r="171" spans="1:11">
      <c r="A171" s="137" t="s">
        <v>8</v>
      </c>
      <c r="B171" s="315" t="s">
        <v>361</v>
      </c>
      <c r="C171" s="316">
        <v>2626000</v>
      </c>
      <c r="D171" s="392">
        <v>981545.39</v>
      </c>
      <c r="E171" s="139" t="str">
        <f t="shared" si="25"/>
        <v/>
      </c>
      <c r="F171" s="175">
        <f t="shared" si="26"/>
        <v>-1644454.6099999999</v>
      </c>
      <c r="H171" s="280">
        <v>334433.96999999997</v>
      </c>
      <c r="I171" s="282">
        <f t="shared" si="27"/>
        <v>647111.42000000004</v>
      </c>
    </row>
    <row r="172" spans="1:11">
      <c r="A172" s="137" t="s">
        <v>15</v>
      </c>
      <c r="B172" s="315" t="s">
        <v>362</v>
      </c>
      <c r="C172" s="316">
        <v>3000000</v>
      </c>
      <c r="D172" s="392">
        <v>1030395</v>
      </c>
      <c r="E172" s="139" t="str">
        <f t="shared" si="25"/>
        <v/>
      </c>
      <c r="F172" s="175">
        <f t="shared" si="26"/>
        <v>-1969605</v>
      </c>
      <c r="H172" s="280">
        <v>266606</v>
      </c>
      <c r="I172" s="282">
        <f t="shared" si="27"/>
        <v>763789</v>
      </c>
    </row>
    <row r="173" spans="1:11">
      <c r="A173" s="137" t="s">
        <v>4</v>
      </c>
      <c r="B173" s="315" t="s">
        <v>363</v>
      </c>
      <c r="C173" s="316">
        <v>100000</v>
      </c>
      <c r="D173" s="391">
        <v>51500</v>
      </c>
      <c r="E173" s="139" t="str">
        <f t="shared" si="25"/>
        <v/>
      </c>
      <c r="F173" s="175">
        <f t="shared" si="26"/>
        <v>-48500</v>
      </c>
      <c r="H173" s="280">
        <v>14700</v>
      </c>
      <c r="I173" s="282">
        <f t="shared" si="27"/>
        <v>36800</v>
      </c>
    </row>
    <row r="174" spans="1:11">
      <c r="A174" s="137" t="s">
        <v>16</v>
      </c>
      <c r="B174" s="315" t="s">
        <v>364</v>
      </c>
      <c r="C174" s="316">
        <v>60000</v>
      </c>
      <c r="D174" s="391">
        <v>94000</v>
      </c>
      <c r="E174" s="139">
        <f t="shared" si="25"/>
        <v>34000</v>
      </c>
      <c r="F174" s="175" t="str">
        <f t="shared" si="26"/>
        <v/>
      </c>
      <c r="H174" s="280">
        <v>1000</v>
      </c>
      <c r="I174" s="282">
        <f t="shared" si="27"/>
        <v>93000</v>
      </c>
    </row>
    <row r="175" spans="1:11">
      <c r="A175" s="137" t="s">
        <v>106</v>
      </c>
      <c r="B175" s="315" t="s">
        <v>365</v>
      </c>
      <c r="C175" s="316">
        <v>60000</v>
      </c>
      <c r="D175" s="391">
        <v>48290.97</v>
      </c>
      <c r="E175" s="139" t="str">
        <f t="shared" si="25"/>
        <v/>
      </c>
      <c r="F175" s="175">
        <f t="shared" si="26"/>
        <v>-11709.029999999999</v>
      </c>
      <c r="H175" s="280">
        <v>23773.7</v>
      </c>
      <c r="I175" s="282">
        <f t="shared" si="27"/>
        <v>24517.27</v>
      </c>
    </row>
    <row r="176" spans="1:11">
      <c r="A176" s="137" t="s">
        <v>173</v>
      </c>
      <c r="B176" s="315" t="s">
        <v>366</v>
      </c>
      <c r="C176" s="316">
        <v>300000</v>
      </c>
      <c r="D176" s="391">
        <v>356500</v>
      </c>
      <c r="E176" s="139">
        <f t="shared" si="25"/>
        <v>56500</v>
      </c>
      <c r="F176" s="175" t="str">
        <f t="shared" si="26"/>
        <v/>
      </c>
      <c r="H176" s="280">
        <v>289950</v>
      </c>
      <c r="I176" s="282">
        <f t="shared" si="27"/>
        <v>66550</v>
      </c>
    </row>
    <row r="177" spans="1:11">
      <c r="A177" s="313" t="s">
        <v>432</v>
      </c>
      <c r="B177" s="338"/>
      <c r="C177" s="316"/>
      <c r="D177" s="391"/>
      <c r="E177" s="139" t="str">
        <f t="shared" si="25"/>
        <v/>
      </c>
      <c r="F177" s="175">
        <f t="shared" si="26"/>
        <v>0</v>
      </c>
      <c r="I177" s="282"/>
    </row>
    <row r="178" spans="1:11">
      <c r="A178" s="137" t="s">
        <v>89</v>
      </c>
      <c r="B178" s="338" t="s">
        <v>439</v>
      </c>
      <c r="C178" s="316">
        <v>700000</v>
      </c>
      <c r="D178" s="391">
        <v>281395</v>
      </c>
      <c r="E178" s="139" t="str">
        <f t="shared" si="25"/>
        <v/>
      </c>
      <c r="F178" s="175">
        <f t="shared" si="26"/>
        <v>-418605</v>
      </c>
      <c r="H178" s="280">
        <v>77206</v>
      </c>
      <c r="I178" s="282">
        <f t="shared" si="27"/>
        <v>204189</v>
      </c>
    </row>
    <row r="179" spans="1:11">
      <c r="A179" s="137" t="s">
        <v>172</v>
      </c>
      <c r="B179" s="338" t="s">
        <v>435</v>
      </c>
      <c r="C179" s="316">
        <v>600000</v>
      </c>
      <c r="D179" s="391">
        <v>267474</v>
      </c>
      <c r="E179" s="139" t="str">
        <f t="shared" si="25"/>
        <v/>
      </c>
      <c r="F179" s="175">
        <f t="shared" si="26"/>
        <v>-332526</v>
      </c>
      <c r="H179" s="280">
        <v>63403</v>
      </c>
      <c r="I179" s="282">
        <f t="shared" si="27"/>
        <v>204071</v>
      </c>
    </row>
    <row r="180" spans="1:11">
      <c r="A180" s="137" t="s">
        <v>91</v>
      </c>
      <c r="B180" s="338" t="s">
        <v>436</v>
      </c>
      <c r="C180" s="316">
        <v>50000</v>
      </c>
      <c r="D180" s="391">
        <v>36725</v>
      </c>
      <c r="E180" s="139" t="str">
        <f t="shared" si="25"/>
        <v/>
      </c>
      <c r="F180" s="175">
        <f t="shared" si="26"/>
        <v>-13275</v>
      </c>
      <c r="H180" s="280">
        <v>26651</v>
      </c>
      <c r="I180" s="282">
        <f t="shared" si="27"/>
        <v>10074</v>
      </c>
    </row>
    <row r="181" spans="1:11">
      <c r="A181" s="137" t="s">
        <v>255</v>
      </c>
      <c r="B181" s="431" t="s">
        <v>438</v>
      </c>
      <c r="C181" s="316">
        <v>50000</v>
      </c>
      <c r="D181" s="391">
        <v>36380</v>
      </c>
      <c r="E181" s="139" t="str">
        <f t="shared" si="25"/>
        <v/>
      </c>
      <c r="F181" s="175">
        <f t="shared" si="26"/>
        <v>-13620</v>
      </c>
      <c r="H181" s="280">
        <v>26500</v>
      </c>
      <c r="I181" s="282">
        <f t="shared" si="27"/>
        <v>9880</v>
      </c>
    </row>
    <row r="182" spans="1:11">
      <c r="A182" s="137" t="s">
        <v>263</v>
      </c>
      <c r="B182" s="338" t="s">
        <v>441</v>
      </c>
      <c r="C182" s="316">
        <v>50000</v>
      </c>
      <c r="D182" s="391">
        <v>36340</v>
      </c>
      <c r="E182" s="139" t="str">
        <f t="shared" si="25"/>
        <v/>
      </c>
      <c r="F182" s="175">
        <f t="shared" si="26"/>
        <v>-13660</v>
      </c>
      <c r="H182" s="280">
        <v>26500</v>
      </c>
      <c r="I182" s="282">
        <f t="shared" si="27"/>
        <v>9840</v>
      </c>
    </row>
    <row r="183" spans="1:11" ht="13.5" thickBot="1">
      <c r="A183" s="155" t="s">
        <v>17</v>
      </c>
      <c r="B183" s="166"/>
      <c r="C183" s="361">
        <f>SUM(C169:C182)</f>
        <v>21696000</v>
      </c>
      <c r="D183" s="393">
        <f t="shared" ref="D183:F183" si="28">SUM(D169:D182)</f>
        <v>9141820.3599999994</v>
      </c>
      <c r="E183" s="178">
        <f>SUM(E169:E182)</f>
        <v>90500</v>
      </c>
      <c r="F183" s="180">
        <f t="shared" si="28"/>
        <v>-12644679.639999999</v>
      </c>
      <c r="H183" s="292">
        <f>SUM(H169:H182)</f>
        <v>2332733.67</v>
      </c>
      <c r="I183" s="292">
        <f>SUM(I169:I182)</f>
        <v>6809086.6899999995</v>
      </c>
    </row>
    <row r="184" spans="1:11" s="298" customFormat="1">
      <c r="A184" s="312"/>
      <c r="B184" s="159"/>
      <c r="C184" s="362"/>
      <c r="D184" s="362"/>
      <c r="E184" s="209"/>
      <c r="F184" s="184"/>
      <c r="H184" s="299"/>
      <c r="I184" s="282"/>
      <c r="K184" s="299"/>
    </row>
    <row r="185" spans="1:11" s="298" customFormat="1" ht="13.5" thickBot="1">
      <c r="A185" s="224"/>
      <c r="B185" s="156"/>
      <c r="C185" s="363"/>
      <c r="D185" s="363"/>
      <c r="E185" s="208"/>
      <c r="F185" s="309"/>
      <c r="H185" s="299"/>
      <c r="I185" s="282"/>
      <c r="K185" s="299"/>
    </row>
    <row r="186" spans="1:11">
      <c r="A186" s="132" t="s">
        <v>368</v>
      </c>
      <c r="B186" s="315" t="s">
        <v>369</v>
      </c>
      <c r="C186" s="364"/>
      <c r="D186" s="394"/>
      <c r="E186" s="183"/>
      <c r="F186" s="184"/>
      <c r="I186" s="282"/>
    </row>
    <row r="187" spans="1:11">
      <c r="A187" s="137" t="s">
        <v>18</v>
      </c>
      <c r="B187" s="315" t="s">
        <v>370</v>
      </c>
      <c r="C187" s="365">
        <v>1400000</v>
      </c>
      <c r="D187" s="317">
        <v>419265</v>
      </c>
      <c r="E187" s="139" t="str">
        <f t="shared" ref="E187:E200" si="29">IF((D187-C187)&gt;0,D187-C187,"")</f>
        <v/>
      </c>
      <c r="F187" s="175">
        <f t="shared" ref="F187:F200" si="30">IF((D187-C187)&gt;0,"",D187-C187)</f>
        <v>-980735</v>
      </c>
      <c r="I187" s="282">
        <f>+D187-H187</f>
        <v>419265</v>
      </c>
    </row>
    <row r="188" spans="1:11">
      <c r="A188" s="137" t="s">
        <v>121</v>
      </c>
      <c r="B188" s="315" t="s">
        <v>371</v>
      </c>
      <c r="C188" s="316">
        <v>650000</v>
      </c>
      <c r="D188" s="317">
        <v>221820</v>
      </c>
      <c r="E188" s="139" t="str">
        <f t="shared" si="29"/>
        <v/>
      </c>
      <c r="F188" s="175">
        <f t="shared" si="30"/>
        <v>-428180</v>
      </c>
      <c r="I188" s="282">
        <f t="shared" ref="I188:I198" si="31">+D188-H188</f>
        <v>221820</v>
      </c>
    </row>
    <row r="189" spans="1:11">
      <c r="A189" s="137" t="s">
        <v>122</v>
      </c>
      <c r="B189" s="315" t="s">
        <v>372</v>
      </c>
      <c r="C189" s="316">
        <v>280000</v>
      </c>
      <c r="D189" s="317">
        <v>98015</v>
      </c>
      <c r="E189" s="139" t="str">
        <f t="shared" si="29"/>
        <v/>
      </c>
      <c r="F189" s="175">
        <f t="shared" si="30"/>
        <v>-181985</v>
      </c>
      <c r="I189" s="282">
        <f t="shared" si="31"/>
        <v>98015</v>
      </c>
    </row>
    <row r="190" spans="1:11">
      <c r="A190" s="137" t="s">
        <v>19</v>
      </c>
      <c r="B190" s="315" t="s">
        <v>373</v>
      </c>
      <c r="C190" s="316">
        <v>1400000</v>
      </c>
      <c r="D190" s="317">
        <v>490800</v>
      </c>
      <c r="E190" s="139" t="str">
        <f t="shared" si="29"/>
        <v/>
      </c>
      <c r="F190" s="175">
        <f t="shared" si="30"/>
        <v>-909200</v>
      </c>
      <c r="I190" s="282">
        <f t="shared" si="31"/>
        <v>490800</v>
      </c>
    </row>
    <row r="191" spans="1:11">
      <c r="A191" s="171" t="s">
        <v>20</v>
      </c>
      <c r="B191" s="315" t="s">
        <v>374</v>
      </c>
      <c r="C191" s="357">
        <v>790000</v>
      </c>
      <c r="D191" s="395">
        <v>268940</v>
      </c>
      <c r="E191" s="139" t="str">
        <f t="shared" si="29"/>
        <v/>
      </c>
      <c r="F191" s="175">
        <f t="shared" si="30"/>
        <v>-521060</v>
      </c>
      <c r="H191" s="280">
        <v>61255</v>
      </c>
      <c r="I191" s="282">
        <f t="shared" si="31"/>
        <v>207685</v>
      </c>
    </row>
    <row r="192" spans="1:11">
      <c r="A192" s="137" t="s">
        <v>9</v>
      </c>
      <c r="B192" s="315" t="s">
        <v>375</v>
      </c>
      <c r="C192" s="316">
        <v>120000</v>
      </c>
      <c r="D192" s="317">
        <v>44890</v>
      </c>
      <c r="E192" s="139" t="str">
        <f t="shared" si="29"/>
        <v/>
      </c>
      <c r="F192" s="175">
        <f t="shared" si="30"/>
        <v>-75110</v>
      </c>
      <c r="H192" s="280">
        <v>9532</v>
      </c>
      <c r="I192" s="282">
        <f t="shared" si="31"/>
        <v>35358</v>
      </c>
    </row>
    <row r="193" spans="1:10">
      <c r="A193" s="137" t="s">
        <v>4</v>
      </c>
      <c r="B193" s="315" t="s">
        <v>376</v>
      </c>
      <c r="C193" s="316">
        <v>720000</v>
      </c>
      <c r="D193" s="317">
        <v>244857</v>
      </c>
      <c r="E193" s="139" t="str">
        <f t="shared" si="29"/>
        <v/>
      </c>
      <c r="F193" s="175">
        <f t="shared" si="30"/>
        <v>-475143</v>
      </c>
      <c r="H193" s="280">
        <f>19400+37900</f>
        <v>57300</v>
      </c>
      <c r="I193" s="282">
        <f t="shared" si="31"/>
        <v>187557</v>
      </c>
    </row>
    <row r="194" spans="1:10">
      <c r="A194" s="313" t="s">
        <v>377</v>
      </c>
      <c r="B194" s="315" t="s">
        <v>378</v>
      </c>
      <c r="C194" s="316">
        <v>620000</v>
      </c>
      <c r="D194" s="317">
        <v>212925</v>
      </c>
      <c r="E194" s="139" t="str">
        <f t="shared" si="29"/>
        <v/>
      </c>
      <c r="F194" s="175">
        <f t="shared" si="30"/>
        <v>-407075</v>
      </c>
      <c r="H194" s="280">
        <v>49045</v>
      </c>
      <c r="I194" s="282">
        <f t="shared" si="31"/>
        <v>163880</v>
      </c>
    </row>
    <row r="195" spans="1:10">
      <c r="A195" s="313" t="s">
        <v>432</v>
      </c>
      <c r="B195" s="338"/>
      <c r="C195" s="316"/>
      <c r="D195" s="317"/>
      <c r="E195" s="139" t="str">
        <f t="shared" si="29"/>
        <v/>
      </c>
      <c r="F195" s="175">
        <f t="shared" si="30"/>
        <v>0</v>
      </c>
      <c r="I195" s="282"/>
    </row>
    <row r="196" spans="1:10">
      <c r="A196" s="137" t="s">
        <v>89</v>
      </c>
      <c r="B196" s="338" t="s">
        <v>439</v>
      </c>
      <c r="C196" s="373">
        <v>5000</v>
      </c>
      <c r="D196" s="396">
        <v>2674</v>
      </c>
      <c r="E196" s="139" t="str">
        <f t="shared" si="29"/>
        <v/>
      </c>
      <c r="F196" s="175">
        <f t="shared" si="30"/>
        <v>-2326</v>
      </c>
      <c r="H196" s="280">
        <v>10821</v>
      </c>
      <c r="I196" s="282">
        <f t="shared" si="31"/>
        <v>-8147</v>
      </c>
      <c r="J196" s="286">
        <f>+I196+I217</f>
        <v>-4523.75</v>
      </c>
    </row>
    <row r="197" spans="1:10">
      <c r="A197" s="137" t="s">
        <v>172</v>
      </c>
      <c r="B197" s="338" t="s">
        <v>435</v>
      </c>
      <c r="C197" s="373">
        <v>140000</v>
      </c>
      <c r="D197" s="397">
        <v>44976</v>
      </c>
      <c r="E197" s="139" t="str">
        <f t="shared" si="29"/>
        <v/>
      </c>
      <c r="F197" s="175">
        <f t="shared" si="30"/>
        <v>-95024</v>
      </c>
      <c r="H197" s="280">
        <v>150</v>
      </c>
      <c r="I197" s="282">
        <f t="shared" si="31"/>
        <v>44826</v>
      </c>
      <c r="J197" s="286">
        <f>+I197+I218</f>
        <v>88568.75</v>
      </c>
    </row>
    <row r="198" spans="1:10">
      <c r="A198" s="137" t="s">
        <v>91</v>
      </c>
      <c r="B198" s="338" t="s">
        <v>436</v>
      </c>
      <c r="C198" s="373">
        <v>65000</v>
      </c>
      <c r="D198" s="397">
        <v>22625</v>
      </c>
      <c r="E198" s="139" t="str">
        <f t="shared" si="29"/>
        <v/>
      </c>
      <c r="F198" s="175">
        <f t="shared" si="30"/>
        <v>-42375</v>
      </c>
      <c r="H198" s="280">
        <v>5251</v>
      </c>
      <c r="I198" s="282">
        <f t="shared" si="31"/>
        <v>17374</v>
      </c>
      <c r="J198" s="286">
        <f>+I198+I219</f>
        <v>27569.5</v>
      </c>
    </row>
    <row r="199" spans="1:10">
      <c r="A199" s="137" t="s">
        <v>255</v>
      </c>
      <c r="B199" s="431" t="s">
        <v>441</v>
      </c>
      <c r="C199" s="373">
        <v>10000</v>
      </c>
      <c r="D199" s="380">
        <v>5180</v>
      </c>
      <c r="E199" s="139" t="str">
        <f t="shared" si="29"/>
        <v/>
      </c>
      <c r="F199" s="175">
        <f t="shared" si="30"/>
        <v>-4820</v>
      </c>
      <c r="G199" s="288">
        <v>46889</v>
      </c>
      <c r="I199" s="282">
        <f>+G199-H199</f>
        <v>46889</v>
      </c>
      <c r="J199" s="286" t="e">
        <f>+I199+#REF!</f>
        <v>#REF!</v>
      </c>
    </row>
    <row r="200" spans="1:10">
      <c r="A200" s="137" t="s">
        <v>263</v>
      </c>
      <c r="B200" s="338" t="s">
        <v>438</v>
      </c>
      <c r="C200" s="414">
        <v>10000</v>
      </c>
      <c r="D200" s="380">
        <v>5180</v>
      </c>
      <c r="E200" s="139" t="str">
        <f t="shared" si="29"/>
        <v/>
      </c>
      <c r="F200" s="175">
        <f t="shared" si="30"/>
        <v>-4820</v>
      </c>
      <c r="G200" s="288">
        <v>9210</v>
      </c>
      <c r="I200" s="282">
        <f>+G200-H200</f>
        <v>9210</v>
      </c>
      <c r="J200" s="286" t="e">
        <f>+I200+#REF!</f>
        <v>#REF!</v>
      </c>
    </row>
    <row r="201" spans="1:10" ht="13.5" thickBot="1">
      <c r="A201" s="137"/>
      <c r="B201" s="147"/>
      <c r="C201" s="359">
        <f>SUM(C187:C200)</f>
        <v>6210000</v>
      </c>
      <c r="D201" s="359">
        <f>SUM(D187:D200)</f>
        <v>2082147</v>
      </c>
      <c r="E201" s="172">
        <f>SUM(E187:E200)</f>
        <v>0</v>
      </c>
      <c r="F201" s="174">
        <f t="shared" ref="F201" si="32">SUM(F187:F200)</f>
        <v>-4127853</v>
      </c>
      <c r="G201" s="288">
        <v>16391</v>
      </c>
      <c r="H201" s="292">
        <f>SUM(H187:H200)</f>
        <v>193354</v>
      </c>
      <c r="I201" s="282">
        <f>+G201-H201</f>
        <v>-176963</v>
      </c>
    </row>
    <row r="202" spans="1:10" ht="13.5" thickTop="1">
      <c r="A202" s="137"/>
      <c r="B202" s="147"/>
      <c r="C202" s="357"/>
      <c r="D202" s="316"/>
      <c r="E202" s="140"/>
      <c r="F202" s="175"/>
      <c r="G202" s="288">
        <v>3120</v>
      </c>
      <c r="I202" s="282">
        <f>+G202-H202</f>
        <v>3120</v>
      </c>
    </row>
    <row r="203" spans="1:10">
      <c r="A203" s="146" t="s">
        <v>367</v>
      </c>
      <c r="B203" s="147"/>
      <c r="C203" s="357"/>
      <c r="D203" s="360"/>
      <c r="E203" s="139"/>
      <c r="F203" s="175"/>
      <c r="G203" s="288">
        <v>3120</v>
      </c>
      <c r="I203" s="282">
        <f>+G203-H203</f>
        <v>3120</v>
      </c>
    </row>
    <row r="204" spans="1:10">
      <c r="A204" s="137" t="s">
        <v>21</v>
      </c>
      <c r="B204" s="315" t="s">
        <v>379</v>
      </c>
      <c r="C204" s="316">
        <v>85000</v>
      </c>
      <c r="D204" s="317">
        <v>32512</v>
      </c>
      <c r="E204" s="139" t="str">
        <f t="shared" ref="E204:E219" si="33">IF((D204-C204)&gt;0,D204-C204,"")</f>
        <v/>
      </c>
      <c r="F204" s="175">
        <f t="shared" ref="F204:F219" si="34">IF((D204-C204)&gt;0,"",D204-C204)</f>
        <v>-52488</v>
      </c>
      <c r="H204" s="280">
        <v>6052</v>
      </c>
      <c r="I204" s="282">
        <f>+D204-H204</f>
        <v>26460</v>
      </c>
    </row>
    <row r="205" spans="1:10">
      <c r="A205" s="137" t="s">
        <v>22</v>
      </c>
      <c r="B205" s="315" t="s">
        <v>380</v>
      </c>
      <c r="C205" s="316">
        <v>400000</v>
      </c>
      <c r="D205" s="317">
        <v>98471.5</v>
      </c>
      <c r="E205" s="139" t="str">
        <f t="shared" si="33"/>
        <v/>
      </c>
      <c r="F205" s="175">
        <f t="shared" si="34"/>
        <v>-301528.5</v>
      </c>
      <c r="H205" s="280">
        <v>26885</v>
      </c>
      <c r="I205" s="282">
        <f t="shared" ref="I205:I219" si="35">+D205-H205</f>
        <v>71586.5</v>
      </c>
    </row>
    <row r="206" spans="1:10">
      <c r="A206" s="137" t="s">
        <v>7</v>
      </c>
      <c r="B206" s="315" t="s">
        <v>381</v>
      </c>
      <c r="C206" s="316">
        <v>300000</v>
      </c>
      <c r="D206" s="317">
        <v>57336.5</v>
      </c>
      <c r="E206" s="139" t="str">
        <f t="shared" si="33"/>
        <v/>
      </c>
      <c r="F206" s="175">
        <f t="shared" si="34"/>
        <v>-242663.5</v>
      </c>
      <c r="H206" s="280">
        <v>12795</v>
      </c>
      <c r="I206" s="282">
        <f t="shared" si="35"/>
        <v>44541.5</v>
      </c>
    </row>
    <row r="207" spans="1:10">
      <c r="A207" s="137" t="s">
        <v>23</v>
      </c>
      <c r="B207" s="315" t="s">
        <v>382</v>
      </c>
      <c r="C207" s="316">
        <v>270000</v>
      </c>
      <c r="D207" s="317">
        <v>97996.5</v>
      </c>
      <c r="E207" s="139" t="str">
        <f t="shared" si="33"/>
        <v/>
      </c>
      <c r="F207" s="175">
        <f t="shared" si="34"/>
        <v>-172003.5</v>
      </c>
      <c r="H207" s="280">
        <v>27310.5</v>
      </c>
      <c r="I207" s="282">
        <f t="shared" si="35"/>
        <v>70686</v>
      </c>
    </row>
    <row r="208" spans="1:10">
      <c r="A208" s="137" t="s">
        <v>24</v>
      </c>
      <c r="B208" s="315" t="s">
        <v>383</v>
      </c>
      <c r="C208" s="316">
        <v>130000</v>
      </c>
      <c r="D208" s="317">
        <v>41763.75</v>
      </c>
      <c r="E208" s="139" t="str">
        <f t="shared" si="33"/>
        <v/>
      </c>
      <c r="F208" s="175">
        <f t="shared" si="34"/>
        <v>-88236.25</v>
      </c>
      <c r="H208" s="280">
        <v>12027.75</v>
      </c>
      <c r="I208" s="282">
        <f t="shared" si="35"/>
        <v>29736</v>
      </c>
    </row>
    <row r="209" spans="1:10">
      <c r="A209" s="137" t="s">
        <v>4</v>
      </c>
      <c r="B209" s="315" t="s">
        <v>384</v>
      </c>
      <c r="C209" s="316">
        <v>60000</v>
      </c>
      <c r="D209" s="317">
        <v>37018.82</v>
      </c>
      <c r="E209" s="139" t="str">
        <f t="shared" si="33"/>
        <v/>
      </c>
      <c r="F209" s="175">
        <f t="shared" si="34"/>
        <v>-22981.18</v>
      </c>
      <c r="H209" s="280">
        <f>600+8800+313.43</f>
        <v>9713.43</v>
      </c>
      <c r="I209" s="282">
        <f t="shared" si="35"/>
        <v>27305.39</v>
      </c>
    </row>
    <row r="210" spans="1:10">
      <c r="A210" s="313" t="s">
        <v>411</v>
      </c>
      <c r="B210" s="315" t="s">
        <v>412</v>
      </c>
      <c r="C210" s="316"/>
      <c r="D210" s="317">
        <v>813.75</v>
      </c>
      <c r="E210" s="139">
        <f t="shared" si="33"/>
        <v>813.75</v>
      </c>
      <c r="F210" s="175" t="str">
        <f t="shared" si="34"/>
        <v/>
      </c>
      <c r="I210" s="282"/>
    </row>
    <row r="211" spans="1:10" ht="12" customHeight="1">
      <c r="A211" s="137" t="s">
        <v>25</v>
      </c>
      <c r="B211" s="315" t="s">
        <v>385</v>
      </c>
      <c r="C211" s="316">
        <v>900000</v>
      </c>
      <c r="D211" s="317">
        <v>293460</v>
      </c>
      <c r="E211" s="139" t="str">
        <f t="shared" si="33"/>
        <v/>
      </c>
      <c r="F211" s="175">
        <f t="shared" si="34"/>
        <v>-606540</v>
      </c>
      <c r="G211" s="298"/>
      <c r="H211" s="299">
        <v>79860</v>
      </c>
      <c r="I211" s="282">
        <f t="shared" si="35"/>
        <v>213600</v>
      </c>
    </row>
    <row r="212" spans="1:10">
      <c r="A212" s="137" t="s">
        <v>29</v>
      </c>
      <c r="B212" s="315" t="s">
        <v>386</v>
      </c>
      <c r="C212" s="316">
        <v>40000</v>
      </c>
      <c r="D212" s="317">
        <v>18858</v>
      </c>
      <c r="E212" s="139" t="str">
        <f t="shared" si="33"/>
        <v/>
      </c>
      <c r="F212" s="175">
        <f t="shared" si="34"/>
        <v>-21142</v>
      </c>
      <c r="G212" s="298"/>
      <c r="H212" s="299">
        <v>3255</v>
      </c>
      <c r="I212" s="282">
        <f t="shared" si="35"/>
        <v>15603</v>
      </c>
    </row>
    <row r="213" spans="1:10">
      <c r="A213" s="313" t="s">
        <v>388</v>
      </c>
      <c r="B213" s="315" t="s">
        <v>387</v>
      </c>
      <c r="C213" s="316">
        <v>23170</v>
      </c>
      <c r="D213" s="317">
        <v>42000</v>
      </c>
      <c r="E213" s="139">
        <f t="shared" si="33"/>
        <v>18830</v>
      </c>
      <c r="F213" s="175" t="str">
        <f t="shared" si="34"/>
        <v/>
      </c>
      <c r="G213" s="298"/>
      <c r="H213" s="299">
        <v>42000</v>
      </c>
      <c r="I213" s="282">
        <f t="shared" si="35"/>
        <v>0</v>
      </c>
    </row>
    <row r="214" spans="1:10">
      <c r="A214" s="137" t="s">
        <v>8</v>
      </c>
      <c r="B214" s="315" t="s">
        <v>389</v>
      </c>
      <c r="C214" s="316">
        <v>115500</v>
      </c>
      <c r="D214" s="317">
        <v>43145.9</v>
      </c>
      <c r="E214" s="139" t="str">
        <f t="shared" si="33"/>
        <v/>
      </c>
      <c r="F214" s="175">
        <f t="shared" si="34"/>
        <v>-72354.100000000006</v>
      </c>
      <c r="G214" s="298"/>
      <c r="H214" s="299">
        <v>12328.2</v>
      </c>
      <c r="I214" s="282">
        <f t="shared" si="35"/>
        <v>30817.7</v>
      </c>
    </row>
    <row r="215" spans="1:10">
      <c r="A215" s="137" t="s">
        <v>38</v>
      </c>
      <c r="B215" s="315" t="s">
        <v>390</v>
      </c>
      <c r="C215" s="316">
        <v>65000</v>
      </c>
      <c r="D215" s="398">
        <v>24660</v>
      </c>
      <c r="E215" s="139" t="str">
        <f t="shared" si="33"/>
        <v/>
      </c>
      <c r="F215" s="175">
        <f t="shared" si="34"/>
        <v>-40340</v>
      </c>
      <c r="G215" s="298"/>
      <c r="H215" s="299">
        <v>5445</v>
      </c>
      <c r="I215" s="282">
        <f t="shared" si="35"/>
        <v>19215</v>
      </c>
    </row>
    <row r="216" spans="1:10">
      <c r="A216" s="313" t="s">
        <v>432</v>
      </c>
      <c r="B216" s="338"/>
      <c r="C216" s="316"/>
      <c r="D216" s="357"/>
      <c r="E216" s="139" t="str">
        <f t="shared" si="33"/>
        <v/>
      </c>
      <c r="F216" s="175">
        <f t="shared" si="34"/>
        <v>0</v>
      </c>
      <c r="G216" s="298"/>
      <c r="H216" s="299"/>
      <c r="I216" s="282"/>
    </row>
    <row r="217" spans="1:10">
      <c r="A217" s="137" t="s">
        <v>89</v>
      </c>
      <c r="B217" s="338" t="s">
        <v>439</v>
      </c>
      <c r="C217" s="373">
        <v>40000</v>
      </c>
      <c r="D217" s="317">
        <v>17356.25</v>
      </c>
      <c r="E217" s="139" t="str">
        <f t="shared" si="33"/>
        <v/>
      </c>
      <c r="F217" s="175">
        <f t="shared" si="34"/>
        <v>-22643.75</v>
      </c>
      <c r="G217" s="298"/>
      <c r="H217" s="299">
        <v>13733</v>
      </c>
      <c r="I217" s="282">
        <f t="shared" si="35"/>
        <v>3623.25</v>
      </c>
      <c r="J217" s="286">
        <f>+I217+I196</f>
        <v>-4523.75</v>
      </c>
    </row>
    <row r="218" spans="1:10">
      <c r="A218" s="137" t="s">
        <v>172</v>
      </c>
      <c r="B218" s="338" t="s">
        <v>435</v>
      </c>
      <c r="C218" s="373">
        <v>120000</v>
      </c>
      <c r="D218" s="317">
        <v>49076.75</v>
      </c>
      <c r="E218" s="139" t="str">
        <f t="shared" si="33"/>
        <v/>
      </c>
      <c r="F218" s="175">
        <f t="shared" si="34"/>
        <v>-70923.25</v>
      </c>
      <c r="G218" s="298"/>
      <c r="H218" s="299">
        <v>5334</v>
      </c>
      <c r="I218" s="282">
        <f t="shared" si="35"/>
        <v>43742.75</v>
      </c>
      <c r="J218" s="286">
        <f>+I218+I197</f>
        <v>88568.75</v>
      </c>
    </row>
    <row r="219" spans="1:10">
      <c r="A219" s="137" t="s">
        <v>91</v>
      </c>
      <c r="B219" s="338" t="s">
        <v>436</v>
      </c>
      <c r="C219" s="373">
        <v>30000</v>
      </c>
      <c r="D219" s="357">
        <v>13117.5</v>
      </c>
      <c r="E219" s="139" t="str">
        <f t="shared" si="33"/>
        <v/>
      </c>
      <c r="F219" s="175">
        <f t="shared" si="34"/>
        <v>-16882.5</v>
      </c>
      <c r="G219" s="298"/>
      <c r="H219" s="299">
        <v>2922</v>
      </c>
      <c r="I219" s="282">
        <f t="shared" si="35"/>
        <v>10195.5</v>
      </c>
      <c r="J219" s="286">
        <f>+I219+I198</f>
        <v>27569.5</v>
      </c>
    </row>
    <row r="220" spans="1:10" ht="13.5" thickBot="1">
      <c r="A220" s="137" t="s">
        <v>17</v>
      </c>
      <c r="B220" s="147"/>
      <c r="C220" s="359">
        <f>SUM(C204:C219)</f>
        <v>2578670</v>
      </c>
      <c r="D220" s="359">
        <f>SUM(D204:D219)</f>
        <v>867587.22000000009</v>
      </c>
      <c r="E220" s="172">
        <f>SUM(E204:E219)</f>
        <v>19643.75</v>
      </c>
      <c r="F220" s="174">
        <f t="shared" ref="F220" si="36">SUM(F204:F219)</f>
        <v>-1730726.5300000003</v>
      </c>
      <c r="G220" s="298"/>
      <c r="H220" s="292">
        <f>SUM(H204:H219)</f>
        <v>259660.88</v>
      </c>
      <c r="I220" s="292">
        <f>SUM(I204:I219)</f>
        <v>607112.59</v>
      </c>
    </row>
    <row r="221" spans="1:10" ht="13.5" thickTop="1">
      <c r="A221" s="146" t="s">
        <v>391</v>
      </c>
      <c r="B221" s="315" t="s">
        <v>392</v>
      </c>
      <c r="C221" s="366"/>
      <c r="D221" s="221"/>
      <c r="E221" s="163"/>
      <c r="F221" s="175"/>
      <c r="G221" s="298"/>
    </row>
    <row r="222" spans="1:10">
      <c r="A222" s="137" t="s">
        <v>27</v>
      </c>
      <c r="B222" s="315" t="s">
        <v>393</v>
      </c>
      <c r="C222" s="316">
        <v>3500000</v>
      </c>
      <c r="D222" s="221">
        <v>1069360</v>
      </c>
      <c r="E222" s="139" t="str">
        <f>IF((D222-C222)&gt;0,D222-C222,"")</f>
        <v/>
      </c>
      <c r="F222" s="175">
        <f>IF((D222-C222)&gt;0,"",D222-C222)</f>
        <v>-2430640</v>
      </c>
      <c r="G222" s="298"/>
      <c r="H222" s="280">
        <f>261615+35800</f>
        <v>297415</v>
      </c>
      <c r="I222" s="282">
        <f>+D222-H222</f>
        <v>771945</v>
      </c>
    </row>
    <row r="223" spans="1:10">
      <c r="A223" s="313" t="s">
        <v>432</v>
      </c>
      <c r="B223" s="338"/>
      <c r="C223" s="316"/>
      <c r="D223" s="221"/>
      <c r="E223" s="139" t="str">
        <f>IF((D223-C223)&gt;0,D223-C223,"")</f>
        <v/>
      </c>
      <c r="F223" s="175">
        <f>IF((D223-C223)&gt;0,"",D223-C223)</f>
        <v>0</v>
      </c>
      <c r="G223" s="298"/>
      <c r="I223" s="282"/>
    </row>
    <row r="224" spans="1:10">
      <c r="A224" s="137" t="s">
        <v>172</v>
      </c>
      <c r="B224" s="338" t="s">
        <v>435</v>
      </c>
      <c r="C224" s="316">
        <v>500000</v>
      </c>
      <c r="D224" s="221">
        <v>180990</v>
      </c>
      <c r="E224" s="139" t="str">
        <f>IF((D224-C224)&gt;0,D224-C224,"")</f>
        <v/>
      </c>
      <c r="F224" s="175">
        <f t="shared" ref="F224:F226" si="37">IF((D224-C224)&gt;0,"",D224-C224)</f>
        <v>-319010</v>
      </c>
      <c r="G224" s="298"/>
      <c r="H224" s="280">
        <v>48300</v>
      </c>
      <c r="I224" s="282">
        <f>+D224-H224</f>
        <v>132690</v>
      </c>
    </row>
    <row r="225" spans="1:10">
      <c r="A225" s="137" t="s">
        <v>255</v>
      </c>
      <c r="B225" s="338" t="s">
        <v>438</v>
      </c>
      <c r="C225" s="316">
        <v>7000</v>
      </c>
      <c r="D225" s="221">
        <v>3660</v>
      </c>
      <c r="E225" s="139" t="str">
        <f>IF((D225-C225)&gt;0,D225-C225,"")</f>
        <v/>
      </c>
      <c r="F225" s="175">
        <f t="shared" si="37"/>
        <v>-3340</v>
      </c>
      <c r="G225" s="298"/>
      <c r="H225" s="280">
        <v>800</v>
      </c>
      <c r="I225" s="282">
        <f>+D225-H225</f>
        <v>2860</v>
      </c>
    </row>
    <row r="226" spans="1:10">
      <c r="A226" s="137" t="s">
        <v>263</v>
      </c>
      <c r="B226" s="338" t="s">
        <v>441</v>
      </c>
      <c r="C226" s="356">
        <v>7000</v>
      </c>
      <c r="D226" s="221">
        <v>3660</v>
      </c>
      <c r="E226" s="139" t="str">
        <f>IF((D226-C226)&gt;0,D226-C226,"")</f>
        <v/>
      </c>
      <c r="F226" s="175">
        <f t="shared" si="37"/>
        <v>-3340</v>
      </c>
      <c r="G226" s="298"/>
      <c r="H226" s="280">
        <v>800</v>
      </c>
      <c r="I226" s="282">
        <f>+D226-H226</f>
        <v>2860</v>
      </c>
    </row>
    <row r="227" spans="1:10" ht="13.5" thickBot="1">
      <c r="A227" s="137"/>
      <c r="B227" s="147"/>
      <c r="C227" s="367">
        <f>SUM(C222:C226)</f>
        <v>4014000</v>
      </c>
      <c r="D227" s="399">
        <f t="shared" ref="D227:F227" si="38">SUM(D222:D226)</f>
        <v>1257670</v>
      </c>
      <c r="E227" s="189">
        <f>SUM(E222:E226)</f>
        <v>0</v>
      </c>
      <c r="F227" s="190">
        <f t="shared" si="38"/>
        <v>-2756330</v>
      </c>
      <c r="G227" s="298"/>
      <c r="H227" s="292">
        <f>SUM(H222:H226)</f>
        <v>347315</v>
      </c>
      <c r="I227" s="292">
        <f>SUM(I222:I226)</f>
        <v>910355</v>
      </c>
    </row>
    <row r="228" spans="1:10" ht="13.5" thickTop="1">
      <c r="A228" s="137" t="s">
        <v>123</v>
      </c>
      <c r="B228" s="147"/>
      <c r="C228" s="356">
        <f>SUM(C227+C220+C201+C183+C166+C150+C131)</f>
        <v>112768670</v>
      </c>
      <c r="D228" s="316">
        <f>SUM(D227+D220+D201+D183+D166+D150+D131)</f>
        <v>37670047.899999991</v>
      </c>
      <c r="E228" s="140">
        <f>+E131+E150+E166+E183+E201+E220+E227</f>
        <v>117443.75</v>
      </c>
      <c r="F228" s="169">
        <f>SUM(F227+F220+F201+F183+F166+F150+F131)</f>
        <v>-75216065.849999994</v>
      </c>
      <c r="G228" s="298"/>
    </row>
    <row r="229" spans="1:10" ht="13.5" thickBot="1">
      <c r="A229" s="191" t="s">
        <v>107</v>
      </c>
      <c r="B229" s="192"/>
      <c r="C229" s="368">
        <f>+C228+C127</f>
        <v>1092930247</v>
      </c>
      <c r="D229" s="383">
        <f>+D228+D127</f>
        <v>500629704.20999998</v>
      </c>
      <c r="E229" s="193">
        <f>+E228+E127</f>
        <v>1049940.1099999999</v>
      </c>
      <c r="F229" s="194">
        <f>+F228+F127</f>
        <v>-593350482.89999998</v>
      </c>
      <c r="G229" s="298"/>
    </row>
    <row r="230" spans="1:10" ht="13.5" thickTop="1">
      <c r="A230" s="171" t="s">
        <v>111</v>
      </c>
      <c r="B230" s="154"/>
      <c r="C230" s="357"/>
      <c r="D230" s="357"/>
      <c r="E230" s="153"/>
      <c r="F230" s="175"/>
      <c r="G230" s="298"/>
      <c r="H230" s="280">
        <f>D34+I241</f>
        <v>391111638.53999996</v>
      </c>
      <c r="I230" s="300">
        <v>121064830.92</v>
      </c>
      <c r="J230" s="286">
        <f>H230-I230</f>
        <v>270046807.61999995</v>
      </c>
    </row>
    <row r="231" spans="1:10" ht="14.25">
      <c r="A231" s="195"/>
      <c r="B231" s="432"/>
      <c r="C231" s="2"/>
      <c r="D231" s="400"/>
      <c r="E231" s="197"/>
      <c r="F231" s="199"/>
    </row>
    <row r="232" spans="1:10" ht="14.25">
      <c r="A232" s="466" t="s">
        <v>196</v>
      </c>
      <c r="B232" s="467"/>
      <c r="C232" s="2"/>
      <c r="D232" s="2"/>
      <c r="E232" s="200"/>
      <c r="F232" s="201"/>
    </row>
    <row r="233" spans="1:10" ht="14.25">
      <c r="A233" s="468" t="s">
        <v>400</v>
      </c>
      <c r="B233" s="469"/>
      <c r="C233" s="3"/>
      <c r="D233" s="401" t="s">
        <v>114</v>
      </c>
      <c r="E233" s="432"/>
      <c r="F233" s="201"/>
    </row>
    <row r="234" spans="1:10" ht="14.25">
      <c r="A234" s="171"/>
      <c r="B234" s="432"/>
      <c r="C234" s="4"/>
      <c r="D234" s="4"/>
      <c r="E234" s="432"/>
      <c r="F234" s="201"/>
    </row>
    <row r="235" spans="1:10" ht="15">
      <c r="A235" s="195"/>
      <c r="B235" s="432"/>
      <c r="C235" s="369"/>
      <c r="D235" s="470" t="s">
        <v>115</v>
      </c>
      <c r="E235" s="470"/>
      <c r="F235" s="471"/>
      <c r="H235" s="296"/>
      <c r="I235" s="240"/>
      <c r="J235" s="240" t="s">
        <v>187</v>
      </c>
    </row>
    <row r="236" spans="1:10" ht="14.25">
      <c r="A236" s="195"/>
      <c r="B236" s="432"/>
      <c r="C236" s="369"/>
      <c r="D236" s="472" t="s">
        <v>116</v>
      </c>
      <c r="E236" s="472"/>
      <c r="F236" s="473"/>
      <c r="H236" s="301" t="s">
        <v>179</v>
      </c>
      <c r="I236" s="302">
        <v>506435601.94</v>
      </c>
      <c r="J236" s="240" t="s">
        <v>185</v>
      </c>
    </row>
    <row r="237" spans="1:10" ht="14.25">
      <c r="A237" s="195"/>
      <c r="B237" s="432"/>
      <c r="C237" s="369"/>
      <c r="D237" s="372"/>
      <c r="E237" s="222"/>
      <c r="F237" s="223"/>
      <c r="H237" s="301"/>
      <c r="I237" s="240"/>
      <c r="J237" s="240"/>
    </row>
    <row r="238" spans="1:10" ht="14.25">
      <c r="A238" s="171" t="s">
        <v>117</v>
      </c>
      <c r="B238" s="432"/>
      <c r="C238" s="369"/>
      <c r="D238" s="369"/>
      <c r="E238" s="148"/>
      <c r="F238" s="223"/>
      <c r="H238" s="301" t="s">
        <v>180</v>
      </c>
      <c r="I238" s="296"/>
      <c r="J238" s="240" t="s">
        <v>185</v>
      </c>
    </row>
    <row r="239" spans="1:10">
      <c r="A239" s="171" t="s">
        <v>118</v>
      </c>
      <c r="B239" s="154"/>
      <c r="C239" s="369"/>
      <c r="D239" s="369"/>
      <c r="E239" s="154"/>
      <c r="F239" s="151"/>
      <c r="H239" s="429" t="s">
        <v>181</v>
      </c>
      <c r="I239" s="241">
        <v>2692533.44</v>
      </c>
      <c r="J239" s="240" t="s">
        <v>186</v>
      </c>
    </row>
    <row r="240" spans="1:10" ht="15.75" thickBot="1">
      <c r="A240" s="224"/>
      <c r="B240" s="156"/>
      <c r="C240" s="370"/>
      <c r="D240" s="370"/>
      <c r="E240" s="225"/>
      <c r="F240" s="205"/>
      <c r="H240" s="301" t="s">
        <v>189</v>
      </c>
      <c r="I240" s="296">
        <f>5171.56+243.1</f>
        <v>5414.6600000000008</v>
      </c>
      <c r="J240" s="240" t="s">
        <v>184</v>
      </c>
    </row>
    <row r="241" spans="1:10" ht="11.25" customHeight="1">
      <c r="C241" s="371"/>
      <c r="F241" s="432"/>
      <c r="H241" s="301" t="s">
        <v>183</v>
      </c>
      <c r="I241" s="426">
        <v>3107949.63</v>
      </c>
      <c r="J241" s="240" t="s">
        <v>185</v>
      </c>
    </row>
    <row r="242" spans="1:10" ht="14.25">
      <c r="A242" s="148"/>
      <c r="B242" s="432"/>
      <c r="C242" s="3"/>
      <c r="D242" s="3"/>
      <c r="E242" s="202"/>
      <c r="F242" s="202"/>
      <c r="H242" s="296"/>
      <c r="I242" s="296">
        <f>I236-I238-I239-I241-I240</f>
        <v>500629704.20999998</v>
      </c>
      <c r="J242" s="240"/>
    </row>
    <row r="243" spans="1:10">
      <c r="A243" s="206"/>
      <c r="B243" s="207"/>
      <c r="C243" s="372"/>
      <c r="D243" s="372"/>
      <c r="H243" s="296"/>
      <c r="I243" s="296"/>
      <c r="J243" s="240"/>
    </row>
    <row r="244" spans="1:10">
      <c r="A244" s="206"/>
      <c r="B244" s="207"/>
      <c r="C244" s="372"/>
      <c r="D244" s="372"/>
      <c r="H244" s="296"/>
      <c r="I244" s="296"/>
      <c r="J244" s="240"/>
    </row>
    <row r="245" spans="1:10" ht="12.75" customHeight="1">
      <c r="A245" s="206"/>
      <c r="B245" s="207"/>
      <c r="C245" s="372"/>
      <c r="D245" s="372"/>
      <c r="H245" s="296" t="s">
        <v>182</v>
      </c>
      <c r="I245" s="296">
        <f>D229</f>
        <v>500629704.20999998</v>
      </c>
      <c r="J245" s="240"/>
    </row>
    <row r="246" spans="1:10">
      <c r="A246" s="206"/>
      <c r="B246" s="207"/>
      <c r="C246" s="372"/>
      <c r="D246" s="372"/>
      <c r="H246" s="296" t="s">
        <v>176</v>
      </c>
      <c r="I246" s="296">
        <f>I242-I245</f>
        <v>0</v>
      </c>
      <c r="J246" s="240"/>
    </row>
    <row r="247" spans="1:10">
      <c r="A247" s="206"/>
      <c r="B247" s="207"/>
      <c r="C247" s="372"/>
      <c r="D247" s="372"/>
    </row>
    <row r="248" spans="1:10" ht="11.25" customHeight="1">
      <c r="A248" s="206"/>
      <c r="B248" s="207"/>
      <c r="C248" s="372"/>
      <c r="D248" s="372"/>
    </row>
    <row r="249" spans="1:10">
      <c r="A249" s="206"/>
      <c r="B249" s="207"/>
      <c r="C249" s="372"/>
      <c r="D249" s="372"/>
      <c r="E249" s="279"/>
      <c r="F249" s="279"/>
      <c r="H249" s="279"/>
      <c r="I249" s="279"/>
    </row>
    <row r="250" spans="1:10" ht="12.75" customHeight="1">
      <c r="A250" s="206"/>
      <c r="B250" s="207"/>
      <c r="C250" s="372"/>
      <c r="D250" s="372"/>
      <c r="E250" s="279"/>
      <c r="F250" s="279"/>
      <c r="H250" s="279"/>
      <c r="I250" s="279"/>
    </row>
    <row r="251" spans="1:10" ht="13.5" customHeight="1">
      <c r="A251" s="206"/>
      <c r="B251" s="207"/>
      <c r="C251" s="372"/>
      <c r="D251" s="372"/>
      <c r="E251" s="279"/>
      <c r="F251" s="279"/>
      <c r="H251" s="279"/>
      <c r="I251" s="279"/>
    </row>
    <row r="252" spans="1:10">
      <c r="A252" s="206"/>
      <c r="B252" s="207"/>
      <c r="C252" s="372"/>
      <c r="D252" s="372"/>
      <c r="E252" s="279"/>
      <c r="F252" s="279"/>
      <c r="H252" s="279"/>
      <c r="I252" s="279"/>
    </row>
    <row r="253" spans="1:10">
      <c r="A253" s="206"/>
      <c r="B253" s="207"/>
      <c r="C253" s="372"/>
      <c r="D253" s="372"/>
      <c r="E253" s="279"/>
      <c r="F253" s="279"/>
      <c r="H253" s="279"/>
      <c r="I253" s="279"/>
    </row>
    <row r="254" spans="1:10">
      <c r="A254" s="206"/>
      <c r="B254" s="207"/>
      <c r="C254" s="372"/>
      <c r="D254" s="372"/>
      <c r="E254" s="279"/>
      <c r="F254" s="279"/>
      <c r="H254" s="279"/>
      <c r="I254" s="279"/>
    </row>
    <row r="255" spans="1:10">
      <c r="A255" s="206"/>
      <c r="B255" s="207"/>
      <c r="C255" s="372"/>
      <c r="D255" s="372"/>
      <c r="E255" s="279"/>
      <c r="F255" s="279"/>
      <c r="H255" s="279"/>
      <c r="I255" s="279"/>
    </row>
    <row r="256" spans="1:10">
      <c r="A256" s="206"/>
      <c r="B256" s="207"/>
      <c r="C256" s="22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148"/>
      <c r="B283" s="154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</sheetData>
  <mergeCells count="10">
    <mergeCell ref="A232:B232"/>
    <mergeCell ref="A233:B233"/>
    <mergeCell ref="D235:F235"/>
    <mergeCell ref="D236:F236"/>
    <mergeCell ref="A3:F3"/>
    <mergeCell ref="A4:F4"/>
    <mergeCell ref="A7:A8"/>
    <mergeCell ref="B7:B8"/>
    <mergeCell ref="E7:E8"/>
    <mergeCell ref="F7:F8"/>
  </mergeCells>
  <conditionalFormatting sqref="F128">
    <cfRule type="cellIs" dxfId="3" priority="1" stopIfTrue="1" operator="greaterThan">
      <formula>0</formula>
    </cfRule>
  </conditionalFormatting>
  <pageMargins left="0.441176470588235" right="0.12" top="0.40625" bottom="0.85416666666666696" header="0.5" footer="0.5"/>
  <pageSetup paperSize="258" scale="97" fitToHeight="0" orientation="portrait" verticalDpi="180" r:id="rId1"/>
  <headerFooter alignWithMargins="0">
    <oddFooter>Page &amp;P of &amp;N</oddFooter>
  </headerFooter>
  <rowBreaks count="3" manualBreakCount="3">
    <brk id="70" max="10" man="1"/>
    <brk id="132" max="10" man="1"/>
    <brk id="192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opLeftCell="A106" zoomScale="115" zoomScaleNormal="115" zoomScaleSheetLayoutView="100" zoomScalePageLayoutView="98" workbookViewId="0">
      <selection activeCell="G219" sqref="G219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80" customWidth="1"/>
    <col min="12" max="12" width="12.8554687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465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33"/>
      <c r="C6" s="307"/>
      <c r="D6" s="334"/>
      <c r="E6" s="307"/>
      <c r="F6" s="308"/>
      <c r="H6" s="281" t="s">
        <v>154</v>
      </c>
      <c r="I6" s="211" t="s">
        <v>176</v>
      </c>
      <c r="K6" s="419"/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339675</v>
      </c>
      <c r="E11" s="140" t="str">
        <f>IF((D11-C11)&gt;0,D11-C11,"")</f>
        <v/>
      </c>
      <c r="F11" s="175">
        <f>IF((D11-C11)&gt;0,"",D11-C11)</f>
        <v>-40325</v>
      </c>
      <c r="H11" s="280">
        <v>339675</v>
      </c>
      <c r="I11" s="282">
        <f>D11-H11</f>
        <v>0</v>
      </c>
      <c r="L11" s="286"/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3" si="0">IF((D12-C12)&gt;0,D12-C12,"")</f>
        <v/>
      </c>
      <c r="F12" s="141">
        <f t="shared" ref="F12:F33" si="1">IF((D12-C12)&gt;0,"",D12-C12)</f>
        <v>0</v>
      </c>
      <c r="I12" s="282">
        <f t="shared" ref="I12:I33" si="2">D12-H12</f>
        <v>0</v>
      </c>
      <c r="L12" s="286"/>
    </row>
    <row r="13" spans="1:13">
      <c r="A13" s="137" t="s">
        <v>50</v>
      </c>
      <c r="B13" s="338" t="s">
        <v>203</v>
      </c>
      <c r="C13" s="316">
        <v>5000000</v>
      </c>
      <c r="D13" s="365">
        <v>4144216.03</v>
      </c>
      <c r="E13" s="140" t="str">
        <f t="shared" si="0"/>
        <v/>
      </c>
      <c r="F13" s="175">
        <f t="shared" si="1"/>
        <v>-855783.9700000002</v>
      </c>
      <c r="H13" s="280">
        <v>4144216.11</v>
      </c>
      <c r="I13" s="282">
        <f t="shared" si="2"/>
        <v>-8.0000000074505806E-2</v>
      </c>
      <c r="K13" s="423"/>
      <c r="L13" s="286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1263094.5900000001</v>
      </c>
      <c r="E14" s="140" t="str">
        <f t="shared" si="0"/>
        <v/>
      </c>
      <c r="F14" s="175">
        <f t="shared" si="1"/>
        <v>-236905.40999999992</v>
      </c>
      <c r="H14" s="280">
        <v>1263094.5900000001</v>
      </c>
      <c r="I14" s="282">
        <f t="shared" si="2"/>
        <v>0</v>
      </c>
      <c r="L14" s="286"/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41">
        <f t="shared" si="1"/>
        <v>0</v>
      </c>
      <c r="I15" s="282">
        <f t="shared" si="2"/>
        <v>0</v>
      </c>
      <c r="L15" s="286"/>
    </row>
    <row r="16" spans="1:13">
      <c r="A16" s="137" t="s">
        <v>217</v>
      </c>
      <c r="B16" s="338" t="s">
        <v>220</v>
      </c>
      <c r="C16" s="316">
        <v>45000000</v>
      </c>
      <c r="D16" s="380">
        <f>34717506.78-3175554.2</f>
        <v>31541952.580000002</v>
      </c>
      <c r="E16" s="140" t="str">
        <f t="shared" si="0"/>
        <v/>
      </c>
      <c r="F16" s="175">
        <f t="shared" si="1"/>
        <v>-13458047.419999998</v>
      </c>
      <c r="H16" s="415">
        <v>29123378.329999998</v>
      </c>
      <c r="I16" s="282">
        <f t="shared" si="2"/>
        <v>2418574.2500000037</v>
      </c>
      <c r="J16" s="284" t="s">
        <v>454</v>
      </c>
      <c r="L16" s="286"/>
    </row>
    <row r="17" spans="1:12">
      <c r="A17" s="137" t="s">
        <v>218</v>
      </c>
      <c r="B17" s="338" t="s">
        <v>221</v>
      </c>
      <c r="C17" s="316">
        <v>7500000</v>
      </c>
      <c r="D17" s="365">
        <v>4779696.32</v>
      </c>
      <c r="E17" s="140" t="str">
        <f t="shared" si="0"/>
        <v/>
      </c>
      <c r="F17" s="175">
        <f t="shared" si="1"/>
        <v>-2720303.6799999997</v>
      </c>
      <c r="H17" s="280">
        <v>4779696.3600000003</v>
      </c>
      <c r="I17" s="282">
        <f t="shared" si="2"/>
        <v>-4.0000000037252903E-2</v>
      </c>
      <c r="L17" s="286"/>
    </row>
    <row r="18" spans="1:12">
      <c r="A18" s="313" t="s">
        <v>222</v>
      </c>
      <c r="B18" s="338" t="s">
        <v>223</v>
      </c>
      <c r="C18" s="316">
        <v>200000</v>
      </c>
      <c r="D18" s="365">
        <v>74475.33</v>
      </c>
      <c r="E18" s="140" t="str">
        <f t="shared" si="0"/>
        <v/>
      </c>
      <c r="F18" s="175">
        <f t="shared" si="1"/>
        <v>-125524.67</v>
      </c>
      <c r="H18" s="280">
        <v>74475.33</v>
      </c>
      <c r="I18" s="282">
        <f t="shared" si="2"/>
        <v>0</v>
      </c>
      <c r="L18" s="286"/>
    </row>
    <row r="19" spans="1:12">
      <c r="A19" s="313" t="s">
        <v>401</v>
      </c>
      <c r="B19" s="338" t="s">
        <v>215</v>
      </c>
      <c r="C19" s="316">
        <v>6000000</v>
      </c>
      <c r="D19" s="365">
        <v>3913803.39</v>
      </c>
      <c r="E19" s="140" t="str">
        <f t="shared" si="0"/>
        <v/>
      </c>
      <c r="F19" s="175">
        <f t="shared" si="1"/>
        <v>-2086196.6099999999</v>
      </c>
      <c r="H19" s="280">
        <v>3913803.39</v>
      </c>
      <c r="I19" s="282">
        <f t="shared" si="2"/>
        <v>0</v>
      </c>
      <c r="L19" s="286"/>
    </row>
    <row r="20" spans="1:12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  <c r="L20" s="286"/>
    </row>
    <row r="21" spans="1:12">
      <c r="A21" s="313" t="s">
        <v>47</v>
      </c>
      <c r="B21" s="338" t="s">
        <v>200</v>
      </c>
      <c r="C21" s="316">
        <v>170000000</v>
      </c>
      <c r="D21" s="365">
        <v>129653506.08</v>
      </c>
      <c r="E21" s="140" t="str">
        <f t="shared" si="0"/>
        <v/>
      </c>
      <c r="F21" s="175">
        <f t="shared" si="1"/>
        <v>-40346493.920000002</v>
      </c>
      <c r="H21" s="280">
        <v>129653506.08</v>
      </c>
      <c r="I21" s="282">
        <f t="shared" si="2"/>
        <v>0</v>
      </c>
      <c r="J21" s="323"/>
      <c r="L21" s="286"/>
    </row>
    <row r="22" spans="1:12">
      <c r="A22" s="137" t="s">
        <v>48</v>
      </c>
      <c r="B22" s="338" t="s">
        <v>201</v>
      </c>
      <c r="C22" s="316">
        <v>3000000</v>
      </c>
      <c r="D22" s="365">
        <v>2488019.0499999998</v>
      </c>
      <c r="E22" s="140" t="str">
        <f t="shared" si="0"/>
        <v/>
      </c>
      <c r="F22" s="175">
        <f t="shared" si="1"/>
        <v>-511980.95000000019</v>
      </c>
      <c r="H22" s="280">
        <v>2488019.0499999998</v>
      </c>
      <c r="I22" s="282">
        <f t="shared" si="2"/>
        <v>0</v>
      </c>
      <c r="J22" s="323"/>
      <c r="L22" s="286"/>
    </row>
    <row r="23" spans="1:12">
      <c r="A23" s="313" t="s">
        <v>190</v>
      </c>
      <c r="B23" s="338" t="s">
        <v>225</v>
      </c>
      <c r="C23" s="316">
        <v>2700000</v>
      </c>
      <c r="D23" s="365">
        <v>1413367.5</v>
      </c>
      <c r="E23" s="140" t="str">
        <f t="shared" si="0"/>
        <v/>
      </c>
      <c r="F23" s="175">
        <f t="shared" si="1"/>
        <v>-1286632.5</v>
      </c>
      <c r="H23" s="280">
        <v>1264353.22</v>
      </c>
      <c r="I23" s="283">
        <f>D23-H23</f>
        <v>149014.28000000003</v>
      </c>
      <c r="L23" s="286"/>
    </row>
    <row r="24" spans="1:12">
      <c r="A24" s="313" t="s">
        <v>33</v>
      </c>
      <c r="B24" s="338" t="s">
        <v>224</v>
      </c>
      <c r="C24" s="316">
        <v>1500000</v>
      </c>
      <c r="D24" s="365">
        <v>1020000</v>
      </c>
      <c r="E24" s="140" t="str">
        <f t="shared" si="0"/>
        <v/>
      </c>
      <c r="F24" s="141">
        <f t="shared" si="1"/>
        <v>-480000</v>
      </c>
      <c r="H24" s="280">
        <v>1020000</v>
      </c>
      <c r="I24" s="282">
        <f t="shared" si="2"/>
        <v>0</v>
      </c>
      <c r="L24" s="286"/>
    </row>
    <row r="25" spans="1:12">
      <c r="A25" s="313" t="s">
        <v>31</v>
      </c>
      <c r="B25" s="338" t="s">
        <v>197</v>
      </c>
      <c r="C25" s="316">
        <v>2700000</v>
      </c>
      <c r="D25" s="365">
        <v>1968574.22</v>
      </c>
      <c r="E25" s="140" t="str">
        <f t="shared" si="0"/>
        <v/>
      </c>
      <c r="F25" s="175">
        <f t="shared" si="1"/>
        <v>-731425.78</v>
      </c>
      <c r="H25" s="280">
        <v>1968574.22</v>
      </c>
      <c r="I25" s="282">
        <f t="shared" si="2"/>
        <v>0</v>
      </c>
      <c r="J25" s="288"/>
      <c r="L25" s="286"/>
    </row>
    <row r="26" spans="1:12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  <c r="L26" s="286"/>
    </row>
    <row r="27" spans="1:12">
      <c r="A27" s="313" t="s">
        <v>206</v>
      </c>
      <c r="B27" s="338" t="s">
        <v>208</v>
      </c>
      <c r="C27" s="316">
        <v>3300000</v>
      </c>
      <c r="D27" s="365">
        <v>1731884.52</v>
      </c>
      <c r="E27" s="140" t="str">
        <f t="shared" si="0"/>
        <v/>
      </c>
      <c r="F27" s="175">
        <f t="shared" si="1"/>
        <v>-1568115.48</v>
      </c>
      <c r="H27" s="280">
        <v>1731884.52</v>
      </c>
      <c r="I27" s="282">
        <f t="shared" si="2"/>
        <v>0</v>
      </c>
      <c r="L27" s="286"/>
    </row>
    <row r="28" spans="1:12">
      <c r="A28" s="137" t="s">
        <v>207</v>
      </c>
      <c r="B28" s="338" t="s">
        <v>209</v>
      </c>
      <c r="C28" s="316">
        <v>586250</v>
      </c>
      <c r="D28" s="333">
        <v>351890</v>
      </c>
      <c r="E28" s="140" t="str">
        <f t="shared" si="0"/>
        <v/>
      </c>
      <c r="F28" s="175">
        <f t="shared" si="1"/>
        <v>-234360</v>
      </c>
      <c r="H28" s="280">
        <v>351890</v>
      </c>
      <c r="I28" s="282">
        <f>D28-H28</f>
        <v>0</v>
      </c>
      <c r="J28" s="323"/>
      <c r="L28" s="427"/>
    </row>
    <row r="29" spans="1:12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  <c r="L29" s="286"/>
    </row>
    <row r="30" spans="1:12">
      <c r="A30" s="313" t="s">
        <v>227</v>
      </c>
      <c r="B30" s="138" t="s">
        <v>229</v>
      </c>
      <c r="C30" s="316">
        <v>4000000</v>
      </c>
      <c r="D30" s="365">
        <v>2146814.7799999998</v>
      </c>
      <c r="E30" s="140" t="str">
        <f>IF((D30-C30)&gt;0,D30-C30,"")</f>
        <v/>
      </c>
      <c r="F30" s="141">
        <f>IF((D30-C30)&gt;0,"",D30-C30)</f>
        <v>-1853185.2200000002</v>
      </c>
      <c r="H30" s="280">
        <v>2146814.73</v>
      </c>
      <c r="I30" s="282">
        <f>D30-H30</f>
        <v>4.9999999813735485E-2</v>
      </c>
      <c r="L30" s="286"/>
    </row>
    <row r="31" spans="1:12">
      <c r="A31" s="313" t="s">
        <v>426</v>
      </c>
      <c r="B31" s="338" t="s">
        <v>427</v>
      </c>
      <c r="C31" s="316">
        <v>5600000</v>
      </c>
      <c r="D31" s="365">
        <v>3187086.84</v>
      </c>
      <c r="E31" s="140" t="str">
        <f t="shared" si="0"/>
        <v/>
      </c>
      <c r="F31" s="175">
        <f t="shared" si="1"/>
        <v>-2412913.16</v>
      </c>
      <c r="H31" s="280">
        <v>3187086.84</v>
      </c>
      <c r="I31" s="282">
        <f t="shared" si="2"/>
        <v>0</v>
      </c>
      <c r="J31" s="284"/>
      <c r="L31" s="286"/>
    </row>
    <row r="32" spans="1:12">
      <c r="A32" s="137" t="s">
        <v>35</v>
      </c>
      <c r="B32" s="338" t="s">
        <v>329</v>
      </c>
      <c r="C32" s="316">
        <f>605000000+5210827</f>
        <v>610210827</v>
      </c>
      <c r="D32" s="316">
        <v>254254510</v>
      </c>
      <c r="E32" s="140" t="str">
        <f t="shared" si="0"/>
        <v/>
      </c>
      <c r="F32" s="175">
        <f t="shared" si="1"/>
        <v>-355956317</v>
      </c>
      <c r="H32" s="280">
        <v>254254510</v>
      </c>
      <c r="I32" s="282">
        <f>D32-H32</f>
        <v>0</v>
      </c>
    </row>
    <row r="33" spans="1:13">
      <c r="A33" s="313"/>
      <c r="B33" s="338"/>
      <c r="C33" s="356"/>
      <c r="D33" s="356"/>
      <c r="E33" s="140" t="str">
        <f t="shared" si="0"/>
        <v/>
      </c>
      <c r="F33" s="175">
        <f t="shared" si="1"/>
        <v>0</v>
      </c>
      <c r="I33" s="282">
        <f t="shared" si="2"/>
        <v>0</v>
      </c>
      <c r="L33" s="286"/>
    </row>
    <row r="34" spans="1:13" ht="13.5" thickBot="1">
      <c r="A34" s="137" t="s">
        <v>34</v>
      </c>
      <c r="B34" s="138"/>
      <c r="C34" s="143">
        <f>SUM(C11:C33)</f>
        <v>869177077</v>
      </c>
      <c r="D34" s="381">
        <f>SUM(D11:D33)</f>
        <v>444272566.23000002</v>
      </c>
      <c r="E34" s="144">
        <f>SUM(E11:E33)</f>
        <v>0</v>
      </c>
      <c r="F34" s="145">
        <f>SUM(F11:F33)</f>
        <v>-424904510.76999998</v>
      </c>
      <c r="H34" s="289">
        <f>SUM(H11:H33)</f>
        <v>441704977.76999998</v>
      </c>
      <c r="I34" s="290">
        <f>SUM(I11:I33)</f>
        <v>2567588.4600000037</v>
      </c>
      <c r="L34" s="286"/>
    </row>
    <row r="35" spans="1:13" ht="13.5" thickTop="1">
      <c r="A35" s="355" t="s">
        <v>397</v>
      </c>
      <c r="B35" s="147"/>
      <c r="C35" s="148"/>
      <c r="D35" s="382"/>
      <c r="E35" s="150"/>
      <c r="F35" s="151"/>
      <c r="I35" s="282"/>
      <c r="L35" s="286"/>
    </row>
    <row r="36" spans="1:13">
      <c r="A36" s="137" t="s">
        <v>53</v>
      </c>
      <c r="B36" s="138" t="s">
        <v>236</v>
      </c>
      <c r="C36" s="139"/>
      <c r="D36" s="365"/>
      <c r="E36" s="140" t="str">
        <f t="shared" ref="E36:E105" si="3">IF((D36-C36)&gt;0,D36-C36,"")</f>
        <v/>
      </c>
      <c r="F36" s="175">
        <f t="shared" ref="F36:F105" si="4">IF((D36-C36)&gt;0,"",D36-C36)</f>
        <v>0</v>
      </c>
      <c r="I36" s="282"/>
      <c r="L36" s="286"/>
    </row>
    <row r="37" spans="1:13">
      <c r="A37" s="137" t="s">
        <v>65</v>
      </c>
      <c r="B37" s="138" t="s">
        <v>245</v>
      </c>
      <c r="C37" s="139">
        <v>500000</v>
      </c>
      <c r="D37" s="365">
        <v>82310.3</v>
      </c>
      <c r="E37" s="140" t="str">
        <f t="shared" si="3"/>
        <v/>
      </c>
      <c r="F37" s="175">
        <f t="shared" si="4"/>
        <v>-417689.7</v>
      </c>
      <c r="H37" s="280">
        <v>82910.3</v>
      </c>
      <c r="I37" s="282">
        <f t="shared" ref="I37:I105" si="5">D37-H37</f>
        <v>-600</v>
      </c>
      <c r="L37" s="286"/>
    </row>
    <row r="38" spans="1:13">
      <c r="A38" s="137" t="s">
        <v>66</v>
      </c>
      <c r="B38" s="138" t="s">
        <v>246</v>
      </c>
      <c r="C38" s="139">
        <v>5100000</v>
      </c>
      <c r="D38" s="380">
        <v>3513875.75</v>
      </c>
      <c r="E38" s="140" t="str">
        <f t="shared" si="3"/>
        <v/>
      </c>
      <c r="F38" s="175">
        <f t="shared" si="4"/>
        <v>-1586124.25</v>
      </c>
      <c r="H38" s="419">
        <v>3513395.75</v>
      </c>
      <c r="I38" s="282">
        <f>D38-H38</f>
        <v>480</v>
      </c>
      <c r="L38" s="286"/>
    </row>
    <row r="39" spans="1:13">
      <c r="A39" s="137" t="s">
        <v>67</v>
      </c>
      <c r="B39" s="138" t="s">
        <v>247</v>
      </c>
      <c r="C39" s="139">
        <v>100000</v>
      </c>
      <c r="D39" s="365">
        <v>17205</v>
      </c>
      <c r="E39" s="140" t="str">
        <f t="shared" si="3"/>
        <v/>
      </c>
      <c r="F39" s="175">
        <f t="shared" si="4"/>
        <v>-82795</v>
      </c>
      <c r="H39" s="280">
        <v>17205</v>
      </c>
      <c r="I39" s="282">
        <f t="shared" si="5"/>
        <v>0</v>
      </c>
      <c r="L39" s="286"/>
    </row>
    <row r="40" spans="1:13">
      <c r="A40" s="137" t="s">
        <v>68</v>
      </c>
      <c r="B40" s="138" t="s">
        <v>248</v>
      </c>
      <c r="C40" s="139">
        <v>3200000</v>
      </c>
      <c r="D40" s="365">
        <v>1142724.43</v>
      </c>
      <c r="E40" s="140" t="str">
        <f t="shared" si="3"/>
        <v/>
      </c>
      <c r="F40" s="175">
        <f t="shared" si="4"/>
        <v>-2057275.57</v>
      </c>
      <c r="H40" s="280">
        <v>1142724.43</v>
      </c>
      <c r="I40" s="282">
        <f t="shared" si="5"/>
        <v>0</v>
      </c>
      <c r="L40" s="286"/>
    </row>
    <row r="41" spans="1:13">
      <c r="A41" s="137" t="s">
        <v>69</v>
      </c>
      <c r="B41" s="138" t="s">
        <v>249</v>
      </c>
      <c r="C41" s="139">
        <v>1200000</v>
      </c>
      <c r="D41" s="365">
        <v>55630</v>
      </c>
      <c r="E41" s="140" t="str">
        <f t="shared" si="3"/>
        <v/>
      </c>
      <c r="F41" s="175">
        <f t="shared" si="4"/>
        <v>-1144370</v>
      </c>
      <c r="H41" s="280">
        <v>55630</v>
      </c>
      <c r="I41" s="282">
        <f t="shared" si="5"/>
        <v>0</v>
      </c>
      <c r="L41" s="286"/>
    </row>
    <row r="42" spans="1:13">
      <c r="A42" s="137" t="s">
        <v>56</v>
      </c>
      <c r="B42" s="138" t="s">
        <v>237</v>
      </c>
      <c r="C42" s="139">
        <v>11000000</v>
      </c>
      <c r="D42" s="365">
        <v>10700667.07</v>
      </c>
      <c r="E42" s="140" t="str">
        <f t="shared" si="3"/>
        <v/>
      </c>
      <c r="F42" s="175">
        <f t="shared" si="4"/>
        <v>-299332.9299999997</v>
      </c>
      <c r="H42" s="280">
        <v>10700667.07</v>
      </c>
      <c r="I42" s="282">
        <f t="shared" si="5"/>
        <v>0</v>
      </c>
      <c r="L42" s="425"/>
      <c r="M42" s="323"/>
    </row>
    <row r="43" spans="1:13">
      <c r="A43" s="137" t="s">
        <v>57</v>
      </c>
      <c r="B43" s="138" t="s">
        <v>238</v>
      </c>
      <c r="C43" s="139">
        <v>50000</v>
      </c>
      <c r="D43" s="365">
        <v>3453</v>
      </c>
      <c r="E43" s="140" t="str">
        <f t="shared" si="3"/>
        <v/>
      </c>
      <c r="F43" s="175">
        <f t="shared" si="4"/>
        <v>-46547</v>
      </c>
      <c r="H43" s="280">
        <v>3453</v>
      </c>
      <c r="I43" s="282">
        <f t="shared" si="5"/>
        <v>0</v>
      </c>
      <c r="L43" s="286"/>
    </row>
    <row r="44" spans="1:13">
      <c r="A44" s="137" t="s">
        <v>58</v>
      </c>
      <c r="B44" s="138" t="s">
        <v>239</v>
      </c>
      <c r="C44" s="139">
        <v>180000</v>
      </c>
      <c r="D44" s="365">
        <v>192750</v>
      </c>
      <c r="E44" s="353">
        <f t="shared" si="3"/>
        <v>12750</v>
      </c>
      <c r="F44" s="175" t="str">
        <f t="shared" si="4"/>
        <v/>
      </c>
      <c r="H44" s="280">
        <v>192750</v>
      </c>
      <c r="I44" s="282">
        <f t="shared" si="5"/>
        <v>0</v>
      </c>
      <c r="L44" s="286"/>
    </row>
    <row r="45" spans="1:13">
      <c r="A45" s="137" t="s">
        <v>54</v>
      </c>
      <c r="B45" s="138" t="s">
        <v>241</v>
      </c>
      <c r="C45" s="139"/>
      <c r="D45" s="365"/>
      <c r="E45" s="140" t="str">
        <f t="shared" si="3"/>
        <v/>
      </c>
      <c r="F45" s="175">
        <f t="shared" si="4"/>
        <v>0</v>
      </c>
      <c r="I45" s="282">
        <f t="shared" si="5"/>
        <v>0</v>
      </c>
      <c r="L45" s="286"/>
    </row>
    <row r="46" spans="1:13">
      <c r="A46" s="137" t="s">
        <v>55</v>
      </c>
      <c r="B46" s="138" t="s">
        <v>242</v>
      </c>
      <c r="C46" s="139">
        <v>100000</v>
      </c>
      <c r="D46" s="365">
        <v>49295</v>
      </c>
      <c r="E46" s="140" t="str">
        <f t="shared" si="3"/>
        <v/>
      </c>
      <c r="F46" s="175">
        <f t="shared" si="4"/>
        <v>-50705</v>
      </c>
      <c r="G46" s="420" t="s">
        <v>422</v>
      </c>
      <c r="H46" s="421"/>
      <c r="I46" s="422">
        <f t="shared" si="5"/>
        <v>49295</v>
      </c>
      <c r="L46" s="286"/>
    </row>
    <row r="47" spans="1:13">
      <c r="A47" s="137" t="s">
        <v>59</v>
      </c>
      <c r="B47" s="138" t="s">
        <v>243</v>
      </c>
      <c r="C47" s="139">
        <v>50000</v>
      </c>
      <c r="D47" s="365">
        <v>2950</v>
      </c>
      <c r="E47" s="140" t="str">
        <f t="shared" si="3"/>
        <v/>
      </c>
      <c r="F47" s="175">
        <f t="shared" si="4"/>
        <v>-47050</v>
      </c>
      <c r="H47" s="280">
        <v>2950</v>
      </c>
      <c r="I47" s="282">
        <f t="shared" si="5"/>
        <v>0</v>
      </c>
      <c r="L47" s="427"/>
    </row>
    <row r="48" spans="1:13">
      <c r="A48" s="137" t="s">
        <v>60</v>
      </c>
      <c r="B48" s="138" t="s">
        <v>244</v>
      </c>
      <c r="C48" s="139">
        <v>1000000</v>
      </c>
      <c r="D48" s="365">
        <v>525660</v>
      </c>
      <c r="E48" s="140" t="str">
        <f t="shared" si="3"/>
        <v/>
      </c>
      <c r="F48" s="175">
        <f t="shared" si="4"/>
        <v>-474340</v>
      </c>
      <c r="H48" s="280">
        <v>525660</v>
      </c>
      <c r="I48" s="282">
        <f t="shared" si="5"/>
        <v>0</v>
      </c>
      <c r="L48" s="428"/>
    </row>
    <row r="49" spans="1:12">
      <c r="A49" s="137" t="s">
        <v>276</v>
      </c>
      <c r="B49" s="138" t="s">
        <v>235</v>
      </c>
      <c r="C49" s="139"/>
      <c r="D49" s="365"/>
      <c r="E49" s="140" t="str">
        <f t="shared" si="3"/>
        <v/>
      </c>
      <c r="F49" s="175">
        <f t="shared" si="4"/>
        <v>0</v>
      </c>
      <c r="I49" s="282">
        <f t="shared" si="5"/>
        <v>0</v>
      </c>
      <c r="L49" s="286"/>
    </row>
    <row r="50" spans="1:12">
      <c r="A50" s="137" t="s">
        <v>277</v>
      </c>
      <c r="B50" s="138" t="s">
        <v>282</v>
      </c>
      <c r="C50" s="139">
        <v>1350000</v>
      </c>
      <c r="D50" s="365">
        <v>729140</v>
      </c>
      <c r="E50" s="140" t="str">
        <f t="shared" si="3"/>
        <v/>
      </c>
      <c r="F50" s="175">
        <f t="shared" si="4"/>
        <v>-620860</v>
      </c>
      <c r="H50" s="280">
        <v>729140</v>
      </c>
      <c r="I50" s="282">
        <f t="shared" si="5"/>
        <v>0</v>
      </c>
      <c r="L50" s="428"/>
    </row>
    <row r="51" spans="1:12">
      <c r="A51" s="137" t="s">
        <v>278</v>
      </c>
      <c r="B51" s="138" t="s">
        <v>283</v>
      </c>
      <c r="C51" s="139">
        <v>850000</v>
      </c>
      <c r="D51" s="365">
        <v>345600</v>
      </c>
      <c r="E51" s="140" t="str">
        <f t="shared" si="3"/>
        <v/>
      </c>
      <c r="F51" s="175">
        <f t="shared" si="4"/>
        <v>-504400</v>
      </c>
      <c r="H51" s="280">
        <v>353495.63</v>
      </c>
      <c r="I51" s="282">
        <f t="shared" si="5"/>
        <v>-7895.6300000000047</v>
      </c>
      <c r="J51" s="323"/>
      <c r="L51" s="286"/>
    </row>
    <row r="52" spans="1:12">
      <c r="A52" s="137" t="s">
        <v>279</v>
      </c>
      <c r="B52" s="138" t="s">
        <v>284</v>
      </c>
      <c r="C52" s="139">
        <v>5000</v>
      </c>
      <c r="D52" s="365">
        <v>500</v>
      </c>
      <c r="E52" s="140" t="str">
        <f t="shared" si="3"/>
        <v/>
      </c>
      <c r="F52" s="175">
        <f t="shared" si="4"/>
        <v>-4500</v>
      </c>
      <c r="H52" s="280">
        <v>500</v>
      </c>
      <c r="I52" s="282">
        <f t="shared" si="5"/>
        <v>0</v>
      </c>
      <c r="L52" s="286"/>
    </row>
    <row r="53" spans="1:12">
      <c r="A53" s="137" t="s">
        <v>280</v>
      </c>
      <c r="B53" s="138" t="s">
        <v>285</v>
      </c>
      <c r="C53" s="139">
        <v>70000</v>
      </c>
      <c r="D53" s="365">
        <v>34820</v>
      </c>
      <c r="E53" s="140" t="str">
        <f t="shared" si="3"/>
        <v/>
      </c>
      <c r="F53" s="175">
        <f t="shared" si="4"/>
        <v>-35180</v>
      </c>
      <c r="H53" s="280">
        <v>34820</v>
      </c>
      <c r="I53" s="282">
        <f t="shared" si="5"/>
        <v>0</v>
      </c>
      <c r="L53" s="286"/>
    </row>
    <row r="54" spans="1:12">
      <c r="A54" s="137" t="s">
        <v>71</v>
      </c>
      <c r="B54" s="138" t="s">
        <v>287</v>
      </c>
      <c r="C54" s="139">
        <v>500</v>
      </c>
      <c r="D54" s="365"/>
      <c r="E54" s="140" t="str">
        <f t="shared" si="3"/>
        <v/>
      </c>
      <c r="F54" s="175">
        <f t="shared" si="4"/>
        <v>-500</v>
      </c>
      <c r="I54" s="282">
        <f t="shared" si="5"/>
        <v>0</v>
      </c>
      <c r="L54" s="286"/>
    </row>
    <row r="55" spans="1:12">
      <c r="A55" s="137" t="s">
        <v>72</v>
      </c>
      <c r="B55" s="138" t="s">
        <v>288</v>
      </c>
      <c r="C55" s="139">
        <v>2500</v>
      </c>
      <c r="D55" s="365">
        <v>5200</v>
      </c>
      <c r="E55" s="353">
        <f t="shared" si="3"/>
        <v>2700</v>
      </c>
      <c r="F55" s="175" t="str">
        <f t="shared" si="4"/>
        <v/>
      </c>
      <c r="H55" s="280">
        <v>5200</v>
      </c>
      <c r="I55" s="282">
        <f t="shared" si="5"/>
        <v>0</v>
      </c>
      <c r="J55" s="323"/>
      <c r="L55" s="286"/>
    </row>
    <row r="56" spans="1:12">
      <c r="A56" s="137" t="s">
        <v>73</v>
      </c>
      <c r="B56" s="138" t="s">
        <v>289</v>
      </c>
      <c r="C56" s="139">
        <v>3000000</v>
      </c>
      <c r="D56" s="365">
        <v>871595.2</v>
      </c>
      <c r="E56" s="140" t="str">
        <f t="shared" si="3"/>
        <v/>
      </c>
      <c r="F56" s="175">
        <f t="shared" si="4"/>
        <v>-2128404.7999999998</v>
      </c>
      <c r="H56" s="280">
        <v>871595.2</v>
      </c>
      <c r="I56" s="282">
        <f t="shared" si="5"/>
        <v>0</v>
      </c>
      <c r="L56" s="286"/>
    </row>
    <row r="57" spans="1:12">
      <c r="A57" s="313" t="s">
        <v>402</v>
      </c>
      <c r="B57" s="138" t="s">
        <v>290</v>
      </c>
      <c r="C57" s="139">
        <v>60000</v>
      </c>
      <c r="D57" s="365">
        <v>26600</v>
      </c>
      <c r="E57" s="140" t="str">
        <f t="shared" si="3"/>
        <v/>
      </c>
      <c r="F57" s="175">
        <f t="shared" si="4"/>
        <v>-33400</v>
      </c>
      <c r="H57" s="280">
        <v>26600</v>
      </c>
      <c r="I57" s="282">
        <f t="shared" si="5"/>
        <v>0</v>
      </c>
      <c r="L57" s="286"/>
    </row>
    <row r="58" spans="1:12">
      <c r="A58" s="137" t="s">
        <v>74</v>
      </c>
      <c r="B58" s="138" t="s">
        <v>291</v>
      </c>
      <c r="C58" s="139">
        <v>5000</v>
      </c>
      <c r="D58" s="365">
        <v>2500</v>
      </c>
      <c r="E58" s="140" t="str">
        <f t="shared" si="3"/>
        <v/>
      </c>
      <c r="F58" s="175">
        <f t="shared" si="4"/>
        <v>-2500</v>
      </c>
      <c r="H58" s="280">
        <v>2500</v>
      </c>
      <c r="I58" s="282">
        <f t="shared" si="5"/>
        <v>0</v>
      </c>
      <c r="J58" s="323"/>
      <c r="L58" s="286"/>
    </row>
    <row r="59" spans="1:12">
      <c r="A59" s="137" t="s">
        <v>75</v>
      </c>
      <c r="B59" s="138" t="s">
        <v>292</v>
      </c>
      <c r="C59" s="139">
        <v>100000</v>
      </c>
      <c r="D59" s="365">
        <v>79350</v>
      </c>
      <c r="E59" s="140" t="str">
        <f t="shared" si="3"/>
        <v/>
      </c>
      <c r="F59" s="175">
        <f t="shared" si="4"/>
        <v>-20650</v>
      </c>
      <c r="H59" s="280">
        <v>79350</v>
      </c>
      <c r="I59" s="282">
        <f t="shared" si="5"/>
        <v>0</v>
      </c>
      <c r="J59" s="323"/>
      <c r="L59" s="286"/>
    </row>
    <row r="60" spans="1:12">
      <c r="A60" s="137" t="s">
        <v>76</v>
      </c>
      <c r="B60" s="138" t="s">
        <v>293</v>
      </c>
      <c r="C60" s="139">
        <v>100000</v>
      </c>
      <c r="D60" s="365">
        <v>40900</v>
      </c>
      <c r="E60" s="140" t="str">
        <f t="shared" si="3"/>
        <v/>
      </c>
      <c r="F60" s="175">
        <f t="shared" si="4"/>
        <v>-59100</v>
      </c>
      <c r="H60" s="280">
        <v>40900</v>
      </c>
      <c r="I60" s="282">
        <f t="shared" si="5"/>
        <v>0</v>
      </c>
      <c r="L60" s="286"/>
    </row>
    <row r="61" spans="1:12">
      <c r="A61" s="137" t="s">
        <v>77</v>
      </c>
      <c r="B61" s="138" t="s">
        <v>294</v>
      </c>
      <c r="C61" s="139">
        <v>180000</v>
      </c>
      <c r="D61" s="365">
        <v>81773.100000000006</v>
      </c>
      <c r="E61" s="140" t="str">
        <f t="shared" si="3"/>
        <v/>
      </c>
      <c r="F61" s="175">
        <f t="shared" si="4"/>
        <v>-98226.9</v>
      </c>
      <c r="H61" s="280">
        <v>81773.100000000006</v>
      </c>
      <c r="I61" s="282">
        <f t="shared" si="5"/>
        <v>0</v>
      </c>
      <c r="L61" s="286"/>
    </row>
    <row r="62" spans="1:12">
      <c r="A62" s="137" t="s">
        <v>78</v>
      </c>
      <c r="B62" s="138" t="s">
        <v>295</v>
      </c>
      <c r="C62" s="139">
        <v>500</v>
      </c>
      <c r="D62" s="365"/>
      <c r="E62" s="140" t="str">
        <f t="shared" si="3"/>
        <v/>
      </c>
      <c r="F62" s="175">
        <f t="shared" si="4"/>
        <v>-500</v>
      </c>
      <c r="I62" s="282">
        <f t="shared" si="5"/>
        <v>0</v>
      </c>
      <c r="L62" s="286"/>
    </row>
    <row r="63" spans="1:12">
      <c r="A63" s="137" t="s">
        <v>79</v>
      </c>
      <c r="B63" s="138" t="s">
        <v>296</v>
      </c>
      <c r="C63" s="139">
        <v>50000</v>
      </c>
      <c r="D63" s="365">
        <v>2700</v>
      </c>
      <c r="E63" s="140" t="str">
        <f t="shared" si="3"/>
        <v/>
      </c>
      <c r="F63" s="175">
        <f t="shared" si="4"/>
        <v>-47300</v>
      </c>
      <c r="H63" s="280">
        <v>2700</v>
      </c>
      <c r="I63" s="282">
        <f t="shared" si="5"/>
        <v>0</v>
      </c>
      <c r="L63" s="286"/>
    </row>
    <row r="64" spans="1:12">
      <c r="A64" s="137" t="s">
        <v>80</v>
      </c>
      <c r="B64" s="138" t="s">
        <v>297</v>
      </c>
      <c r="C64" s="139">
        <v>20000</v>
      </c>
      <c r="D64" s="365">
        <v>300</v>
      </c>
      <c r="E64" s="140" t="str">
        <f t="shared" si="3"/>
        <v/>
      </c>
      <c r="F64" s="175">
        <f t="shared" si="4"/>
        <v>-19700</v>
      </c>
      <c r="H64" s="280">
        <v>300</v>
      </c>
      <c r="I64" s="282">
        <f t="shared" si="5"/>
        <v>0</v>
      </c>
      <c r="L64" s="286"/>
    </row>
    <row r="65" spans="1:12">
      <c r="A65" s="313" t="s">
        <v>449</v>
      </c>
      <c r="B65" s="338" t="s">
        <v>450</v>
      </c>
      <c r="C65" s="139"/>
      <c r="D65" s="365">
        <v>170</v>
      </c>
      <c r="E65" s="353">
        <f t="shared" si="3"/>
        <v>170</v>
      </c>
      <c r="F65" s="175" t="str">
        <f t="shared" si="4"/>
        <v/>
      </c>
      <c r="H65" s="280">
        <v>170</v>
      </c>
      <c r="I65" s="282">
        <f t="shared" si="5"/>
        <v>0</v>
      </c>
      <c r="L65" s="286"/>
    </row>
    <row r="66" spans="1:12">
      <c r="A66" s="313" t="s">
        <v>432</v>
      </c>
      <c r="B66" s="138" t="s">
        <v>431</v>
      </c>
      <c r="C66" s="139"/>
      <c r="D66" s="365"/>
      <c r="E66" s="140"/>
      <c r="F66" s="175"/>
      <c r="I66" s="282"/>
      <c r="L66" s="286"/>
    </row>
    <row r="67" spans="1:12">
      <c r="A67" s="137" t="s">
        <v>172</v>
      </c>
      <c r="B67" s="338" t="s">
        <v>435</v>
      </c>
      <c r="C67" s="316">
        <v>13000000</v>
      </c>
      <c r="D67" s="365">
        <v>10756249.810000001</v>
      </c>
      <c r="E67" s="140" t="str">
        <f t="shared" ref="E67:E74" si="6">IF((D67-C67)&gt;0,D67-C67,"")</f>
        <v/>
      </c>
      <c r="F67" s="175">
        <f t="shared" ref="F67:F74" si="7">IF((D67-C67)&gt;0,"",D67-C67)</f>
        <v>-2243750.1899999995</v>
      </c>
      <c r="H67" s="280">
        <v>10756249.810000001</v>
      </c>
      <c r="I67" s="282">
        <f t="shared" ref="I67:I74" si="8">D67-H67</f>
        <v>0</v>
      </c>
      <c r="J67" s="323"/>
      <c r="L67" s="286"/>
    </row>
    <row r="68" spans="1:12">
      <c r="A68" s="137" t="s">
        <v>91</v>
      </c>
      <c r="B68" s="138" t="s">
        <v>436</v>
      </c>
      <c r="C68" s="316">
        <v>2500000</v>
      </c>
      <c r="D68" s="365">
        <v>1715605.16</v>
      </c>
      <c r="E68" s="140" t="str">
        <f t="shared" si="6"/>
        <v/>
      </c>
      <c r="F68" s="175">
        <f t="shared" si="7"/>
        <v>-784394.84000000008</v>
      </c>
      <c r="H68" s="280">
        <v>1715605.16</v>
      </c>
      <c r="I68" s="282">
        <f t="shared" si="8"/>
        <v>0</v>
      </c>
      <c r="L68" s="286"/>
    </row>
    <row r="69" spans="1:12">
      <c r="A69" s="137" t="s">
        <v>90</v>
      </c>
      <c r="B69" s="138" t="s">
        <v>437</v>
      </c>
      <c r="C69" s="316">
        <v>8000000</v>
      </c>
      <c r="D69" s="365">
        <v>6901570</v>
      </c>
      <c r="E69" s="140" t="str">
        <f t="shared" si="6"/>
        <v/>
      </c>
      <c r="F69" s="175">
        <f t="shared" si="7"/>
        <v>-1098430</v>
      </c>
      <c r="H69" s="280">
        <v>6901570</v>
      </c>
      <c r="I69" s="282">
        <f t="shared" si="8"/>
        <v>0</v>
      </c>
      <c r="L69" s="425"/>
    </row>
    <row r="70" spans="1:12">
      <c r="A70" s="137" t="s">
        <v>255</v>
      </c>
      <c r="B70" s="138" t="s">
        <v>438</v>
      </c>
      <c r="C70" s="316">
        <v>5500000</v>
      </c>
      <c r="D70" s="365">
        <v>3070107</v>
      </c>
      <c r="E70" s="140" t="str">
        <f t="shared" si="6"/>
        <v/>
      </c>
      <c r="F70" s="175">
        <f t="shared" si="7"/>
        <v>-2429893</v>
      </c>
      <c r="H70" s="280">
        <v>3070107</v>
      </c>
      <c r="I70" s="282">
        <f t="shared" si="8"/>
        <v>0</v>
      </c>
      <c r="L70" s="286"/>
    </row>
    <row r="71" spans="1:12">
      <c r="A71" s="137" t="s">
        <v>434</v>
      </c>
      <c r="B71" s="138" t="s">
        <v>439</v>
      </c>
      <c r="C71" s="139">
        <v>600000</v>
      </c>
      <c r="D71" s="365">
        <v>443717.84</v>
      </c>
      <c r="E71" s="140" t="str">
        <f t="shared" si="6"/>
        <v/>
      </c>
      <c r="F71" s="175">
        <f t="shared" si="7"/>
        <v>-156282.15999999997</v>
      </c>
      <c r="H71" s="280">
        <v>443717.84</v>
      </c>
      <c r="I71" s="282">
        <f t="shared" si="8"/>
        <v>0</v>
      </c>
      <c r="J71" s="323"/>
      <c r="L71" s="286"/>
    </row>
    <row r="72" spans="1:12">
      <c r="A72" s="137" t="s">
        <v>254</v>
      </c>
      <c r="B72" s="138" t="s">
        <v>440</v>
      </c>
      <c r="C72" s="316">
        <v>1600000</v>
      </c>
      <c r="D72" s="365">
        <v>713150</v>
      </c>
      <c r="E72" s="140" t="str">
        <f t="shared" si="6"/>
        <v/>
      </c>
      <c r="F72" s="175">
        <f t="shared" si="7"/>
        <v>-886850</v>
      </c>
      <c r="H72" s="280">
        <v>713150</v>
      </c>
      <c r="I72" s="282">
        <f t="shared" si="8"/>
        <v>0</v>
      </c>
      <c r="L72" s="286"/>
    </row>
    <row r="73" spans="1:12">
      <c r="A73" s="137" t="s">
        <v>263</v>
      </c>
      <c r="B73" s="138" t="s">
        <v>441</v>
      </c>
      <c r="C73" s="316">
        <v>5500000</v>
      </c>
      <c r="D73" s="365">
        <v>3074065.63</v>
      </c>
      <c r="E73" s="140" t="str">
        <f t="shared" si="6"/>
        <v/>
      </c>
      <c r="F73" s="175">
        <f t="shared" si="7"/>
        <v>-2425934.37</v>
      </c>
      <c r="H73" s="280">
        <v>3074065.63</v>
      </c>
      <c r="I73" s="282">
        <f t="shared" si="8"/>
        <v>0</v>
      </c>
      <c r="L73" s="286"/>
    </row>
    <row r="74" spans="1:12">
      <c r="A74" s="313" t="s">
        <v>433</v>
      </c>
      <c r="B74" s="147" t="s">
        <v>442</v>
      </c>
      <c r="C74" s="357">
        <v>1500000</v>
      </c>
      <c r="D74" s="316">
        <v>257090</v>
      </c>
      <c r="E74" s="140" t="str">
        <f t="shared" si="6"/>
        <v/>
      </c>
      <c r="F74" s="175">
        <f t="shared" si="7"/>
        <v>-1242910</v>
      </c>
      <c r="H74" s="280">
        <v>257090</v>
      </c>
      <c r="I74" s="282">
        <f t="shared" si="8"/>
        <v>0</v>
      </c>
      <c r="L74" s="286"/>
    </row>
    <row r="75" spans="1:12">
      <c r="A75" s="313" t="s">
        <v>299</v>
      </c>
      <c r="B75" s="138" t="s">
        <v>300</v>
      </c>
      <c r="C75" s="139"/>
      <c r="D75" s="365"/>
      <c r="E75" s="140" t="str">
        <f t="shared" si="3"/>
        <v/>
      </c>
      <c r="F75" s="175">
        <f t="shared" si="4"/>
        <v>0</v>
      </c>
      <c r="I75" s="282">
        <f t="shared" si="5"/>
        <v>0</v>
      </c>
      <c r="L75" s="286"/>
    </row>
    <row r="76" spans="1:12">
      <c r="A76" s="137" t="s">
        <v>81</v>
      </c>
      <c r="B76" s="138" t="s">
        <v>301</v>
      </c>
      <c r="C76" s="139">
        <v>730000</v>
      </c>
      <c r="D76" s="365">
        <v>696570</v>
      </c>
      <c r="E76" s="140" t="str">
        <f t="shared" si="3"/>
        <v/>
      </c>
      <c r="F76" s="175">
        <f t="shared" si="4"/>
        <v>-33430</v>
      </c>
      <c r="H76" s="280">
        <v>696570</v>
      </c>
      <c r="I76" s="282">
        <f t="shared" si="5"/>
        <v>0</v>
      </c>
      <c r="L76" s="286"/>
    </row>
    <row r="77" spans="1:12">
      <c r="A77" s="137" t="s">
        <v>82</v>
      </c>
      <c r="B77" s="138" t="s">
        <v>302</v>
      </c>
      <c r="C77" s="139">
        <v>6700000</v>
      </c>
      <c r="D77" s="365">
        <v>4332287.83</v>
      </c>
      <c r="E77" s="140" t="str">
        <f t="shared" si="3"/>
        <v/>
      </c>
      <c r="F77" s="175">
        <f t="shared" si="4"/>
        <v>-2367712.17</v>
      </c>
      <c r="H77" s="280">
        <v>4332287.83</v>
      </c>
      <c r="I77" s="282">
        <f t="shared" si="5"/>
        <v>0</v>
      </c>
      <c r="L77" s="286"/>
    </row>
    <row r="78" spans="1:12">
      <c r="A78" s="137" t="s">
        <v>83</v>
      </c>
      <c r="B78" s="138" t="s">
        <v>303</v>
      </c>
      <c r="C78" s="139">
        <v>2100000</v>
      </c>
      <c r="D78" s="365">
        <v>2024544</v>
      </c>
      <c r="E78" s="140" t="str">
        <f t="shared" si="3"/>
        <v/>
      </c>
      <c r="F78" s="175">
        <f t="shared" si="4"/>
        <v>-75456</v>
      </c>
      <c r="H78" s="280">
        <v>2024544</v>
      </c>
      <c r="I78" s="282">
        <f t="shared" si="5"/>
        <v>0</v>
      </c>
      <c r="L78" s="286"/>
    </row>
    <row r="79" spans="1:12">
      <c r="A79" s="313" t="s">
        <v>464</v>
      </c>
      <c r="B79" s="338" t="s">
        <v>462</v>
      </c>
      <c r="C79" s="316">
        <v>2000000</v>
      </c>
      <c r="D79" s="365">
        <v>1774151</v>
      </c>
      <c r="E79" s="140" t="str">
        <f>IF((D79-C79)&gt;0,D79-C79,"")</f>
        <v/>
      </c>
      <c r="F79" s="175">
        <f>IF((D79-C79)&gt;0,"",D79-C79)</f>
        <v>-225849</v>
      </c>
      <c r="H79" s="280">
        <v>1774151</v>
      </c>
      <c r="I79" s="282">
        <f>D79-H79</f>
        <v>0</v>
      </c>
      <c r="L79" s="286"/>
    </row>
    <row r="80" spans="1:12">
      <c r="A80" s="313" t="s">
        <v>443</v>
      </c>
      <c r="B80" s="138" t="s">
        <v>444</v>
      </c>
      <c r="C80" s="139"/>
      <c r="D80" s="365"/>
      <c r="E80" s="140"/>
      <c r="F80" s="175"/>
      <c r="I80" s="282"/>
      <c r="L80" s="286"/>
    </row>
    <row r="81" spans="1:12">
      <c r="A81" s="137" t="s">
        <v>281</v>
      </c>
      <c r="B81" s="138" t="s">
        <v>286</v>
      </c>
      <c r="C81" s="139">
        <v>555000</v>
      </c>
      <c r="D81" s="365">
        <v>304470</v>
      </c>
      <c r="E81" s="140" t="str">
        <f>IF((D81-C81)&gt;0,D81-C81,"")</f>
        <v/>
      </c>
      <c r="F81" s="175">
        <f>IF((D81-C81)&gt;0,"",D81-C81)</f>
        <v>-250530</v>
      </c>
      <c r="H81" s="280">
        <v>304470</v>
      </c>
      <c r="I81" s="282">
        <f>D81-H81</f>
        <v>0</v>
      </c>
      <c r="J81" s="323"/>
      <c r="L81" s="286"/>
    </row>
    <row r="82" spans="1:12">
      <c r="A82" s="313" t="s">
        <v>403</v>
      </c>
      <c r="B82" s="138" t="s">
        <v>212</v>
      </c>
      <c r="C82" s="139">
        <v>5500000</v>
      </c>
      <c r="D82" s="365">
        <v>5318280</v>
      </c>
      <c r="E82" s="140" t="str">
        <f t="shared" si="3"/>
        <v/>
      </c>
      <c r="F82" s="175">
        <f t="shared" si="4"/>
        <v>-181720</v>
      </c>
      <c r="H82" s="280">
        <v>5318280</v>
      </c>
      <c r="I82" s="282">
        <f t="shared" si="5"/>
        <v>0</v>
      </c>
      <c r="L82" s="286"/>
    </row>
    <row r="83" spans="1:12">
      <c r="A83" s="313" t="s">
        <v>408</v>
      </c>
      <c r="B83" s="338" t="s">
        <v>409</v>
      </c>
      <c r="C83" s="139"/>
      <c r="D83" s="365"/>
      <c r="E83" s="140" t="str">
        <f t="shared" si="3"/>
        <v/>
      </c>
      <c r="F83" s="175">
        <f t="shared" si="4"/>
        <v>0</v>
      </c>
      <c r="I83" s="282">
        <f t="shared" si="5"/>
        <v>0</v>
      </c>
      <c r="L83" s="286"/>
    </row>
    <row r="84" spans="1:12">
      <c r="A84" s="313" t="s">
        <v>404</v>
      </c>
      <c r="B84" s="138" t="s">
        <v>231</v>
      </c>
      <c r="C84" s="139">
        <v>200000</v>
      </c>
      <c r="D84" s="365">
        <v>18230</v>
      </c>
      <c r="E84" s="140" t="str">
        <f t="shared" si="3"/>
        <v/>
      </c>
      <c r="F84" s="175">
        <f t="shared" si="4"/>
        <v>-181770</v>
      </c>
      <c r="H84" s="280">
        <v>18230</v>
      </c>
      <c r="I84" s="282">
        <f t="shared" si="5"/>
        <v>0</v>
      </c>
      <c r="L84" s="286"/>
    </row>
    <row r="85" spans="1:12">
      <c r="A85" s="313" t="s">
        <v>405</v>
      </c>
      <c r="B85" s="138" t="s">
        <v>232</v>
      </c>
      <c r="C85" s="139">
        <v>70000</v>
      </c>
      <c r="D85" s="365">
        <v>9518</v>
      </c>
      <c r="E85" s="140" t="str">
        <f t="shared" si="3"/>
        <v/>
      </c>
      <c r="F85" s="175">
        <f t="shared" si="4"/>
        <v>-60482</v>
      </c>
      <c r="H85" s="280">
        <v>9518</v>
      </c>
      <c r="I85" s="282">
        <f t="shared" si="5"/>
        <v>0</v>
      </c>
      <c r="L85" s="286"/>
    </row>
    <row r="86" spans="1:12">
      <c r="A86" s="313" t="s">
        <v>406</v>
      </c>
      <c r="B86" s="138" t="s">
        <v>233</v>
      </c>
      <c r="C86" s="139">
        <v>30000</v>
      </c>
      <c r="D86" s="365">
        <v>3650</v>
      </c>
      <c r="E86" s="140" t="str">
        <f t="shared" si="3"/>
        <v/>
      </c>
      <c r="F86" s="175">
        <f t="shared" si="4"/>
        <v>-26350</v>
      </c>
      <c r="H86" s="280">
        <v>3650</v>
      </c>
      <c r="I86" s="282">
        <f t="shared" si="5"/>
        <v>0</v>
      </c>
      <c r="L86" s="286"/>
    </row>
    <row r="87" spans="1:12">
      <c r="A87" s="313" t="s">
        <v>407</v>
      </c>
      <c r="B87" s="138" t="s">
        <v>234</v>
      </c>
      <c r="C87" s="139">
        <v>550000</v>
      </c>
      <c r="D87" s="365">
        <v>628345.59999999998</v>
      </c>
      <c r="E87" s="353">
        <f t="shared" si="3"/>
        <v>78345.599999999977</v>
      </c>
      <c r="F87" s="175" t="str">
        <f t="shared" si="4"/>
        <v/>
      </c>
      <c r="H87" s="280">
        <v>628345.59999999998</v>
      </c>
      <c r="I87" s="282">
        <f t="shared" si="5"/>
        <v>0</v>
      </c>
      <c r="L87" s="286"/>
    </row>
    <row r="88" spans="1:12">
      <c r="A88" s="137" t="s">
        <v>85</v>
      </c>
      <c r="B88" s="138" t="s">
        <v>240</v>
      </c>
      <c r="C88" s="139"/>
      <c r="D88" s="365"/>
      <c r="E88" s="140" t="str">
        <f t="shared" si="3"/>
        <v/>
      </c>
      <c r="F88" s="175">
        <f t="shared" si="4"/>
        <v>0</v>
      </c>
      <c r="I88" s="282">
        <f t="shared" si="5"/>
        <v>0</v>
      </c>
      <c r="L88" s="286"/>
    </row>
    <row r="89" spans="1:12">
      <c r="A89" s="137" t="s">
        <v>250</v>
      </c>
      <c r="B89" s="138" t="s">
        <v>251</v>
      </c>
      <c r="C89" s="139">
        <v>600000</v>
      </c>
      <c r="D89" s="365">
        <v>179000</v>
      </c>
      <c r="E89" s="140" t="str">
        <f t="shared" si="3"/>
        <v/>
      </c>
      <c r="F89" s="175">
        <f t="shared" si="4"/>
        <v>-421000</v>
      </c>
      <c r="H89" s="280">
        <v>179000</v>
      </c>
      <c r="I89" s="282">
        <f t="shared" si="5"/>
        <v>0</v>
      </c>
      <c r="L89" s="286"/>
    </row>
    <row r="90" spans="1:12">
      <c r="A90" s="137" t="s">
        <v>253</v>
      </c>
      <c r="B90" s="138" t="s">
        <v>252</v>
      </c>
      <c r="C90" s="139">
        <v>150000</v>
      </c>
      <c r="D90" s="365">
        <v>373000</v>
      </c>
      <c r="E90" s="353">
        <f t="shared" si="3"/>
        <v>223000</v>
      </c>
      <c r="F90" s="175" t="str">
        <f t="shared" si="4"/>
        <v/>
      </c>
      <c r="H90" s="280">
        <v>373000</v>
      </c>
      <c r="I90" s="282">
        <f t="shared" si="5"/>
        <v>0</v>
      </c>
      <c r="L90" s="286"/>
    </row>
    <row r="91" spans="1:12">
      <c r="A91" s="137" t="s">
        <v>265</v>
      </c>
      <c r="B91" s="338" t="s">
        <v>266</v>
      </c>
      <c r="C91" s="316">
        <v>3500000</v>
      </c>
      <c r="D91" s="365">
        <v>1521170</v>
      </c>
      <c r="E91" s="140" t="str">
        <f t="shared" si="3"/>
        <v/>
      </c>
      <c r="F91" s="175">
        <f t="shared" si="4"/>
        <v>-1978830</v>
      </c>
      <c r="H91" s="280">
        <v>1521170</v>
      </c>
      <c r="I91" s="282">
        <f t="shared" si="5"/>
        <v>0</v>
      </c>
      <c r="L91" s="286"/>
    </row>
    <row r="92" spans="1:12">
      <c r="A92" s="137" t="s">
        <v>84</v>
      </c>
      <c r="B92" s="338" t="s">
        <v>268</v>
      </c>
      <c r="C92" s="316">
        <v>2700000</v>
      </c>
      <c r="D92" s="365">
        <v>2677080</v>
      </c>
      <c r="E92" s="140" t="str">
        <f t="shared" si="3"/>
        <v/>
      </c>
      <c r="F92" s="175">
        <f t="shared" si="4"/>
        <v>-22920</v>
      </c>
      <c r="H92" s="280">
        <v>2677080</v>
      </c>
      <c r="I92" s="282">
        <f t="shared" si="5"/>
        <v>0</v>
      </c>
      <c r="L92" s="286"/>
    </row>
    <row r="93" spans="1:12">
      <c r="A93" s="137" t="s">
        <v>267</v>
      </c>
      <c r="B93" s="338" t="s">
        <v>269</v>
      </c>
      <c r="C93" s="316">
        <v>2000000</v>
      </c>
      <c r="D93" s="365">
        <v>1746260</v>
      </c>
      <c r="E93" s="140" t="str">
        <f t="shared" si="3"/>
        <v/>
      </c>
      <c r="F93" s="175">
        <f t="shared" si="4"/>
        <v>-253740</v>
      </c>
      <c r="H93" s="280">
        <v>1746260</v>
      </c>
      <c r="I93" s="282">
        <f t="shared" si="5"/>
        <v>0</v>
      </c>
      <c r="L93" s="286"/>
    </row>
    <row r="94" spans="1:12">
      <c r="A94" s="137" t="s">
        <v>86</v>
      </c>
      <c r="B94" s="338" t="s">
        <v>272</v>
      </c>
      <c r="C94" s="316">
        <v>150000</v>
      </c>
      <c r="D94" s="365">
        <v>72900</v>
      </c>
      <c r="E94" s="140" t="str">
        <f t="shared" si="3"/>
        <v/>
      </c>
      <c r="F94" s="175">
        <f t="shared" si="4"/>
        <v>-77100</v>
      </c>
      <c r="H94" s="280">
        <v>72900</v>
      </c>
      <c r="I94" s="282">
        <f t="shared" si="5"/>
        <v>0</v>
      </c>
      <c r="L94" s="286"/>
    </row>
    <row r="95" spans="1:12">
      <c r="A95" s="137" t="s">
        <v>87</v>
      </c>
      <c r="B95" s="338" t="s">
        <v>273</v>
      </c>
      <c r="C95" s="316">
        <v>450000</v>
      </c>
      <c r="D95" s="365">
        <v>130600</v>
      </c>
      <c r="E95" s="140" t="str">
        <f t="shared" si="3"/>
        <v/>
      </c>
      <c r="F95" s="175">
        <f t="shared" si="4"/>
        <v>-319400</v>
      </c>
      <c r="H95" s="280">
        <v>130600</v>
      </c>
      <c r="I95" s="282">
        <f t="shared" si="5"/>
        <v>0</v>
      </c>
      <c r="L95" s="286"/>
    </row>
    <row r="96" spans="1:12">
      <c r="A96" s="137" t="s">
        <v>88</v>
      </c>
      <c r="B96" s="338" t="s">
        <v>274</v>
      </c>
      <c r="C96" s="316">
        <v>2000000</v>
      </c>
      <c r="D96" s="365">
        <v>1406150</v>
      </c>
      <c r="E96" s="140" t="str">
        <f t="shared" si="3"/>
        <v/>
      </c>
      <c r="F96" s="175">
        <f t="shared" si="4"/>
        <v>-593850</v>
      </c>
      <c r="H96" s="280">
        <v>1406150</v>
      </c>
      <c r="I96" s="282">
        <f t="shared" si="5"/>
        <v>0</v>
      </c>
      <c r="J96" s="323"/>
      <c r="L96" s="286"/>
    </row>
    <row r="97" spans="1:12">
      <c r="A97" s="137" t="s">
        <v>271</v>
      </c>
      <c r="B97" s="338" t="s">
        <v>275</v>
      </c>
      <c r="C97" s="316">
        <v>100000</v>
      </c>
      <c r="D97" s="365">
        <v>27500</v>
      </c>
      <c r="E97" s="140" t="str">
        <f t="shared" si="3"/>
        <v/>
      </c>
      <c r="F97" s="175">
        <f t="shared" si="4"/>
        <v>-72500</v>
      </c>
      <c r="H97" s="280">
        <v>27500</v>
      </c>
      <c r="I97" s="282">
        <f t="shared" si="5"/>
        <v>0</v>
      </c>
      <c r="L97" s="286"/>
    </row>
    <row r="98" spans="1:12">
      <c r="A98" s="137" t="s">
        <v>318</v>
      </c>
      <c r="B98" s="338" t="s">
        <v>319</v>
      </c>
      <c r="C98" s="316">
        <v>350000</v>
      </c>
      <c r="D98" s="365">
        <v>137640</v>
      </c>
      <c r="E98" s="140" t="str">
        <f t="shared" si="3"/>
        <v/>
      </c>
      <c r="F98" s="175">
        <f t="shared" si="4"/>
        <v>-212360</v>
      </c>
      <c r="H98" s="280">
        <v>136840</v>
      </c>
      <c r="I98" s="326">
        <f>D98-H98</f>
        <v>800</v>
      </c>
      <c r="L98" s="286"/>
    </row>
    <row r="99" spans="1:12">
      <c r="A99" s="137" t="s">
        <v>321</v>
      </c>
      <c r="B99" s="338" t="s">
        <v>320</v>
      </c>
      <c r="C99" s="316">
        <v>900000</v>
      </c>
      <c r="D99" s="365">
        <v>451206</v>
      </c>
      <c r="E99" s="140" t="str">
        <f t="shared" si="3"/>
        <v/>
      </c>
      <c r="F99" s="175">
        <f t="shared" si="4"/>
        <v>-448794</v>
      </c>
      <c r="H99" s="280">
        <v>451206</v>
      </c>
      <c r="I99" s="282">
        <f t="shared" si="5"/>
        <v>0</v>
      </c>
      <c r="L99" s="286"/>
    </row>
    <row r="100" spans="1:12">
      <c r="A100" s="137" t="s">
        <v>304</v>
      </c>
      <c r="B100" s="338" t="s">
        <v>307</v>
      </c>
      <c r="C100" s="316"/>
      <c r="D100" s="365"/>
      <c r="E100" s="140" t="str">
        <f t="shared" si="3"/>
        <v/>
      </c>
      <c r="F100" s="175">
        <f t="shared" si="4"/>
        <v>0</v>
      </c>
      <c r="I100" s="282">
        <f t="shared" si="5"/>
        <v>0</v>
      </c>
      <c r="L100" s="286"/>
    </row>
    <row r="101" spans="1:12">
      <c r="A101" s="313" t="s">
        <v>305</v>
      </c>
      <c r="B101" s="338" t="s">
        <v>308</v>
      </c>
      <c r="C101" s="316">
        <v>36000</v>
      </c>
      <c r="D101" s="365">
        <v>7000</v>
      </c>
      <c r="E101" s="140" t="str">
        <f t="shared" si="3"/>
        <v/>
      </c>
      <c r="F101" s="175">
        <f t="shared" si="4"/>
        <v>-29000</v>
      </c>
      <c r="H101" s="280">
        <v>7000</v>
      </c>
      <c r="I101" s="282">
        <f t="shared" si="5"/>
        <v>0</v>
      </c>
      <c r="L101" s="286"/>
    </row>
    <row r="102" spans="1:12">
      <c r="A102" s="313" t="s">
        <v>306</v>
      </c>
      <c r="B102" s="338" t="s">
        <v>309</v>
      </c>
      <c r="C102" s="316">
        <v>500000</v>
      </c>
      <c r="D102" s="365">
        <v>24652</v>
      </c>
      <c r="E102" s="140" t="str">
        <f t="shared" si="3"/>
        <v/>
      </c>
      <c r="F102" s="175">
        <f t="shared" si="4"/>
        <v>-475348</v>
      </c>
      <c r="H102" s="280">
        <v>24652</v>
      </c>
      <c r="I102" s="282">
        <f t="shared" si="5"/>
        <v>0</v>
      </c>
      <c r="L102" s="286"/>
    </row>
    <row r="103" spans="1:12">
      <c r="A103" s="313" t="s">
        <v>468</v>
      </c>
      <c r="B103" s="338" t="s">
        <v>469</v>
      </c>
      <c r="C103" s="316"/>
      <c r="D103" s="365">
        <v>2350</v>
      </c>
      <c r="E103" s="140"/>
      <c r="F103" s="175"/>
      <c r="I103" s="282">
        <f t="shared" si="5"/>
        <v>2350</v>
      </c>
      <c r="L103" s="286"/>
    </row>
    <row r="104" spans="1:12">
      <c r="A104" s="313" t="s">
        <v>2</v>
      </c>
      <c r="B104" s="338" t="s">
        <v>298</v>
      </c>
      <c r="C104" s="316">
        <v>9000000</v>
      </c>
      <c r="D104" s="365">
        <v>8698665</v>
      </c>
      <c r="E104" s="140" t="str">
        <f t="shared" si="3"/>
        <v/>
      </c>
      <c r="F104" s="175">
        <f t="shared" si="4"/>
        <v>-301335</v>
      </c>
      <c r="H104" s="280">
        <v>8698665</v>
      </c>
      <c r="I104" s="282">
        <f t="shared" si="5"/>
        <v>0</v>
      </c>
      <c r="L104" s="286"/>
    </row>
    <row r="105" spans="1:12">
      <c r="A105" s="313" t="s">
        <v>3</v>
      </c>
      <c r="B105" s="338" t="s">
        <v>310</v>
      </c>
      <c r="C105" s="316"/>
      <c r="D105" s="365"/>
      <c r="E105" s="140" t="str">
        <f t="shared" si="3"/>
        <v/>
      </c>
      <c r="F105" s="175">
        <f t="shared" si="4"/>
        <v>0</v>
      </c>
      <c r="I105" s="282">
        <f t="shared" si="5"/>
        <v>0</v>
      </c>
      <c r="L105" s="286"/>
    </row>
    <row r="106" spans="1:12">
      <c r="A106" s="313" t="s">
        <v>94</v>
      </c>
      <c r="B106" s="338" t="s">
        <v>311</v>
      </c>
      <c r="C106" s="316">
        <v>700000</v>
      </c>
      <c r="D106" s="380">
        <f>301300.86-5171.56</f>
        <v>296129.3</v>
      </c>
      <c r="E106" s="140" t="str">
        <f t="shared" ref="E106:E108" si="9">IF((D106-C106)&gt;0,D106-C106,"")</f>
        <v/>
      </c>
      <c r="F106" s="175">
        <f t="shared" ref="F106:F108" si="10">IF((D106-C106)&gt;0,"",D106-C106)</f>
        <v>-403870.7</v>
      </c>
      <c r="G106" s="323" t="s">
        <v>423</v>
      </c>
      <c r="H106" s="280">
        <v>283869.87</v>
      </c>
      <c r="I106" s="282">
        <f t="shared" ref="I106:I108" si="11">D106-H106</f>
        <v>12259.429999999993</v>
      </c>
      <c r="L106" s="286"/>
    </row>
    <row r="107" spans="1:12">
      <c r="A107" s="313" t="s">
        <v>95</v>
      </c>
      <c r="B107" s="338" t="s">
        <v>312</v>
      </c>
      <c r="C107" s="316"/>
      <c r="D107" s="365"/>
      <c r="E107" s="140" t="str">
        <f t="shared" si="9"/>
        <v/>
      </c>
      <c r="F107" s="175">
        <f t="shared" si="10"/>
        <v>0</v>
      </c>
      <c r="I107" s="282">
        <f t="shared" si="11"/>
        <v>0</v>
      </c>
      <c r="L107" s="286"/>
    </row>
    <row r="108" spans="1:12" ht="12.75" hidden="1" customHeight="1">
      <c r="A108" s="137"/>
      <c r="B108" s="138"/>
      <c r="C108" s="142"/>
      <c r="D108" s="365"/>
      <c r="E108" s="140" t="str">
        <f t="shared" si="9"/>
        <v/>
      </c>
      <c r="F108" s="175">
        <f t="shared" si="10"/>
        <v>0</v>
      </c>
      <c r="I108" s="282">
        <f t="shared" si="11"/>
        <v>0</v>
      </c>
      <c r="L108" s="286"/>
    </row>
    <row r="109" spans="1:12" ht="13.5" thickBot="1">
      <c r="A109" s="137"/>
      <c r="B109" s="147"/>
      <c r="C109" s="152">
        <f>SUM(C35:C108)</f>
        <v>108044500</v>
      </c>
      <c r="D109" s="383">
        <f>SUM(D35:D108)</f>
        <v>78300573.020000011</v>
      </c>
      <c r="E109" s="152">
        <f>SUM(E35:E108)</f>
        <v>316965.59999999998</v>
      </c>
      <c r="F109" s="194">
        <f>SUM(F35:F108)</f>
        <v>-30063242.580000002</v>
      </c>
      <c r="G109" s="153"/>
      <c r="H109" s="291">
        <f>SUM(H68:H108)</f>
        <v>49021244.93</v>
      </c>
      <c r="I109" s="291">
        <f>SUM(I36:I108)</f>
        <v>56688.799999999988</v>
      </c>
      <c r="L109" s="286"/>
    </row>
    <row r="110" spans="1:12" ht="12.75" hidden="1" customHeight="1">
      <c r="A110" s="146" t="s">
        <v>398</v>
      </c>
      <c r="B110" s="147"/>
      <c r="C110" s="153"/>
      <c r="D110" s="316"/>
      <c r="E110" s="140"/>
      <c r="F110" s="175"/>
      <c r="I110" s="282"/>
      <c r="L110" s="286"/>
    </row>
    <row r="111" spans="1:12" ht="13.5" thickTop="1">
      <c r="A111" s="313" t="s">
        <v>313</v>
      </c>
      <c r="B111" s="338" t="s">
        <v>314</v>
      </c>
      <c r="C111" s="139">
        <v>300000</v>
      </c>
      <c r="D111" s="365">
        <v>291652.84999999998</v>
      </c>
      <c r="E111" s="140" t="str">
        <f t="shared" ref="E111:E112" si="12">IF((D111-C111)&gt;0,D111-C111,"")</f>
        <v/>
      </c>
      <c r="F111" s="175">
        <f t="shared" ref="F111:F112" si="13">IF((D111-C111)&gt;0,"",D111-C111)</f>
        <v>-8347.1500000000233</v>
      </c>
      <c r="H111" s="280">
        <v>291652.84999999998</v>
      </c>
      <c r="I111" s="282">
        <f>D111-H111</f>
        <v>0</v>
      </c>
      <c r="L111" s="286"/>
    </row>
    <row r="112" spans="1:12">
      <c r="A112" s="137"/>
      <c r="B112" s="147"/>
      <c r="C112" s="153"/>
      <c r="D112" s="316"/>
      <c r="E112" s="140" t="str">
        <f t="shared" si="12"/>
        <v/>
      </c>
      <c r="F112" s="175">
        <f t="shared" si="13"/>
        <v>0</v>
      </c>
      <c r="I112" s="282">
        <f t="shared" ref="I112" si="14">D112-H112</f>
        <v>0</v>
      </c>
      <c r="J112" s="284"/>
      <c r="L112" s="286"/>
    </row>
    <row r="113" spans="1:12" ht="13.5" thickBot="1">
      <c r="A113" s="137"/>
      <c r="B113" s="147"/>
      <c r="C113" s="161">
        <f>SUM(C110:C112)</f>
        <v>300000</v>
      </c>
      <c r="D113" s="368">
        <f t="shared" ref="D113:F113" si="15">SUM(D110:D112)</f>
        <v>291652.84999999998</v>
      </c>
      <c r="E113" s="161">
        <f t="shared" si="15"/>
        <v>0</v>
      </c>
      <c r="F113" s="194">
        <f t="shared" si="15"/>
        <v>-8347.1500000000233</v>
      </c>
      <c r="H113" s="292">
        <f>SUM(H112:H112)</f>
        <v>0</v>
      </c>
      <c r="I113" s="291">
        <f>SUM(I112:I112)</f>
        <v>0</v>
      </c>
      <c r="L113" s="286"/>
    </row>
    <row r="114" spans="1:12" ht="13.5" thickTop="1">
      <c r="A114" s="146" t="s">
        <v>399</v>
      </c>
      <c r="B114" s="147"/>
      <c r="C114" s="153"/>
      <c r="D114" s="316"/>
      <c r="E114" s="153"/>
      <c r="F114" s="169"/>
      <c r="I114" s="282"/>
      <c r="L114" s="286"/>
    </row>
    <row r="115" spans="1:12">
      <c r="A115" s="313" t="s">
        <v>4</v>
      </c>
      <c r="B115" s="315" t="s">
        <v>315</v>
      </c>
      <c r="C115" s="153">
        <v>900000</v>
      </c>
      <c r="D115" s="373">
        <v>70756.460000000006</v>
      </c>
      <c r="E115" s="153" t="str">
        <f t="shared" ref="E115:E124" si="16">IF((D115-C115)&gt;0,D115-C115,"")</f>
        <v/>
      </c>
      <c r="F115" s="169">
        <f t="shared" ref="F115:F124" si="17">IF((D115-C115)&gt;0,"",D115-C115)</f>
        <v>-829243.54</v>
      </c>
      <c r="H115" s="280">
        <v>81818.77</v>
      </c>
      <c r="I115" s="283">
        <f t="shared" ref="I115:I124" si="18">D115-H115</f>
        <v>-11062.309999999998</v>
      </c>
      <c r="L115" s="425"/>
    </row>
    <row r="116" spans="1:12">
      <c r="A116" s="313" t="s">
        <v>5</v>
      </c>
      <c r="B116" s="315" t="s">
        <v>317</v>
      </c>
      <c r="C116" s="357">
        <v>20000</v>
      </c>
      <c r="D116" s="316">
        <v>13450</v>
      </c>
      <c r="E116" s="153" t="str">
        <f t="shared" si="16"/>
        <v/>
      </c>
      <c r="F116" s="169">
        <f t="shared" si="17"/>
        <v>-6550</v>
      </c>
      <c r="H116" s="280">
        <v>13450</v>
      </c>
      <c r="I116" s="282">
        <f t="shared" si="18"/>
        <v>0</v>
      </c>
      <c r="L116" s="286"/>
    </row>
    <row r="117" spans="1:12">
      <c r="A117" s="313" t="s">
        <v>96</v>
      </c>
      <c r="B117" s="315"/>
      <c r="C117" s="357"/>
      <c r="D117" s="316"/>
      <c r="E117" s="153" t="str">
        <f t="shared" si="16"/>
        <v/>
      </c>
      <c r="F117" s="169">
        <f t="shared" si="17"/>
        <v>0</v>
      </c>
      <c r="I117" s="282">
        <f t="shared" si="18"/>
        <v>0</v>
      </c>
      <c r="L117" s="286"/>
    </row>
    <row r="118" spans="1:12">
      <c r="A118" s="137" t="s">
        <v>97</v>
      </c>
      <c r="B118" s="315" t="s">
        <v>322</v>
      </c>
      <c r="C118" s="357">
        <v>400000</v>
      </c>
      <c r="D118" s="316">
        <v>212975</v>
      </c>
      <c r="E118" s="153" t="str">
        <f t="shared" si="16"/>
        <v/>
      </c>
      <c r="F118" s="169">
        <f t="shared" si="17"/>
        <v>-187025</v>
      </c>
      <c r="H118" s="280">
        <v>212975</v>
      </c>
      <c r="I118" s="282">
        <f t="shared" si="18"/>
        <v>0</v>
      </c>
      <c r="L118" s="286"/>
    </row>
    <row r="119" spans="1:12">
      <c r="A119" s="137" t="s">
        <v>98</v>
      </c>
      <c r="B119" s="315" t="s">
        <v>323</v>
      </c>
      <c r="C119" s="357">
        <v>150000</v>
      </c>
      <c r="D119" s="316">
        <v>78250</v>
      </c>
      <c r="E119" s="140" t="str">
        <f t="shared" si="16"/>
        <v/>
      </c>
      <c r="F119" s="175">
        <f t="shared" si="17"/>
        <v>-71750</v>
      </c>
      <c r="H119" s="280">
        <v>78250</v>
      </c>
      <c r="I119" s="282">
        <f t="shared" si="18"/>
        <v>0</v>
      </c>
      <c r="L119" s="286"/>
    </row>
    <row r="120" spans="1:12">
      <c r="A120" s="137" t="s">
        <v>6</v>
      </c>
      <c r="B120" s="315" t="s">
        <v>324</v>
      </c>
      <c r="C120" s="357">
        <v>300000</v>
      </c>
      <c r="D120" s="316">
        <v>12570</v>
      </c>
      <c r="E120" s="140" t="str">
        <f t="shared" si="16"/>
        <v/>
      </c>
      <c r="F120" s="175">
        <f t="shared" si="17"/>
        <v>-287430</v>
      </c>
      <c r="H120" s="280">
        <v>12570</v>
      </c>
      <c r="I120" s="282">
        <f t="shared" si="18"/>
        <v>0</v>
      </c>
      <c r="L120" s="425"/>
    </row>
    <row r="121" spans="1:12">
      <c r="A121" s="313" t="s">
        <v>36</v>
      </c>
      <c r="B121" s="315" t="s">
        <v>325</v>
      </c>
      <c r="C121" s="357">
        <v>10000</v>
      </c>
      <c r="D121" s="316"/>
      <c r="E121" s="140" t="str">
        <f t="shared" si="16"/>
        <v/>
      </c>
      <c r="F121" s="175">
        <f t="shared" si="17"/>
        <v>-10000</v>
      </c>
      <c r="I121" s="282">
        <f t="shared" si="18"/>
        <v>0</v>
      </c>
      <c r="L121" s="286"/>
    </row>
    <row r="122" spans="1:12">
      <c r="A122" s="137" t="s">
        <v>99</v>
      </c>
      <c r="B122" s="315" t="s">
        <v>326</v>
      </c>
      <c r="C122" s="357">
        <v>800000</v>
      </c>
      <c r="D122" s="373">
        <v>503307.58</v>
      </c>
      <c r="E122" s="140" t="str">
        <f t="shared" si="16"/>
        <v/>
      </c>
      <c r="F122" s="175">
        <f t="shared" si="17"/>
        <v>-296692.42</v>
      </c>
      <c r="H122" s="415">
        <v>111087.95</v>
      </c>
      <c r="I122" s="283">
        <f t="shared" si="18"/>
        <v>392219.63</v>
      </c>
      <c r="J122" s="294"/>
      <c r="K122" s="424"/>
      <c r="L122" s="286"/>
    </row>
    <row r="123" spans="1:12">
      <c r="A123" s="137" t="s">
        <v>101</v>
      </c>
      <c r="B123" s="315" t="s">
        <v>328</v>
      </c>
      <c r="C123" s="357">
        <v>60000</v>
      </c>
      <c r="D123" s="373">
        <f>847185.76-4610.1</f>
        <v>842575.66</v>
      </c>
      <c r="E123" s="353">
        <f t="shared" si="16"/>
        <v>782575.66</v>
      </c>
      <c r="F123" s="175" t="str">
        <f t="shared" si="17"/>
        <v/>
      </c>
      <c r="I123" s="282">
        <f t="shared" si="18"/>
        <v>842575.66</v>
      </c>
      <c r="J123" s="323" t="s">
        <v>421</v>
      </c>
      <c r="L123" s="286"/>
    </row>
    <row r="124" spans="1:12">
      <c r="A124" s="137"/>
      <c r="B124" s="315"/>
      <c r="C124" s="357"/>
      <c r="D124" s="316"/>
      <c r="E124" s="140" t="str">
        <f t="shared" si="16"/>
        <v/>
      </c>
      <c r="F124" s="175">
        <f t="shared" si="17"/>
        <v>0</v>
      </c>
      <c r="I124" s="282">
        <f t="shared" si="18"/>
        <v>0</v>
      </c>
      <c r="L124" s="286"/>
    </row>
    <row r="125" spans="1:12" ht="13.5" thickBot="1">
      <c r="A125" s="146"/>
      <c r="B125" s="138"/>
      <c r="C125" s="163">
        <f>SUM(C115:C124)</f>
        <v>2640000</v>
      </c>
      <c r="D125" s="384">
        <f>SUM(D115:D124)</f>
        <v>1733884.7000000002</v>
      </c>
      <c r="E125" s="163">
        <f>SUM(E115:E124)</f>
        <v>782575.66</v>
      </c>
      <c r="F125" s="164">
        <f>SUM(F115:F124)</f>
        <v>-1688690.96</v>
      </c>
      <c r="I125" s="406">
        <f>SUM(I114:I124)</f>
        <v>1223732.98</v>
      </c>
      <c r="L125" s="286"/>
    </row>
    <row r="126" spans="1:12" ht="13.5" thickBot="1">
      <c r="A126" s="165" t="s">
        <v>124</v>
      </c>
      <c r="B126" s="166"/>
      <c r="C126" s="167">
        <f>SUM(C125+C113+C109+C34)</f>
        <v>980161577</v>
      </c>
      <c r="D126" s="385">
        <f>SUM(D125+D113+D109+D34)</f>
        <v>524598676.80000001</v>
      </c>
      <c r="E126" s="157">
        <f>SUM(E125+E113+E109+E34)</f>
        <v>1099541.26</v>
      </c>
      <c r="F126" s="210">
        <f>SUM(F125+F113+F109+F34)</f>
        <v>-456664791.45999998</v>
      </c>
      <c r="I126" s="282"/>
    </row>
    <row r="127" spans="1:12">
      <c r="A127" s="158"/>
      <c r="B127" s="348"/>
      <c r="C127" s="358"/>
      <c r="D127" s="358"/>
      <c r="E127" s="310"/>
      <c r="F127" s="184"/>
      <c r="I127" s="282"/>
    </row>
    <row r="128" spans="1:12">
      <c r="A128" s="171" t="s">
        <v>102</v>
      </c>
      <c r="B128" s="138"/>
      <c r="C128" s="160">
        <f>+C126</f>
        <v>980161577</v>
      </c>
      <c r="D128" s="316">
        <f>+D126</f>
        <v>524598676.80000001</v>
      </c>
      <c r="E128" s="139">
        <f>+E126</f>
        <v>1099541.26</v>
      </c>
      <c r="F128" s="169">
        <f>+F126</f>
        <v>-456664791.45999998</v>
      </c>
      <c r="I128" s="282"/>
    </row>
    <row r="129" spans="1:9">
      <c r="A129" s="137"/>
      <c r="B129" s="147"/>
      <c r="C129" s="153"/>
      <c r="D129" s="316"/>
      <c r="E129" s="139"/>
      <c r="F129" s="169"/>
      <c r="I129" s="282"/>
    </row>
    <row r="130" spans="1:9">
      <c r="A130" s="146" t="s">
        <v>103</v>
      </c>
      <c r="B130" s="147"/>
      <c r="C130" s="153"/>
      <c r="D130" s="316"/>
      <c r="E130" s="140"/>
      <c r="F130" s="151"/>
      <c r="I130" s="282"/>
    </row>
    <row r="131" spans="1:9">
      <c r="A131" s="137" t="s">
        <v>17</v>
      </c>
      <c r="B131" s="147"/>
      <c r="C131" s="153"/>
      <c r="D131" s="356"/>
      <c r="E131" s="140"/>
      <c r="F131" s="151"/>
      <c r="I131" s="282"/>
    </row>
    <row r="132" spans="1:9">
      <c r="A132" s="146" t="s">
        <v>104</v>
      </c>
      <c r="B132" s="315" t="s">
        <v>330</v>
      </c>
      <c r="C132" s="359">
        <v>15000000</v>
      </c>
      <c r="D132" s="386">
        <v>1400000</v>
      </c>
      <c r="E132" s="172">
        <v>0</v>
      </c>
      <c r="F132" s="177">
        <f>IF((D132-C132)&gt;0,"",D132-C132)</f>
        <v>-13600000</v>
      </c>
      <c r="H132" s="280">
        <v>1589877.21</v>
      </c>
      <c r="I132" s="282">
        <f>+D132-H132</f>
        <v>-189877.20999999996</v>
      </c>
    </row>
    <row r="133" spans="1:9">
      <c r="A133" s="137"/>
      <c r="B133" s="147"/>
      <c r="C133" s="357"/>
      <c r="D133" s="316"/>
      <c r="E133" s="140"/>
      <c r="F133" s="175"/>
      <c r="I133" s="282"/>
    </row>
    <row r="134" spans="1:9">
      <c r="A134" s="146" t="s">
        <v>331</v>
      </c>
      <c r="B134" s="315" t="s">
        <v>332</v>
      </c>
      <c r="C134" s="316"/>
      <c r="D134" s="365"/>
      <c r="E134" s="140" t="str">
        <f t="shared" ref="E134:E150" si="19">IF((D134-C134)&gt;0,D134-C134,"")</f>
        <v/>
      </c>
      <c r="F134" s="175">
        <f t="shared" ref="F134:F150" si="20">IF((D134-C134)&gt;0,"",D134-C134)</f>
        <v>0</v>
      </c>
      <c r="H134" s="280" t="s">
        <v>192</v>
      </c>
      <c r="I134" s="282"/>
    </row>
    <row r="135" spans="1:9">
      <c r="A135" s="313" t="s">
        <v>333</v>
      </c>
      <c r="B135" s="315" t="s">
        <v>334</v>
      </c>
      <c r="C135" s="316">
        <v>5000000</v>
      </c>
      <c r="D135" s="357">
        <v>2803554.22</v>
      </c>
      <c r="E135" s="139" t="str">
        <f>IF((D135-C135)&gt;0,D135-C135,"")</f>
        <v/>
      </c>
      <c r="F135" s="175">
        <f t="shared" si="20"/>
        <v>-2196445.7799999998</v>
      </c>
      <c r="H135" s="280">
        <v>427987.48</v>
      </c>
      <c r="I135" s="282">
        <f>+D135-H135</f>
        <v>2375566.7400000002</v>
      </c>
    </row>
    <row r="136" spans="1:9">
      <c r="A136" s="137" t="s">
        <v>8</v>
      </c>
      <c r="B136" s="315" t="s">
        <v>335</v>
      </c>
      <c r="C136" s="316">
        <v>25350000</v>
      </c>
      <c r="D136" s="360">
        <v>11651802.24</v>
      </c>
      <c r="E136" s="139" t="str">
        <f>IF((D136-C136)&gt;0,D136-C136,"")</f>
        <v/>
      </c>
      <c r="F136" s="175">
        <f t="shared" si="20"/>
        <v>-13698197.76</v>
      </c>
      <c r="H136" s="280">
        <v>3424818.37</v>
      </c>
      <c r="I136" s="282">
        <f t="shared" ref="I136:I150" si="21">+D136-H136</f>
        <v>8226983.8700000001</v>
      </c>
    </row>
    <row r="137" spans="1:9">
      <c r="A137" s="171" t="s">
        <v>9</v>
      </c>
      <c r="B137" s="315" t="s">
        <v>336</v>
      </c>
      <c r="C137" s="357">
        <v>8000000</v>
      </c>
      <c r="D137" s="360">
        <v>3860931.62</v>
      </c>
      <c r="E137" s="139" t="str">
        <f t="shared" si="19"/>
        <v/>
      </c>
      <c r="F137" s="175">
        <f t="shared" si="20"/>
        <v>-4139068.38</v>
      </c>
      <c r="H137" s="280">
        <v>692943</v>
      </c>
      <c r="I137" s="282">
        <f t="shared" si="21"/>
        <v>3167988.62</v>
      </c>
    </row>
    <row r="138" spans="1:9">
      <c r="A138" s="313" t="s">
        <v>344</v>
      </c>
      <c r="B138" s="315" t="s">
        <v>345</v>
      </c>
      <c r="C138" s="360">
        <v>1980000</v>
      </c>
      <c r="D138" s="360"/>
      <c r="E138" s="139" t="str">
        <f t="shared" si="19"/>
        <v/>
      </c>
      <c r="F138" s="175">
        <f t="shared" si="20"/>
        <v>-1980000</v>
      </c>
      <c r="H138" s="280">
        <v>0</v>
      </c>
      <c r="I138" s="282">
        <f t="shared" si="21"/>
        <v>0</v>
      </c>
    </row>
    <row r="139" spans="1:9">
      <c r="A139" s="171" t="s">
        <v>4</v>
      </c>
      <c r="B139" s="315" t="s">
        <v>337</v>
      </c>
      <c r="C139" s="360">
        <v>600000</v>
      </c>
      <c r="D139" s="387">
        <v>364386.35</v>
      </c>
      <c r="E139" s="139" t="str">
        <f t="shared" si="19"/>
        <v/>
      </c>
      <c r="F139" s="175">
        <f t="shared" si="20"/>
        <v>-235613.65000000002</v>
      </c>
      <c r="H139" s="280">
        <f>21060+184800</f>
        <v>205860</v>
      </c>
      <c r="I139" s="282">
        <f t="shared" si="21"/>
        <v>158526.34999999998</v>
      </c>
    </row>
    <row r="140" spans="1:9">
      <c r="A140" s="313" t="s">
        <v>338</v>
      </c>
      <c r="B140" s="315" t="s">
        <v>339</v>
      </c>
      <c r="C140" s="360">
        <v>1400000</v>
      </c>
      <c r="D140" s="387">
        <v>589092</v>
      </c>
      <c r="E140" s="139" t="str">
        <f t="shared" si="19"/>
        <v/>
      </c>
      <c r="F140" s="175">
        <f t="shared" si="20"/>
        <v>-810908</v>
      </c>
      <c r="H140" s="280">
        <v>64008</v>
      </c>
      <c r="I140" s="282">
        <f t="shared" si="21"/>
        <v>525084</v>
      </c>
    </row>
    <row r="141" spans="1:9">
      <c r="A141" s="137" t="s">
        <v>106</v>
      </c>
      <c r="B141" s="315" t="s">
        <v>340</v>
      </c>
      <c r="C141" s="360">
        <v>400000</v>
      </c>
      <c r="D141" s="387">
        <v>297026.25</v>
      </c>
      <c r="E141" s="139" t="str">
        <f t="shared" si="19"/>
        <v/>
      </c>
      <c r="F141" s="175">
        <f t="shared" si="20"/>
        <v>-102973.75</v>
      </c>
      <c r="H141" s="280">
        <v>90887.28</v>
      </c>
      <c r="I141" s="282">
        <f t="shared" si="21"/>
        <v>206138.97</v>
      </c>
    </row>
    <row r="142" spans="1:9">
      <c r="A142" s="137" t="s">
        <v>10</v>
      </c>
      <c r="B142" s="315" t="s">
        <v>341</v>
      </c>
      <c r="C142" s="316">
        <v>1000000</v>
      </c>
      <c r="D142" s="388">
        <v>785900</v>
      </c>
      <c r="E142" s="139" t="str">
        <f t="shared" si="19"/>
        <v/>
      </c>
      <c r="F142" s="175">
        <f t="shared" si="20"/>
        <v>-214100</v>
      </c>
      <c r="H142" s="280">
        <v>485000</v>
      </c>
      <c r="I142" s="282">
        <f t="shared" si="21"/>
        <v>300900</v>
      </c>
    </row>
    <row r="143" spans="1:9">
      <c r="A143" s="137" t="s">
        <v>28</v>
      </c>
      <c r="B143" s="315" t="s">
        <v>342</v>
      </c>
      <c r="C143" s="316">
        <v>160000</v>
      </c>
      <c r="D143" s="357">
        <v>178500</v>
      </c>
      <c r="E143" s="139">
        <f t="shared" si="19"/>
        <v>18500</v>
      </c>
      <c r="F143" s="175" t="str">
        <f t="shared" si="20"/>
        <v/>
      </c>
      <c r="I143" s="282">
        <f t="shared" si="21"/>
        <v>178500</v>
      </c>
    </row>
    <row r="144" spans="1:9">
      <c r="A144" s="137" t="s">
        <v>30</v>
      </c>
      <c r="B144" s="315" t="s">
        <v>343</v>
      </c>
      <c r="C144" s="316">
        <v>170000</v>
      </c>
      <c r="D144" s="388">
        <v>54000</v>
      </c>
      <c r="E144" s="139" t="str">
        <f t="shared" si="19"/>
        <v/>
      </c>
      <c r="F144" s="175">
        <f t="shared" si="20"/>
        <v>-116000</v>
      </c>
      <c r="H144" s="280">
        <v>13500</v>
      </c>
      <c r="I144" s="282">
        <f t="shared" si="21"/>
        <v>40500</v>
      </c>
    </row>
    <row r="145" spans="1:9">
      <c r="A145" s="313" t="s">
        <v>432</v>
      </c>
      <c r="B145" s="338"/>
      <c r="C145" s="316"/>
      <c r="D145" s="388"/>
      <c r="E145" s="139" t="str">
        <f t="shared" si="19"/>
        <v/>
      </c>
      <c r="F145" s="175">
        <f t="shared" si="20"/>
        <v>0</v>
      </c>
      <c r="I145" s="282"/>
    </row>
    <row r="146" spans="1:9">
      <c r="A146" s="137" t="s">
        <v>89</v>
      </c>
      <c r="B146" s="338" t="s">
        <v>439</v>
      </c>
      <c r="C146" s="316">
        <v>430000</v>
      </c>
      <c r="D146" s="221">
        <v>55255</v>
      </c>
      <c r="E146" s="139" t="str">
        <f t="shared" si="19"/>
        <v/>
      </c>
      <c r="F146" s="175">
        <f t="shared" si="20"/>
        <v>-374745</v>
      </c>
      <c r="H146" s="280">
        <v>136136.47</v>
      </c>
      <c r="I146" s="282">
        <f t="shared" si="21"/>
        <v>-80881.47</v>
      </c>
    </row>
    <row r="147" spans="1:9">
      <c r="A147" s="137" t="s">
        <v>172</v>
      </c>
      <c r="B147" s="338" t="s">
        <v>435</v>
      </c>
      <c r="C147" s="316">
        <v>1000000</v>
      </c>
      <c r="D147" s="436">
        <v>554431.29</v>
      </c>
      <c r="E147" s="139" t="str">
        <f t="shared" si="19"/>
        <v/>
      </c>
      <c r="F147" s="175">
        <f t="shared" si="20"/>
        <v>-445568.70999999996</v>
      </c>
      <c r="H147" s="280">
        <v>14000</v>
      </c>
      <c r="I147" s="282">
        <f t="shared" si="21"/>
        <v>540431.29</v>
      </c>
    </row>
    <row r="148" spans="1:9">
      <c r="A148" s="137" t="s">
        <v>91</v>
      </c>
      <c r="B148" s="338" t="s">
        <v>436</v>
      </c>
      <c r="C148" s="316">
        <v>250000</v>
      </c>
      <c r="D148" s="221">
        <v>118930</v>
      </c>
      <c r="E148" s="139" t="str">
        <f t="shared" si="19"/>
        <v/>
      </c>
      <c r="F148" s="175">
        <f t="shared" si="20"/>
        <v>-131070</v>
      </c>
      <c r="H148" s="280">
        <v>35000</v>
      </c>
      <c r="I148" s="282">
        <f t="shared" si="21"/>
        <v>83930</v>
      </c>
    </row>
    <row r="149" spans="1:9">
      <c r="A149" s="137" t="s">
        <v>255</v>
      </c>
      <c r="B149" s="338" t="s">
        <v>438</v>
      </c>
      <c r="C149" s="316">
        <v>250000</v>
      </c>
      <c r="D149" s="221">
        <v>136580</v>
      </c>
      <c r="E149" s="139" t="str">
        <f t="shared" si="19"/>
        <v/>
      </c>
      <c r="F149" s="175">
        <f t="shared" si="20"/>
        <v>-113420</v>
      </c>
      <c r="H149" s="280">
        <v>35700</v>
      </c>
      <c r="I149" s="282">
        <f t="shared" si="21"/>
        <v>100880</v>
      </c>
    </row>
    <row r="150" spans="1:9">
      <c r="A150" s="137" t="s">
        <v>263</v>
      </c>
      <c r="B150" s="315" t="s">
        <v>441</v>
      </c>
      <c r="C150" s="316">
        <v>610000</v>
      </c>
      <c r="D150" s="221">
        <v>134940</v>
      </c>
      <c r="E150" s="142" t="str">
        <f t="shared" si="19"/>
        <v/>
      </c>
      <c r="F150" s="175">
        <f t="shared" si="20"/>
        <v>-475060</v>
      </c>
      <c r="H150" s="280">
        <v>35700</v>
      </c>
      <c r="I150" s="282">
        <f t="shared" si="21"/>
        <v>99240</v>
      </c>
    </row>
    <row r="151" spans="1:9" ht="13.5" thickBot="1">
      <c r="A151" s="137"/>
      <c r="B151" s="147"/>
      <c r="C151" s="172">
        <f>SUM(C135:C150)</f>
        <v>46600000</v>
      </c>
      <c r="D151" s="359">
        <f>SUM(D135:D150)</f>
        <v>21585328.970000003</v>
      </c>
      <c r="E151" s="172">
        <f>SUM(E135:E150)</f>
        <v>18500</v>
      </c>
      <c r="F151" s="174">
        <f>SUM(F135:F150)</f>
        <v>-25033171.029999997</v>
      </c>
      <c r="H151" s="292">
        <f>SUM(H135:H150)</f>
        <v>5661540.5999999996</v>
      </c>
      <c r="I151" s="292">
        <f>SUM(I135:I150)</f>
        <v>15923788.370000001</v>
      </c>
    </row>
    <row r="152" spans="1:9" ht="13.5" thickTop="1">
      <c r="A152" s="146" t="s">
        <v>395</v>
      </c>
      <c r="B152" s="315" t="s">
        <v>332</v>
      </c>
      <c r="C152" s="153"/>
      <c r="D152" s="360"/>
      <c r="E152" s="163"/>
      <c r="F152" s="151"/>
      <c r="I152" s="282"/>
    </row>
    <row r="153" spans="1:9">
      <c r="A153" s="137" t="s">
        <v>8</v>
      </c>
      <c r="B153" s="315" t="s">
        <v>346</v>
      </c>
      <c r="C153" s="316">
        <v>8000000</v>
      </c>
      <c r="D153" s="317">
        <v>3547411.98</v>
      </c>
      <c r="E153" s="139" t="str">
        <f t="shared" ref="E153:E166" si="22">IF((D153-C153)&gt;0,D153-C153,"")</f>
        <v/>
      </c>
      <c r="F153" s="175">
        <f t="shared" ref="F153:F166" si="23">IF((D153-C153)&gt;0,"",D153-C153)</f>
        <v>-4452588.0199999996</v>
      </c>
      <c r="H153" s="280">
        <v>757628.52</v>
      </c>
      <c r="I153" s="282">
        <f>+D153-H153</f>
        <v>2789783.46</v>
      </c>
    </row>
    <row r="154" spans="1:9">
      <c r="A154" s="137" t="s">
        <v>106</v>
      </c>
      <c r="B154" s="315" t="s">
        <v>347</v>
      </c>
      <c r="C154" s="316">
        <v>100000</v>
      </c>
      <c r="D154" s="317">
        <v>57444.51</v>
      </c>
      <c r="E154" s="139" t="str">
        <f t="shared" si="22"/>
        <v/>
      </c>
      <c r="F154" s="175">
        <f t="shared" si="23"/>
        <v>-42555.49</v>
      </c>
      <c r="H154" s="280">
        <v>9418.23</v>
      </c>
      <c r="I154" s="282">
        <f t="shared" ref="I154:I166" si="24">+D154-H154</f>
        <v>48026.28</v>
      </c>
    </row>
    <row r="155" spans="1:9">
      <c r="A155" s="137" t="s">
        <v>4</v>
      </c>
      <c r="B155" s="315" t="s">
        <v>348</v>
      </c>
      <c r="C155" s="316">
        <v>30000</v>
      </c>
      <c r="D155" s="317">
        <v>28240</v>
      </c>
      <c r="E155" s="139" t="str">
        <f t="shared" si="22"/>
        <v/>
      </c>
      <c r="F155" s="175">
        <f t="shared" si="23"/>
        <v>-1760</v>
      </c>
      <c r="H155" s="280">
        <f>300+21600</f>
        <v>21900</v>
      </c>
      <c r="I155" s="282">
        <f t="shared" si="24"/>
        <v>6340</v>
      </c>
    </row>
    <row r="156" spans="1:9">
      <c r="A156" s="137" t="s">
        <v>11</v>
      </c>
      <c r="B156" s="315" t="s">
        <v>349</v>
      </c>
      <c r="C156" s="316">
        <v>200000</v>
      </c>
      <c r="D156" s="317">
        <v>1000</v>
      </c>
      <c r="E156" s="139" t="str">
        <f t="shared" si="22"/>
        <v/>
      </c>
      <c r="F156" s="175">
        <f t="shared" si="23"/>
        <v>-199000</v>
      </c>
      <c r="H156" s="280">
        <v>21000</v>
      </c>
      <c r="I156" s="282">
        <f t="shared" si="24"/>
        <v>-20000</v>
      </c>
    </row>
    <row r="157" spans="1:9">
      <c r="A157" s="137" t="s">
        <v>12</v>
      </c>
      <c r="B157" s="315" t="s">
        <v>350</v>
      </c>
      <c r="C157" s="316">
        <v>1100000</v>
      </c>
      <c r="D157" s="317">
        <v>318463</v>
      </c>
      <c r="E157" s="139" t="str">
        <f t="shared" si="22"/>
        <v/>
      </c>
      <c r="F157" s="175">
        <f t="shared" si="23"/>
        <v>-781537</v>
      </c>
      <c r="H157" s="280">
        <v>72531</v>
      </c>
      <c r="I157" s="282">
        <f t="shared" si="24"/>
        <v>245932</v>
      </c>
    </row>
    <row r="158" spans="1:9">
      <c r="A158" s="137" t="s">
        <v>37</v>
      </c>
      <c r="B158" s="315" t="s">
        <v>351</v>
      </c>
      <c r="C158" s="316">
        <v>6500000</v>
      </c>
      <c r="D158" s="317">
        <v>2649564</v>
      </c>
      <c r="E158" s="139" t="str">
        <f t="shared" si="22"/>
        <v/>
      </c>
      <c r="F158" s="175">
        <f t="shared" si="23"/>
        <v>-3850436</v>
      </c>
      <c r="H158" s="280">
        <v>505073</v>
      </c>
      <c r="I158" s="282">
        <f t="shared" si="24"/>
        <v>2144491</v>
      </c>
    </row>
    <row r="159" spans="1:9">
      <c r="A159" s="313" t="s">
        <v>447</v>
      </c>
      <c r="B159" s="315" t="s">
        <v>446</v>
      </c>
      <c r="C159" s="316">
        <v>120000</v>
      </c>
      <c r="D159" s="317">
        <v>117700</v>
      </c>
      <c r="E159" s="139" t="str">
        <f>IF((D159-C159)&gt;0,D159-C159,"")</f>
        <v/>
      </c>
      <c r="F159" s="175">
        <f>IF((D159-C159)&gt;0,"",D159-C159)</f>
        <v>-2300</v>
      </c>
      <c r="I159" s="282">
        <f>+D159-H159</f>
        <v>117700</v>
      </c>
    </row>
    <row r="160" spans="1:9">
      <c r="A160" s="313" t="s">
        <v>432</v>
      </c>
      <c r="B160" s="338"/>
      <c r="C160" s="316"/>
      <c r="D160" s="317"/>
      <c r="E160" s="139" t="str">
        <f t="shared" si="22"/>
        <v/>
      </c>
      <c r="F160" s="175">
        <f t="shared" si="23"/>
        <v>0</v>
      </c>
      <c r="I160" s="282"/>
    </row>
    <row r="161" spans="1:11">
      <c r="A161" s="313" t="s">
        <v>352</v>
      </c>
      <c r="B161" s="338" t="s">
        <v>439</v>
      </c>
      <c r="C161" s="316">
        <v>250000</v>
      </c>
      <c r="D161" s="221">
        <v>55153</v>
      </c>
      <c r="E161" s="139" t="str">
        <f t="shared" si="22"/>
        <v/>
      </c>
      <c r="F161" s="175">
        <f t="shared" si="23"/>
        <v>-194847</v>
      </c>
      <c r="H161" s="280">
        <v>9658</v>
      </c>
      <c r="I161" s="282">
        <f>+D161-H161</f>
        <v>45495</v>
      </c>
    </row>
    <row r="162" spans="1:11">
      <c r="A162" s="313" t="s">
        <v>353</v>
      </c>
      <c r="B162" s="338" t="s">
        <v>435</v>
      </c>
      <c r="C162" s="373">
        <v>50000</v>
      </c>
      <c r="D162" s="389">
        <v>15790</v>
      </c>
      <c r="E162" s="139" t="str">
        <f t="shared" si="22"/>
        <v/>
      </c>
      <c r="F162" s="175">
        <f t="shared" si="23"/>
        <v>-34210</v>
      </c>
      <c r="H162" s="280">
        <v>6490</v>
      </c>
      <c r="I162" s="282">
        <f t="shared" si="24"/>
        <v>9300</v>
      </c>
    </row>
    <row r="163" spans="1:11">
      <c r="A163" s="313" t="s">
        <v>354</v>
      </c>
      <c r="B163" s="338" t="s">
        <v>435</v>
      </c>
      <c r="C163" s="373">
        <v>250000</v>
      </c>
      <c r="D163" s="389">
        <f>55378-325</f>
        <v>55053</v>
      </c>
      <c r="E163" s="139" t="str">
        <f t="shared" si="22"/>
        <v/>
      </c>
      <c r="F163" s="175">
        <f t="shared" si="23"/>
        <v>-194947</v>
      </c>
      <c r="H163" s="280">
        <v>9058</v>
      </c>
      <c r="I163" s="282">
        <f t="shared" si="24"/>
        <v>45995</v>
      </c>
    </row>
    <row r="164" spans="1:11" s="321" customFormat="1">
      <c r="A164" s="352" t="s">
        <v>355</v>
      </c>
      <c r="B164" s="338" t="s">
        <v>436</v>
      </c>
      <c r="C164" s="316">
        <v>20000</v>
      </c>
      <c r="D164" s="221">
        <v>12860</v>
      </c>
      <c r="E164" s="316" t="str">
        <f t="shared" si="22"/>
        <v/>
      </c>
      <c r="F164" s="318">
        <f t="shared" si="23"/>
        <v>-7140</v>
      </c>
      <c r="G164" s="319">
        <v>43933</v>
      </c>
      <c r="H164" s="320">
        <v>3260</v>
      </c>
      <c r="I164" s="25">
        <f t="shared" si="24"/>
        <v>9600</v>
      </c>
      <c r="K164" s="320"/>
    </row>
    <row r="165" spans="1:11" s="321" customFormat="1">
      <c r="A165" s="352" t="s">
        <v>356</v>
      </c>
      <c r="B165" s="338" t="s">
        <v>438</v>
      </c>
      <c r="C165" s="316">
        <v>25000</v>
      </c>
      <c r="D165" s="221">
        <v>13025</v>
      </c>
      <c r="E165" s="316" t="str">
        <f t="shared" si="22"/>
        <v/>
      </c>
      <c r="F165" s="318">
        <f t="shared" si="23"/>
        <v>-11975</v>
      </c>
      <c r="H165" s="320">
        <v>2180</v>
      </c>
      <c r="I165" s="25">
        <f t="shared" si="24"/>
        <v>10845</v>
      </c>
      <c r="K165" s="320"/>
    </row>
    <row r="166" spans="1:11">
      <c r="A166" s="313" t="s">
        <v>92</v>
      </c>
      <c r="B166" s="315" t="s">
        <v>441</v>
      </c>
      <c r="C166" s="316">
        <v>25000</v>
      </c>
      <c r="D166" s="390">
        <v>13025</v>
      </c>
      <c r="E166" s="139" t="str">
        <f t="shared" si="22"/>
        <v/>
      </c>
      <c r="F166" s="175">
        <f t="shared" si="23"/>
        <v>-11975</v>
      </c>
      <c r="H166" s="280">
        <v>2180</v>
      </c>
      <c r="I166" s="282">
        <f t="shared" si="24"/>
        <v>10845</v>
      </c>
    </row>
    <row r="167" spans="1:11" ht="13.5" thickBot="1">
      <c r="A167" s="137"/>
      <c r="B167" s="147"/>
      <c r="C167" s="176">
        <f>SUM(C153:C166)</f>
        <v>16670000</v>
      </c>
      <c r="D167" s="359">
        <f>SUM(D153:D166)</f>
        <v>6884729.4900000002</v>
      </c>
      <c r="E167" s="173">
        <f>SUM(E153:E166)</f>
        <v>0</v>
      </c>
      <c r="F167" s="177">
        <f>SUM(F153:F166)</f>
        <v>-9785270.5099999998</v>
      </c>
      <c r="H167" s="292">
        <f>SUM(H153:H166)</f>
        <v>1420376.75</v>
      </c>
      <c r="I167" s="292">
        <f>SUM(I153:I166)</f>
        <v>5464352.7400000002</v>
      </c>
      <c r="J167" s="297"/>
    </row>
    <row r="168" spans="1:11" ht="13.5" customHeight="1" thickTop="1">
      <c r="A168" s="146"/>
      <c r="B168" s="147"/>
      <c r="C168" s="153"/>
      <c r="D168" s="316"/>
      <c r="E168" s="140"/>
      <c r="F168" s="151"/>
      <c r="I168" s="282"/>
    </row>
    <row r="169" spans="1:11">
      <c r="A169" s="146" t="s">
        <v>420</v>
      </c>
      <c r="B169" s="315" t="s">
        <v>358</v>
      </c>
      <c r="C169" s="153"/>
      <c r="D169" s="360"/>
      <c r="E169" s="139"/>
      <c r="F169" s="151"/>
      <c r="H169" s="280" t="s">
        <v>192</v>
      </c>
      <c r="I169" s="282"/>
    </row>
    <row r="170" spans="1:11">
      <c r="A170" s="313" t="s">
        <v>410</v>
      </c>
      <c r="B170" s="315" t="s">
        <v>359</v>
      </c>
      <c r="C170" s="316">
        <v>12100000</v>
      </c>
      <c r="D170" s="391">
        <v>6515640</v>
      </c>
      <c r="E170" s="139" t="str">
        <f t="shared" ref="E170:E183" si="25">IF((D170-C170)&gt;0,D170-C170,"")</f>
        <v/>
      </c>
      <c r="F170" s="175">
        <f t="shared" ref="F170:F183" si="26">IF((D170-C170)&gt;0,"",D170-C170)</f>
        <v>-5584360</v>
      </c>
      <c r="H170" s="280">
        <v>1024740</v>
      </c>
      <c r="I170" s="282">
        <f>+D170-H170</f>
        <v>5490900</v>
      </c>
    </row>
    <row r="171" spans="1:11">
      <c r="A171" s="137" t="s">
        <v>14</v>
      </c>
      <c r="B171" s="315" t="s">
        <v>360</v>
      </c>
      <c r="C171" s="316">
        <v>2000000</v>
      </c>
      <c r="D171" s="391">
        <v>856610</v>
      </c>
      <c r="E171" s="139" t="str">
        <f t="shared" si="25"/>
        <v/>
      </c>
      <c r="F171" s="175">
        <f t="shared" si="26"/>
        <v>-1143390</v>
      </c>
      <c r="H171" s="280">
        <v>157270</v>
      </c>
      <c r="I171" s="282">
        <f t="shared" ref="I171:I183" si="27">+D171-H171</f>
        <v>699340</v>
      </c>
    </row>
    <row r="172" spans="1:11">
      <c r="A172" s="137" t="s">
        <v>8</v>
      </c>
      <c r="B172" s="315" t="s">
        <v>361</v>
      </c>
      <c r="C172" s="316">
        <v>2626000</v>
      </c>
      <c r="D172" s="392">
        <v>1282760.76</v>
      </c>
      <c r="E172" s="139" t="str">
        <f t="shared" si="25"/>
        <v/>
      </c>
      <c r="F172" s="175">
        <f t="shared" si="26"/>
        <v>-1343239.24</v>
      </c>
      <c r="H172" s="280">
        <v>334433.96999999997</v>
      </c>
      <c r="I172" s="282">
        <f t="shared" si="27"/>
        <v>948326.79</v>
      </c>
    </row>
    <row r="173" spans="1:11">
      <c r="A173" s="137" t="s">
        <v>15</v>
      </c>
      <c r="B173" s="315" t="s">
        <v>362</v>
      </c>
      <c r="C173" s="316">
        <v>3000000</v>
      </c>
      <c r="D173" s="392">
        <v>1305423</v>
      </c>
      <c r="E173" s="139" t="str">
        <f t="shared" si="25"/>
        <v/>
      </c>
      <c r="F173" s="175">
        <f t="shared" si="26"/>
        <v>-1694577</v>
      </c>
      <c r="H173" s="280">
        <v>266606</v>
      </c>
      <c r="I173" s="282">
        <f t="shared" si="27"/>
        <v>1038817</v>
      </c>
    </row>
    <row r="174" spans="1:11">
      <c r="A174" s="137" t="s">
        <v>4</v>
      </c>
      <c r="B174" s="315" t="s">
        <v>363</v>
      </c>
      <c r="C174" s="316">
        <v>100000</v>
      </c>
      <c r="D174" s="391">
        <v>68700</v>
      </c>
      <c r="E174" s="139" t="str">
        <f t="shared" si="25"/>
        <v/>
      </c>
      <c r="F174" s="175">
        <f t="shared" si="26"/>
        <v>-31300</v>
      </c>
      <c r="H174" s="280">
        <v>14700</v>
      </c>
      <c r="I174" s="282">
        <f t="shared" si="27"/>
        <v>54000</v>
      </c>
    </row>
    <row r="175" spans="1:11">
      <c r="A175" s="137" t="s">
        <v>16</v>
      </c>
      <c r="B175" s="315" t="s">
        <v>364</v>
      </c>
      <c r="C175" s="316">
        <v>60000</v>
      </c>
      <c r="D175" s="391">
        <v>94000</v>
      </c>
      <c r="E175" s="139">
        <f t="shared" si="25"/>
        <v>34000</v>
      </c>
      <c r="F175" s="175" t="str">
        <f t="shared" si="26"/>
        <v/>
      </c>
      <c r="H175" s="280">
        <v>1000</v>
      </c>
      <c r="I175" s="282">
        <f t="shared" si="27"/>
        <v>93000</v>
      </c>
    </row>
    <row r="176" spans="1:11">
      <c r="A176" s="137" t="s">
        <v>106</v>
      </c>
      <c r="B176" s="315" t="s">
        <v>365</v>
      </c>
      <c r="C176" s="316">
        <v>60000</v>
      </c>
      <c r="D176" s="391">
        <v>57940.87</v>
      </c>
      <c r="E176" s="139" t="str">
        <f t="shared" si="25"/>
        <v/>
      </c>
      <c r="F176" s="175">
        <f t="shared" si="26"/>
        <v>-2059.1299999999974</v>
      </c>
      <c r="H176" s="280">
        <v>23773.7</v>
      </c>
      <c r="I176" s="282">
        <f t="shared" si="27"/>
        <v>34167.17</v>
      </c>
    </row>
    <row r="177" spans="1:11">
      <c r="A177" s="137" t="s">
        <v>173</v>
      </c>
      <c r="B177" s="315" t="s">
        <v>366</v>
      </c>
      <c r="C177" s="316">
        <v>300000</v>
      </c>
      <c r="D177" s="391">
        <v>364300</v>
      </c>
      <c r="E177" s="139">
        <f t="shared" si="25"/>
        <v>64300</v>
      </c>
      <c r="F177" s="175" t="str">
        <f t="shared" si="26"/>
        <v/>
      </c>
      <c r="H177" s="280">
        <v>289950</v>
      </c>
      <c r="I177" s="282">
        <f t="shared" si="27"/>
        <v>74350</v>
      </c>
    </row>
    <row r="178" spans="1:11">
      <c r="A178" s="313" t="s">
        <v>432</v>
      </c>
      <c r="B178" s="338"/>
      <c r="C178" s="316"/>
      <c r="D178" s="391"/>
      <c r="E178" s="139" t="str">
        <f t="shared" si="25"/>
        <v/>
      </c>
      <c r="F178" s="175">
        <f t="shared" si="26"/>
        <v>0</v>
      </c>
      <c r="I178" s="282"/>
    </row>
    <row r="179" spans="1:11">
      <c r="A179" s="137" t="s">
        <v>89</v>
      </c>
      <c r="B179" s="338" t="s">
        <v>439</v>
      </c>
      <c r="C179" s="316">
        <v>700000</v>
      </c>
      <c r="D179" s="391">
        <v>350061</v>
      </c>
      <c r="E179" s="139" t="str">
        <f t="shared" si="25"/>
        <v/>
      </c>
      <c r="F179" s="175">
        <f t="shared" si="26"/>
        <v>-349939</v>
      </c>
      <c r="H179" s="280">
        <v>77206</v>
      </c>
      <c r="I179" s="282">
        <f t="shared" si="27"/>
        <v>272855</v>
      </c>
    </row>
    <row r="180" spans="1:11">
      <c r="A180" s="137" t="s">
        <v>172</v>
      </c>
      <c r="B180" s="338" t="s">
        <v>435</v>
      </c>
      <c r="C180" s="316">
        <v>600000</v>
      </c>
      <c r="D180" s="391">
        <v>326076</v>
      </c>
      <c r="E180" s="139" t="str">
        <f t="shared" si="25"/>
        <v/>
      </c>
      <c r="F180" s="175">
        <f t="shared" si="26"/>
        <v>-273924</v>
      </c>
      <c r="H180" s="280">
        <v>63403</v>
      </c>
      <c r="I180" s="282">
        <f t="shared" si="27"/>
        <v>262673</v>
      </c>
    </row>
    <row r="181" spans="1:11">
      <c r="A181" s="137" t="s">
        <v>91</v>
      </c>
      <c r="B181" s="338" t="s">
        <v>436</v>
      </c>
      <c r="C181" s="316">
        <v>50000</v>
      </c>
      <c r="D181" s="391">
        <v>39100</v>
      </c>
      <c r="E181" s="139" t="str">
        <f t="shared" si="25"/>
        <v/>
      </c>
      <c r="F181" s="175">
        <f t="shared" si="26"/>
        <v>-10900</v>
      </c>
      <c r="H181" s="280">
        <v>26651</v>
      </c>
      <c r="I181" s="282">
        <f t="shared" si="27"/>
        <v>12449</v>
      </c>
    </row>
    <row r="182" spans="1:11">
      <c r="A182" s="137" t="s">
        <v>255</v>
      </c>
      <c r="B182" s="434" t="s">
        <v>438</v>
      </c>
      <c r="C182" s="316">
        <v>50000</v>
      </c>
      <c r="D182" s="391">
        <v>38840</v>
      </c>
      <c r="E182" s="139" t="str">
        <f t="shared" si="25"/>
        <v/>
      </c>
      <c r="F182" s="175">
        <f t="shared" si="26"/>
        <v>-11160</v>
      </c>
      <c r="H182" s="280">
        <v>26500</v>
      </c>
      <c r="I182" s="282">
        <f t="shared" si="27"/>
        <v>12340</v>
      </c>
    </row>
    <row r="183" spans="1:11">
      <c r="A183" s="137" t="s">
        <v>263</v>
      </c>
      <c r="B183" s="338" t="s">
        <v>441</v>
      </c>
      <c r="C183" s="316">
        <v>50000</v>
      </c>
      <c r="D183" s="391">
        <v>38800</v>
      </c>
      <c r="E183" s="139" t="str">
        <f t="shared" si="25"/>
        <v/>
      </c>
      <c r="F183" s="175">
        <f t="shared" si="26"/>
        <v>-11200</v>
      </c>
      <c r="H183" s="280">
        <v>26500</v>
      </c>
      <c r="I183" s="282">
        <f t="shared" si="27"/>
        <v>12300</v>
      </c>
    </row>
    <row r="184" spans="1:11" ht="13.5" thickBot="1">
      <c r="A184" s="155" t="s">
        <v>17</v>
      </c>
      <c r="B184" s="166"/>
      <c r="C184" s="361">
        <f>SUM(C170:C183)</f>
        <v>21696000</v>
      </c>
      <c r="D184" s="393">
        <f t="shared" ref="D184:F184" si="28">SUM(D170:D183)</f>
        <v>11338251.629999999</v>
      </c>
      <c r="E184" s="178">
        <f>SUM(E170:E183)</f>
        <v>98300</v>
      </c>
      <c r="F184" s="180">
        <f t="shared" si="28"/>
        <v>-10456048.370000001</v>
      </c>
      <c r="H184" s="292">
        <f>SUM(H170:H183)</f>
        <v>2332733.67</v>
      </c>
      <c r="I184" s="292">
        <f>SUM(I170:I183)</f>
        <v>9005517.9600000009</v>
      </c>
    </row>
    <row r="185" spans="1:11" s="298" customFormat="1">
      <c r="A185" s="312"/>
      <c r="B185" s="159"/>
      <c r="C185" s="362"/>
      <c r="D185" s="362"/>
      <c r="E185" s="209"/>
      <c r="F185" s="184"/>
      <c r="H185" s="299"/>
      <c r="I185" s="282"/>
      <c r="K185" s="299"/>
    </row>
    <row r="186" spans="1:11" s="298" customFormat="1" ht="13.5" thickBot="1">
      <c r="A186" s="224"/>
      <c r="B186" s="156"/>
      <c r="C186" s="363"/>
      <c r="D186" s="363"/>
      <c r="E186" s="208"/>
      <c r="F186" s="309"/>
      <c r="H186" s="299"/>
      <c r="I186" s="282"/>
      <c r="K186" s="299"/>
    </row>
    <row r="187" spans="1:11">
      <c r="A187" s="132" t="s">
        <v>368</v>
      </c>
      <c r="B187" s="315" t="s">
        <v>369</v>
      </c>
      <c r="C187" s="364"/>
      <c r="D187" s="394"/>
      <c r="E187" s="183"/>
      <c r="F187" s="184"/>
      <c r="I187" s="282"/>
    </row>
    <row r="188" spans="1:11">
      <c r="A188" s="137" t="s">
        <v>18</v>
      </c>
      <c r="B188" s="315" t="s">
        <v>370</v>
      </c>
      <c r="C188" s="365">
        <v>1400000</v>
      </c>
      <c r="D188" s="317">
        <v>540685</v>
      </c>
      <c r="E188" s="139" t="str">
        <f t="shared" ref="E188:E201" si="29">IF((D188-C188)&gt;0,D188-C188,"")</f>
        <v/>
      </c>
      <c r="F188" s="175">
        <f t="shared" ref="F188:F201" si="30">IF((D188-C188)&gt;0,"",D188-C188)</f>
        <v>-859315</v>
      </c>
      <c r="I188" s="282">
        <f>+D188-H188</f>
        <v>540685</v>
      </c>
    </row>
    <row r="189" spans="1:11">
      <c r="A189" s="137" t="s">
        <v>121</v>
      </c>
      <c r="B189" s="315" t="s">
        <v>371</v>
      </c>
      <c r="C189" s="316">
        <v>650000</v>
      </c>
      <c r="D189" s="317">
        <v>279660</v>
      </c>
      <c r="E189" s="139" t="str">
        <f t="shared" si="29"/>
        <v/>
      </c>
      <c r="F189" s="175">
        <f t="shared" si="30"/>
        <v>-370340</v>
      </c>
      <c r="I189" s="282">
        <f t="shared" ref="I189:I199" si="31">+D189-H189</f>
        <v>279660</v>
      </c>
    </row>
    <row r="190" spans="1:11">
      <c r="A190" s="137" t="s">
        <v>122</v>
      </c>
      <c r="B190" s="315" t="s">
        <v>372</v>
      </c>
      <c r="C190" s="316">
        <v>280000</v>
      </c>
      <c r="D190" s="317">
        <v>125770</v>
      </c>
      <c r="E190" s="139" t="str">
        <f t="shared" si="29"/>
        <v/>
      </c>
      <c r="F190" s="175">
        <f t="shared" si="30"/>
        <v>-154230</v>
      </c>
      <c r="I190" s="282">
        <f t="shared" si="31"/>
        <v>125770</v>
      </c>
    </row>
    <row r="191" spans="1:11">
      <c r="A191" s="137" t="s">
        <v>19</v>
      </c>
      <c r="B191" s="315" t="s">
        <v>373</v>
      </c>
      <c r="C191" s="316">
        <v>1400000</v>
      </c>
      <c r="D191" s="317">
        <v>633020</v>
      </c>
      <c r="E191" s="139" t="str">
        <f t="shared" si="29"/>
        <v/>
      </c>
      <c r="F191" s="175">
        <f t="shared" si="30"/>
        <v>-766980</v>
      </c>
      <c r="I191" s="282">
        <f t="shared" si="31"/>
        <v>633020</v>
      </c>
    </row>
    <row r="192" spans="1:11">
      <c r="A192" s="171" t="s">
        <v>20</v>
      </c>
      <c r="B192" s="315" t="s">
        <v>374</v>
      </c>
      <c r="C192" s="357">
        <v>790000</v>
      </c>
      <c r="D192" s="395">
        <v>346240</v>
      </c>
      <c r="E192" s="139" t="str">
        <f t="shared" si="29"/>
        <v/>
      </c>
      <c r="F192" s="175">
        <f t="shared" si="30"/>
        <v>-443760</v>
      </c>
      <c r="H192" s="280">
        <v>61255</v>
      </c>
      <c r="I192" s="282">
        <f t="shared" si="31"/>
        <v>284985</v>
      </c>
    </row>
    <row r="193" spans="1:10">
      <c r="A193" s="137" t="s">
        <v>9</v>
      </c>
      <c r="B193" s="315" t="s">
        <v>375</v>
      </c>
      <c r="C193" s="316">
        <v>120000</v>
      </c>
      <c r="D193" s="317">
        <v>56960</v>
      </c>
      <c r="E193" s="139" t="str">
        <f t="shared" si="29"/>
        <v/>
      </c>
      <c r="F193" s="175">
        <f t="shared" si="30"/>
        <v>-63040</v>
      </c>
      <c r="H193" s="280">
        <v>9532</v>
      </c>
      <c r="I193" s="282">
        <f t="shared" si="31"/>
        <v>47428</v>
      </c>
    </row>
    <row r="194" spans="1:10">
      <c r="A194" s="137" t="s">
        <v>4</v>
      </c>
      <c r="B194" s="315" t="s">
        <v>376</v>
      </c>
      <c r="C194" s="316">
        <v>720000</v>
      </c>
      <c r="D194" s="317">
        <v>321647</v>
      </c>
      <c r="E194" s="139" t="str">
        <f t="shared" si="29"/>
        <v/>
      </c>
      <c r="F194" s="175">
        <f t="shared" si="30"/>
        <v>-398353</v>
      </c>
      <c r="H194" s="280">
        <f>19400+37900</f>
        <v>57300</v>
      </c>
      <c r="I194" s="282">
        <f t="shared" si="31"/>
        <v>264347</v>
      </c>
    </row>
    <row r="195" spans="1:10">
      <c r="A195" s="313" t="s">
        <v>377</v>
      </c>
      <c r="B195" s="315" t="s">
        <v>378</v>
      </c>
      <c r="C195" s="316">
        <v>620000</v>
      </c>
      <c r="D195" s="317">
        <v>274245</v>
      </c>
      <c r="E195" s="139" t="str">
        <f t="shared" si="29"/>
        <v/>
      </c>
      <c r="F195" s="175">
        <f t="shared" si="30"/>
        <v>-345755</v>
      </c>
      <c r="H195" s="280">
        <v>49045</v>
      </c>
      <c r="I195" s="282">
        <f t="shared" si="31"/>
        <v>225200</v>
      </c>
    </row>
    <row r="196" spans="1:10">
      <c r="A196" s="313" t="s">
        <v>432</v>
      </c>
      <c r="B196" s="338"/>
      <c r="C196" s="316"/>
      <c r="D196" s="317"/>
      <c r="E196" s="139" t="str">
        <f t="shared" si="29"/>
        <v/>
      </c>
      <c r="F196" s="175">
        <f t="shared" si="30"/>
        <v>0</v>
      </c>
      <c r="I196" s="282"/>
    </row>
    <row r="197" spans="1:10">
      <c r="A197" s="137" t="s">
        <v>89</v>
      </c>
      <c r="B197" s="338" t="s">
        <v>439</v>
      </c>
      <c r="C197" s="373">
        <v>5000</v>
      </c>
      <c r="D197" s="396">
        <v>2656</v>
      </c>
      <c r="E197" s="139" t="str">
        <f t="shared" si="29"/>
        <v/>
      </c>
      <c r="F197" s="175">
        <f t="shared" si="30"/>
        <v>-2344</v>
      </c>
      <c r="H197" s="280">
        <v>10821</v>
      </c>
      <c r="I197" s="282">
        <f t="shared" si="31"/>
        <v>-8165</v>
      </c>
      <c r="J197" s="286">
        <f>+I197+I218</f>
        <v>1811.25</v>
      </c>
    </row>
    <row r="198" spans="1:10">
      <c r="A198" s="137" t="s">
        <v>172</v>
      </c>
      <c r="B198" s="338" t="s">
        <v>435</v>
      </c>
      <c r="C198" s="373">
        <v>140000</v>
      </c>
      <c r="D198" s="397">
        <v>57350</v>
      </c>
      <c r="E198" s="139" t="str">
        <f t="shared" si="29"/>
        <v/>
      </c>
      <c r="F198" s="175">
        <f t="shared" si="30"/>
        <v>-82650</v>
      </c>
      <c r="H198" s="280">
        <v>150</v>
      </c>
      <c r="I198" s="282">
        <f t="shared" si="31"/>
        <v>57200</v>
      </c>
      <c r="J198" s="286">
        <f>+I198+I219</f>
        <v>113400.25</v>
      </c>
    </row>
    <row r="199" spans="1:10">
      <c r="A199" s="137" t="s">
        <v>91</v>
      </c>
      <c r="B199" s="338" t="s">
        <v>436</v>
      </c>
      <c r="C199" s="373">
        <v>65000</v>
      </c>
      <c r="D199" s="397">
        <v>29390</v>
      </c>
      <c r="E199" s="139" t="str">
        <f t="shared" si="29"/>
        <v/>
      </c>
      <c r="F199" s="175">
        <f t="shared" si="30"/>
        <v>-35610</v>
      </c>
      <c r="H199" s="280">
        <v>5251</v>
      </c>
      <c r="I199" s="282">
        <f t="shared" si="31"/>
        <v>24139</v>
      </c>
      <c r="J199" s="286">
        <f>+I199+I220</f>
        <v>36806</v>
      </c>
    </row>
    <row r="200" spans="1:10">
      <c r="A200" s="137" t="s">
        <v>255</v>
      </c>
      <c r="B200" s="434" t="s">
        <v>441</v>
      </c>
      <c r="C200" s="373">
        <v>10000</v>
      </c>
      <c r="D200" s="380">
        <v>5320</v>
      </c>
      <c r="E200" s="139" t="str">
        <f t="shared" si="29"/>
        <v/>
      </c>
      <c r="F200" s="175">
        <f t="shared" si="30"/>
        <v>-4680</v>
      </c>
      <c r="G200" s="288"/>
      <c r="I200" s="282">
        <f>+G200-H200</f>
        <v>0</v>
      </c>
      <c r="J200" s="286" t="e">
        <f>+I200+#REF!</f>
        <v>#REF!</v>
      </c>
    </row>
    <row r="201" spans="1:10">
      <c r="A201" s="137" t="s">
        <v>263</v>
      </c>
      <c r="B201" s="338" t="s">
        <v>438</v>
      </c>
      <c r="C201" s="414">
        <v>10000</v>
      </c>
      <c r="D201" s="380">
        <v>5320</v>
      </c>
      <c r="E201" s="139" t="str">
        <f t="shared" si="29"/>
        <v/>
      </c>
      <c r="F201" s="175">
        <f t="shared" si="30"/>
        <v>-4680</v>
      </c>
      <c r="G201" s="288"/>
      <c r="I201" s="282">
        <f>+G201-H201</f>
        <v>0</v>
      </c>
      <c r="J201" s="286" t="e">
        <f>+I201+#REF!</f>
        <v>#REF!</v>
      </c>
    </row>
    <row r="202" spans="1:10" ht="13.5" thickBot="1">
      <c r="A202" s="137"/>
      <c r="B202" s="147"/>
      <c r="C202" s="359">
        <f>SUM(C188:C201)</f>
        <v>6210000</v>
      </c>
      <c r="D202" s="359">
        <f>SUM(D188:D201)</f>
        <v>2678263</v>
      </c>
      <c r="E202" s="172">
        <f>SUM(E188:E201)</f>
        <v>0</v>
      </c>
      <c r="F202" s="174">
        <f t="shared" ref="F202" si="32">SUM(F188:F201)</f>
        <v>-3531737</v>
      </c>
      <c r="G202" s="288"/>
      <c r="H202" s="292">
        <f>SUM(H188:H201)</f>
        <v>193354</v>
      </c>
      <c r="I202" s="282">
        <f>+G202-H202</f>
        <v>-193354</v>
      </c>
    </row>
    <row r="203" spans="1:10" ht="13.5" thickTop="1">
      <c r="A203" s="137"/>
      <c r="B203" s="147"/>
      <c r="C203" s="357"/>
      <c r="D203" s="316"/>
      <c r="E203" s="140"/>
      <c r="F203" s="175"/>
      <c r="G203" s="288"/>
      <c r="I203" s="282">
        <f>+G203-H203</f>
        <v>0</v>
      </c>
    </row>
    <row r="204" spans="1:10">
      <c r="A204" s="146" t="s">
        <v>367</v>
      </c>
      <c r="B204" s="147"/>
      <c r="C204" s="357"/>
      <c r="D204" s="360"/>
      <c r="E204" s="139"/>
      <c r="F204" s="175"/>
      <c r="G204" s="288"/>
      <c r="I204" s="282">
        <f>+G204-H204</f>
        <v>0</v>
      </c>
    </row>
    <row r="205" spans="1:10">
      <c r="A205" s="137" t="s">
        <v>21</v>
      </c>
      <c r="B205" s="315" t="s">
        <v>379</v>
      </c>
      <c r="C205" s="316">
        <v>85000</v>
      </c>
      <c r="D205" s="317">
        <v>41756</v>
      </c>
      <c r="E205" s="139" t="str">
        <f t="shared" ref="E205:E220" si="33">IF((D205-C205)&gt;0,D205-C205,"")</f>
        <v/>
      </c>
      <c r="F205" s="175">
        <f t="shared" ref="F205:F220" si="34">IF((D205-C205)&gt;0,"",D205-C205)</f>
        <v>-43244</v>
      </c>
      <c r="H205" s="280">
        <v>6052</v>
      </c>
      <c r="I205" s="282">
        <f>+D205-H205</f>
        <v>35704</v>
      </c>
    </row>
    <row r="206" spans="1:10">
      <c r="A206" s="137" t="s">
        <v>22</v>
      </c>
      <c r="B206" s="315" t="s">
        <v>380</v>
      </c>
      <c r="C206" s="316">
        <v>400000</v>
      </c>
      <c r="D206" s="317">
        <v>129611.5</v>
      </c>
      <c r="E206" s="139" t="str">
        <f t="shared" si="33"/>
        <v/>
      </c>
      <c r="F206" s="175">
        <f t="shared" si="34"/>
        <v>-270388.5</v>
      </c>
      <c r="H206" s="280">
        <v>26885</v>
      </c>
      <c r="I206" s="282">
        <f t="shared" ref="I206:I220" si="35">+D206-H206</f>
        <v>102726.5</v>
      </c>
    </row>
    <row r="207" spans="1:10">
      <c r="A207" s="137" t="s">
        <v>7</v>
      </c>
      <c r="B207" s="315" t="s">
        <v>381</v>
      </c>
      <c r="C207" s="316">
        <v>300000</v>
      </c>
      <c r="D207" s="317">
        <v>72886.5</v>
      </c>
      <c r="E207" s="139" t="str">
        <f t="shared" si="33"/>
        <v/>
      </c>
      <c r="F207" s="175">
        <f t="shared" si="34"/>
        <v>-227113.5</v>
      </c>
      <c r="H207" s="280">
        <v>12795</v>
      </c>
      <c r="I207" s="282">
        <f t="shared" si="35"/>
        <v>60091.5</v>
      </c>
    </row>
    <row r="208" spans="1:10">
      <c r="A208" s="137" t="s">
        <v>23</v>
      </c>
      <c r="B208" s="315" t="s">
        <v>382</v>
      </c>
      <c r="C208" s="316">
        <v>270000</v>
      </c>
      <c r="D208" s="317">
        <v>118786.5</v>
      </c>
      <c r="E208" s="139" t="str">
        <f t="shared" si="33"/>
        <v/>
      </c>
      <c r="F208" s="175">
        <f t="shared" si="34"/>
        <v>-151213.5</v>
      </c>
      <c r="H208" s="280">
        <v>27310.5</v>
      </c>
      <c r="I208" s="282">
        <f t="shared" si="35"/>
        <v>91476</v>
      </c>
    </row>
    <row r="209" spans="1:10">
      <c r="A209" s="137" t="s">
        <v>24</v>
      </c>
      <c r="B209" s="315" t="s">
        <v>383</v>
      </c>
      <c r="C209" s="316">
        <v>130000</v>
      </c>
      <c r="D209" s="317">
        <v>53576.25</v>
      </c>
      <c r="E209" s="139" t="str">
        <f t="shared" si="33"/>
        <v/>
      </c>
      <c r="F209" s="175">
        <f t="shared" si="34"/>
        <v>-76423.75</v>
      </c>
      <c r="H209" s="280">
        <v>12027.75</v>
      </c>
      <c r="I209" s="282">
        <f t="shared" si="35"/>
        <v>41548.5</v>
      </c>
    </row>
    <row r="210" spans="1:10">
      <c r="A210" s="137" t="s">
        <v>4</v>
      </c>
      <c r="B210" s="315" t="s">
        <v>384</v>
      </c>
      <c r="C210" s="316">
        <v>60000</v>
      </c>
      <c r="D210" s="317">
        <v>39414.06</v>
      </c>
      <c r="E210" s="139" t="str">
        <f t="shared" si="33"/>
        <v/>
      </c>
      <c r="F210" s="175">
        <f t="shared" si="34"/>
        <v>-20585.940000000002</v>
      </c>
      <c r="H210" s="280">
        <f>600+8800+313.43</f>
        <v>9713.43</v>
      </c>
      <c r="I210" s="282">
        <f t="shared" si="35"/>
        <v>29700.629999999997</v>
      </c>
    </row>
    <row r="211" spans="1:10">
      <c r="A211" s="313" t="s">
        <v>411</v>
      </c>
      <c r="B211" s="315" t="s">
        <v>412</v>
      </c>
      <c r="C211" s="316"/>
      <c r="D211" s="317">
        <v>813.75</v>
      </c>
      <c r="E211" s="139">
        <f t="shared" si="33"/>
        <v>813.75</v>
      </c>
      <c r="F211" s="175" t="str">
        <f t="shared" si="34"/>
        <v/>
      </c>
      <c r="I211" s="282"/>
    </row>
    <row r="212" spans="1:10" ht="12" customHeight="1">
      <c r="A212" s="137" t="s">
        <v>25</v>
      </c>
      <c r="B212" s="315" t="s">
        <v>385</v>
      </c>
      <c r="C212" s="316">
        <v>900000</v>
      </c>
      <c r="D212" s="317">
        <v>379035</v>
      </c>
      <c r="E212" s="139" t="str">
        <f t="shared" si="33"/>
        <v/>
      </c>
      <c r="F212" s="175">
        <f t="shared" si="34"/>
        <v>-520965</v>
      </c>
      <c r="G212" s="298"/>
      <c r="H212" s="299">
        <v>79860</v>
      </c>
      <c r="I212" s="282">
        <f t="shared" si="35"/>
        <v>299175</v>
      </c>
    </row>
    <row r="213" spans="1:10">
      <c r="A213" s="137" t="s">
        <v>29</v>
      </c>
      <c r="B213" s="315" t="s">
        <v>386</v>
      </c>
      <c r="C213" s="316">
        <v>40000</v>
      </c>
      <c r="D213" s="317">
        <v>22023</v>
      </c>
      <c r="E213" s="139" t="str">
        <f t="shared" si="33"/>
        <v/>
      </c>
      <c r="F213" s="175">
        <f t="shared" si="34"/>
        <v>-17977</v>
      </c>
      <c r="G213" s="298"/>
      <c r="H213" s="299">
        <v>3255</v>
      </c>
      <c r="I213" s="282">
        <f t="shared" si="35"/>
        <v>18768</v>
      </c>
    </row>
    <row r="214" spans="1:10">
      <c r="A214" s="313" t="s">
        <v>388</v>
      </c>
      <c r="B214" s="315" t="s">
        <v>387</v>
      </c>
      <c r="C214" s="316">
        <v>23170</v>
      </c>
      <c r="D214" s="317">
        <v>42000</v>
      </c>
      <c r="E214" s="139">
        <f t="shared" si="33"/>
        <v>18830</v>
      </c>
      <c r="F214" s="175" t="str">
        <f t="shared" si="34"/>
        <v/>
      </c>
      <c r="G214" s="298"/>
      <c r="H214" s="299">
        <v>42000</v>
      </c>
      <c r="I214" s="282">
        <f t="shared" si="35"/>
        <v>0</v>
      </c>
    </row>
    <row r="215" spans="1:10">
      <c r="A215" s="137" t="s">
        <v>8</v>
      </c>
      <c r="B215" s="315" t="s">
        <v>389</v>
      </c>
      <c r="C215" s="316">
        <v>115500</v>
      </c>
      <c r="D215" s="317">
        <v>59916.09</v>
      </c>
      <c r="E215" s="139" t="str">
        <f t="shared" si="33"/>
        <v/>
      </c>
      <c r="F215" s="175">
        <f t="shared" si="34"/>
        <v>-55583.91</v>
      </c>
      <c r="G215" s="298"/>
      <c r="H215" s="299">
        <v>12328.2</v>
      </c>
      <c r="I215" s="282">
        <f t="shared" si="35"/>
        <v>47587.89</v>
      </c>
    </row>
    <row r="216" spans="1:10">
      <c r="A216" s="137" t="s">
        <v>38</v>
      </c>
      <c r="B216" s="315" t="s">
        <v>390</v>
      </c>
      <c r="C216" s="316">
        <v>65000</v>
      </c>
      <c r="D216" s="398">
        <v>38700</v>
      </c>
      <c r="E216" s="139" t="str">
        <f t="shared" si="33"/>
        <v/>
      </c>
      <c r="F216" s="175">
        <f t="shared" si="34"/>
        <v>-26300</v>
      </c>
      <c r="G216" s="298"/>
      <c r="H216" s="299">
        <v>5445</v>
      </c>
      <c r="I216" s="282">
        <f t="shared" si="35"/>
        <v>33255</v>
      </c>
    </row>
    <row r="217" spans="1:10">
      <c r="A217" s="313" t="s">
        <v>432</v>
      </c>
      <c r="B217" s="338"/>
      <c r="C217" s="316"/>
      <c r="D217" s="357"/>
      <c r="E217" s="139" t="str">
        <f t="shared" si="33"/>
        <v/>
      </c>
      <c r="F217" s="175">
        <f t="shared" si="34"/>
        <v>0</v>
      </c>
      <c r="G217" s="298"/>
      <c r="H217" s="299"/>
      <c r="I217" s="282"/>
    </row>
    <row r="218" spans="1:10">
      <c r="A218" s="137" t="s">
        <v>89</v>
      </c>
      <c r="B218" s="338" t="s">
        <v>439</v>
      </c>
      <c r="C218" s="373">
        <v>40000</v>
      </c>
      <c r="D218" s="317">
        <v>23709.25</v>
      </c>
      <c r="E218" s="139" t="str">
        <f t="shared" si="33"/>
        <v/>
      </c>
      <c r="F218" s="175">
        <f t="shared" si="34"/>
        <v>-16290.75</v>
      </c>
      <c r="G218" s="298"/>
      <c r="H218" s="299">
        <v>13733</v>
      </c>
      <c r="I218" s="282">
        <f t="shared" si="35"/>
        <v>9976.25</v>
      </c>
      <c r="J218" s="286">
        <f>+I218+I197</f>
        <v>1811.25</v>
      </c>
    </row>
    <row r="219" spans="1:10">
      <c r="A219" s="137" t="s">
        <v>172</v>
      </c>
      <c r="B219" s="338" t="s">
        <v>435</v>
      </c>
      <c r="C219" s="373">
        <v>120000</v>
      </c>
      <c r="D219" s="317">
        <v>61534.25</v>
      </c>
      <c r="E219" s="139" t="str">
        <f t="shared" si="33"/>
        <v/>
      </c>
      <c r="F219" s="175">
        <f t="shared" si="34"/>
        <v>-58465.75</v>
      </c>
      <c r="G219" s="298"/>
      <c r="H219" s="299">
        <v>5334</v>
      </c>
      <c r="I219" s="282">
        <f t="shared" si="35"/>
        <v>56200.25</v>
      </c>
      <c r="J219" s="286">
        <f>+I219+I198</f>
        <v>113400.25</v>
      </c>
    </row>
    <row r="220" spans="1:10">
      <c r="A220" s="137" t="s">
        <v>91</v>
      </c>
      <c r="B220" s="338" t="s">
        <v>436</v>
      </c>
      <c r="C220" s="373">
        <v>30000</v>
      </c>
      <c r="D220" s="357">
        <v>15589</v>
      </c>
      <c r="E220" s="139" t="str">
        <f t="shared" si="33"/>
        <v/>
      </c>
      <c r="F220" s="175">
        <f t="shared" si="34"/>
        <v>-14411</v>
      </c>
      <c r="G220" s="298"/>
      <c r="H220" s="299">
        <v>2922</v>
      </c>
      <c r="I220" s="282">
        <f t="shared" si="35"/>
        <v>12667</v>
      </c>
      <c r="J220" s="286">
        <f>+I220+I199</f>
        <v>36806</v>
      </c>
    </row>
    <row r="221" spans="1:10" ht="13.5" thickBot="1">
      <c r="A221" s="137" t="s">
        <v>17</v>
      </c>
      <c r="B221" s="147"/>
      <c r="C221" s="359">
        <f>SUM(C205:C220)</f>
        <v>2578670</v>
      </c>
      <c r="D221" s="359">
        <f>SUM(D205:D220)</f>
        <v>1099351.1499999999</v>
      </c>
      <c r="E221" s="172">
        <f>SUM(E205:E220)</f>
        <v>19643.75</v>
      </c>
      <c r="F221" s="174">
        <f t="shared" ref="F221" si="36">SUM(F205:F220)</f>
        <v>-1498962.5999999999</v>
      </c>
      <c r="G221" s="298"/>
      <c r="H221" s="292">
        <f>SUM(H205:H220)</f>
        <v>259660.88</v>
      </c>
      <c r="I221" s="292">
        <f>SUM(I205:I220)</f>
        <v>838876.52</v>
      </c>
    </row>
    <row r="222" spans="1:10" ht="13.5" thickTop="1">
      <c r="A222" s="146" t="s">
        <v>391</v>
      </c>
      <c r="B222" s="315" t="s">
        <v>392</v>
      </c>
      <c r="C222" s="366"/>
      <c r="D222" s="221"/>
      <c r="E222" s="163"/>
      <c r="F222" s="175"/>
      <c r="G222" s="298"/>
    </row>
    <row r="223" spans="1:10">
      <c r="A223" s="137" t="s">
        <v>27</v>
      </c>
      <c r="B223" s="315" t="s">
        <v>393</v>
      </c>
      <c r="C223" s="316">
        <v>3500000</v>
      </c>
      <c r="D223" s="221">
        <v>1296380</v>
      </c>
      <c r="E223" s="139" t="str">
        <f>IF((D223-C223)&gt;0,D223-C223,"")</f>
        <v/>
      </c>
      <c r="F223" s="175">
        <f>IF((D223-C223)&gt;0,"",D223-C223)</f>
        <v>-2203620</v>
      </c>
      <c r="G223" s="298"/>
      <c r="H223" s="280">
        <f>261615+35800</f>
        <v>297415</v>
      </c>
      <c r="I223" s="282">
        <f>+D223-H223</f>
        <v>998965</v>
      </c>
    </row>
    <row r="224" spans="1:10">
      <c r="A224" s="313" t="s">
        <v>432</v>
      </c>
      <c r="B224" s="338"/>
      <c r="C224" s="316"/>
      <c r="D224" s="221"/>
      <c r="E224" s="139" t="str">
        <f>IF((D224-C224)&gt;0,D224-C224,"")</f>
        <v/>
      </c>
      <c r="F224" s="175">
        <f>IF((D224-C224)&gt;0,"",D224-C224)</f>
        <v>0</v>
      </c>
      <c r="G224" s="298"/>
      <c r="I224" s="282"/>
    </row>
    <row r="225" spans="1:10">
      <c r="A225" s="137" t="s">
        <v>172</v>
      </c>
      <c r="B225" s="338" t="s">
        <v>435</v>
      </c>
      <c r="C225" s="316">
        <v>500000</v>
      </c>
      <c r="D225" s="221">
        <v>219010</v>
      </c>
      <c r="E225" s="139" t="str">
        <f>IF((D225-C225)&gt;0,D225-C225,"")</f>
        <v/>
      </c>
      <c r="F225" s="175">
        <f t="shared" ref="F225:F227" si="37">IF((D225-C225)&gt;0,"",D225-C225)</f>
        <v>-280990</v>
      </c>
      <c r="G225" s="298"/>
      <c r="H225" s="280">
        <v>48300</v>
      </c>
      <c r="I225" s="282">
        <f>+D225-H225</f>
        <v>170710</v>
      </c>
    </row>
    <row r="226" spans="1:10">
      <c r="A226" s="137" t="s">
        <v>255</v>
      </c>
      <c r="B226" s="338" t="s">
        <v>438</v>
      </c>
      <c r="C226" s="316">
        <v>7000</v>
      </c>
      <c r="D226" s="221">
        <v>4180</v>
      </c>
      <c r="E226" s="139" t="str">
        <f>IF((D226-C226)&gt;0,D226-C226,"")</f>
        <v/>
      </c>
      <c r="F226" s="175">
        <f t="shared" si="37"/>
        <v>-2820</v>
      </c>
      <c r="G226" s="298"/>
      <c r="H226" s="280">
        <v>800</v>
      </c>
      <c r="I226" s="282">
        <f>+D226-H226</f>
        <v>3380</v>
      </c>
    </row>
    <row r="227" spans="1:10">
      <c r="A227" s="137" t="s">
        <v>263</v>
      </c>
      <c r="B227" s="338" t="s">
        <v>441</v>
      </c>
      <c r="C227" s="356">
        <v>7000</v>
      </c>
      <c r="D227" s="221">
        <v>4180</v>
      </c>
      <c r="E227" s="139" t="str">
        <f>IF((D227-C227)&gt;0,D227-C227,"")</f>
        <v/>
      </c>
      <c r="F227" s="175">
        <f t="shared" si="37"/>
        <v>-2820</v>
      </c>
      <c r="G227" s="298"/>
      <c r="H227" s="280">
        <v>800</v>
      </c>
      <c r="I227" s="282">
        <f>+D227-H227</f>
        <v>3380</v>
      </c>
    </row>
    <row r="228" spans="1:10" ht="13.5" thickBot="1">
      <c r="A228" s="137"/>
      <c r="B228" s="147"/>
      <c r="C228" s="367">
        <f>SUM(C223:C227)</f>
        <v>4014000</v>
      </c>
      <c r="D228" s="399">
        <f t="shared" ref="D228:F228" si="38">SUM(D223:D227)</f>
        <v>1523750</v>
      </c>
      <c r="E228" s="189">
        <f>SUM(E223:E227)</f>
        <v>0</v>
      </c>
      <c r="F228" s="190">
        <f t="shared" si="38"/>
        <v>-2490250</v>
      </c>
      <c r="G228" s="298"/>
      <c r="H228" s="292">
        <f>SUM(H223:H227)</f>
        <v>347315</v>
      </c>
      <c r="I228" s="292">
        <f>SUM(I223:I227)</f>
        <v>1176435</v>
      </c>
    </row>
    <row r="229" spans="1:10" ht="13.5" thickTop="1">
      <c r="A229" s="137" t="s">
        <v>123</v>
      </c>
      <c r="B229" s="147"/>
      <c r="C229" s="356">
        <f>SUM(C228+C221+C202+C184+C167+C151+C132)</f>
        <v>112768670</v>
      </c>
      <c r="D229" s="316">
        <f>SUM(D228+D221+D202+D184+D167+D151+D132)</f>
        <v>46509674.240000002</v>
      </c>
      <c r="E229" s="140">
        <f>+E132+E151+E167+E184+E202+E221+E228</f>
        <v>136443.75</v>
      </c>
      <c r="F229" s="169">
        <f>SUM(F228+F221+F202+F184+F167+F151+F132)</f>
        <v>-66395439.50999999</v>
      </c>
      <c r="G229" s="298"/>
    </row>
    <row r="230" spans="1:10" ht="13.5" thickBot="1">
      <c r="A230" s="191" t="s">
        <v>107</v>
      </c>
      <c r="B230" s="192"/>
      <c r="C230" s="368">
        <f>+C229+C128</f>
        <v>1092930247</v>
      </c>
      <c r="D230" s="383">
        <f>+D229+D128</f>
        <v>571108351.03999996</v>
      </c>
      <c r="E230" s="193">
        <f>+E229+E128</f>
        <v>1235985.01</v>
      </c>
      <c r="F230" s="194">
        <f>+F229+F128</f>
        <v>-523060230.96999997</v>
      </c>
      <c r="G230" s="298"/>
    </row>
    <row r="231" spans="1:10" ht="13.5" thickTop="1">
      <c r="A231" s="171" t="s">
        <v>111</v>
      </c>
      <c r="B231" s="154"/>
      <c r="C231" s="357"/>
      <c r="D231" s="357"/>
      <c r="E231" s="153"/>
      <c r="F231" s="175"/>
      <c r="G231" s="298"/>
      <c r="H231" s="280">
        <f>D34+I242</f>
        <v>447448120.43000001</v>
      </c>
      <c r="I231" s="300">
        <v>121064830.92</v>
      </c>
      <c r="J231" s="286">
        <f>H231-I231</f>
        <v>326383289.50999999</v>
      </c>
    </row>
    <row r="232" spans="1:10" ht="14.25">
      <c r="A232" s="195"/>
      <c r="B232" s="435"/>
      <c r="C232" s="2"/>
      <c r="D232" s="400"/>
      <c r="E232" s="197"/>
      <c r="F232" s="199"/>
    </row>
    <row r="233" spans="1:10" ht="14.25">
      <c r="A233" s="466" t="s">
        <v>196</v>
      </c>
      <c r="B233" s="467"/>
      <c r="C233" s="2"/>
      <c r="D233" s="2"/>
      <c r="E233" s="200"/>
      <c r="F233" s="201"/>
    </row>
    <row r="234" spans="1:10" ht="14.25">
      <c r="A234" s="468" t="s">
        <v>400</v>
      </c>
      <c r="B234" s="469"/>
      <c r="C234" s="3"/>
      <c r="D234" s="401" t="s">
        <v>114</v>
      </c>
      <c r="E234" s="435"/>
      <c r="F234" s="201"/>
    </row>
    <row r="235" spans="1:10" ht="14.25">
      <c r="A235" s="171"/>
      <c r="B235" s="435"/>
      <c r="C235" s="4"/>
      <c r="D235" s="4"/>
      <c r="E235" s="435"/>
      <c r="F235" s="201"/>
    </row>
    <row r="236" spans="1:10" ht="15">
      <c r="A236" s="195"/>
      <c r="B236" s="435"/>
      <c r="C236" s="369"/>
      <c r="D236" s="470" t="s">
        <v>115</v>
      </c>
      <c r="E236" s="470"/>
      <c r="F236" s="471"/>
      <c r="H236" s="296"/>
      <c r="I236" s="240"/>
      <c r="J236" s="240" t="s">
        <v>187</v>
      </c>
    </row>
    <row r="237" spans="1:10" ht="14.25">
      <c r="A237" s="195"/>
      <c r="B237" s="435"/>
      <c r="C237" s="369"/>
      <c r="D237" s="472" t="s">
        <v>116</v>
      </c>
      <c r="E237" s="472"/>
      <c r="F237" s="473"/>
      <c r="H237" s="301" t="s">
        <v>179</v>
      </c>
      <c r="I237" s="302">
        <v>577500698.89999998</v>
      </c>
      <c r="J237" s="240" t="s">
        <v>185</v>
      </c>
    </row>
    <row r="238" spans="1:10" ht="14.25">
      <c r="A238" s="195"/>
      <c r="B238" s="435"/>
      <c r="C238" s="369"/>
      <c r="D238" s="372"/>
      <c r="E238" s="222"/>
      <c r="F238" s="223"/>
      <c r="H238" s="301"/>
      <c r="I238" s="240"/>
      <c r="J238" s="240"/>
    </row>
    <row r="239" spans="1:10" ht="14.25">
      <c r="A239" s="171" t="s">
        <v>117</v>
      </c>
      <c r="B239" s="435"/>
      <c r="C239" s="369"/>
      <c r="D239" s="369"/>
      <c r="E239" s="148"/>
      <c r="F239" s="223"/>
      <c r="H239" s="301" t="s">
        <v>180</v>
      </c>
      <c r="I239" s="296"/>
      <c r="J239" s="240" t="s">
        <v>185</v>
      </c>
    </row>
    <row r="240" spans="1:10">
      <c r="A240" s="171" t="s">
        <v>118</v>
      </c>
      <c r="B240" s="154"/>
      <c r="C240" s="369"/>
      <c r="D240" s="369"/>
      <c r="E240" s="154"/>
      <c r="F240" s="151"/>
      <c r="H240" s="429" t="s">
        <v>181</v>
      </c>
      <c r="I240" s="241">
        <v>3207012</v>
      </c>
      <c r="J240" s="240" t="s">
        <v>186</v>
      </c>
    </row>
    <row r="241" spans="1:10" ht="15.75" thickBot="1">
      <c r="A241" s="224"/>
      <c r="B241" s="156"/>
      <c r="C241" s="370"/>
      <c r="D241" s="370"/>
      <c r="E241" s="225"/>
      <c r="F241" s="205"/>
      <c r="H241" s="301" t="s">
        <v>189</v>
      </c>
      <c r="I241" s="296">
        <f>5171.56+4610.1</f>
        <v>9781.66</v>
      </c>
      <c r="J241" s="240" t="s">
        <v>184</v>
      </c>
    </row>
    <row r="242" spans="1:10" ht="11.25" customHeight="1">
      <c r="C242" s="371"/>
      <c r="F242" s="435"/>
      <c r="H242" s="301" t="s">
        <v>183</v>
      </c>
      <c r="I242" s="426">
        <v>3175554.2</v>
      </c>
      <c r="J242" s="240" t="s">
        <v>185</v>
      </c>
    </row>
    <row r="243" spans="1:10" ht="14.25">
      <c r="A243" s="148"/>
      <c r="B243" s="435"/>
      <c r="C243" s="3"/>
      <c r="D243" s="3"/>
      <c r="E243" s="202"/>
      <c r="F243" s="202"/>
      <c r="H243" s="296"/>
      <c r="I243" s="296">
        <f>I237-I239-I240-I242-I241</f>
        <v>571108351.03999996</v>
      </c>
      <c r="J243" s="240"/>
    </row>
    <row r="244" spans="1:10">
      <c r="A244" s="206"/>
      <c r="B244" s="207"/>
      <c r="C244" s="372"/>
      <c r="D244" s="372"/>
      <c r="H244" s="296"/>
      <c r="I244" s="296"/>
      <c r="J244" s="240"/>
    </row>
    <row r="245" spans="1:10">
      <c r="A245" s="206"/>
      <c r="B245" s="207"/>
      <c r="C245" s="372"/>
      <c r="D245" s="372"/>
      <c r="H245" s="296"/>
      <c r="I245" s="296"/>
      <c r="J245" s="240"/>
    </row>
    <row r="246" spans="1:10" ht="12.75" customHeight="1">
      <c r="A246" s="206"/>
      <c r="B246" s="207"/>
      <c r="C246" s="372"/>
      <c r="D246" s="372"/>
      <c r="H246" s="296" t="s">
        <v>182</v>
      </c>
      <c r="I246" s="296">
        <f>D230</f>
        <v>571108351.03999996</v>
      </c>
      <c r="J246" s="240"/>
    </row>
    <row r="247" spans="1:10">
      <c r="A247" s="206"/>
      <c r="B247" s="207"/>
      <c r="C247" s="372"/>
      <c r="D247" s="372"/>
      <c r="H247" s="296" t="s">
        <v>176</v>
      </c>
      <c r="I247" s="296">
        <f>I243-I246</f>
        <v>0</v>
      </c>
      <c r="J247" s="240"/>
    </row>
    <row r="248" spans="1:10">
      <c r="A248" s="206"/>
      <c r="B248" s="207"/>
      <c r="C248" s="372"/>
      <c r="D248" s="372"/>
    </row>
    <row r="249" spans="1:10" ht="11.25" customHeight="1">
      <c r="A249" s="206"/>
      <c r="B249" s="207"/>
      <c r="C249" s="372"/>
      <c r="D249" s="372"/>
    </row>
    <row r="250" spans="1:10">
      <c r="A250" s="206"/>
      <c r="B250" s="207"/>
      <c r="C250" s="372"/>
      <c r="D250" s="372"/>
      <c r="E250" s="279"/>
      <c r="F250" s="279"/>
      <c r="H250" s="279"/>
      <c r="I250" s="279"/>
    </row>
    <row r="251" spans="1:10" ht="12.75" customHeight="1">
      <c r="A251" s="206"/>
      <c r="B251" s="207"/>
      <c r="C251" s="372"/>
      <c r="D251" s="372"/>
      <c r="E251" s="279"/>
      <c r="F251" s="279"/>
      <c r="H251" s="279"/>
      <c r="I251" s="279"/>
    </row>
    <row r="252" spans="1:10" ht="13.5" customHeight="1">
      <c r="A252" s="206"/>
      <c r="B252" s="207"/>
      <c r="C252" s="372"/>
      <c r="D252" s="372"/>
      <c r="E252" s="279"/>
      <c r="F252" s="279"/>
      <c r="H252" s="279"/>
      <c r="I252" s="279"/>
    </row>
    <row r="253" spans="1:10">
      <c r="A253" s="206"/>
      <c r="B253" s="207"/>
      <c r="C253" s="372"/>
      <c r="D253" s="372"/>
      <c r="E253" s="279"/>
      <c r="F253" s="279"/>
      <c r="H253" s="279"/>
      <c r="I253" s="279"/>
    </row>
    <row r="254" spans="1:10">
      <c r="A254" s="206"/>
      <c r="B254" s="207"/>
      <c r="C254" s="372"/>
      <c r="D254" s="372"/>
      <c r="E254" s="279"/>
      <c r="F254" s="279"/>
      <c r="H254" s="279"/>
      <c r="I254" s="279"/>
    </row>
    <row r="255" spans="1:10">
      <c r="A255" s="206"/>
      <c r="B255" s="207"/>
      <c r="C255" s="372"/>
      <c r="D255" s="372"/>
      <c r="E255" s="279"/>
      <c r="F255" s="279"/>
      <c r="H255" s="279"/>
      <c r="I255" s="279"/>
    </row>
    <row r="256" spans="1:10">
      <c r="A256" s="206"/>
      <c r="B256" s="207"/>
      <c r="C256" s="372"/>
      <c r="D256" s="372"/>
      <c r="E256" s="279"/>
      <c r="F256" s="279"/>
      <c r="H256" s="279"/>
      <c r="I256" s="279"/>
    </row>
    <row r="257" spans="1:9">
      <c r="A257" s="206"/>
      <c r="B257" s="207"/>
      <c r="C257" s="222"/>
      <c r="D257" s="372"/>
      <c r="E257" s="279"/>
      <c r="F257" s="279"/>
      <c r="H257" s="279"/>
      <c r="I257" s="279"/>
    </row>
    <row r="258" spans="1:9">
      <c r="A258" s="206"/>
      <c r="B258" s="207"/>
      <c r="C258" s="222"/>
      <c r="D258" s="372"/>
      <c r="E258" s="279"/>
      <c r="F258" s="279"/>
      <c r="H258" s="279"/>
      <c r="I258" s="279"/>
    </row>
    <row r="259" spans="1:9">
      <c r="A259" s="206"/>
      <c r="B259" s="207"/>
      <c r="C259" s="222"/>
      <c r="D259" s="372"/>
      <c r="E259" s="279"/>
      <c r="F259" s="279"/>
      <c r="H259" s="279"/>
      <c r="I259" s="279"/>
    </row>
    <row r="260" spans="1:9">
      <c r="A260" s="206"/>
      <c r="B260" s="207"/>
      <c r="C260" s="222"/>
      <c r="D260" s="372"/>
      <c r="E260" s="279"/>
      <c r="F260" s="279"/>
      <c r="H260" s="279"/>
      <c r="I260" s="279"/>
    </row>
    <row r="261" spans="1:9">
      <c r="A261" s="206"/>
      <c r="B261" s="207"/>
      <c r="C261" s="222"/>
      <c r="D261" s="372"/>
      <c r="E261" s="279"/>
      <c r="F261" s="279"/>
      <c r="H261" s="279"/>
      <c r="I261" s="279"/>
    </row>
    <row r="262" spans="1:9">
      <c r="A262" s="206"/>
      <c r="B262" s="207"/>
      <c r="C262" s="222"/>
      <c r="D262" s="372"/>
      <c r="E262" s="279"/>
      <c r="F262" s="279"/>
      <c r="H262" s="279"/>
      <c r="I262" s="279"/>
    </row>
    <row r="263" spans="1:9">
      <c r="A263" s="206"/>
      <c r="B263" s="207"/>
      <c r="C263" s="222"/>
      <c r="D263" s="372"/>
      <c r="E263" s="279"/>
      <c r="F263" s="279"/>
      <c r="H263" s="279"/>
      <c r="I263" s="279"/>
    </row>
    <row r="264" spans="1:9">
      <c r="A264" s="206"/>
      <c r="B264" s="207"/>
      <c r="C264" s="222"/>
      <c r="D264" s="372"/>
      <c r="E264" s="279"/>
      <c r="F264" s="279"/>
      <c r="H264" s="279"/>
      <c r="I264" s="279"/>
    </row>
    <row r="265" spans="1:9">
      <c r="A265" s="206"/>
      <c r="B265" s="207"/>
      <c r="C265" s="222"/>
      <c r="D265" s="372"/>
      <c r="E265" s="279"/>
      <c r="F265" s="279"/>
      <c r="H265" s="279"/>
      <c r="I265" s="279"/>
    </row>
    <row r="266" spans="1:9">
      <c r="A266" s="206"/>
      <c r="B266" s="207"/>
      <c r="C266" s="222"/>
      <c r="D266" s="372"/>
      <c r="E266" s="279"/>
      <c r="F266" s="279"/>
      <c r="H266" s="279"/>
      <c r="I266" s="279"/>
    </row>
    <row r="267" spans="1:9">
      <c r="A267" s="206"/>
      <c r="B267" s="207"/>
      <c r="C267" s="222"/>
      <c r="D267" s="372"/>
      <c r="E267" s="279"/>
      <c r="F267" s="279"/>
      <c r="H267" s="279"/>
      <c r="I267" s="279"/>
    </row>
    <row r="268" spans="1:9">
      <c r="A268" s="206"/>
      <c r="B268" s="207"/>
      <c r="C268" s="222"/>
      <c r="D268" s="372"/>
      <c r="E268" s="279"/>
      <c r="F268" s="279"/>
      <c r="H268" s="279"/>
      <c r="I268" s="279"/>
    </row>
    <row r="269" spans="1:9">
      <c r="A269" s="206"/>
      <c r="B269" s="207"/>
      <c r="C269" s="222"/>
      <c r="D269" s="372"/>
      <c r="E269" s="279"/>
      <c r="F269" s="279"/>
      <c r="H269" s="279"/>
      <c r="I269" s="279"/>
    </row>
    <row r="270" spans="1:9">
      <c r="A270" s="206"/>
      <c r="B270" s="207"/>
      <c r="C270" s="222"/>
      <c r="D270" s="372"/>
      <c r="E270" s="279"/>
      <c r="F270" s="279"/>
      <c r="H270" s="279"/>
      <c r="I270" s="279"/>
    </row>
    <row r="271" spans="1:9">
      <c r="A271" s="206"/>
      <c r="B271" s="207"/>
      <c r="C271" s="222"/>
      <c r="D271" s="372"/>
      <c r="E271" s="279"/>
      <c r="F271" s="279"/>
      <c r="H271" s="279"/>
      <c r="I271" s="279"/>
    </row>
    <row r="272" spans="1:9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206"/>
      <c r="B283" s="207"/>
      <c r="C283" s="222"/>
      <c r="D283" s="372"/>
      <c r="E283" s="279"/>
      <c r="F283" s="279"/>
      <c r="H283" s="279"/>
      <c r="I283" s="279"/>
    </row>
    <row r="284" spans="1:9">
      <c r="A284" s="148"/>
      <c r="B284" s="154"/>
      <c r="C284" s="222"/>
      <c r="D284" s="372"/>
      <c r="E284" s="279"/>
      <c r="F284" s="279"/>
      <c r="H284" s="279"/>
      <c r="I284" s="279"/>
    </row>
    <row r="285" spans="1:9">
      <c r="A285" s="148"/>
      <c r="B285" s="154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  <row r="290" spans="1:9">
      <c r="A290" s="148"/>
      <c r="B290" s="154"/>
      <c r="C290" s="222"/>
      <c r="D290" s="372"/>
      <c r="E290" s="279"/>
      <c r="F290" s="279"/>
      <c r="H290" s="279"/>
      <c r="I290" s="279"/>
    </row>
  </sheetData>
  <mergeCells count="10">
    <mergeCell ref="A233:B233"/>
    <mergeCell ref="A234:B234"/>
    <mergeCell ref="D236:F236"/>
    <mergeCell ref="D237:F237"/>
    <mergeCell ref="A3:F3"/>
    <mergeCell ref="A4:F4"/>
    <mergeCell ref="A7:A8"/>
    <mergeCell ref="B7:B8"/>
    <mergeCell ref="E7:E8"/>
    <mergeCell ref="F7:F8"/>
  </mergeCells>
  <conditionalFormatting sqref="F129">
    <cfRule type="cellIs" dxfId="2" priority="1" stopIfTrue="1" operator="greaterThan">
      <formula>0</formula>
    </cfRule>
  </conditionalFormatting>
  <pageMargins left="0.441176470588235" right="0.12" top="0.40625" bottom="0.85416666666666696" header="0.5" footer="0.5"/>
  <pageSetup paperSize="258" scale="97" fitToHeight="0" orientation="portrait" verticalDpi="180" r:id="rId1"/>
  <headerFooter alignWithMargins="0">
    <oddFooter>Page &amp;P of &amp;N</oddFooter>
  </headerFooter>
  <rowBreaks count="3" manualBreakCount="3">
    <brk id="70" max="10" man="1"/>
    <brk id="133" max="10" man="1"/>
    <brk id="193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view="pageBreakPreview" zoomScaleNormal="115" zoomScaleSheetLayoutView="100" zoomScalePageLayoutView="98" workbookViewId="0">
      <selection activeCell="G1" sqref="G1:P1048576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hidden="1" customWidth="1"/>
    <col min="8" max="8" width="15.85546875" style="280" hidden="1" customWidth="1"/>
    <col min="9" max="9" width="15.140625" style="213" hidden="1" customWidth="1"/>
    <col min="10" max="10" width="32.7109375" style="279" hidden="1" customWidth="1"/>
    <col min="11" max="11" width="17.28515625" style="280" hidden="1" customWidth="1"/>
    <col min="12" max="12" width="12.85546875" style="279" hidden="1" customWidth="1"/>
    <col min="13" max="13" width="14.5703125" style="279" hidden="1" customWidth="1"/>
    <col min="14" max="16" width="0" style="279" hidden="1" customWidth="1"/>
    <col min="17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470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37"/>
      <c r="C6" s="307"/>
      <c r="D6" s="334"/>
      <c r="E6" s="307"/>
      <c r="F6" s="308"/>
      <c r="H6" s="281" t="s">
        <v>154</v>
      </c>
      <c r="I6" s="211" t="s">
        <v>176</v>
      </c>
      <c r="K6" s="419"/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351675</v>
      </c>
      <c r="E11" s="140" t="str">
        <f>IF((D11-C11)&gt;0,D11-C11,"")</f>
        <v/>
      </c>
      <c r="F11" s="175">
        <f>IF((D11-C11)&gt;0,"",D11-C11)</f>
        <v>-28325</v>
      </c>
      <c r="H11" s="280">
        <v>351675</v>
      </c>
      <c r="I11" s="282">
        <f>D11-H11</f>
        <v>0</v>
      </c>
      <c r="L11" s="286"/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2" si="0">IF((D12-C12)&gt;0,D12-C12,"")</f>
        <v/>
      </c>
      <c r="F12" s="175">
        <f t="shared" ref="F12:F32" si="1">IF((D12-C12)&gt;0,"",D12-C12)</f>
        <v>0</v>
      </c>
      <c r="I12" s="282">
        <f t="shared" ref="I12:I33" si="2">D12-H12</f>
        <v>0</v>
      </c>
      <c r="L12" s="286"/>
    </row>
    <row r="13" spans="1:13">
      <c r="A13" s="137" t="s">
        <v>50</v>
      </c>
      <c r="B13" s="338" t="s">
        <v>203</v>
      </c>
      <c r="C13" s="316">
        <v>5000000</v>
      </c>
      <c r="D13" s="365">
        <v>4303191.5</v>
      </c>
      <c r="E13" s="140" t="str">
        <f t="shared" si="0"/>
        <v/>
      </c>
      <c r="F13" s="175">
        <f t="shared" si="1"/>
        <v>-696808.5</v>
      </c>
      <c r="H13" s="280">
        <v>4303191.59</v>
      </c>
      <c r="I13" s="282">
        <f t="shared" si="2"/>
        <v>-8.9999999850988388E-2</v>
      </c>
      <c r="K13" s="423"/>
      <c r="L13" s="286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1274677.79</v>
      </c>
      <c r="E14" s="140" t="str">
        <f t="shared" si="0"/>
        <v/>
      </c>
      <c r="F14" s="175">
        <f t="shared" si="1"/>
        <v>-225322.20999999996</v>
      </c>
      <c r="H14" s="280">
        <v>1274677.79</v>
      </c>
      <c r="I14" s="282">
        <f t="shared" si="2"/>
        <v>0</v>
      </c>
      <c r="L14" s="286"/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75">
        <f t="shared" si="1"/>
        <v>0</v>
      </c>
      <c r="I15" s="282">
        <f t="shared" si="2"/>
        <v>0</v>
      </c>
      <c r="L15" s="286"/>
    </row>
    <row r="16" spans="1:13">
      <c r="A16" s="137" t="s">
        <v>217</v>
      </c>
      <c r="B16" s="338" t="s">
        <v>220</v>
      </c>
      <c r="C16" s="316">
        <v>45000000</v>
      </c>
      <c r="D16" s="380">
        <f>40149831.19-3696489.73</f>
        <v>36453341.460000001</v>
      </c>
      <c r="E16" s="140" t="str">
        <f t="shared" si="0"/>
        <v/>
      </c>
      <c r="F16" s="175">
        <f t="shared" si="1"/>
        <v>-8546658.5399999991</v>
      </c>
      <c r="H16" s="415">
        <v>34046104.780000001</v>
      </c>
      <c r="I16" s="282">
        <f t="shared" si="2"/>
        <v>2407236.6799999997</v>
      </c>
      <c r="J16" s="284" t="s">
        <v>454</v>
      </c>
      <c r="L16" s="286"/>
    </row>
    <row r="17" spans="1:12">
      <c r="A17" s="137" t="s">
        <v>218</v>
      </c>
      <c r="B17" s="338" t="s">
        <v>221</v>
      </c>
      <c r="C17" s="316">
        <v>7500000</v>
      </c>
      <c r="D17" s="365">
        <v>5405007.4900000002</v>
      </c>
      <c r="E17" s="140" t="str">
        <f t="shared" si="0"/>
        <v/>
      </c>
      <c r="F17" s="175">
        <f t="shared" si="1"/>
        <v>-2094992.5099999998</v>
      </c>
      <c r="H17" s="280">
        <v>5405007.5199999996</v>
      </c>
      <c r="I17" s="282">
        <f t="shared" si="2"/>
        <v>-2.9999999329447746E-2</v>
      </c>
      <c r="L17" s="286"/>
    </row>
    <row r="18" spans="1:12">
      <c r="A18" s="313" t="s">
        <v>222</v>
      </c>
      <c r="B18" s="338" t="s">
        <v>223</v>
      </c>
      <c r="C18" s="316">
        <v>200000</v>
      </c>
      <c r="D18" s="365">
        <v>79111.02</v>
      </c>
      <c r="E18" s="140" t="str">
        <f t="shared" si="0"/>
        <v/>
      </c>
      <c r="F18" s="175">
        <f t="shared" si="1"/>
        <v>-120888.98</v>
      </c>
      <c r="H18" s="280">
        <v>79111.02</v>
      </c>
      <c r="I18" s="282">
        <f t="shared" si="2"/>
        <v>0</v>
      </c>
      <c r="L18" s="286"/>
    </row>
    <row r="19" spans="1:12">
      <c r="A19" s="313" t="s">
        <v>401</v>
      </c>
      <c r="B19" s="338" t="s">
        <v>215</v>
      </c>
      <c r="C19" s="316">
        <v>6000000</v>
      </c>
      <c r="D19" s="365">
        <v>4444793.49</v>
      </c>
      <c r="E19" s="140" t="str">
        <f t="shared" si="0"/>
        <v/>
      </c>
      <c r="F19" s="175">
        <f t="shared" si="1"/>
        <v>-1555206.5099999998</v>
      </c>
      <c r="H19" s="280">
        <v>4444793.49</v>
      </c>
      <c r="I19" s="282">
        <f t="shared" si="2"/>
        <v>0</v>
      </c>
      <c r="L19" s="286"/>
    </row>
    <row r="20" spans="1:12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  <c r="L20" s="286"/>
    </row>
    <row r="21" spans="1:12">
      <c r="A21" s="313" t="s">
        <v>47</v>
      </c>
      <c r="B21" s="338" t="s">
        <v>200</v>
      </c>
      <c r="C21" s="316">
        <v>170000000</v>
      </c>
      <c r="D21" s="365">
        <v>134689193.91999999</v>
      </c>
      <c r="E21" s="140" t="str">
        <f t="shared" si="0"/>
        <v/>
      </c>
      <c r="F21" s="175">
        <f t="shared" si="1"/>
        <v>-35310806.080000013</v>
      </c>
      <c r="H21" s="280">
        <v>134689193.91999999</v>
      </c>
      <c r="I21" s="282">
        <f t="shared" si="2"/>
        <v>0</v>
      </c>
      <c r="J21" s="323"/>
      <c r="L21" s="286"/>
    </row>
    <row r="22" spans="1:12">
      <c r="A22" s="137" t="s">
        <v>48</v>
      </c>
      <c r="B22" s="338" t="s">
        <v>201</v>
      </c>
      <c r="C22" s="316">
        <v>3000000</v>
      </c>
      <c r="D22" s="365">
        <v>2580805.7599999998</v>
      </c>
      <c r="E22" s="140" t="str">
        <f t="shared" si="0"/>
        <v/>
      </c>
      <c r="F22" s="175">
        <f t="shared" si="1"/>
        <v>-419194.24000000022</v>
      </c>
      <c r="H22" s="280">
        <v>2580805.7599999998</v>
      </c>
      <c r="I22" s="282">
        <f t="shared" si="2"/>
        <v>0</v>
      </c>
      <c r="J22" s="323"/>
      <c r="L22" s="286"/>
    </row>
    <row r="23" spans="1:12">
      <c r="A23" s="313" t="s">
        <v>190</v>
      </c>
      <c r="B23" s="338" t="s">
        <v>225</v>
      </c>
      <c r="C23" s="316">
        <v>2700000</v>
      </c>
      <c r="D23" s="365">
        <v>1413367.5</v>
      </c>
      <c r="E23" s="140" t="str">
        <f t="shared" si="0"/>
        <v/>
      </c>
      <c r="F23" s="175">
        <f t="shared" si="1"/>
        <v>-1286632.5</v>
      </c>
      <c r="H23" s="280">
        <v>1413367.51</v>
      </c>
      <c r="I23" s="283">
        <f>D23-H23</f>
        <v>-1.0000000009313226E-2</v>
      </c>
      <c r="L23" s="286"/>
    </row>
    <row r="24" spans="1:12">
      <c r="A24" s="313" t="s">
        <v>33</v>
      </c>
      <c r="B24" s="338" t="s">
        <v>224</v>
      </c>
      <c r="C24" s="316">
        <v>1500000</v>
      </c>
      <c r="D24" s="365">
        <v>1034500</v>
      </c>
      <c r="E24" s="140" t="str">
        <f t="shared" si="0"/>
        <v/>
      </c>
      <c r="F24" s="175">
        <f t="shared" si="1"/>
        <v>-465500</v>
      </c>
      <c r="H24" s="280">
        <v>1034500</v>
      </c>
      <c r="I24" s="282">
        <f t="shared" si="2"/>
        <v>0</v>
      </c>
      <c r="L24" s="286"/>
    </row>
    <row r="25" spans="1:12">
      <c r="A25" s="313" t="s">
        <v>31</v>
      </c>
      <c r="B25" s="338" t="s">
        <v>197</v>
      </c>
      <c r="C25" s="316">
        <v>2700000</v>
      </c>
      <c r="D25" s="365">
        <v>2850626.2</v>
      </c>
      <c r="E25" s="140">
        <f t="shared" si="0"/>
        <v>150626.20000000019</v>
      </c>
      <c r="F25" s="175" t="str">
        <f t="shared" si="1"/>
        <v/>
      </c>
      <c r="H25" s="280">
        <v>2850626.2</v>
      </c>
      <c r="I25" s="282">
        <f t="shared" si="2"/>
        <v>0</v>
      </c>
      <c r="J25" s="288"/>
      <c r="L25" s="286"/>
    </row>
    <row r="26" spans="1:12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  <c r="L26" s="286"/>
    </row>
    <row r="27" spans="1:12">
      <c r="A27" s="313" t="s">
        <v>206</v>
      </c>
      <c r="B27" s="338" t="s">
        <v>208</v>
      </c>
      <c r="C27" s="316">
        <v>3300000</v>
      </c>
      <c r="D27" s="365">
        <v>1987388.89</v>
      </c>
      <c r="E27" s="140" t="str">
        <f t="shared" si="0"/>
        <v/>
      </c>
      <c r="F27" s="175">
        <f t="shared" si="1"/>
        <v>-1312611.1100000001</v>
      </c>
      <c r="H27" s="280">
        <v>1987388.89</v>
      </c>
      <c r="I27" s="282">
        <f t="shared" si="2"/>
        <v>0</v>
      </c>
      <c r="L27" s="286"/>
    </row>
    <row r="28" spans="1:12">
      <c r="A28" s="137" t="s">
        <v>207</v>
      </c>
      <c r="B28" s="338" t="s">
        <v>209</v>
      </c>
      <c r="C28" s="316">
        <v>586250</v>
      </c>
      <c r="D28" s="333">
        <v>433165</v>
      </c>
      <c r="E28" s="140" t="str">
        <f t="shared" si="0"/>
        <v/>
      </c>
      <c r="F28" s="175">
        <f t="shared" si="1"/>
        <v>-153085</v>
      </c>
      <c r="H28" s="280">
        <v>433115</v>
      </c>
      <c r="I28" s="282">
        <f>D28-H28</f>
        <v>50</v>
      </c>
      <c r="J28" s="323"/>
      <c r="L28" s="427"/>
    </row>
    <row r="29" spans="1:12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  <c r="L29" s="286"/>
    </row>
    <row r="30" spans="1:12">
      <c r="A30" s="313" t="s">
        <v>227</v>
      </c>
      <c r="B30" s="138" t="s">
        <v>229</v>
      </c>
      <c r="C30" s="316">
        <v>4000000</v>
      </c>
      <c r="D30" s="365">
        <v>2531182.85</v>
      </c>
      <c r="E30" s="140" t="str">
        <f t="shared" si="0"/>
        <v/>
      </c>
      <c r="F30" s="175">
        <f t="shared" si="1"/>
        <v>-1468817.15</v>
      </c>
      <c r="H30" s="280">
        <v>2531182.79</v>
      </c>
      <c r="I30" s="282">
        <f>D30-H30</f>
        <v>6.0000000055879354E-2</v>
      </c>
      <c r="L30" s="286"/>
    </row>
    <row r="31" spans="1:12">
      <c r="A31" s="313" t="s">
        <v>426</v>
      </c>
      <c r="B31" s="338" t="s">
        <v>427</v>
      </c>
      <c r="C31" s="316">
        <v>5600000</v>
      </c>
      <c r="D31" s="365">
        <v>3668457.93</v>
      </c>
      <c r="E31" s="140" t="str">
        <f t="shared" si="0"/>
        <v/>
      </c>
      <c r="F31" s="175">
        <f t="shared" si="1"/>
        <v>-1931542.0699999998</v>
      </c>
      <c r="H31" s="280">
        <v>3668457.93</v>
      </c>
      <c r="I31" s="282">
        <f t="shared" si="2"/>
        <v>0</v>
      </c>
      <c r="J31" s="284"/>
      <c r="L31" s="286"/>
    </row>
    <row r="32" spans="1:12">
      <c r="A32" s="137" t="s">
        <v>35</v>
      </c>
      <c r="B32" s="338" t="s">
        <v>329</v>
      </c>
      <c r="C32" s="316">
        <f>605000000+5210827</f>
        <v>610210827</v>
      </c>
      <c r="D32" s="316">
        <v>305105412</v>
      </c>
      <c r="E32" s="140" t="str">
        <f t="shared" si="0"/>
        <v/>
      </c>
      <c r="F32" s="175">
        <f t="shared" si="1"/>
        <v>-305105415</v>
      </c>
      <c r="H32" s="280">
        <v>305105412</v>
      </c>
      <c r="I32" s="282">
        <f>D32-H32</f>
        <v>0</v>
      </c>
    </row>
    <row r="33" spans="1:13">
      <c r="A33" s="313"/>
      <c r="B33" s="338"/>
      <c r="C33" s="356"/>
      <c r="D33" s="356"/>
      <c r="E33" s="140" t="str">
        <f t="shared" ref="E33" si="3">IF((D33-C33)&gt;0,D33-C33,"")</f>
        <v/>
      </c>
      <c r="F33" s="175">
        <f t="shared" ref="F33" si="4">IF((D33-C33)&gt;0,"",D33-C33)</f>
        <v>0</v>
      </c>
      <c r="I33" s="282">
        <f t="shared" si="2"/>
        <v>0</v>
      </c>
      <c r="L33" s="286"/>
    </row>
    <row r="34" spans="1:13" ht="13.5" thickBot="1">
      <c r="A34" s="137" t="s">
        <v>34</v>
      </c>
      <c r="B34" s="138"/>
      <c r="C34" s="143">
        <f>SUM(C11:C33)</f>
        <v>869177077</v>
      </c>
      <c r="D34" s="381">
        <f t="shared" ref="D34:F34" si="5">SUM(D11:D33)</f>
        <v>508605897.79999995</v>
      </c>
      <c r="E34" s="144">
        <f t="shared" si="5"/>
        <v>150626.20000000019</v>
      </c>
      <c r="F34" s="145">
        <f t="shared" si="5"/>
        <v>-360721805.40000004</v>
      </c>
      <c r="H34" s="289">
        <f>SUM(H11:H33)</f>
        <v>506198611.18999994</v>
      </c>
      <c r="I34" s="290">
        <f>SUM(I11:I33)</f>
        <v>2407286.6100000008</v>
      </c>
      <c r="L34" s="286"/>
    </row>
    <row r="35" spans="1:13" ht="13.5" thickTop="1">
      <c r="A35" s="355" t="s">
        <v>397</v>
      </c>
      <c r="B35" s="147"/>
      <c r="C35" s="148"/>
      <c r="D35" s="382"/>
      <c r="E35" s="150"/>
      <c r="F35" s="151"/>
      <c r="I35" s="282"/>
      <c r="L35" s="286"/>
    </row>
    <row r="36" spans="1:13">
      <c r="A36" s="137" t="s">
        <v>53</v>
      </c>
      <c r="B36" s="138" t="s">
        <v>236</v>
      </c>
      <c r="C36" s="139"/>
      <c r="D36" s="365"/>
      <c r="E36" s="140" t="str">
        <f t="shared" ref="E36" si="6">IF((D36-C36)&gt;0,D36-C36,"")</f>
        <v/>
      </c>
      <c r="F36" s="175">
        <f t="shared" ref="F36" si="7">IF((D36-C36)&gt;0,"",D36-C36)</f>
        <v>0</v>
      </c>
      <c r="I36" s="282"/>
      <c r="L36" s="286"/>
    </row>
    <row r="37" spans="1:13">
      <c r="A37" s="137" t="s">
        <v>65</v>
      </c>
      <c r="B37" s="138" t="s">
        <v>245</v>
      </c>
      <c r="C37" s="139">
        <v>500000</v>
      </c>
      <c r="D37" s="365">
        <v>103913.5</v>
      </c>
      <c r="E37" s="140" t="str">
        <f>IF((D37-C37)&gt;0,D37-C37,"")</f>
        <v/>
      </c>
      <c r="F37" s="175">
        <f>IF((D37-C37)&gt;0,"",D37-C37)</f>
        <v>-396086.5</v>
      </c>
      <c r="H37" s="280">
        <v>103913.5</v>
      </c>
      <c r="I37" s="282">
        <f t="shared" ref="I37:I107" si="8">D37-H37</f>
        <v>0</v>
      </c>
      <c r="L37" s="286"/>
    </row>
    <row r="38" spans="1:13">
      <c r="A38" s="137" t="s">
        <v>66</v>
      </c>
      <c r="B38" s="138" t="s">
        <v>246</v>
      </c>
      <c r="C38" s="139">
        <v>5100000</v>
      </c>
      <c r="D38" s="380">
        <v>3877580.21</v>
      </c>
      <c r="E38" s="140" t="str">
        <f t="shared" ref="E38:E101" si="9">IF((D38-C38)&gt;0,D38-C38,"")</f>
        <v/>
      </c>
      <c r="F38" s="175">
        <f t="shared" ref="F38:F101" si="10">IF((D38-C38)&gt;0,"",D38-C38)</f>
        <v>-1222419.79</v>
      </c>
      <c r="H38" s="419">
        <v>3882878.97</v>
      </c>
      <c r="I38" s="282">
        <f>D38-H38</f>
        <v>-5298.7600000002421</v>
      </c>
      <c r="J38" s="279" t="s">
        <v>424</v>
      </c>
      <c r="L38" s="286"/>
    </row>
    <row r="39" spans="1:13">
      <c r="A39" s="137" t="s">
        <v>67</v>
      </c>
      <c r="B39" s="138" t="s">
        <v>247</v>
      </c>
      <c r="C39" s="139">
        <v>100000</v>
      </c>
      <c r="D39" s="365">
        <v>27965</v>
      </c>
      <c r="E39" s="140" t="str">
        <f t="shared" si="9"/>
        <v/>
      </c>
      <c r="F39" s="175">
        <f t="shared" si="10"/>
        <v>-72035</v>
      </c>
      <c r="H39" s="280">
        <v>27965</v>
      </c>
      <c r="I39" s="282">
        <f t="shared" si="8"/>
        <v>0</v>
      </c>
      <c r="L39" s="286"/>
    </row>
    <row r="40" spans="1:13">
      <c r="A40" s="137" t="s">
        <v>68</v>
      </c>
      <c r="B40" s="138" t="s">
        <v>248</v>
      </c>
      <c r="C40" s="139">
        <v>3200000</v>
      </c>
      <c r="D40" s="365">
        <v>1414711.88</v>
      </c>
      <c r="E40" s="140" t="str">
        <f t="shared" si="9"/>
        <v/>
      </c>
      <c r="F40" s="175">
        <f t="shared" si="10"/>
        <v>-1785288.12</v>
      </c>
      <c r="H40" s="280">
        <v>1417856.88</v>
      </c>
      <c r="I40" s="282">
        <f t="shared" si="8"/>
        <v>-3145</v>
      </c>
      <c r="J40" s="279" t="s">
        <v>424</v>
      </c>
      <c r="L40" s="286"/>
    </row>
    <row r="41" spans="1:13">
      <c r="A41" s="137" t="s">
        <v>69</v>
      </c>
      <c r="B41" s="138" t="s">
        <v>249</v>
      </c>
      <c r="C41" s="139">
        <v>1200000</v>
      </c>
      <c r="D41" s="365">
        <v>68770</v>
      </c>
      <c r="E41" s="140" t="str">
        <f t="shared" si="9"/>
        <v/>
      </c>
      <c r="F41" s="175">
        <f t="shared" si="10"/>
        <v>-1131230</v>
      </c>
      <c r="H41" s="280">
        <v>68770</v>
      </c>
      <c r="I41" s="282">
        <f t="shared" si="8"/>
        <v>0</v>
      </c>
      <c r="L41" s="286"/>
    </row>
    <row r="42" spans="1:13">
      <c r="A42" s="137" t="s">
        <v>56</v>
      </c>
      <c r="B42" s="138" t="s">
        <v>237</v>
      </c>
      <c r="C42" s="139">
        <v>11000000</v>
      </c>
      <c r="D42" s="365">
        <v>10987204.630000001</v>
      </c>
      <c r="E42" s="140" t="str">
        <f t="shared" si="9"/>
        <v/>
      </c>
      <c r="F42" s="175">
        <f t="shared" si="10"/>
        <v>-12795.36999999918</v>
      </c>
      <c r="H42" s="280">
        <v>10986204.630000001</v>
      </c>
      <c r="I42" s="282">
        <f t="shared" si="8"/>
        <v>1000</v>
      </c>
      <c r="J42" s="279" t="s">
        <v>424</v>
      </c>
      <c r="L42" s="425"/>
      <c r="M42" s="323"/>
    </row>
    <row r="43" spans="1:13">
      <c r="A43" s="137" t="s">
        <v>57</v>
      </c>
      <c r="B43" s="138" t="s">
        <v>238</v>
      </c>
      <c r="C43" s="139">
        <v>50000</v>
      </c>
      <c r="D43" s="365">
        <v>3453</v>
      </c>
      <c r="E43" s="140" t="str">
        <f t="shared" si="9"/>
        <v/>
      </c>
      <c r="F43" s="175">
        <f t="shared" si="10"/>
        <v>-46547</v>
      </c>
      <c r="H43" s="280">
        <v>3453</v>
      </c>
      <c r="I43" s="282">
        <f t="shared" si="8"/>
        <v>0</v>
      </c>
      <c r="L43" s="286"/>
    </row>
    <row r="44" spans="1:13">
      <c r="A44" s="137" t="s">
        <v>58</v>
      </c>
      <c r="B44" s="138" t="s">
        <v>239</v>
      </c>
      <c r="C44" s="139">
        <v>180000</v>
      </c>
      <c r="D44" s="365">
        <v>195250</v>
      </c>
      <c r="E44" s="140">
        <f t="shared" si="9"/>
        <v>15250</v>
      </c>
      <c r="F44" s="175" t="str">
        <f t="shared" si="10"/>
        <v/>
      </c>
      <c r="H44" s="280">
        <v>195250</v>
      </c>
      <c r="I44" s="282">
        <f t="shared" si="8"/>
        <v>0</v>
      </c>
      <c r="L44" s="286"/>
    </row>
    <row r="45" spans="1:13">
      <c r="A45" s="137" t="s">
        <v>54</v>
      </c>
      <c r="B45" s="138" t="s">
        <v>241</v>
      </c>
      <c r="C45" s="139"/>
      <c r="D45" s="365"/>
      <c r="E45" s="140" t="str">
        <f t="shared" si="9"/>
        <v/>
      </c>
      <c r="F45" s="175">
        <f t="shared" si="10"/>
        <v>0</v>
      </c>
      <c r="I45" s="282">
        <f t="shared" si="8"/>
        <v>0</v>
      </c>
      <c r="L45" s="286"/>
    </row>
    <row r="46" spans="1:13">
      <c r="A46" s="137" t="s">
        <v>55</v>
      </c>
      <c r="B46" s="138" t="s">
        <v>242</v>
      </c>
      <c r="C46" s="139">
        <v>100000</v>
      </c>
      <c r="D46" s="365">
        <v>59955</v>
      </c>
      <c r="E46" s="140" t="str">
        <f t="shared" si="9"/>
        <v/>
      </c>
      <c r="F46" s="175">
        <f t="shared" si="10"/>
        <v>-40045</v>
      </c>
      <c r="G46" s="420" t="s">
        <v>422</v>
      </c>
      <c r="H46" s="421"/>
      <c r="I46" s="422">
        <f t="shared" si="8"/>
        <v>59955</v>
      </c>
      <c r="L46" s="286"/>
    </row>
    <row r="47" spans="1:13">
      <c r="A47" s="137" t="s">
        <v>59</v>
      </c>
      <c r="B47" s="138" t="s">
        <v>243</v>
      </c>
      <c r="C47" s="139">
        <v>50000</v>
      </c>
      <c r="D47" s="365">
        <v>3000</v>
      </c>
      <c r="E47" s="140" t="str">
        <f t="shared" si="9"/>
        <v/>
      </c>
      <c r="F47" s="175">
        <f t="shared" si="10"/>
        <v>-47000</v>
      </c>
      <c r="H47" s="280">
        <v>3000</v>
      </c>
      <c r="I47" s="282">
        <f t="shared" si="8"/>
        <v>0</v>
      </c>
      <c r="L47" s="427"/>
    </row>
    <row r="48" spans="1:13">
      <c r="A48" s="137" t="s">
        <v>60</v>
      </c>
      <c r="B48" s="138" t="s">
        <v>244</v>
      </c>
      <c r="C48" s="139">
        <v>1000000</v>
      </c>
      <c r="D48" s="365">
        <v>639810</v>
      </c>
      <c r="E48" s="140" t="str">
        <f t="shared" si="9"/>
        <v/>
      </c>
      <c r="F48" s="175">
        <f t="shared" si="10"/>
        <v>-360190</v>
      </c>
      <c r="H48" s="280">
        <v>639810</v>
      </c>
      <c r="I48" s="282">
        <f t="shared" si="8"/>
        <v>0</v>
      </c>
      <c r="L48" s="428"/>
    </row>
    <row r="49" spans="1:12">
      <c r="A49" s="137" t="s">
        <v>276</v>
      </c>
      <c r="B49" s="138" t="s">
        <v>235</v>
      </c>
      <c r="C49" s="139"/>
      <c r="D49" s="365"/>
      <c r="E49" s="140" t="str">
        <f t="shared" si="9"/>
        <v/>
      </c>
      <c r="F49" s="175">
        <f t="shared" si="10"/>
        <v>0</v>
      </c>
      <c r="I49" s="282">
        <f t="shared" si="8"/>
        <v>0</v>
      </c>
      <c r="L49" s="286"/>
    </row>
    <row r="50" spans="1:12">
      <c r="A50" s="137" t="s">
        <v>277</v>
      </c>
      <c r="B50" s="138" t="s">
        <v>282</v>
      </c>
      <c r="C50" s="139">
        <v>1350000</v>
      </c>
      <c r="D50" s="365">
        <v>875340</v>
      </c>
      <c r="E50" s="140" t="str">
        <f t="shared" si="9"/>
        <v/>
      </c>
      <c r="F50" s="175">
        <f t="shared" si="10"/>
        <v>-474660</v>
      </c>
      <c r="H50" s="280">
        <v>875340</v>
      </c>
      <c r="I50" s="282">
        <f t="shared" si="8"/>
        <v>0</v>
      </c>
      <c r="L50" s="428"/>
    </row>
    <row r="51" spans="1:12">
      <c r="A51" s="137" t="s">
        <v>278</v>
      </c>
      <c r="B51" s="138" t="s">
        <v>283</v>
      </c>
      <c r="C51" s="139">
        <v>850000</v>
      </c>
      <c r="D51" s="365">
        <v>419770</v>
      </c>
      <c r="E51" s="140" t="str">
        <f t="shared" si="9"/>
        <v/>
      </c>
      <c r="F51" s="175">
        <f t="shared" si="10"/>
        <v>-430230</v>
      </c>
      <c r="H51" s="280">
        <v>419770</v>
      </c>
      <c r="I51" s="282">
        <f t="shared" si="8"/>
        <v>0</v>
      </c>
      <c r="J51" s="323"/>
      <c r="L51" s="286"/>
    </row>
    <row r="52" spans="1:12">
      <c r="A52" s="137" t="s">
        <v>279</v>
      </c>
      <c r="B52" s="138" t="s">
        <v>284</v>
      </c>
      <c r="C52" s="139">
        <v>5000</v>
      </c>
      <c r="D52" s="365">
        <v>900</v>
      </c>
      <c r="E52" s="140" t="str">
        <f t="shared" si="9"/>
        <v/>
      </c>
      <c r="F52" s="175">
        <f t="shared" si="10"/>
        <v>-4100</v>
      </c>
      <c r="H52" s="280">
        <v>900</v>
      </c>
      <c r="I52" s="282">
        <f t="shared" si="8"/>
        <v>0</v>
      </c>
      <c r="L52" s="286"/>
    </row>
    <row r="53" spans="1:12">
      <c r="A53" s="137" t="s">
        <v>280</v>
      </c>
      <c r="B53" s="138" t="s">
        <v>285</v>
      </c>
      <c r="C53" s="139">
        <v>70000</v>
      </c>
      <c r="D53" s="365">
        <v>41140</v>
      </c>
      <c r="E53" s="140" t="str">
        <f t="shared" si="9"/>
        <v/>
      </c>
      <c r="F53" s="175">
        <f t="shared" si="10"/>
        <v>-28860</v>
      </c>
      <c r="H53" s="280">
        <v>41140</v>
      </c>
      <c r="I53" s="282">
        <f t="shared" si="8"/>
        <v>0</v>
      </c>
      <c r="L53" s="286"/>
    </row>
    <row r="54" spans="1:12">
      <c r="A54" s="137" t="s">
        <v>71</v>
      </c>
      <c r="B54" s="138" t="s">
        <v>287</v>
      </c>
      <c r="C54" s="139">
        <v>500</v>
      </c>
      <c r="D54" s="365"/>
      <c r="E54" s="140" t="str">
        <f t="shared" si="9"/>
        <v/>
      </c>
      <c r="F54" s="175">
        <f t="shared" si="10"/>
        <v>-500</v>
      </c>
      <c r="I54" s="282">
        <f t="shared" si="8"/>
        <v>0</v>
      </c>
      <c r="L54" s="286"/>
    </row>
    <row r="55" spans="1:12">
      <c r="A55" s="137" t="s">
        <v>72</v>
      </c>
      <c r="B55" s="138" t="s">
        <v>288</v>
      </c>
      <c r="C55" s="139">
        <v>2500</v>
      </c>
      <c r="D55" s="365">
        <v>5200</v>
      </c>
      <c r="E55" s="140">
        <f t="shared" si="9"/>
        <v>2700</v>
      </c>
      <c r="F55" s="175" t="str">
        <f t="shared" si="10"/>
        <v/>
      </c>
      <c r="H55" s="280">
        <v>5200</v>
      </c>
      <c r="I55" s="282">
        <f t="shared" si="8"/>
        <v>0</v>
      </c>
      <c r="J55" s="323"/>
      <c r="L55" s="286"/>
    </row>
    <row r="56" spans="1:12">
      <c r="A56" s="137" t="s">
        <v>73</v>
      </c>
      <c r="B56" s="138" t="s">
        <v>289</v>
      </c>
      <c r="C56" s="139">
        <v>3000000</v>
      </c>
      <c r="D56" s="365">
        <v>1111711.2</v>
      </c>
      <c r="E56" s="140" t="str">
        <f t="shared" si="9"/>
        <v/>
      </c>
      <c r="F56" s="175">
        <f t="shared" si="10"/>
        <v>-1888288.8</v>
      </c>
      <c r="H56" s="280">
        <v>1111711.2</v>
      </c>
      <c r="I56" s="282">
        <f t="shared" si="8"/>
        <v>0</v>
      </c>
      <c r="L56" s="286"/>
    </row>
    <row r="57" spans="1:12">
      <c r="A57" s="313" t="s">
        <v>402</v>
      </c>
      <c r="B57" s="138" t="s">
        <v>290</v>
      </c>
      <c r="C57" s="139">
        <v>60000</v>
      </c>
      <c r="D57" s="365">
        <v>32600</v>
      </c>
      <c r="E57" s="140" t="str">
        <f t="shared" si="9"/>
        <v/>
      </c>
      <c r="F57" s="175">
        <f t="shared" si="10"/>
        <v>-27400</v>
      </c>
      <c r="H57" s="280">
        <v>32600</v>
      </c>
      <c r="I57" s="282">
        <f t="shared" si="8"/>
        <v>0</v>
      </c>
      <c r="L57" s="286"/>
    </row>
    <row r="58" spans="1:12">
      <c r="A58" s="137" t="s">
        <v>74</v>
      </c>
      <c r="B58" s="138" t="s">
        <v>291</v>
      </c>
      <c r="C58" s="139">
        <v>5000</v>
      </c>
      <c r="D58" s="365">
        <v>2800</v>
      </c>
      <c r="E58" s="140" t="str">
        <f t="shared" si="9"/>
        <v/>
      </c>
      <c r="F58" s="175">
        <f t="shared" si="10"/>
        <v>-2200</v>
      </c>
      <c r="H58" s="280">
        <v>2800</v>
      </c>
      <c r="I58" s="282">
        <f t="shared" si="8"/>
        <v>0</v>
      </c>
      <c r="J58" s="323"/>
      <c r="L58" s="286"/>
    </row>
    <row r="59" spans="1:12">
      <c r="A59" s="137" t="s">
        <v>75</v>
      </c>
      <c r="B59" s="138" t="s">
        <v>292</v>
      </c>
      <c r="C59" s="139">
        <v>100000</v>
      </c>
      <c r="D59" s="365">
        <v>90850</v>
      </c>
      <c r="E59" s="140" t="str">
        <f t="shared" si="9"/>
        <v/>
      </c>
      <c r="F59" s="175">
        <f t="shared" si="10"/>
        <v>-9150</v>
      </c>
      <c r="H59" s="280">
        <v>90850</v>
      </c>
      <c r="I59" s="282">
        <f t="shared" si="8"/>
        <v>0</v>
      </c>
      <c r="J59" s="323"/>
      <c r="L59" s="286"/>
    </row>
    <row r="60" spans="1:12">
      <c r="A60" s="137" t="s">
        <v>76</v>
      </c>
      <c r="B60" s="138" t="s">
        <v>293</v>
      </c>
      <c r="C60" s="139">
        <v>100000</v>
      </c>
      <c r="D60" s="365">
        <v>53300</v>
      </c>
      <c r="E60" s="140" t="str">
        <f t="shared" si="9"/>
        <v/>
      </c>
      <c r="F60" s="175">
        <f t="shared" si="10"/>
        <v>-46700</v>
      </c>
      <c r="H60" s="280">
        <v>53300</v>
      </c>
      <c r="I60" s="282">
        <f t="shared" si="8"/>
        <v>0</v>
      </c>
      <c r="L60" s="286"/>
    </row>
    <row r="61" spans="1:12">
      <c r="A61" s="313" t="s">
        <v>471</v>
      </c>
      <c r="B61" s="338" t="s">
        <v>472</v>
      </c>
      <c r="C61" s="139"/>
      <c r="D61" s="365">
        <v>100</v>
      </c>
      <c r="E61" s="140">
        <f t="shared" si="9"/>
        <v>100</v>
      </c>
      <c r="F61" s="175" t="str">
        <f t="shared" si="10"/>
        <v/>
      </c>
      <c r="H61" s="280">
        <v>100</v>
      </c>
      <c r="I61" s="282">
        <f t="shared" si="8"/>
        <v>0</v>
      </c>
      <c r="L61" s="286"/>
    </row>
    <row r="62" spans="1:12">
      <c r="A62" s="137" t="s">
        <v>77</v>
      </c>
      <c r="B62" s="138" t="s">
        <v>294</v>
      </c>
      <c r="C62" s="139">
        <v>180000</v>
      </c>
      <c r="D62" s="365">
        <v>94673.1</v>
      </c>
      <c r="E62" s="140" t="str">
        <f t="shared" si="9"/>
        <v/>
      </c>
      <c r="F62" s="175">
        <f t="shared" si="10"/>
        <v>-85326.9</v>
      </c>
      <c r="H62" s="280">
        <v>94673.1</v>
      </c>
      <c r="I62" s="282">
        <f t="shared" si="8"/>
        <v>0</v>
      </c>
      <c r="L62" s="286"/>
    </row>
    <row r="63" spans="1:12">
      <c r="A63" s="313" t="s">
        <v>473</v>
      </c>
      <c r="B63" s="338" t="s">
        <v>474</v>
      </c>
      <c r="C63" s="139"/>
      <c r="D63" s="365">
        <v>1710</v>
      </c>
      <c r="E63" s="140">
        <f t="shared" si="9"/>
        <v>1710</v>
      </c>
      <c r="F63" s="175" t="str">
        <f t="shared" si="10"/>
        <v/>
      </c>
      <c r="H63" s="280">
        <v>1710</v>
      </c>
      <c r="I63" s="282">
        <f t="shared" si="8"/>
        <v>0</v>
      </c>
      <c r="L63" s="286"/>
    </row>
    <row r="64" spans="1:12">
      <c r="A64" s="137" t="s">
        <v>78</v>
      </c>
      <c r="B64" s="138" t="s">
        <v>295</v>
      </c>
      <c r="C64" s="139">
        <v>500</v>
      </c>
      <c r="D64" s="365"/>
      <c r="E64" s="140" t="str">
        <f t="shared" si="9"/>
        <v/>
      </c>
      <c r="F64" s="175">
        <f t="shared" si="10"/>
        <v>-500</v>
      </c>
      <c r="I64" s="282">
        <f t="shared" si="8"/>
        <v>0</v>
      </c>
      <c r="L64" s="286"/>
    </row>
    <row r="65" spans="1:12">
      <c r="A65" s="137" t="s">
        <v>79</v>
      </c>
      <c r="B65" s="138" t="s">
        <v>296</v>
      </c>
      <c r="C65" s="139">
        <v>50000</v>
      </c>
      <c r="D65" s="365">
        <v>2950</v>
      </c>
      <c r="E65" s="140" t="str">
        <f t="shared" si="9"/>
        <v/>
      </c>
      <c r="F65" s="175">
        <f t="shared" si="10"/>
        <v>-47050</v>
      </c>
      <c r="H65" s="280">
        <v>2950</v>
      </c>
      <c r="I65" s="282">
        <f t="shared" si="8"/>
        <v>0</v>
      </c>
      <c r="L65" s="286"/>
    </row>
    <row r="66" spans="1:12">
      <c r="A66" s="137" t="s">
        <v>80</v>
      </c>
      <c r="B66" s="138" t="s">
        <v>297</v>
      </c>
      <c r="C66" s="139">
        <v>20000</v>
      </c>
      <c r="D66" s="365">
        <v>700</v>
      </c>
      <c r="E66" s="140" t="str">
        <f t="shared" si="9"/>
        <v/>
      </c>
      <c r="F66" s="175">
        <f t="shared" si="10"/>
        <v>-19300</v>
      </c>
      <c r="H66" s="280">
        <v>700</v>
      </c>
      <c r="I66" s="282">
        <f t="shared" si="8"/>
        <v>0</v>
      </c>
      <c r="L66" s="286"/>
    </row>
    <row r="67" spans="1:12">
      <c r="A67" s="313" t="s">
        <v>449</v>
      </c>
      <c r="B67" s="338" t="s">
        <v>450</v>
      </c>
      <c r="C67" s="139"/>
      <c r="D67" s="365">
        <v>170</v>
      </c>
      <c r="E67" s="140">
        <f t="shared" si="9"/>
        <v>170</v>
      </c>
      <c r="F67" s="175" t="str">
        <f t="shared" si="10"/>
        <v/>
      </c>
      <c r="H67" s="280">
        <v>170</v>
      </c>
      <c r="I67" s="282">
        <f t="shared" si="8"/>
        <v>0</v>
      </c>
      <c r="L67" s="286"/>
    </row>
    <row r="68" spans="1:12">
      <c r="A68" s="313" t="s">
        <v>432</v>
      </c>
      <c r="B68" s="138" t="s">
        <v>431</v>
      </c>
      <c r="C68" s="139"/>
      <c r="D68" s="365"/>
      <c r="E68" s="140" t="str">
        <f t="shared" si="9"/>
        <v/>
      </c>
      <c r="F68" s="175">
        <f t="shared" si="10"/>
        <v>0</v>
      </c>
      <c r="I68" s="282"/>
      <c r="L68" s="286"/>
    </row>
    <row r="69" spans="1:12">
      <c r="A69" s="137" t="s">
        <v>172</v>
      </c>
      <c r="B69" s="338" t="s">
        <v>435</v>
      </c>
      <c r="C69" s="316">
        <v>13000000</v>
      </c>
      <c r="D69" s="365">
        <v>11481966.73</v>
      </c>
      <c r="E69" s="140" t="str">
        <f t="shared" si="9"/>
        <v/>
      </c>
      <c r="F69" s="175">
        <f t="shared" si="10"/>
        <v>-1518033.2699999996</v>
      </c>
      <c r="H69" s="280">
        <v>11482966.73</v>
      </c>
      <c r="I69" s="282">
        <f t="shared" ref="I69:I76" si="11">D69-H69</f>
        <v>-1000</v>
      </c>
      <c r="J69" s="323" t="s">
        <v>424</v>
      </c>
      <c r="L69" s="286"/>
    </row>
    <row r="70" spans="1:12">
      <c r="A70" s="137" t="s">
        <v>91</v>
      </c>
      <c r="B70" s="138" t="s">
        <v>436</v>
      </c>
      <c r="C70" s="316">
        <v>2500000</v>
      </c>
      <c r="D70" s="365">
        <v>1821358.56</v>
      </c>
      <c r="E70" s="140" t="str">
        <f t="shared" si="9"/>
        <v/>
      </c>
      <c r="F70" s="175">
        <f t="shared" si="10"/>
        <v>-678641.44</v>
      </c>
      <c r="H70" s="280">
        <v>1821358.56</v>
      </c>
      <c r="I70" s="282">
        <f t="shared" si="11"/>
        <v>0</v>
      </c>
      <c r="L70" s="286"/>
    </row>
    <row r="71" spans="1:12">
      <c r="A71" s="137" t="s">
        <v>90</v>
      </c>
      <c r="B71" s="138" t="s">
        <v>437</v>
      </c>
      <c r="C71" s="316">
        <v>8000000</v>
      </c>
      <c r="D71" s="365">
        <v>7238810</v>
      </c>
      <c r="E71" s="140" t="str">
        <f t="shared" si="9"/>
        <v/>
      </c>
      <c r="F71" s="175">
        <f t="shared" si="10"/>
        <v>-761190</v>
      </c>
      <c r="H71" s="280">
        <v>7238810</v>
      </c>
      <c r="I71" s="282">
        <f t="shared" si="11"/>
        <v>0</v>
      </c>
      <c r="L71" s="425"/>
    </row>
    <row r="72" spans="1:12">
      <c r="A72" s="137" t="s">
        <v>255</v>
      </c>
      <c r="B72" s="138" t="s">
        <v>438</v>
      </c>
      <c r="C72" s="316">
        <v>5500000</v>
      </c>
      <c r="D72" s="365">
        <v>3482199</v>
      </c>
      <c r="E72" s="140" t="str">
        <f t="shared" si="9"/>
        <v/>
      </c>
      <c r="F72" s="175">
        <f t="shared" si="10"/>
        <v>-2017801</v>
      </c>
      <c r="H72" s="280">
        <v>3482699</v>
      </c>
      <c r="I72" s="282">
        <f t="shared" si="11"/>
        <v>-500</v>
      </c>
      <c r="L72" s="286"/>
    </row>
    <row r="73" spans="1:12">
      <c r="A73" s="137" t="s">
        <v>434</v>
      </c>
      <c r="B73" s="138" t="s">
        <v>439</v>
      </c>
      <c r="C73" s="139">
        <v>600000</v>
      </c>
      <c r="D73" s="365">
        <v>467070.76</v>
      </c>
      <c r="E73" s="140" t="str">
        <f t="shared" si="9"/>
        <v/>
      </c>
      <c r="F73" s="175">
        <f t="shared" si="10"/>
        <v>-132929.24</v>
      </c>
      <c r="H73" s="280">
        <v>467070.76</v>
      </c>
      <c r="I73" s="282">
        <f t="shared" si="11"/>
        <v>0</v>
      </c>
      <c r="J73" s="323"/>
      <c r="L73" s="286"/>
    </row>
    <row r="74" spans="1:12">
      <c r="A74" s="137" t="s">
        <v>254</v>
      </c>
      <c r="B74" s="138" t="s">
        <v>440</v>
      </c>
      <c r="C74" s="316">
        <v>1600000</v>
      </c>
      <c r="D74" s="365">
        <v>860350</v>
      </c>
      <c r="E74" s="140" t="str">
        <f t="shared" si="9"/>
        <v/>
      </c>
      <c r="F74" s="175">
        <f t="shared" si="10"/>
        <v>-739650</v>
      </c>
      <c r="H74" s="280">
        <v>860350</v>
      </c>
      <c r="I74" s="282">
        <f t="shared" si="11"/>
        <v>0</v>
      </c>
      <c r="L74" s="286"/>
    </row>
    <row r="75" spans="1:12">
      <c r="A75" s="137" t="s">
        <v>263</v>
      </c>
      <c r="B75" s="138" t="s">
        <v>441</v>
      </c>
      <c r="C75" s="316">
        <v>5500000</v>
      </c>
      <c r="D75" s="365">
        <v>3492017.63</v>
      </c>
      <c r="E75" s="140" t="str">
        <f t="shared" si="9"/>
        <v/>
      </c>
      <c r="F75" s="175">
        <f t="shared" si="10"/>
        <v>-2007982.37</v>
      </c>
      <c r="H75" s="280">
        <v>3492517.63</v>
      </c>
      <c r="I75" s="282">
        <f t="shared" si="11"/>
        <v>-500</v>
      </c>
      <c r="L75" s="286"/>
    </row>
    <row r="76" spans="1:12">
      <c r="A76" s="313" t="s">
        <v>433</v>
      </c>
      <c r="B76" s="147" t="s">
        <v>442</v>
      </c>
      <c r="C76" s="357">
        <v>1500000</v>
      </c>
      <c r="D76" s="316">
        <v>376590</v>
      </c>
      <c r="E76" s="140" t="str">
        <f t="shared" si="9"/>
        <v/>
      </c>
      <c r="F76" s="175">
        <f t="shared" si="10"/>
        <v>-1123410</v>
      </c>
      <c r="H76" s="280">
        <v>376590</v>
      </c>
      <c r="I76" s="282">
        <f t="shared" si="11"/>
        <v>0</v>
      </c>
      <c r="L76" s="286"/>
    </row>
    <row r="77" spans="1:12">
      <c r="A77" s="313" t="s">
        <v>299</v>
      </c>
      <c r="B77" s="138" t="s">
        <v>300</v>
      </c>
      <c r="C77" s="139"/>
      <c r="D77" s="365"/>
      <c r="E77" s="140" t="str">
        <f t="shared" si="9"/>
        <v/>
      </c>
      <c r="F77" s="175">
        <f t="shared" si="10"/>
        <v>0</v>
      </c>
      <c r="I77" s="282">
        <f t="shared" si="8"/>
        <v>0</v>
      </c>
      <c r="L77" s="286"/>
    </row>
    <row r="78" spans="1:12">
      <c r="A78" s="137" t="s">
        <v>81</v>
      </c>
      <c r="B78" s="138" t="s">
        <v>301</v>
      </c>
      <c r="C78" s="139">
        <v>730000</v>
      </c>
      <c r="D78" s="365">
        <v>718170</v>
      </c>
      <c r="E78" s="140" t="str">
        <f t="shared" si="9"/>
        <v/>
      </c>
      <c r="F78" s="175">
        <f t="shared" si="10"/>
        <v>-11830</v>
      </c>
      <c r="H78" s="280">
        <v>718170</v>
      </c>
      <c r="I78" s="282">
        <f t="shared" si="8"/>
        <v>0</v>
      </c>
      <c r="L78" s="286"/>
    </row>
    <row r="79" spans="1:12">
      <c r="A79" s="137" t="s">
        <v>82</v>
      </c>
      <c r="B79" s="138" t="s">
        <v>302</v>
      </c>
      <c r="C79" s="139">
        <v>6700000</v>
      </c>
      <c r="D79" s="365">
        <v>4430229.33</v>
      </c>
      <c r="E79" s="140" t="str">
        <f t="shared" si="9"/>
        <v/>
      </c>
      <c r="F79" s="175">
        <f t="shared" si="10"/>
        <v>-2269770.67</v>
      </c>
      <c r="H79" s="280">
        <v>4430229.33</v>
      </c>
      <c r="I79" s="282">
        <f t="shared" si="8"/>
        <v>0</v>
      </c>
      <c r="L79" s="286"/>
    </row>
    <row r="80" spans="1:12">
      <c r="A80" s="137" t="s">
        <v>83</v>
      </c>
      <c r="B80" s="138" t="s">
        <v>303</v>
      </c>
      <c r="C80" s="139">
        <v>2100000</v>
      </c>
      <c r="D80" s="365">
        <v>2084164</v>
      </c>
      <c r="E80" s="140" t="str">
        <f t="shared" si="9"/>
        <v/>
      </c>
      <c r="F80" s="175">
        <f t="shared" si="10"/>
        <v>-15836</v>
      </c>
      <c r="H80" s="280">
        <v>2084164</v>
      </c>
      <c r="I80" s="282">
        <f t="shared" si="8"/>
        <v>0</v>
      </c>
      <c r="L80" s="286"/>
    </row>
    <row r="81" spans="1:12">
      <c r="A81" s="313" t="s">
        <v>464</v>
      </c>
      <c r="B81" s="338" t="s">
        <v>462</v>
      </c>
      <c r="C81" s="316">
        <v>2000000</v>
      </c>
      <c r="D81" s="365">
        <v>1825851</v>
      </c>
      <c r="E81" s="140" t="str">
        <f t="shared" si="9"/>
        <v/>
      </c>
      <c r="F81" s="175">
        <f t="shared" si="10"/>
        <v>-174149</v>
      </c>
      <c r="H81" s="280">
        <v>1825851</v>
      </c>
      <c r="I81" s="282">
        <f>D81-H81</f>
        <v>0</v>
      </c>
      <c r="L81" s="286"/>
    </row>
    <row r="82" spans="1:12">
      <c r="A82" s="313" t="s">
        <v>443</v>
      </c>
      <c r="B82" s="138" t="s">
        <v>444</v>
      </c>
      <c r="C82" s="139"/>
      <c r="D82" s="365"/>
      <c r="E82" s="140" t="str">
        <f t="shared" si="9"/>
        <v/>
      </c>
      <c r="F82" s="175">
        <f t="shared" si="10"/>
        <v>0</v>
      </c>
      <c r="I82" s="282"/>
      <c r="L82" s="286"/>
    </row>
    <row r="83" spans="1:12">
      <c r="A83" s="137" t="s">
        <v>281</v>
      </c>
      <c r="B83" s="138" t="s">
        <v>286</v>
      </c>
      <c r="C83" s="139">
        <v>555000</v>
      </c>
      <c r="D83" s="365">
        <v>362050</v>
      </c>
      <c r="E83" s="140" t="str">
        <f t="shared" si="9"/>
        <v/>
      </c>
      <c r="F83" s="175">
        <f t="shared" si="10"/>
        <v>-192950</v>
      </c>
      <c r="H83" s="280">
        <v>362050</v>
      </c>
      <c r="I83" s="282">
        <f>D83-H83</f>
        <v>0</v>
      </c>
      <c r="J83" s="323"/>
      <c r="L83" s="286"/>
    </row>
    <row r="84" spans="1:12">
      <c r="A84" s="313" t="s">
        <v>403</v>
      </c>
      <c r="B84" s="138" t="s">
        <v>212</v>
      </c>
      <c r="C84" s="139">
        <v>5500000</v>
      </c>
      <c r="D84" s="365">
        <v>5551880</v>
      </c>
      <c r="E84" s="140">
        <f t="shared" si="9"/>
        <v>51880</v>
      </c>
      <c r="F84" s="175" t="str">
        <f t="shared" si="10"/>
        <v/>
      </c>
      <c r="H84" s="280">
        <v>5551880</v>
      </c>
      <c r="I84" s="282">
        <f t="shared" si="8"/>
        <v>0</v>
      </c>
      <c r="L84" s="286"/>
    </row>
    <row r="85" spans="1:12">
      <c r="A85" s="313" t="s">
        <v>408</v>
      </c>
      <c r="B85" s="338" t="s">
        <v>409</v>
      </c>
      <c r="C85" s="139"/>
      <c r="D85" s="365"/>
      <c r="E85" s="140" t="str">
        <f t="shared" si="9"/>
        <v/>
      </c>
      <c r="F85" s="175">
        <f t="shared" si="10"/>
        <v>0</v>
      </c>
      <c r="I85" s="282">
        <f t="shared" si="8"/>
        <v>0</v>
      </c>
      <c r="L85" s="286"/>
    </row>
    <row r="86" spans="1:12">
      <c r="A86" s="313" t="s">
        <v>404</v>
      </c>
      <c r="B86" s="138" t="s">
        <v>231</v>
      </c>
      <c r="C86" s="139">
        <v>200000</v>
      </c>
      <c r="D86" s="365">
        <v>36730</v>
      </c>
      <c r="E86" s="140" t="str">
        <f t="shared" si="9"/>
        <v/>
      </c>
      <c r="F86" s="175">
        <f t="shared" si="10"/>
        <v>-163270</v>
      </c>
      <c r="H86" s="280">
        <v>36730</v>
      </c>
      <c r="I86" s="282">
        <f t="shared" si="8"/>
        <v>0</v>
      </c>
      <c r="L86" s="286"/>
    </row>
    <row r="87" spans="1:12">
      <c r="A87" s="313" t="s">
        <v>405</v>
      </c>
      <c r="B87" s="138" t="s">
        <v>232</v>
      </c>
      <c r="C87" s="139">
        <v>70000</v>
      </c>
      <c r="D87" s="365">
        <v>14348</v>
      </c>
      <c r="E87" s="140" t="str">
        <f t="shared" si="9"/>
        <v/>
      </c>
      <c r="F87" s="175">
        <f t="shared" si="10"/>
        <v>-55652</v>
      </c>
      <c r="H87" s="280">
        <v>14348</v>
      </c>
      <c r="I87" s="282">
        <f t="shared" si="8"/>
        <v>0</v>
      </c>
      <c r="L87" s="286"/>
    </row>
    <row r="88" spans="1:12">
      <c r="A88" s="313" t="s">
        <v>406</v>
      </c>
      <c r="B88" s="138" t="s">
        <v>233</v>
      </c>
      <c r="C88" s="139">
        <v>30000</v>
      </c>
      <c r="D88" s="365">
        <v>4910</v>
      </c>
      <c r="E88" s="140" t="str">
        <f t="shared" si="9"/>
        <v/>
      </c>
      <c r="F88" s="175">
        <f t="shared" si="10"/>
        <v>-25090</v>
      </c>
      <c r="H88" s="280">
        <v>4910</v>
      </c>
      <c r="I88" s="282">
        <f t="shared" si="8"/>
        <v>0</v>
      </c>
      <c r="L88" s="286"/>
    </row>
    <row r="89" spans="1:12">
      <c r="A89" s="313" t="s">
        <v>407</v>
      </c>
      <c r="B89" s="138" t="s">
        <v>234</v>
      </c>
      <c r="C89" s="139">
        <v>550000</v>
      </c>
      <c r="D89" s="365">
        <v>653175.6</v>
      </c>
      <c r="E89" s="140">
        <f t="shared" si="9"/>
        <v>103175.59999999998</v>
      </c>
      <c r="F89" s="175" t="str">
        <f t="shared" si="10"/>
        <v/>
      </c>
      <c r="H89" s="280">
        <v>653175.6</v>
      </c>
      <c r="I89" s="282">
        <f t="shared" si="8"/>
        <v>0</v>
      </c>
      <c r="L89" s="286"/>
    </row>
    <row r="90" spans="1:12">
      <c r="A90" s="137" t="s">
        <v>85</v>
      </c>
      <c r="B90" s="138" t="s">
        <v>240</v>
      </c>
      <c r="C90" s="139"/>
      <c r="D90" s="365"/>
      <c r="E90" s="140" t="str">
        <f t="shared" si="9"/>
        <v/>
      </c>
      <c r="F90" s="175">
        <f t="shared" si="10"/>
        <v>0</v>
      </c>
      <c r="I90" s="282">
        <f t="shared" si="8"/>
        <v>0</v>
      </c>
      <c r="L90" s="286"/>
    </row>
    <row r="91" spans="1:12">
      <c r="A91" s="137" t="s">
        <v>250</v>
      </c>
      <c r="B91" s="138" t="s">
        <v>251</v>
      </c>
      <c r="C91" s="139">
        <v>600000</v>
      </c>
      <c r="D91" s="365">
        <v>200906</v>
      </c>
      <c r="E91" s="140" t="str">
        <f t="shared" si="9"/>
        <v/>
      </c>
      <c r="F91" s="175">
        <f t="shared" si="10"/>
        <v>-399094</v>
      </c>
      <c r="H91" s="280">
        <v>200906</v>
      </c>
      <c r="I91" s="282">
        <f t="shared" si="8"/>
        <v>0</v>
      </c>
      <c r="L91" s="286"/>
    </row>
    <row r="92" spans="1:12">
      <c r="A92" s="137" t="s">
        <v>253</v>
      </c>
      <c r="B92" s="138" t="s">
        <v>252</v>
      </c>
      <c r="C92" s="139">
        <v>150000</v>
      </c>
      <c r="D92" s="365">
        <v>467000</v>
      </c>
      <c r="E92" s="140">
        <f t="shared" si="9"/>
        <v>317000</v>
      </c>
      <c r="F92" s="175" t="str">
        <f t="shared" si="10"/>
        <v/>
      </c>
      <c r="H92" s="280">
        <v>467000</v>
      </c>
      <c r="I92" s="282">
        <f t="shared" si="8"/>
        <v>0</v>
      </c>
      <c r="L92" s="286"/>
    </row>
    <row r="93" spans="1:12">
      <c r="A93" s="137" t="s">
        <v>265</v>
      </c>
      <c r="B93" s="338" t="s">
        <v>266</v>
      </c>
      <c r="C93" s="316">
        <v>3500000</v>
      </c>
      <c r="D93" s="365">
        <v>1725830</v>
      </c>
      <c r="E93" s="140" t="str">
        <f t="shared" si="9"/>
        <v/>
      </c>
      <c r="F93" s="175">
        <f t="shared" si="10"/>
        <v>-1774170</v>
      </c>
      <c r="H93" s="280">
        <v>1725830</v>
      </c>
      <c r="I93" s="282">
        <f t="shared" si="8"/>
        <v>0</v>
      </c>
      <c r="L93" s="286"/>
    </row>
    <row r="94" spans="1:12">
      <c r="A94" s="137" t="s">
        <v>84</v>
      </c>
      <c r="B94" s="338" t="s">
        <v>268</v>
      </c>
      <c r="C94" s="316">
        <v>2700000</v>
      </c>
      <c r="D94" s="365">
        <v>2744730</v>
      </c>
      <c r="E94" s="140">
        <f t="shared" si="9"/>
        <v>44730</v>
      </c>
      <c r="F94" s="175" t="str">
        <f t="shared" si="10"/>
        <v/>
      </c>
      <c r="H94" s="280">
        <v>2744730</v>
      </c>
      <c r="I94" s="282">
        <f t="shared" si="8"/>
        <v>0</v>
      </c>
      <c r="L94" s="286"/>
    </row>
    <row r="95" spans="1:12">
      <c r="A95" s="137" t="s">
        <v>267</v>
      </c>
      <c r="B95" s="338" t="s">
        <v>269</v>
      </c>
      <c r="C95" s="316">
        <v>2000000</v>
      </c>
      <c r="D95" s="365">
        <v>1785230</v>
      </c>
      <c r="E95" s="140" t="str">
        <f t="shared" si="9"/>
        <v/>
      </c>
      <c r="F95" s="175">
        <f t="shared" si="10"/>
        <v>-214770</v>
      </c>
      <c r="H95" s="280">
        <v>1785230</v>
      </c>
      <c r="I95" s="282">
        <f t="shared" si="8"/>
        <v>0</v>
      </c>
      <c r="L95" s="286"/>
    </row>
    <row r="96" spans="1:12">
      <c r="A96" s="137" t="s">
        <v>86</v>
      </c>
      <c r="B96" s="338" t="s">
        <v>272</v>
      </c>
      <c r="C96" s="316">
        <v>150000</v>
      </c>
      <c r="D96" s="365">
        <v>93800</v>
      </c>
      <c r="E96" s="140" t="str">
        <f t="shared" si="9"/>
        <v/>
      </c>
      <c r="F96" s="175">
        <f t="shared" si="10"/>
        <v>-56200</v>
      </c>
      <c r="H96" s="280">
        <v>93800</v>
      </c>
      <c r="I96" s="282">
        <f t="shared" si="8"/>
        <v>0</v>
      </c>
      <c r="L96" s="286"/>
    </row>
    <row r="97" spans="1:12">
      <c r="A97" s="137" t="s">
        <v>87</v>
      </c>
      <c r="B97" s="338" t="s">
        <v>273</v>
      </c>
      <c r="C97" s="316">
        <v>450000</v>
      </c>
      <c r="D97" s="365">
        <v>178100</v>
      </c>
      <c r="E97" s="140" t="str">
        <f t="shared" si="9"/>
        <v/>
      </c>
      <c r="F97" s="175">
        <f t="shared" si="10"/>
        <v>-271900</v>
      </c>
      <c r="H97" s="280">
        <v>177100</v>
      </c>
      <c r="I97" s="282">
        <f t="shared" si="8"/>
        <v>1000</v>
      </c>
      <c r="J97" s="323" t="s">
        <v>424</v>
      </c>
      <c r="L97" s="286"/>
    </row>
    <row r="98" spans="1:12">
      <c r="A98" s="137" t="s">
        <v>88</v>
      </c>
      <c r="B98" s="338" t="s">
        <v>274</v>
      </c>
      <c r="C98" s="316">
        <v>2000000</v>
      </c>
      <c r="D98" s="365">
        <v>1447400</v>
      </c>
      <c r="E98" s="140" t="str">
        <f t="shared" si="9"/>
        <v/>
      </c>
      <c r="F98" s="175">
        <f t="shared" si="10"/>
        <v>-552600</v>
      </c>
      <c r="H98" s="280">
        <v>1448400</v>
      </c>
      <c r="I98" s="282">
        <f t="shared" si="8"/>
        <v>-1000</v>
      </c>
      <c r="J98" s="323" t="s">
        <v>424</v>
      </c>
      <c r="L98" s="286"/>
    </row>
    <row r="99" spans="1:12">
      <c r="A99" s="137" t="s">
        <v>271</v>
      </c>
      <c r="B99" s="338" t="s">
        <v>275</v>
      </c>
      <c r="C99" s="316">
        <v>100000</v>
      </c>
      <c r="D99" s="365">
        <v>37500</v>
      </c>
      <c r="E99" s="140" t="str">
        <f t="shared" si="9"/>
        <v/>
      </c>
      <c r="F99" s="175">
        <f t="shared" si="10"/>
        <v>-62500</v>
      </c>
      <c r="H99" s="280">
        <v>37500</v>
      </c>
      <c r="I99" s="282">
        <f t="shared" si="8"/>
        <v>0</v>
      </c>
      <c r="L99" s="286"/>
    </row>
    <row r="100" spans="1:12">
      <c r="A100" s="137" t="s">
        <v>318</v>
      </c>
      <c r="B100" s="338" t="s">
        <v>319</v>
      </c>
      <c r="C100" s="316">
        <v>350000</v>
      </c>
      <c r="D100" s="365">
        <v>172540</v>
      </c>
      <c r="E100" s="140" t="str">
        <f t="shared" si="9"/>
        <v/>
      </c>
      <c r="F100" s="175">
        <f t="shared" si="10"/>
        <v>-177460</v>
      </c>
      <c r="H100" s="280">
        <v>172540</v>
      </c>
      <c r="I100" s="326">
        <f>D100-H100</f>
        <v>0</v>
      </c>
      <c r="L100" s="286"/>
    </row>
    <row r="101" spans="1:12">
      <c r="A101" s="137" t="s">
        <v>321</v>
      </c>
      <c r="B101" s="338" t="s">
        <v>320</v>
      </c>
      <c r="C101" s="316">
        <v>900000</v>
      </c>
      <c r="D101" s="365">
        <v>535206</v>
      </c>
      <c r="E101" s="140" t="str">
        <f t="shared" si="9"/>
        <v/>
      </c>
      <c r="F101" s="175">
        <f t="shared" si="10"/>
        <v>-364794</v>
      </c>
      <c r="H101" s="280">
        <v>535206</v>
      </c>
      <c r="I101" s="282">
        <f t="shared" si="8"/>
        <v>0</v>
      </c>
      <c r="L101" s="286"/>
    </row>
    <row r="102" spans="1:12">
      <c r="A102" s="137" t="s">
        <v>304</v>
      </c>
      <c r="B102" s="338" t="s">
        <v>307</v>
      </c>
      <c r="C102" s="316"/>
      <c r="D102" s="365"/>
      <c r="E102" s="140" t="str">
        <f t="shared" ref="E102:E109" si="12">IF((D102-C102)&gt;0,D102-C102,"")</f>
        <v/>
      </c>
      <c r="F102" s="175">
        <f t="shared" ref="F102:F109" si="13">IF((D102-C102)&gt;0,"",D102-C102)</f>
        <v>0</v>
      </c>
      <c r="I102" s="282">
        <f t="shared" si="8"/>
        <v>0</v>
      </c>
      <c r="L102" s="286"/>
    </row>
    <row r="103" spans="1:12">
      <c r="A103" s="313" t="s">
        <v>305</v>
      </c>
      <c r="B103" s="338" t="s">
        <v>308</v>
      </c>
      <c r="C103" s="316">
        <v>36000</v>
      </c>
      <c r="D103" s="365">
        <v>8750</v>
      </c>
      <c r="E103" s="140" t="str">
        <f t="shared" si="12"/>
        <v/>
      </c>
      <c r="F103" s="175">
        <f t="shared" si="13"/>
        <v>-27250</v>
      </c>
      <c r="H103" s="280">
        <v>10775</v>
      </c>
      <c r="I103" s="282">
        <f t="shared" si="8"/>
        <v>-2025</v>
      </c>
      <c r="J103" s="323" t="s">
        <v>424</v>
      </c>
      <c r="L103" s="286"/>
    </row>
    <row r="104" spans="1:12">
      <c r="A104" s="313" t="s">
        <v>306</v>
      </c>
      <c r="B104" s="338" t="s">
        <v>309</v>
      </c>
      <c r="C104" s="316">
        <v>500000</v>
      </c>
      <c r="D104" s="365">
        <v>24652</v>
      </c>
      <c r="E104" s="140" t="str">
        <f t="shared" si="12"/>
        <v/>
      </c>
      <c r="F104" s="175">
        <f t="shared" si="13"/>
        <v>-475348</v>
      </c>
      <c r="H104" s="280">
        <v>24652</v>
      </c>
      <c r="I104" s="282">
        <f t="shared" si="8"/>
        <v>0</v>
      </c>
      <c r="L104" s="286"/>
    </row>
    <row r="105" spans="1:12">
      <c r="A105" s="313" t="s">
        <v>468</v>
      </c>
      <c r="B105" s="338" t="s">
        <v>469</v>
      </c>
      <c r="C105" s="316"/>
      <c r="D105" s="365">
        <v>2350</v>
      </c>
      <c r="E105" s="140">
        <f t="shared" si="12"/>
        <v>2350</v>
      </c>
      <c r="F105" s="175" t="str">
        <f t="shared" si="13"/>
        <v/>
      </c>
      <c r="I105" s="282">
        <f t="shared" si="8"/>
        <v>2350</v>
      </c>
      <c r="L105" s="286"/>
    </row>
    <row r="106" spans="1:12">
      <c r="A106" s="313" t="s">
        <v>2</v>
      </c>
      <c r="B106" s="338" t="s">
        <v>298</v>
      </c>
      <c r="C106" s="316">
        <v>9000000</v>
      </c>
      <c r="D106" s="365">
        <v>8962790</v>
      </c>
      <c r="E106" s="140" t="str">
        <f t="shared" si="12"/>
        <v/>
      </c>
      <c r="F106" s="175">
        <f t="shared" si="13"/>
        <v>-37210</v>
      </c>
      <c r="H106" s="280">
        <v>8962790</v>
      </c>
      <c r="I106" s="282">
        <f t="shared" si="8"/>
        <v>0</v>
      </c>
      <c r="L106" s="286"/>
    </row>
    <row r="107" spans="1:12">
      <c r="A107" s="313" t="s">
        <v>3</v>
      </c>
      <c r="B107" s="338" t="s">
        <v>310</v>
      </c>
      <c r="C107" s="316"/>
      <c r="D107" s="365"/>
      <c r="E107" s="140" t="str">
        <f t="shared" si="12"/>
        <v/>
      </c>
      <c r="F107" s="175">
        <f t="shared" si="13"/>
        <v>0</v>
      </c>
      <c r="I107" s="282">
        <f t="shared" si="8"/>
        <v>0</v>
      </c>
      <c r="L107" s="286"/>
    </row>
    <row r="108" spans="1:12">
      <c r="A108" s="313" t="s">
        <v>94</v>
      </c>
      <c r="B108" s="338" t="s">
        <v>311</v>
      </c>
      <c r="C108" s="316">
        <v>700000</v>
      </c>
      <c r="D108" s="380">
        <f>542278.75-10356.9</f>
        <v>531921.85</v>
      </c>
      <c r="E108" s="140" t="str">
        <f t="shared" si="12"/>
        <v/>
      </c>
      <c r="F108" s="175">
        <f t="shared" si="13"/>
        <v>-168078.15000000002</v>
      </c>
      <c r="G108" s="323" t="s">
        <v>423</v>
      </c>
      <c r="H108" s="280">
        <v>296128.3</v>
      </c>
      <c r="I108" s="282">
        <f t="shared" ref="I108:I110" si="14">D108-H108</f>
        <v>235793.55</v>
      </c>
      <c r="L108" s="286"/>
    </row>
    <row r="109" spans="1:12">
      <c r="A109" s="313" t="s">
        <v>95</v>
      </c>
      <c r="B109" s="338" t="s">
        <v>312</v>
      </c>
      <c r="C109" s="316"/>
      <c r="D109" s="365">
        <v>5584.38</v>
      </c>
      <c r="E109" s="140">
        <f t="shared" si="12"/>
        <v>5584.38</v>
      </c>
      <c r="F109" s="175" t="str">
        <f t="shared" si="13"/>
        <v/>
      </c>
      <c r="I109" s="282">
        <f t="shared" si="14"/>
        <v>5584.38</v>
      </c>
      <c r="L109" s="286"/>
    </row>
    <row r="110" spans="1:12" ht="12.75" hidden="1" customHeight="1">
      <c r="A110" s="137"/>
      <c r="B110" s="138"/>
      <c r="C110" s="142"/>
      <c r="D110" s="365"/>
      <c r="E110" s="140" t="str">
        <f t="shared" ref="E110" si="15">IF((D110-C110)&gt;0,D110-C110,"")</f>
        <v/>
      </c>
      <c r="F110" s="175">
        <f t="shared" ref="F110" si="16">IF((D110-C110)&gt;0,"",D110-C110)</f>
        <v>0</v>
      </c>
      <c r="I110" s="282">
        <f t="shared" si="14"/>
        <v>0</v>
      </c>
      <c r="L110" s="286"/>
    </row>
    <row r="111" spans="1:12" ht="13.5" thickBot="1">
      <c r="A111" s="137"/>
      <c r="B111" s="147"/>
      <c r="C111" s="152">
        <f>SUM(C35:C110)</f>
        <v>108044500</v>
      </c>
      <c r="D111" s="383">
        <f>SUM(D35:D110)</f>
        <v>83941688.359999985</v>
      </c>
      <c r="E111" s="152">
        <f>SUM(E35:E110)</f>
        <v>544649.98</v>
      </c>
      <c r="F111" s="194">
        <f>SUM(F35:F110)</f>
        <v>-24647461.619999997</v>
      </c>
      <c r="G111" s="153"/>
      <c r="H111" s="291">
        <f>SUM(H70:H110)</f>
        <v>52103491.18</v>
      </c>
      <c r="I111" s="291">
        <f>SUM(I36:I110)</f>
        <v>292214.16999999975</v>
      </c>
      <c r="L111" s="286"/>
    </row>
    <row r="112" spans="1:12" ht="12.75" hidden="1" customHeight="1">
      <c r="A112" s="146" t="s">
        <v>398</v>
      </c>
      <c r="B112" s="147"/>
      <c r="C112" s="153"/>
      <c r="D112" s="316"/>
      <c r="E112" s="140"/>
      <c r="F112" s="175"/>
      <c r="I112" s="282"/>
      <c r="L112" s="286"/>
    </row>
    <row r="113" spans="1:12" ht="13.5" thickTop="1">
      <c r="A113" s="313" t="s">
        <v>313</v>
      </c>
      <c r="B113" s="338" t="s">
        <v>314</v>
      </c>
      <c r="C113" s="139">
        <v>300000</v>
      </c>
      <c r="D113" s="365">
        <v>291652.84999999998</v>
      </c>
      <c r="E113" s="140" t="str">
        <f t="shared" ref="E113:E114" si="17">IF((D113-C113)&gt;0,D113-C113,"")</f>
        <v/>
      </c>
      <c r="F113" s="175">
        <f t="shared" ref="F113:F114" si="18">IF((D113-C113)&gt;0,"",D113-C113)</f>
        <v>-8347.1500000000233</v>
      </c>
      <c r="H113" s="280">
        <v>291652.84999999998</v>
      </c>
      <c r="I113" s="282">
        <f>D113-H113</f>
        <v>0</v>
      </c>
      <c r="L113" s="286"/>
    </row>
    <row r="114" spans="1:12">
      <c r="A114" s="137"/>
      <c r="B114" s="147"/>
      <c r="C114" s="153"/>
      <c r="D114" s="316"/>
      <c r="E114" s="140" t="str">
        <f t="shared" si="17"/>
        <v/>
      </c>
      <c r="F114" s="175">
        <f t="shared" si="18"/>
        <v>0</v>
      </c>
      <c r="I114" s="282">
        <f t="shared" ref="I114" si="19">D114-H114</f>
        <v>0</v>
      </c>
      <c r="J114" s="284"/>
      <c r="L114" s="286"/>
    </row>
    <row r="115" spans="1:12" ht="13.5" thickBot="1">
      <c r="A115" s="137"/>
      <c r="B115" s="147"/>
      <c r="C115" s="161">
        <f>SUM(C112:C114)</f>
        <v>300000</v>
      </c>
      <c r="D115" s="368">
        <f t="shared" ref="D115:F115" si="20">SUM(D112:D114)</f>
        <v>291652.84999999998</v>
      </c>
      <c r="E115" s="161">
        <f t="shared" si="20"/>
        <v>0</v>
      </c>
      <c r="F115" s="194">
        <f t="shared" si="20"/>
        <v>-8347.1500000000233</v>
      </c>
      <c r="H115" s="292">
        <f>SUM(H114:H114)</f>
        <v>0</v>
      </c>
      <c r="I115" s="291">
        <f>SUM(I114:I114)</f>
        <v>0</v>
      </c>
      <c r="L115" s="286"/>
    </row>
    <row r="116" spans="1:12" ht="13.5" thickTop="1">
      <c r="A116" s="146" t="s">
        <v>399</v>
      </c>
      <c r="B116" s="147"/>
      <c r="C116" s="153"/>
      <c r="D116" s="316"/>
      <c r="E116" s="153"/>
      <c r="F116" s="169"/>
      <c r="I116" s="282"/>
      <c r="L116" s="286"/>
    </row>
    <row r="117" spans="1:12">
      <c r="A117" s="313" t="s">
        <v>4</v>
      </c>
      <c r="B117" s="315" t="s">
        <v>315</v>
      </c>
      <c r="C117" s="153">
        <v>900000</v>
      </c>
      <c r="D117" s="373">
        <v>74812.099999999991</v>
      </c>
      <c r="E117" s="153" t="str">
        <f>IF((D117-C117)&gt;0,D117-C117,"")</f>
        <v/>
      </c>
      <c r="F117" s="169">
        <f>IF((D117-C117)&gt;0,"",D117-C117)</f>
        <v>-825187.9</v>
      </c>
      <c r="H117" s="280">
        <v>81818.77</v>
      </c>
      <c r="I117" s="283">
        <f t="shared" ref="I117:I126" si="21">D117-H117</f>
        <v>-7006.6700000000128</v>
      </c>
      <c r="L117" s="425"/>
    </row>
    <row r="118" spans="1:12">
      <c r="A118" s="313" t="s">
        <v>5</v>
      </c>
      <c r="B118" s="315" t="s">
        <v>317</v>
      </c>
      <c r="C118" s="357">
        <v>20000</v>
      </c>
      <c r="D118" s="316">
        <v>16500</v>
      </c>
      <c r="E118" s="153" t="str">
        <f t="shared" ref="E118:E125" si="22">IF((D118-C118)&gt;0,D118-C118,"")</f>
        <v/>
      </c>
      <c r="F118" s="169">
        <f t="shared" ref="F118:F125" si="23">IF((D118-C118)&gt;0,"",D118-C118)</f>
        <v>-3500</v>
      </c>
      <c r="H118" s="280">
        <v>16550</v>
      </c>
      <c r="I118" s="282">
        <f t="shared" si="21"/>
        <v>-50</v>
      </c>
      <c r="L118" s="286"/>
    </row>
    <row r="119" spans="1:12">
      <c r="A119" s="313" t="s">
        <v>96</v>
      </c>
      <c r="B119" s="315"/>
      <c r="C119" s="357"/>
      <c r="D119" s="316"/>
      <c r="E119" s="153" t="str">
        <f t="shared" si="22"/>
        <v/>
      </c>
      <c r="F119" s="169">
        <f t="shared" si="23"/>
        <v>0</v>
      </c>
      <c r="I119" s="282">
        <f t="shared" si="21"/>
        <v>0</v>
      </c>
      <c r="L119" s="286"/>
    </row>
    <row r="120" spans="1:12">
      <c r="A120" s="137" t="s">
        <v>97</v>
      </c>
      <c r="B120" s="315" t="s">
        <v>322</v>
      </c>
      <c r="C120" s="357">
        <v>400000</v>
      </c>
      <c r="D120" s="316">
        <v>226260</v>
      </c>
      <c r="E120" s="153" t="str">
        <f t="shared" si="22"/>
        <v/>
      </c>
      <c r="F120" s="169">
        <f t="shared" si="23"/>
        <v>-173740</v>
      </c>
      <c r="H120" s="280">
        <v>224235</v>
      </c>
      <c r="I120" s="282">
        <f t="shared" si="21"/>
        <v>2025</v>
      </c>
      <c r="J120" s="323" t="s">
        <v>424</v>
      </c>
      <c r="L120" s="286"/>
    </row>
    <row r="121" spans="1:12">
      <c r="A121" s="137" t="s">
        <v>98</v>
      </c>
      <c r="B121" s="315" t="s">
        <v>323</v>
      </c>
      <c r="C121" s="357">
        <v>150000</v>
      </c>
      <c r="D121" s="316">
        <v>83625</v>
      </c>
      <c r="E121" s="153" t="str">
        <f t="shared" si="22"/>
        <v/>
      </c>
      <c r="F121" s="169">
        <f t="shared" si="23"/>
        <v>-66375</v>
      </c>
      <c r="H121" s="280">
        <v>83625</v>
      </c>
      <c r="I121" s="282">
        <f t="shared" si="21"/>
        <v>0</v>
      </c>
      <c r="L121" s="286"/>
    </row>
    <row r="122" spans="1:12">
      <c r="A122" s="137" t="s">
        <v>6</v>
      </c>
      <c r="B122" s="315" t="s">
        <v>324</v>
      </c>
      <c r="C122" s="357">
        <v>300000</v>
      </c>
      <c r="D122" s="316">
        <v>13170</v>
      </c>
      <c r="E122" s="153" t="str">
        <f t="shared" si="22"/>
        <v/>
      </c>
      <c r="F122" s="169">
        <f t="shared" si="23"/>
        <v>-286830</v>
      </c>
      <c r="H122" s="280">
        <v>13170</v>
      </c>
      <c r="I122" s="282">
        <f t="shared" si="21"/>
        <v>0</v>
      </c>
      <c r="L122" s="425"/>
    </row>
    <row r="123" spans="1:12">
      <c r="A123" s="313" t="s">
        <v>36</v>
      </c>
      <c r="B123" s="315" t="s">
        <v>325</v>
      </c>
      <c r="C123" s="357">
        <v>10000</v>
      </c>
      <c r="D123" s="316"/>
      <c r="E123" s="153" t="str">
        <f t="shared" si="22"/>
        <v/>
      </c>
      <c r="F123" s="169">
        <f t="shared" si="23"/>
        <v>-10000</v>
      </c>
      <c r="I123" s="282">
        <f t="shared" si="21"/>
        <v>0</v>
      </c>
      <c r="L123" s="286"/>
    </row>
    <row r="124" spans="1:12">
      <c r="A124" s="137" t="s">
        <v>99</v>
      </c>
      <c r="B124" s="315" t="s">
        <v>326</v>
      </c>
      <c r="C124" s="357">
        <v>800000</v>
      </c>
      <c r="D124" s="373">
        <v>599672.93999999994</v>
      </c>
      <c r="E124" s="153" t="str">
        <f t="shared" si="22"/>
        <v/>
      </c>
      <c r="F124" s="169">
        <f t="shared" si="23"/>
        <v>-200327.06000000006</v>
      </c>
      <c r="H124" s="415">
        <v>148810.43</v>
      </c>
      <c r="I124" s="283">
        <f t="shared" si="21"/>
        <v>450862.50999999995</v>
      </c>
      <c r="J124" s="294"/>
      <c r="K124" s="424"/>
      <c r="L124" s="286"/>
    </row>
    <row r="125" spans="1:12">
      <c r="A125" s="137" t="s">
        <v>101</v>
      </c>
      <c r="B125" s="315" t="s">
        <v>328</v>
      </c>
      <c r="C125" s="357">
        <v>60000</v>
      </c>
      <c r="D125" s="373">
        <f>928428.96-5265.1</f>
        <v>923163.86</v>
      </c>
      <c r="E125" s="153">
        <f t="shared" si="22"/>
        <v>863163.86</v>
      </c>
      <c r="F125" s="169" t="str">
        <f t="shared" si="23"/>
        <v/>
      </c>
      <c r="I125" s="282">
        <f t="shared" si="21"/>
        <v>923163.86</v>
      </c>
      <c r="J125" s="323" t="s">
        <v>421</v>
      </c>
      <c r="L125" s="286"/>
    </row>
    <row r="126" spans="1:12">
      <c r="A126" s="137"/>
      <c r="B126" s="315"/>
      <c r="C126" s="357"/>
      <c r="D126" s="316"/>
      <c r="E126" s="153" t="str">
        <f>IF((D126-C126)&gt;0,D126-C126,"")</f>
        <v/>
      </c>
      <c r="F126" s="169">
        <f>IF((D126-C126)&gt;0,"",D126-C126)</f>
        <v>0</v>
      </c>
      <c r="I126" s="282">
        <f t="shared" si="21"/>
        <v>0</v>
      </c>
      <c r="L126" s="286"/>
    </row>
    <row r="127" spans="1:12" ht="13.5" thickBot="1">
      <c r="A127" s="146"/>
      <c r="B127" s="138"/>
      <c r="C127" s="163">
        <f>SUM(C117:C126)</f>
        <v>2640000</v>
      </c>
      <c r="D127" s="384">
        <f t="shared" ref="D127:F127" si="24">SUM(D117:D126)</f>
        <v>1937203.9</v>
      </c>
      <c r="E127" s="163">
        <f t="shared" si="24"/>
        <v>863163.86</v>
      </c>
      <c r="F127" s="164">
        <f t="shared" si="24"/>
        <v>-1565959.96</v>
      </c>
      <c r="I127" s="406">
        <f>SUM(I116:I126)</f>
        <v>1368994.7</v>
      </c>
      <c r="L127" s="286"/>
    </row>
    <row r="128" spans="1:12" ht="13.5" thickBot="1">
      <c r="A128" s="165" t="s">
        <v>124</v>
      </c>
      <c r="B128" s="166"/>
      <c r="C128" s="167">
        <f>SUM(C127+C115+C111+C34)</f>
        <v>980161577</v>
      </c>
      <c r="D128" s="385">
        <f t="shared" ref="D128:F128" si="25">SUM(D127+D115+D111+D34)</f>
        <v>594776442.90999997</v>
      </c>
      <c r="E128" s="157">
        <f t="shared" si="25"/>
        <v>1558440.04</v>
      </c>
      <c r="F128" s="210">
        <f t="shared" si="25"/>
        <v>-386943574.13000005</v>
      </c>
      <c r="I128" s="282"/>
    </row>
    <row r="129" spans="1:9">
      <c r="A129" s="158"/>
      <c r="B129" s="348"/>
      <c r="C129" s="358"/>
      <c r="D129" s="358"/>
      <c r="E129" s="310"/>
      <c r="F129" s="184"/>
      <c r="I129" s="282"/>
    </row>
    <row r="130" spans="1:9">
      <c r="A130" s="171" t="s">
        <v>102</v>
      </c>
      <c r="B130" s="138"/>
      <c r="C130" s="160">
        <f>+C128</f>
        <v>980161577</v>
      </c>
      <c r="D130" s="316">
        <f t="shared" ref="D130:F130" si="26">+D128</f>
        <v>594776442.90999997</v>
      </c>
      <c r="E130" s="139">
        <f t="shared" si="26"/>
        <v>1558440.04</v>
      </c>
      <c r="F130" s="169">
        <f t="shared" si="26"/>
        <v>-386943574.13000005</v>
      </c>
      <c r="I130" s="282"/>
    </row>
    <row r="131" spans="1:9">
      <c r="A131" s="137"/>
      <c r="B131" s="147"/>
      <c r="C131" s="153"/>
      <c r="D131" s="316"/>
      <c r="E131" s="139"/>
      <c r="F131" s="169"/>
      <c r="I131" s="282"/>
    </row>
    <row r="132" spans="1:9">
      <c r="A132" s="146" t="s">
        <v>103</v>
      </c>
      <c r="B132" s="147"/>
      <c r="C132" s="153"/>
      <c r="D132" s="316"/>
      <c r="E132" s="140"/>
      <c r="F132" s="151"/>
      <c r="I132" s="282"/>
    </row>
    <row r="133" spans="1:9">
      <c r="A133" s="137" t="s">
        <v>17</v>
      </c>
      <c r="B133" s="147"/>
      <c r="C133" s="153"/>
      <c r="D133" s="356"/>
      <c r="E133" s="140"/>
      <c r="F133" s="151"/>
      <c r="I133" s="282"/>
    </row>
    <row r="134" spans="1:9">
      <c r="A134" s="146" t="s">
        <v>104</v>
      </c>
      <c r="B134" s="315" t="s">
        <v>330</v>
      </c>
      <c r="C134" s="359">
        <v>15000000</v>
      </c>
      <c r="D134" s="386">
        <v>3884000</v>
      </c>
      <c r="E134" s="172">
        <v>0</v>
      </c>
      <c r="F134" s="177">
        <f>IF((D134-C134)&gt;0,"",D134-C134)</f>
        <v>-11116000</v>
      </c>
      <c r="H134" s="280">
        <v>4073877.21</v>
      </c>
      <c r="I134" s="282">
        <f>+D134-H134</f>
        <v>-189877.20999999996</v>
      </c>
    </row>
    <row r="135" spans="1:9">
      <c r="A135" s="137"/>
      <c r="B135" s="147"/>
      <c r="C135" s="357"/>
      <c r="D135" s="316"/>
      <c r="E135" s="140"/>
      <c r="F135" s="175"/>
      <c r="I135" s="282"/>
    </row>
    <row r="136" spans="1:9">
      <c r="A136" s="146" t="s">
        <v>331</v>
      </c>
      <c r="B136" s="315" t="s">
        <v>332</v>
      </c>
      <c r="C136" s="316"/>
      <c r="D136" s="365"/>
      <c r="E136" s="140" t="str">
        <f t="shared" ref="E136" si="27">IF((D136-C136)&gt;0,D136-C136,"")</f>
        <v/>
      </c>
      <c r="F136" s="175">
        <f t="shared" ref="F136" si="28">IF((D136-C136)&gt;0,"",D136-C136)</f>
        <v>0</v>
      </c>
      <c r="H136" s="280" t="s">
        <v>192</v>
      </c>
      <c r="I136" s="282"/>
    </row>
    <row r="137" spans="1:9">
      <c r="A137" s="313" t="s">
        <v>333</v>
      </c>
      <c r="B137" s="315" t="s">
        <v>334</v>
      </c>
      <c r="C137" s="316">
        <v>5000000</v>
      </c>
      <c r="D137" s="357">
        <v>3389051.89</v>
      </c>
      <c r="E137" s="139" t="str">
        <f>IF((D137-C137)&gt;0,D137-C137,"")</f>
        <v/>
      </c>
      <c r="F137" s="175">
        <f>IF((D137-C137)&gt;0,"",D137-C137)</f>
        <v>-1610948.1099999999</v>
      </c>
      <c r="H137" s="280">
        <v>427987.48</v>
      </c>
      <c r="I137" s="282">
        <f>+D137-H137</f>
        <v>2961064.41</v>
      </c>
    </row>
    <row r="138" spans="1:9">
      <c r="A138" s="137" t="s">
        <v>8</v>
      </c>
      <c r="B138" s="315" t="s">
        <v>335</v>
      </c>
      <c r="C138" s="316">
        <v>25350000</v>
      </c>
      <c r="D138" s="360">
        <v>13700453.060000001</v>
      </c>
      <c r="E138" s="139" t="str">
        <f t="shared" ref="E138:E152" si="29">IF((D138-C138)&gt;0,D138-C138,"")</f>
        <v/>
      </c>
      <c r="F138" s="175">
        <f t="shared" ref="F138:F152" si="30">IF((D138-C138)&gt;0,"",D138-C138)</f>
        <v>-11649546.939999999</v>
      </c>
      <c r="H138" s="280">
        <v>3424818.37</v>
      </c>
      <c r="I138" s="282">
        <f t="shared" ref="I138:I152" si="31">+D138-H138</f>
        <v>10275634.690000001</v>
      </c>
    </row>
    <row r="139" spans="1:9">
      <c r="A139" s="171" t="s">
        <v>9</v>
      </c>
      <c r="B139" s="315" t="s">
        <v>336</v>
      </c>
      <c r="C139" s="357">
        <v>8000000</v>
      </c>
      <c r="D139" s="360">
        <v>4622583.62</v>
      </c>
      <c r="E139" s="139" t="str">
        <f t="shared" si="29"/>
        <v/>
      </c>
      <c r="F139" s="175">
        <f t="shared" si="30"/>
        <v>-3377416.38</v>
      </c>
      <c r="H139" s="280">
        <v>692943</v>
      </c>
      <c r="I139" s="282">
        <f t="shared" si="31"/>
        <v>3929640.62</v>
      </c>
    </row>
    <row r="140" spans="1:9">
      <c r="A140" s="313" t="s">
        <v>344</v>
      </c>
      <c r="B140" s="315" t="s">
        <v>345</v>
      </c>
      <c r="C140" s="360">
        <v>1980000</v>
      </c>
      <c r="D140" s="360"/>
      <c r="E140" s="139" t="str">
        <f t="shared" si="29"/>
        <v/>
      </c>
      <c r="F140" s="175">
        <f t="shared" si="30"/>
        <v>-1980000</v>
      </c>
      <c r="H140" s="280">
        <v>0</v>
      </c>
      <c r="I140" s="282">
        <f t="shared" si="31"/>
        <v>0</v>
      </c>
    </row>
    <row r="141" spans="1:9">
      <c r="A141" s="171" t="s">
        <v>4</v>
      </c>
      <c r="B141" s="315" t="s">
        <v>337</v>
      </c>
      <c r="C141" s="360">
        <v>600000</v>
      </c>
      <c r="D141" s="387">
        <v>372386.35</v>
      </c>
      <c r="E141" s="139" t="str">
        <f t="shared" si="29"/>
        <v/>
      </c>
      <c r="F141" s="175">
        <f t="shared" si="30"/>
        <v>-227613.65000000002</v>
      </c>
      <c r="H141" s="280">
        <f>21060+184800</f>
        <v>205860</v>
      </c>
      <c r="I141" s="282">
        <f t="shared" si="31"/>
        <v>166526.34999999998</v>
      </c>
    </row>
    <row r="142" spans="1:9">
      <c r="A142" s="313" t="s">
        <v>338</v>
      </c>
      <c r="B142" s="315" t="s">
        <v>339</v>
      </c>
      <c r="C142" s="360">
        <v>1400000</v>
      </c>
      <c r="D142" s="387">
        <v>703620</v>
      </c>
      <c r="E142" s="139" t="str">
        <f t="shared" si="29"/>
        <v/>
      </c>
      <c r="F142" s="175">
        <f t="shared" si="30"/>
        <v>-696380</v>
      </c>
      <c r="H142" s="280">
        <v>64008</v>
      </c>
      <c r="I142" s="282">
        <f t="shared" si="31"/>
        <v>639612</v>
      </c>
    </row>
    <row r="143" spans="1:9">
      <c r="A143" s="137" t="s">
        <v>106</v>
      </c>
      <c r="B143" s="315" t="s">
        <v>340</v>
      </c>
      <c r="C143" s="360">
        <v>400000</v>
      </c>
      <c r="D143" s="387">
        <v>340368.03</v>
      </c>
      <c r="E143" s="139" t="str">
        <f t="shared" si="29"/>
        <v/>
      </c>
      <c r="F143" s="175">
        <f t="shared" si="30"/>
        <v>-59631.969999999972</v>
      </c>
      <c r="H143" s="280">
        <v>90887.28</v>
      </c>
      <c r="I143" s="282">
        <f t="shared" si="31"/>
        <v>249480.75000000003</v>
      </c>
    </row>
    <row r="144" spans="1:9">
      <c r="A144" s="137" t="s">
        <v>10</v>
      </c>
      <c r="B144" s="315" t="s">
        <v>341</v>
      </c>
      <c r="C144" s="316">
        <v>1000000</v>
      </c>
      <c r="D144" s="388">
        <v>850920</v>
      </c>
      <c r="E144" s="139" t="str">
        <f t="shared" si="29"/>
        <v/>
      </c>
      <c r="F144" s="175">
        <f t="shared" si="30"/>
        <v>-149080</v>
      </c>
      <c r="H144" s="280">
        <v>485000</v>
      </c>
      <c r="I144" s="282">
        <f t="shared" si="31"/>
        <v>365920</v>
      </c>
    </row>
    <row r="145" spans="1:9">
      <c r="A145" s="137" t="s">
        <v>28</v>
      </c>
      <c r="B145" s="315" t="s">
        <v>342</v>
      </c>
      <c r="C145" s="316">
        <v>160000</v>
      </c>
      <c r="D145" s="357">
        <v>180400</v>
      </c>
      <c r="E145" s="139">
        <f t="shared" si="29"/>
        <v>20400</v>
      </c>
      <c r="F145" s="175" t="str">
        <f t="shared" si="30"/>
        <v/>
      </c>
      <c r="I145" s="282">
        <f t="shared" si="31"/>
        <v>180400</v>
      </c>
    </row>
    <row r="146" spans="1:9">
      <c r="A146" s="137" t="s">
        <v>30</v>
      </c>
      <c r="B146" s="315" t="s">
        <v>343</v>
      </c>
      <c r="C146" s="316">
        <v>170000</v>
      </c>
      <c r="D146" s="388">
        <v>67500</v>
      </c>
      <c r="E146" s="139" t="str">
        <f t="shared" si="29"/>
        <v/>
      </c>
      <c r="F146" s="175">
        <f t="shared" si="30"/>
        <v>-102500</v>
      </c>
      <c r="H146" s="280">
        <v>13500</v>
      </c>
      <c r="I146" s="282">
        <f t="shared" si="31"/>
        <v>54000</v>
      </c>
    </row>
    <row r="147" spans="1:9">
      <c r="A147" s="313" t="s">
        <v>432</v>
      </c>
      <c r="B147" s="338"/>
      <c r="C147" s="316"/>
      <c r="D147" s="388"/>
      <c r="E147" s="139" t="str">
        <f t="shared" si="29"/>
        <v/>
      </c>
      <c r="F147" s="175">
        <f t="shared" si="30"/>
        <v>0</v>
      </c>
      <c r="I147" s="282"/>
    </row>
    <row r="148" spans="1:9">
      <c r="A148" s="137" t="s">
        <v>89</v>
      </c>
      <c r="B148" s="338" t="s">
        <v>439</v>
      </c>
      <c r="C148" s="316">
        <v>430000</v>
      </c>
      <c r="D148" s="221">
        <v>57740</v>
      </c>
      <c r="E148" s="139" t="str">
        <f t="shared" si="29"/>
        <v/>
      </c>
      <c r="F148" s="175">
        <f t="shared" si="30"/>
        <v>-372260</v>
      </c>
      <c r="H148" s="280">
        <v>136136.47</v>
      </c>
      <c r="I148" s="282">
        <f t="shared" si="31"/>
        <v>-78396.47</v>
      </c>
    </row>
    <row r="149" spans="1:9">
      <c r="A149" s="137" t="s">
        <v>172</v>
      </c>
      <c r="B149" s="338" t="s">
        <v>435</v>
      </c>
      <c r="C149" s="316">
        <v>1000000</v>
      </c>
      <c r="D149" s="436">
        <v>646415.47</v>
      </c>
      <c r="E149" s="139" t="str">
        <f t="shared" si="29"/>
        <v/>
      </c>
      <c r="F149" s="175">
        <f t="shared" si="30"/>
        <v>-353584.53</v>
      </c>
      <c r="H149" s="280">
        <v>14000</v>
      </c>
      <c r="I149" s="282">
        <f t="shared" si="31"/>
        <v>632415.47</v>
      </c>
    </row>
    <row r="150" spans="1:9">
      <c r="A150" s="137" t="s">
        <v>91</v>
      </c>
      <c r="B150" s="338" t="s">
        <v>436</v>
      </c>
      <c r="C150" s="316">
        <v>250000</v>
      </c>
      <c r="D150" s="221">
        <v>138410</v>
      </c>
      <c r="E150" s="139" t="str">
        <f t="shared" si="29"/>
        <v/>
      </c>
      <c r="F150" s="175">
        <f t="shared" si="30"/>
        <v>-111590</v>
      </c>
      <c r="H150" s="280">
        <v>35000</v>
      </c>
      <c r="I150" s="282">
        <f t="shared" si="31"/>
        <v>103410</v>
      </c>
    </row>
    <row r="151" spans="1:9">
      <c r="A151" s="137" t="s">
        <v>255</v>
      </c>
      <c r="B151" s="338" t="s">
        <v>438</v>
      </c>
      <c r="C151" s="316">
        <v>250000</v>
      </c>
      <c r="D151" s="221">
        <v>157320</v>
      </c>
      <c r="E151" s="139" t="str">
        <f t="shared" si="29"/>
        <v/>
      </c>
      <c r="F151" s="175">
        <f t="shared" si="30"/>
        <v>-92680</v>
      </c>
      <c r="H151" s="280">
        <v>35700</v>
      </c>
      <c r="I151" s="282">
        <f t="shared" si="31"/>
        <v>121620</v>
      </c>
    </row>
    <row r="152" spans="1:9">
      <c r="A152" s="137" t="s">
        <v>263</v>
      </c>
      <c r="B152" s="315" t="s">
        <v>441</v>
      </c>
      <c r="C152" s="316">
        <v>610000</v>
      </c>
      <c r="D152" s="221">
        <v>155680</v>
      </c>
      <c r="E152" s="139" t="str">
        <f t="shared" si="29"/>
        <v/>
      </c>
      <c r="F152" s="175">
        <f t="shared" si="30"/>
        <v>-454320</v>
      </c>
      <c r="H152" s="280">
        <v>35700</v>
      </c>
      <c r="I152" s="282">
        <f t="shared" si="31"/>
        <v>119980</v>
      </c>
    </row>
    <row r="153" spans="1:9" ht="13.5" thickBot="1">
      <c r="A153" s="137"/>
      <c r="B153" s="147"/>
      <c r="C153" s="172">
        <f>SUM(C137:C152)</f>
        <v>46600000</v>
      </c>
      <c r="D153" s="359">
        <f t="shared" ref="D153:F153" si="32">SUM(D137:D152)</f>
        <v>25382848.420000002</v>
      </c>
      <c r="E153" s="172">
        <f t="shared" si="32"/>
        <v>20400</v>
      </c>
      <c r="F153" s="174">
        <f t="shared" si="32"/>
        <v>-21237551.579999998</v>
      </c>
      <c r="H153" s="292">
        <f>SUM(H137:H152)</f>
        <v>5661540.5999999996</v>
      </c>
      <c r="I153" s="292">
        <f>SUM(I137:I152)</f>
        <v>19721307.820000004</v>
      </c>
    </row>
    <row r="154" spans="1:9" ht="13.5" thickTop="1">
      <c r="A154" s="146" t="s">
        <v>395</v>
      </c>
      <c r="B154" s="315" t="s">
        <v>332</v>
      </c>
      <c r="C154" s="153"/>
      <c r="D154" s="360"/>
      <c r="E154" s="163"/>
      <c r="F154" s="151"/>
      <c r="I154" s="282"/>
    </row>
    <row r="155" spans="1:9">
      <c r="A155" s="137" t="s">
        <v>8</v>
      </c>
      <c r="B155" s="315" t="s">
        <v>346</v>
      </c>
      <c r="C155" s="316">
        <v>8000000</v>
      </c>
      <c r="D155" s="317">
        <v>4209657.32</v>
      </c>
      <c r="E155" s="139" t="str">
        <f>IF((D155-C155)&gt;0,D155-C155,"")</f>
        <v/>
      </c>
      <c r="F155" s="175">
        <f>IF((D155-C155)&gt;0,"",D155-C155)</f>
        <v>-3790342.6799999997</v>
      </c>
      <c r="H155" s="280">
        <v>757628.52</v>
      </c>
      <c r="I155" s="282">
        <f>+D155-H155</f>
        <v>3452028.8000000003</v>
      </c>
    </row>
    <row r="156" spans="1:9">
      <c r="A156" s="137" t="s">
        <v>106</v>
      </c>
      <c r="B156" s="315" t="s">
        <v>347</v>
      </c>
      <c r="C156" s="316">
        <v>100000</v>
      </c>
      <c r="D156" s="317">
        <v>67652.45</v>
      </c>
      <c r="E156" s="139" t="str">
        <f t="shared" ref="E156:E168" si="33">IF((D156-C156)&gt;0,D156-C156,"")</f>
        <v/>
      </c>
      <c r="F156" s="175">
        <f t="shared" ref="F156:F168" si="34">IF((D156-C156)&gt;0,"",D156-C156)</f>
        <v>-32347.550000000003</v>
      </c>
      <c r="H156" s="280">
        <v>9418.23</v>
      </c>
      <c r="I156" s="282">
        <f t="shared" ref="I156:I168" si="35">+D156-H156</f>
        <v>58234.22</v>
      </c>
    </row>
    <row r="157" spans="1:9">
      <c r="A157" s="137" t="s">
        <v>4</v>
      </c>
      <c r="B157" s="315" t="s">
        <v>348</v>
      </c>
      <c r="C157" s="316">
        <v>30000</v>
      </c>
      <c r="D157" s="317">
        <v>29340</v>
      </c>
      <c r="E157" s="139" t="str">
        <f t="shared" si="33"/>
        <v/>
      </c>
      <c r="F157" s="175">
        <f t="shared" si="34"/>
        <v>-660</v>
      </c>
      <c r="H157" s="280">
        <f>300+21600</f>
        <v>21900</v>
      </c>
      <c r="I157" s="282">
        <f t="shared" si="35"/>
        <v>7440</v>
      </c>
    </row>
    <row r="158" spans="1:9">
      <c r="A158" s="137" t="s">
        <v>11</v>
      </c>
      <c r="B158" s="315" t="s">
        <v>349</v>
      </c>
      <c r="C158" s="316">
        <v>200000</v>
      </c>
      <c r="D158" s="317">
        <v>1000</v>
      </c>
      <c r="E158" s="139" t="str">
        <f t="shared" si="33"/>
        <v/>
      </c>
      <c r="F158" s="175">
        <f t="shared" si="34"/>
        <v>-199000</v>
      </c>
      <c r="H158" s="280">
        <v>21000</v>
      </c>
      <c r="I158" s="282">
        <f t="shared" si="35"/>
        <v>-20000</v>
      </c>
    </row>
    <row r="159" spans="1:9">
      <c r="A159" s="137" t="s">
        <v>12</v>
      </c>
      <c r="B159" s="315" t="s">
        <v>350</v>
      </c>
      <c r="C159" s="316">
        <v>1100000</v>
      </c>
      <c r="D159" s="317">
        <v>377156</v>
      </c>
      <c r="E159" s="139" t="str">
        <f t="shared" si="33"/>
        <v/>
      </c>
      <c r="F159" s="175">
        <f t="shared" si="34"/>
        <v>-722844</v>
      </c>
      <c r="H159" s="280">
        <v>72531</v>
      </c>
      <c r="I159" s="282">
        <f t="shared" si="35"/>
        <v>304625</v>
      </c>
    </row>
    <row r="160" spans="1:9">
      <c r="A160" s="137" t="s">
        <v>37</v>
      </c>
      <c r="B160" s="315" t="s">
        <v>351</v>
      </c>
      <c r="C160" s="316">
        <v>6500000</v>
      </c>
      <c r="D160" s="317">
        <v>3123511</v>
      </c>
      <c r="E160" s="139" t="str">
        <f t="shared" si="33"/>
        <v/>
      </c>
      <c r="F160" s="175">
        <f t="shared" si="34"/>
        <v>-3376489</v>
      </c>
      <c r="H160" s="280">
        <v>505073</v>
      </c>
      <c r="I160" s="282">
        <f t="shared" si="35"/>
        <v>2618438</v>
      </c>
    </row>
    <row r="161" spans="1:11">
      <c r="A161" s="313" t="s">
        <v>447</v>
      </c>
      <c r="B161" s="315" t="s">
        <v>446</v>
      </c>
      <c r="C161" s="316">
        <v>120000</v>
      </c>
      <c r="D161" s="317">
        <v>123420</v>
      </c>
      <c r="E161" s="139">
        <f t="shared" si="33"/>
        <v>3420</v>
      </c>
      <c r="F161" s="175" t="str">
        <f t="shared" si="34"/>
        <v/>
      </c>
      <c r="I161" s="282">
        <f>+D161-H161</f>
        <v>123420</v>
      </c>
    </row>
    <row r="162" spans="1:11">
      <c r="A162" s="313" t="s">
        <v>432</v>
      </c>
      <c r="B162" s="338"/>
      <c r="C162" s="316"/>
      <c r="D162" s="317"/>
      <c r="E162" s="139" t="str">
        <f t="shared" si="33"/>
        <v/>
      </c>
      <c r="F162" s="175">
        <f t="shared" si="34"/>
        <v>0</v>
      </c>
      <c r="I162" s="282"/>
    </row>
    <row r="163" spans="1:11">
      <c r="A163" s="313" t="s">
        <v>352</v>
      </c>
      <c r="B163" s="338" t="s">
        <v>439</v>
      </c>
      <c r="C163" s="316">
        <v>250000</v>
      </c>
      <c r="D163" s="221">
        <v>61950</v>
      </c>
      <c r="E163" s="139" t="str">
        <f t="shared" si="33"/>
        <v/>
      </c>
      <c r="F163" s="175">
        <f t="shared" si="34"/>
        <v>-188050</v>
      </c>
      <c r="H163" s="280">
        <v>9658</v>
      </c>
      <c r="I163" s="282">
        <f>+D163-H163</f>
        <v>52292</v>
      </c>
    </row>
    <row r="164" spans="1:11">
      <c r="A164" s="313" t="s">
        <v>353</v>
      </c>
      <c r="B164" s="338" t="s">
        <v>435</v>
      </c>
      <c r="C164" s="373">
        <v>50000</v>
      </c>
      <c r="D164" s="389">
        <v>18200</v>
      </c>
      <c r="E164" s="139" t="str">
        <f t="shared" si="33"/>
        <v/>
      </c>
      <c r="F164" s="175">
        <f t="shared" si="34"/>
        <v>-31800</v>
      </c>
      <c r="H164" s="280">
        <v>6490</v>
      </c>
      <c r="I164" s="282">
        <f t="shared" si="35"/>
        <v>11710</v>
      </c>
    </row>
    <row r="165" spans="1:11">
      <c r="A165" s="313" t="s">
        <v>354</v>
      </c>
      <c r="B165" s="338" t="s">
        <v>435</v>
      </c>
      <c r="C165" s="373">
        <v>250000</v>
      </c>
      <c r="D165" s="389">
        <f>62235-325</f>
        <v>61910</v>
      </c>
      <c r="E165" s="139" t="str">
        <f t="shared" si="33"/>
        <v/>
      </c>
      <c r="F165" s="175">
        <f t="shared" si="34"/>
        <v>-188090</v>
      </c>
      <c r="H165" s="280">
        <v>9058</v>
      </c>
      <c r="I165" s="282">
        <f t="shared" si="35"/>
        <v>52852</v>
      </c>
    </row>
    <row r="166" spans="1:11" s="321" customFormat="1">
      <c r="A166" s="352" t="s">
        <v>355</v>
      </c>
      <c r="B166" s="338" t="s">
        <v>436</v>
      </c>
      <c r="C166" s="316">
        <v>20000</v>
      </c>
      <c r="D166" s="221">
        <v>15240</v>
      </c>
      <c r="E166" s="139" t="str">
        <f t="shared" si="33"/>
        <v/>
      </c>
      <c r="F166" s="175">
        <f t="shared" si="34"/>
        <v>-4760</v>
      </c>
      <c r="G166" s="319">
        <v>43933</v>
      </c>
      <c r="H166" s="320">
        <v>3260</v>
      </c>
      <c r="I166" s="25">
        <f t="shared" si="35"/>
        <v>11980</v>
      </c>
      <c r="K166" s="320"/>
    </row>
    <row r="167" spans="1:11" s="321" customFormat="1">
      <c r="A167" s="352" t="s">
        <v>356</v>
      </c>
      <c r="B167" s="338" t="s">
        <v>438</v>
      </c>
      <c r="C167" s="316">
        <v>25000</v>
      </c>
      <c r="D167" s="221">
        <v>13605</v>
      </c>
      <c r="E167" s="139" t="str">
        <f t="shared" si="33"/>
        <v/>
      </c>
      <c r="F167" s="175">
        <f t="shared" si="34"/>
        <v>-11395</v>
      </c>
      <c r="H167" s="320">
        <v>2180</v>
      </c>
      <c r="I167" s="25">
        <f t="shared" si="35"/>
        <v>11425</v>
      </c>
      <c r="K167" s="320"/>
    </row>
    <row r="168" spans="1:11">
      <c r="A168" s="313" t="s">
        <v>92</v>
      </c>
      <c r="B168" s="315" t="s">
        <v>441</v>
      </c>
      <c r="C168" s="316">
        <v>25000</v>
      </c>
      <c r="D168" s="390">
        <v>13605</v>
      </c>
      <c r="E168" s="139" t="str">
        <f t="shared" si="33"/>
        <v/>
      </c>
      <c r="F168" s="175">
        <f t="shared" si="34"/>
        <v>-11395</v>
      </c>
      <c r="H168" s="280">
        <v>2180</v>
      </c>
      <c r="I168" s="282">
        <f t="shared" si="35"/>
        <v>11425</v>
      </c>
    </row>
    <row r="169" spans="1:11" ht="13.5" thickBot="1">
      <c r="A169" s="137"/>
      <c r="B169" s="147"/>
      <c r="C169" s="176">
        <f>SUM(C155:C168)</f>
        <v>16670000</v>
      </c>
      <c r="D169" s="359">
        <f t="shared" ref="D169:F169" si="36">SUM(D155:D168)</f>
        <v>8116246.7700000005</v>
      </c>
      <c r="E169" s="173">
        <f t="shared" si="36"/>
        <v>3420</v>
      </c>
      <c r="F169" s="177">
        <f t="shared" si="36"/>
        <v>-8557173.2300000004</v>
      </c>
      <c r="H169" s="292">
        <f>SUM(H155:H168)</f>
        <v>1420376.75</v>
      </c>
      <c r="I169" s="292">
        <f>SUM(I155:I168)</f>
        <v>6695870.0200000005</v>
      </c>
      <c r="J169" s="297"/>
    </row>
    <row r="170" spans="1:11" ht="13.5" customHeight="1" thickTop="1">
      <c r="A170" s="146"/>
      <c r="B170" s="147"/>
      <c r="C170" s="153"/>
      <c r="D170" s="316"/>
      <c r="E170" s="140"/>
      <c r="F170" s="151"/>
      <c r="I170" s="282"/>
    </row>
    <row r="171" spans="1:11">
      <c r="A171" s="146" t="s">
        <v>420</v>
      </c>
      <c r="B171" s="315" t="s">
        <v>358</v>
      </c>
      <c r="C171" s="153"/>
      <c r="D171" s="360"/>
      <c r="E171" s="139"/>
      <c r="F171" s="151"/>
      <c r="H171" s="280" t="s">
        <v>192</v>
      </c>
      <c r="I171" s="282"/>
    </row>
    <row r="172" spans="1:11">
      <c r="A172" s="313" t="s">
        <v>410</v>
      </c>
      <c r="B172" s="315" t="s">
        <v>359</v>
      </c>
      <c r="C172" s="316">
        <v>12100000</v>
      </c>
      <c r="D172" s="391">
        <v>7775480</v>
      </c>
      <c r="E172" s="139" t="str">
        <f>IF((D172-C172)&gt;0,D172-C172,"")</f>
        <v/>
      </c>
      <c r="F172" s="175">
        <f>IF((D172-C172)&gt;0,"",D172-C172)</f>
        <v>-4324520</v>
      </c>
      <c r="H172" s="280">
        <v>1024740</v>
      </c>
      <c r="I172" s="282">
        <f>+D172-H172</f>
        <v>6750740</v>
      </c>
    </row>
    <row r="173" spans="1:11">
      <c r="A173" s="137" t="s">
        <v>14</v>
      </c>
      <c r="B173" s="315" t="s">
        <v>360</v>
      </c>
      <c r="C173" s="316">
        <v>2000000</v>
      </c>
      <c r="D173" s="391">
        <v>1037125</v>
      </c>
      <c r="E173" s="139" t="str">
        <f t="shared" ref="E173:E185" si="37">IF((D173-C173)&gt;0,D173-C173,"")</f>
        <v/>
      </c>
      <c r="F173" s="175">
        <f t="shared" ref="F173:F185" si="38">IF((D173-C173)&gt;0,"",D173-C173)</f>
        <v>-962875</v>
      </c>
      <c r="H173" s="280">
        <v>157270</v>
      </c>
      <c r="I173" s="282">
        <f t="shared" ref="I173:I185" si="39">+D173-H173</f>
        <v>879855</v>
      </c>
    </row>
    <row r="174" spans="1:11">
      <c r="A174" s="137" t="s">
        <v>8</v>
      </c>
      <c r="B174" s="315" t="s">
        <v>361</v>
      </c>
      <c r="C174" s="316">
        <v>2626000</v>
      </c>
      <c r="D174" s="392">
        <v>1491555.42</v>
      </c>
      <c r="E174" s="139" t="str">
        <f t="shared" si="37"/>
        <v/>
      </c>
      <c r="F174" s="175">
        <f t="shared" si="38"/>
        <v>-1134444.58</v>
      </c>
      <c r="H174" s="280">
        <v>334433.96999999997</v>
      </c>
      <c r="I174" s="282">
        <f t="shared" si="39"/>
        <v>1157121.45</v>
      </c>
    </row>
    <row r="175" spans="1:11">
      <c r="A175" s="137" t="s">
        <v>15</v>
      </c>
      <c r="B175" s="315" t="s">
        <v>362</v>
      </c>
      <c r="C175" s="316">
        <v>3000000</v>
      </c>
      <c r="D175" s="392">
        <v>1562125</v>
      </c>
      <c r="E175" s="139" t="str">
        <f t="shared" si="37"/>
        <v/>
      </c>
      <c r="F175" s="175">
        <f t="shared" si="38"/>
        <v>-1437875</v>
      </c>
      <c r="H175" s="280">
        <v>266606</v>
      </c>
      <c r="I175" s="282">
        <f t="shared" si="39"/>
        <v>1295519</v>
      </c>
    </row>
    <row r="176" spans="1:11">
      <c r="A176" s="137" t="s">
        <v>4</v>
      </c>
      <c r="B176" s="315" t="s">
        <v>363</v>
      </c>
      <c r="C176" s="316">
        <v>100000</v>
      </c>
      <c r="D176" s="391">
        <v>94100</v>
      </c>
      <c r="E176" s="139" t="str">
        <f t="shared" si="37"/>
        <v/>
      </c>
      <c r="F176" s="175">
        <f t="shared" si="38"/>
        <v>-5900</v>
      </c>
      <c r="H176" s="280">
        <v>14700</v>
      </c>
      <c r="I176" s="282">
        <f t="shared" si="39"/>
        <v>79400</v>
      </c>
    </row>
    <row r="177" spans="1:11">
      <c r="A177" s="137" t="s">
        <v>16</v>
      </c>
      <c r="B177" s="315" t="s">
        <v>364</v>
      </c>
      <c r="C177" s="316">
        <v>60000</v>
      </c>
      <c r="D177" s="391">
        <v>94000</v>
      </c>
      <c r="E177" s="139">
        <f t="shared" si="37"/>
        <v>34000</v>
      </c>
      <c r="F177" s="175" t="str">
        <f t="shared" si="38"/>
        <v/>
      </c>
      <c r="H177" s="280">
        <v>1000</v>
      </c>
      <c r="I177" s="282">
        <f t="shared" si="39"/>
        <v>93000</v>
      </c>
    </row>
    <row r="178" spans="1:11">
      <c r="A178" s="137" t="s">
        <v>106</v>
      </c>
      <c r="B178" s="315" t="s">
        <v>365</v>
      </c>
      <c r="C178" s="316">
        <v>60000</v>
      </c>
      <c r="D178" s="391">
        <v>64559.76</v>
      </c>
      <c r="E178" s="139">
        <f t="shared" si="37"/>
        <v>4559.760000000002</v>
      </c>
      <c r="F178" s="175" t="str">
        <f t="shared" si="38"/>
        <v/>
      </c>
      <c r="H178" s="280">
        <v>23773.7</v>
      </c>
      <c r="I178" s="282">
        <f t="shared" si="39"/>
        <v>40786.06</v>
      </c>
    </row>
    <row r="179" spans="1:11">
      <c r="A179" s="137" t="s">
        <v>173</v>
      </c>
      <c r="B179" s="315" t="s">
        <v>366</v>
      </c>
      <c r="C179" s="316">
        <v>300000</v>
      </c>
      <c r="D179" s="391">
        <v>365850</v>
      </c>
      <c r="E179" s="139">
        <f t="shared" si="37"/>
        <v>65850</v>
      </c>
      <c r="F179" s="175" t="str">
        <f t="shared" si="38"/>
        <v/>
      </c>
      <c r="H179" s="280">
        <v>289950</v>
      </c>
      <c r="I179" s="282">
        <f t="shared" si="39"/>
        <v>75900</v>
      </c>
    </row>
    <row r="180" spans="1:11">
      <c r="A180" s="313" t="s">
        <v>432</v>
      </c>
      <c r="B180" s="338"/>
      <c r="C180" s="316"/>
      <c r="D180" s="391"/>
      <c r="E180" s="139" t="str">
        <f t="shared" si="37"/>
        <v/>
      </c>
      <c r="F180" s="175">
        <f t="shared" si="38"/>
        <v>0</v>
      </c>
      <c r="I180" s="282"/>
    </row>
    <row r="181" spans="1:11">
      <c r="A181" s="137" t="s">
        <v>89</v>
      </c>
      <c r="B181" s="338" t="s">
        <v>439</v>
      </c>
      <c r="C181" s="316">
        <v>700000</v>
      </c>
      <c r="D181" s="391">
        <v>417832</v>
      </c>
      <c r="E181" s="139" t="str">
        <f t="shared" si="37"/>
        <v/>
      </c>
      <c r="F181" s="175">
        <f t="shared" si="38"/>
        <v>-282168</v>
      </c>
      <c r="H181" s="280">
        <v>77206</v>
      </c>
      <c r="I181" s="282">
        <f t="shared" si="39"/>
        <v>340626</v>
      </c>
    </row>
    <row r="182" spans="1:11">
      <c r="A182" s="137" t="s">
        <v>172</v>
      </c>
      <c r="B182" s="338" t="s">
        <v>435</v>
      </c>
      <c r="C182" s="316">
        <v>600000</v>
      </c>
      <c r="D182" s="391">
        <v>382824</v>
      </c>
      <c r="E182" s="139" t="str">
        <f t="shared" si="37"/>
        <v/>
      </c>
      <c r="F182" s="175">
        <f t="shared" si="38"/>
        <v>-217176</v>
      </c>
      <c r="H182" s="280">
        <v>63403</v>
      </c>
      <c r="I182" s="282">
        <f t="shared" si="39"/>
        <v>319421</v>
      </c>
    </row>
    <row r="183" spans="1:11">
      <c r="A183" s="137" t="s">
        <v>91</v>
      </c>
      <c r="B183" s="338" t="s">
        <v>436</v>
      </c>
      <c r="C183" s="316">
        <v>50000</v>
      </c>
      <c r="D183" s="391">
        <v>40525</v>
      </c>
      <c r="E183" s="139" t="str">
        <f t="shared" si="37"/>
        <v/>
      </c>
      <c r="F183" s="175">
        <f t="shared" si="38"/>
        <v>-9475</v>
      </c>
      <c r="H183" s="280">
        <v>26651</v>
      </c>
      <c r="I183" s="282">
        <f t="shared" si="39"/>
        <v>13874</v>
      </c>
    </row>
    <row r="184" spans="1:11">
      <c r="A184" s="137" t="s">
        <v>255</v>
      </c>
      <c r="B184" s="438" t="s">
        <v>438</v>
      </c>
      <c r="C184" s="316">
        <v>50000</v>
      </c>
      <c r="D184" s="391">
        <v>41955</v>
      </c>
      <c r="E184" s="139" t="str">
        <f t="shared" si="37"/>
        <v/>
      </c>
      <c r="F184" s="175">
        <f t="shared" si="38"/>
        <v>-8045</v>
      </c>
      <c r="H184" s="280">
        <v>26500</v>
      </c>
      <c r="I184" s="282">
        <f t="shared" si="39"/>
        <v>15455</v>
      </c>
    </row>
    <row r="185" spans="1:11">
      <c r="A185" s="137" t="s">
        <v>263</v>
      </c>
      <c r="B185" s="338" t="s">
        <v>441</v>
      </c>
      <c r="C185" s="316">
        <v>50000</v>
      </c>
      <c r="D185" s="391">
        <v>41915</v>
      </c>
      <c r="E185" s="139" t="str">
        <f t="shared" si="37"/>
        <v/>
      </c>
      <c r="F185" s="175">
        <f t="shared" si="38"/>
        <v>-8085</v>
      </c>
      <c r="H185" s="280">
        <v>26500</v>
      </c>
      <c r="I185" s="282">
        <f t="shared" si="39"/>
        <v>15415</v>
      </c>
    </row>
    <row r="186" spans="1:11" ht="13.5" thickBot="1">
      <c r="A186" s="155" t="s">
        <v>17</v>
      </c>
      <c r="B186" s="166"/>
      <c r="C186" s="361">
        <f>SUM(C172:C185)</f>
        <v>21696000</v>
      </c>
      <c r="D186" s="393">
        <f t="shared" ref="D186:F186" si="40">SUM(D172:D185)</f>
        <v>13409846.18</v>
      </c>
      <c r="E186" s="178">
        <f t="shared" si="40"/>
        <v>104409.76000000001</v>
      </c>
      <c r="F186" s="180">
        <f t="shared" si="40"/>
        <v>-8390563.5800000001</v>
      </c>
      <c r="H186" s="292">
        <f>SUM(H172:H185)</f>
        <v>2332733.67</v>
      </c>
      <c r="I186" s="292">
        <f>SUM(I172:I185)</f>
        <v>11077112.51</v>
      </c>
    </row>
    <row r="187" spans="1:11" s="298" customFormat="1">
      <c r="A187" s="312"/>
      <c r="B187" s="159"/>
      <c r="C187" s="362"/>
      <c r="D187" s="362"/>
      <c r="E187" s="209"/>
      <c r="F187" s="184"/>
      <c r="H187" s="299"/>
      <c r="I187" s="282"/>
      <c r="K187" s="299"/>
    </row>
    <row r="188" spans="1:11" s="298" customFormat="1" ht="13.5" thickBot="1">
      <c r="A188" s="224"/>
      <c r="B188" s="156"/>
      <c r="C188" s="363"/>
      <c r="D188" s="363"/>
      <c r="E188" s="208"/>
      <c r="F188" s="309"/>
      <c r="H188" s="299"/>
      <c r="I188" s="282"/>
      <c r="K188" s="299"/>
    </row>
    <row r="189" spans="1:11">
      <c r="A189" s="132" t="s">
        <v>368</v>
      </c>
      <c r="B189" s="315" t="s">
        <v>369</v>
      </c>
      <c r="C189" s="364"/>
      <c r="D189" s="394"/>
      <c r="E189" s="183"/>
      <c r="F189" s="184"/>
      <c r="I189" s="282"/>
    </row>
    <row r="190" spans="1:11">
      <c r="A190" s="137" t="s">
        <v>18</v>
      </c>
      <c r="B190" s="315" t="s">
        <v>370</v>
      </c>
      <c r="C190" s="365">
        <v>1400000</v>
      </c>
      <c r="D190" s="317">
        <v>651175</v>
      </c>
      <c r="E190" s="139" t="str">
        <f>IF((D190-C190)&gt;0,D190-C190,"")</f>
        <v/>
      </c>
      <c r="F190" s="175">
        <f>IF((D190-C190)&gt;0,"",D190-C190)</f>
        <v>-748825</v>
      </c>
      <c r="I190" s="282">
        <f>+D190-H190</f>
        <v>651175</v>
      </c>
    </row>
    <row r="191" spans="1:11">
      <c r="A191" s="137" t="s">
        <v>121</v>
      </c>
      <c r="B191" s="315" t="s">
        <v>371</v>
      </c>
      <c r="C191" s="316">
        <v>650000</v>
      </c>
      <c r="D191" s="317">
        <v>336475</v>
      </c>
      <c r="E191" s="139" t="str">
        <f t="shared" ref="E191:E203" si="41">IF((D191-C191)&gt;0,D191-C191,"")</f>
        <v/>
      </c>
      <c r="F191" s="175">
        <f t="shared" ref="F191:F203" si="42">IF((D191-C191)&gt;0,"",D191-C191)</f>
        <v>-313525</v>
      </c>
      <c r="I191" s="282">
        <f t="shared" ref="I191:I201" si="43">+D191-H191</f>
        <v>336475</v>
      </c>
    </row>
    <row r="192" spans="1:11">
      <c r="A192" s="137" t="s">
        <v>122</v>
      </c>
      <c r="B192" s="315" t="s">
        <v>372</v>
      </c>
      <c r="C192" s="316">
        <v>280000</v>
      </c>
      <c r="D192" s="317">
        <v>152950</v>
      </c>
      <c r="E192" s="139" t="str">
        <f t="shared" si="41"/>
        <v/>
      </c>
      <c r="F192" s="175">
        <f t="shared" si="42"/>
        <v>-127050</v>
      </c>
      <c r="I192" s="282">
        <f t="shared" si="43"/>
        <v>152950</v>
      </c>
    </row>
    <row r="193" spans="1:13">
      <c r="A193" s="137" t="s">
        <v>19</v>
      </c>
      <c r="B193" s="315" t="s">
        <v>373</v>
      </c>
      <c r="C193" s="316">
        <v>1400000</v>
      </c>
      <c r="D193" s="317">
        <v>764100</v>
      </c>
      <c r="E193" s="139" t="str">
        <f t="shared" si="41"/>
        <v/>
      </c>
      <c r="F193" s="175">
        <f t="shared" si="42"/>
        <v>-635900</v>
      </c>
      <c r="I193" s="282">
        <f t="shared" si="43"/>
        <v>764100</v>
      </c>
    </row>
    <row r="194" spans="1:13">
      <c r="A194" s="171" t="s">
        <v>20</v>
      </c>
      <c r="B194" s="315" t="s">
        <v>374</v>
      </c>
      <c r="C194" s="357">
        <v>790000</v>
      </c>
      <c r="D194" s="395">
        <v>417650</v>
      </c>
      <c r="E194" s="139" t="str">
        <f t="shared" si="41"/>
        <v/>
      </c>
      <c r="F194" s="175">
        <f t="shared" si="42"/>
        <v>-372350</v>
      </c>
      <c r="H194" s="280">
        <v>61255</v>
      </c>
      <c r="I194" s="282">
        <f t="shared" si="43"/>
        <v>356395</v>
      </c>
    </row>
    <row r="195" spans="1:13" s="280" customFormat="1">
      <c r="A195" s="137" t="s">
        <v>9</v>
      </c>
      <c r="B195" s="315" t="s">
        <v>375</v>
      </c>
      <c r="C195" s="316">
        <v>120000</v>
      </c>
      <c r="D195" s="317">
        <v>68170</v>
      </c>
      <c r="E195" s="139" t="str">
        <f t="shared" si="41"/>
        <v/>
      </c>
      <c r="F195" s="175">
        <f t="shared" si="42"/>
        <v>-51830</v>
      </c>
      <c r="G195" s="279"/>
      <c r="H195" s="280">
        <v>9532</v>
      </c>
      <c r="I195" s="282">
        <f t="shared" si="43"/>
        <v>58638</v>
      </c>
      <c r="J195" s="279"/>
      <c r="L195" s="279"/>
      <c r="M195" s="279"/>
    </row>
    <row r="196" spans="1:13" s="280" customFormat="1">
      <c r="A196" s="137" t="s">
        <v>4</v>
      </c>
      <c r="B196" s="315" t="s">
        <v>376</v>
      </c>
      <c r="C196" s="316">
        <v>720000</v>
      </c>
      <c r="D196" s="317">
        <v>391937</v>
      </c>
      <c r="E196" s="139" t="str">
        <f t="shared" si="41"/>
        <v/>
      </c>
      <c r="F196" s="175">
        <f t="shared" si="42"/>
        <v>-328063</v>
      </c>
      <c r="G196" s="279"/>
      <c r="H196" s="280">
        <f>19400+37900</f>
        <v>57300</v>
      </c>
      <c r="I196" s="282">
        <f t="shared" si="43"/>
        <v>334637</v>
      </c>
      <c r="J196" s="279"/>
      <c r="L196" s="279"/>
      <c r="M196" s="279"/>
    </row>
    <row r="197" spans="1:13" s="280" customFormat="1">
      <c r="A197" s="313" t="s">
        <v>377</v>
      </c>
      <c r="B197" s="315" t="s">
        <v>378</v>
      </c>
      <c r="C197" s="316">
        <v>620000</v>
      </c>
      <c r="D197" s="317">
        <v>330625</v>
      </c>
      <c r="E197" s="139" t="str">
        <f t="shared" si="41"/>
        <v/>
      </c>
      <c r="F197" s="175">
        <f t="shared" si="42"/>
        <v>-289375</v>
      </c>
      <c r="G197" s="279"/>
      <c r="H197" s="280">
        <v>49045</v>
      </c>
      <c r="I197" s="282">
        <f t="shared" si="43"/>
        <v>281580</v>
      </c>
      <c r="J197" s="279"/>
      <c r="L197" s="279"/>
      <c r="M197" s="279"/>
    </row>
    <row r="198" spans="1:13" s="280" customFormat="1">
      <c r="A198" s="313" t="s">
        <v>432</v>
      </c>
      <c r="B198" s="338"/>
      <c r="C198" s="316"/>
      <c r="D198" s="317"/>
      <c r="E198" s="139" t="str">
        <f t="shared" si="41"/>
        <v/>
      </c>
      <c r="F198" s="175">
        <f t="shared" si="42"/>
        <v>0</v>
      </c>
      <c r="G198" s="279"/>
      <c r="I198" s="282"/>
      <c r="J198" s="279"/>
      <c r="L198" s="279"/>
      <c r="M198" s="279"/>
    </row>
    <row r="199" spans="1:13" s="280" customFormat="1">
      <c r="A199" s="137" t="s">
        <v>89</v>
      </c>
      <c r="B199" s="338" t="s">
        <v>439</v>
      </c>
      <c r="C199" s="373">
        <v>5000</v>
      </c>
      <c r="D199" s="396">
        <v>2723</v>
      </c>
      <c r="E199" s="139" t="str">
        <f t="shared" si="41"/>
        <v/>
      </c>
      <c r="F199" s="175">
        <f t="shared" si="42"/>
        <v>-2277</v>
      </c>
      <c r="G199" s="279"/>
      <c r="H199" s="280">
        <v>10821</v>
      </c>
      <c r="I199" s="282">
        <f t="shared" si="43"/>
        <v>-8098</v>
      </c>
      <c r="J199" s="286">
        <f>+I199+I220</f>
        <v>7272.5</v>
      </c>
      <c r="L199" s="279"/>
      <c r="M199" s="279"/>
    </row>
    <row r="200" spans="1:13" s="280" customFormat="1">
      <c r="A200" s="137" t="s">
        <v>172</v>
      </c>
      <c r="B200" s="338" t="s">
        <v>435</v>
      </c>
      <c r="C200" s="373">
        <v>140000</v>
      </c>
      <c r="D200" s="397">
        <v>68741</v>
      </c>
      <c r="E200" s="139" t="str">
        <f t="shared" si="41"/>
        <v/>
      </c>
      <c r="F200" s="175">
        <f t="shared" si="42"/>
        <v>-71259</v>
      </c>
      <c r="G200" s="279"/>
      <c r="H200" s="280">
        <v>150</v>
      </c>
      <c r="I200" s="282">
        <f t="shared" si="43"/>
        <v>68591</v>
      </c>
      <c r="J200" s="286">
        <f>+I200+I221</f>
        <v>138163.5</v>
      </c>
      <c r="L200" s="279"/>
      <c r="M200" s="279"/>
    </row>
    <row r="201" spans="1:13" s="280" customFormat="1">
      <c r="A201" s="137" t="s">
        <v>91</v>
      </c>
      <c r="B201" s="338" t="s">
        <v>436</v>
      </c>
      <c r="C201" s="373">
        <v>65000</v>
      </c>
      <c r="D201" s="397">
        <v>35538</v>
      </c>
      <c r="E201" s="139" t="str">
        <f t="shared" si="41"/>
        <v/>
      </c>
      <c r="F201" s="175">
        <f t="shared" si="42"/>
        <v>-29462</v>
      </c>
      <c r="G201" s="279"/>
      <c r="H201" s="280">
        <v>5251</v>
      </c>
      <c r="I201" s="282">
        <f t="shared" si="43"/>
        <v>30287</v>
      </c>
      <c r="J201" s="286">
        <f>+I201+I222</f>
        <v>46589</v>
      </c>
      <c r="L201" s="279"/>
      <c r="M201" s="279"/>
    </row>
    <row r="202" spans="1:13" s="280" customFormat="1">
      <c r="A202" s="137" t="s">
        <v>255</v>
      </c>
      <c r="B202" s="338" t="s">
        <v>438</v>
      </c>
      <c r="C202" s="373">
        <v>10000</v>
      </c>
      <c r="D202" s="440">
        <v>5540</v>
      </c>
      <c r="E202" s="139" t="str">
        <f t="shared" si="41"/>
        <v/>
      </c>
      <c r="F202" s="175">
        <f t="shared" si="42"/>
        <v>-4460</v>
      </c>
      <c r="G202" s="288"/>
      <c r="I202" s="282">
        <f>+G202-H202</f>
        <v>0</v>
      </c>
      <c r="J202" s="286" t="e">
        <f>+I202+#REF!</f>
        <v>#REF!</v>
      </c>
      <c r="L202" s="279"/>
      <c r="M202" s="279"/>
    </row>
    <row r="203" spans="1:13" s="280" customFormat="1">
      <c r="A203" s="137" t="s">
        <v>263</v>
      </c>
      <c r="B203" s="438" t="s">
        <v>441</v>
      </c>
      <c r="C203" s="414">
        <v>10000</v>
      </c>
      <c r="D203" s="440">
        <v>5540</v>
      </c>
      <c r="E203" s="139" t="str">
        <f t="shared" si="41"/>
        <v/>
      </c>
      <c r="F203" s="175">
        <f t="shared" si="42"/>
        <v>-4460</v>
      </c>
      <c r="G203" s="288"/>
      <c r="I203" s="282">
        <f>+G203-H203</f>
        <v>0</v>
      </c>
      <c r="J203" s="286" t="e">
        <f>+I203+#REF!</f>
        <v>#REF!</v>
      </c>
      <c r="L203" s="279"/>
      <c r="M203" s="279"/>
    </row>
    <row r="204" spans="1:13" s="280" customFormat="1" ht="13.5" thickBot="1">
      <c r="A204" s="137"/>
      <c r="B204" s="438"/>
      <c r="C204" s="359">
        <f>SUM(C190:C203)</f>
        <v>6210000</v>
      </c>
      <c r="D204" s="359">
        <f t="shared" ref="D204:F204" si="44">SUM(D190:D203)</f>
        <v>3231164</v>
      </c>
      <c r="E204" s="172">
        <f t="shared" si="44"/>
        <v>0</v>
      </c>
      <c r="F204" s="174">
        <f t="shared" si="44"/>
        <v>-2978836</v>
      </c>
      <c r="G204" s="288"/>
      <c r="H204" s="292">
        <f>SUM(H190:H203)</f>
        <v>193354</v>
      </c>
      <c r="I204" s="282">
        <f>+G204-H204</f>
        <v>-193354</v>
      </c>
      <c r="J204" s="279"/>
      <c r="L204" s="279"/>
      <c r="M204" s="279"/>
    </row>
    <row r="205" spans="1:13" s="280" customFormat="1" ht="13.5" thickTop="1">
      <c r="A205" s="137"/>
      <c r="B205" s="147"/>
      <c r="C205" s="357"/>
      <c r="D205" s="316"/>
      <c r="E205" s="140"/>
      <c r="F205" s="175"/>
      <c r="G205" s="288"/>
      <c r="I205" s="282">
        <f>+G205-H205</f>
        <v>0</v>
      </c>
      <c r="J205" s="279"/>
      <c r="L205" s="279"/>
      <c r="M205" s="279"/>
    </row>
    <row r="206" spans="1:13" s="280" customFormat="1">
      <c r="A206" s="146" t="s">
        <v>367</v>
      </c>
      <c r="B206" s="147"/>
      <c r="C206" s="357"/>
      <c r="D206" s="360"/>
      <c r="E206" s="139"/>
      <c r="F206" s="175"/>
      <c r="G206" s="288"/>
      <c r="I206" s="282">
        <f>+G206-H206</f>
        <v>0</v>
      </c>
      <c r="J206" s="279"/>
      <c r="L206" s="279"/>
      <c r="M206" s="279"/>
    </row>
    <row r="207" spans="1:13" s="280" customFormat="1">
      <c r="A207" s="137" t="s">
        <v>21</v>
      </c>
      <c r="B207" s="315" t="s">
        <v>379</v>
      </c>
      <c r="C207" s="316">
        <v>85000</v>
      </c>
      <c r="D207" s="317">
        <v>52299</v>
      </c>
      <c r="E207" s="139" t="str">
        <f>IF((D207-C207)&gt;0,D207-C207,"")</f>
        <v/>
      </c>
      <c r="F207" s="175">
        <f>IF((D207-C207)&gt;0,"",D207-C207)</f>
        <v>-32701</v>
      </c>
      <c r="G207" s="279"/>
      <c r="H207" s="280">
        <v>6052</v>
      </c>
      <c r="I207" s="282">
        <f>+D207-H207</f>
        <v>46247</v>
      </c>
      <c r="J207" s="279"/>
      <c r="L207" s="279"/>
      <c r="M207" s="279"/>
    </row>
    <row r="208" spans="1:13" s="280" customFormat="1">
      <c r="A208" s="137" t="s">
        <v>22</v>
      </c>
      <c r="B208" s="315" t="s">
        <v>380</v>
      </c>
      <c r="C208" s="316">
        <v>400000</v>
      </c>
      <c r="D208" s="317">
        <v>164484.5</v>
      </c>
      <c r="E208" s="139" t="str">
        <f t="shared" ref="E208:E222" si="45">IF((D208-C208)&gt;0,D208-C208,"")</f>
        <v/>
      </c>
      <c r="F208" s="175">
        <f t="shared" ref="F208:F222" si="46">IF((D208-C208)&gt;0,"",D208-C208)</f>
        <v>-235515.5</v>
      </c>
      <c r="G208" s="279"/>
      <c r="H208" s="280">
        <v>26885</v>
      </c>
      <c r="I208" s="282">
        <f t="shared" ref="I208:I222" si="47">+D208-H208</f>
        <v>137599.5</v>
      </c>
      <c r="J208" s="279"/>
      <c r="L208" s="279"/>
      <c r="M208" s="279"/>
    </row>
    <row r="209" spans="1:13" s="280" customFormat="1">
      <c r="A209" s="137" t="s">
        <v>7</v>
      </c>
      <c r="B209" s="315" t="s">
        <v>381</v>
      </c>
      <c r="C209" s="316">
        <v>300000</v>
      </c>
      <c r="D209" s="317">
        <v>91821.5</v>
      </c>
      <c r="E209" s="139" t="str">
        <f t="shared" si="45"/>
        <v/>
      </c>
      <c r="F209" s="175">
        <f t="shared" si="46"/>
        <v>-208178.5</v>
      </c>
      <c r="G209" s="279"/>
      <c r="H209" s="280">
        <v>12795</v>
      </c>
      <c r="I209" s="282">
        <f t="shared" si="47"/>
        <v>79026.5</v>
      </c>
      <c r="J209" s="279"/>
      <c r="L209" s="279"/>
      <c r="M209" s="279"/>
    </row>
    <row r="210" spans="1:13" s="280" customFormat="1">
      <c r="A210" s="137" t="s">
        <v>23</v>
      </c>
      <c r="B210" s="315" t="s">
        <v>382</v>
      </c>
      <c r="C210" s="316">
        <v>270000</v>
      </c>
      <c r="D210" s="317">
        <v>145345.5</v>
      </c>
      <c r="E210" s="139" t="str">
        <f t="shared" si="45"/>
        <v/>
      </c>
      <c r="F210" s="175">
        <f t="shared" si="46"/>
        <v>-124654.5</v>
      </c>
      <c r="G210" s="279"/>
      <c r="H210" s="280">
        <v>27310.5</v>
      </c>
      <c r="I210" s="282">
        <f t="shared" si="47"/>
        <v>118035</v>
      </c>
      <c r="J210" s="279"/>
      <c r="L210" s="279"/>
      <c r="M210" s="279"/>
    </row>
    <row r="211" spans="1:13" s="280" customFormat="1">
      <c r="A211" s="137" t="s">
        <v>24</v>
      </c>
      <c r="B211" s="315" t="s">
        <v>383</v>
      </c>
      <c r="C211" s="316">
        <v>130000</v>
      </c>
      <c r="D211" s="317">
        <v>64317.75</v>
      </c>
      <c r="E211" s="139" t="str">
        <f t="shared" si="45"/>
        <v/>
      </c>
      <c r="F211" s="175">
        <f t="shared" si="46"/>
        <v>-65682.25</v>
      </c>
      <c r="G211" s="279"/>
      <c r="H211" s="280">
        <v>12027.75</v>
      </c>
      <c r="I211" s="282">
        <f t="shared" si="47"/>
        <v>52290</v>
      </c>
      <c r="J211" s="279"/>
      <c r="L211" s="279"/>
      <c r="M211" s="279"/>
    </row>
    <row r="212" spans="1:13" s="280" customFormat="1">
      <c r="A212" s="137" t="s">
        <v>4</v>
      </c>
      <c r="B212" s="315" t="s">
        <v>384</v>
      </c>
      <c r="C212" s="316">
        <v>60000</v>
      </c>
      <c r="D212" s="317">
        <v>42570.03</v>
      </c>
      <c r="E212" s="139" t="str">
        <f t="shared" si="45"/>
        <v/>
      </c>
      <c r="F212" s="175">
        <f t="shared" si="46"/>
        <v>-17429.97</v>
      </c>
      <c r="G212" s="279"/>
      <c r="H212" s="280">
        <f>600+8800+313.43</f>
        <v>9713.43</v>
      </c>
      <c r="I212" s="282">
        <f t="shared" si="47"/>
        <v>32856.6</v>
      </c>
      <c r="J212" s="279"/>
      <c r="L212" s="279"/>
      <c r="M212" s="279"/>
    </row>
    <row r="213" spans="1:13" s="280" customFormat="1">
      <c r="A213" s="313" t="s">
        <v>411</v>
      </c>
      <c r="B213" s="315" t="s">
        <v>412</v>
      </c>
      <c r="C213" s="316"/>
      <c r="D213" s="317">
        <v>813.75</v>
      </c>
      <c r="E213" s="139">
        <f t="shared" si="45"/>
        <v>813.75</v>
      </c>
      <c r="F213" s="175" t="str">
        <f t="shared" si="46"/>
        <v/>
      </c>
      <c r="G213" s="279"/>
      <c r="I213" s="282"/>
      <c r="J213" s="279"/>
      <c r="L213" s="279"/>
      <c r="M213" s="279"/>
    </row>
    <row r="214" spans="1:13" s="280" customFormat="1" ht="12" customHeight="1">
      <c r="A214" s="137" t="s">
        <v>25</v>
      </c>
      <c r="B214" s="315" t="s">
        <v>385</v>
      </c>
      <c r="C214" s="316">
        <v>900000</v>
      </c>
      <c r="D214" s="317">
        <v>462345</v>
      </c>
      <c r="E214" s="139" t="str">
        <f t="shared" si="45"/>
        <v/>
      </c>
      <c r="F214" s="175">
        <f t="shared" si="46"/>
        <v>-437655</v>
      </c>
      <c r="G214" s="298"/>
      <c r="H214" s="299">
        <v>79860</v>
      </c>
      <c r="I214" s="282">
        <f t="shared" si="47"/>
        <v>382485</v>
      </c>
      <c r="J214" s="279"/>
      <c r="L214" s="279"/>
      <c r="M214" s="279"/>
    </row>
    <row r="215" spans="1:13" s="280" customFormat="1">
      <c r="A215" s="137" t="s">
        <v>29</v>
      </c>
      <c r="B215" s="315" t="s">
        <v>386</v>
      </c>
      <c r="C215" s="316">
        <v>40000</v>
      </c>
      <c r="D215" s="317">
        <v>27052.5</v>
      </c>
      <c r="E215" s="139" t="str">
        <f t="shared" si="45"/>
        <v/>
      </c>
      <c r="F215" s="175">
        <f t="shared" si="46"/>
        <v>-12947.5</v>
      </c>
      <c r="G215" s="298"/>
      <c r="H215" s="299">
        <v>3255</v>
      </c>
      <c r="I215" s="282">
        <f t="shared" si="47"/>
        <v>23797.5</v>
      </c>
      <c r="J215" s="279"/>
      <c r="L215" s="279"/>
      <c r="M215" s="279"/>
    </row>
    <row r="216" spans="1:13" s="280" customFormat="1">
      <c r="A216" s="313" t="s">
        <v>388</v>
      </c>
      <c r="B216" s="315" t="s">
        <v>387</v>
      </c>
      <c r="C216" s="316">
        <v>23170</v>
      </c>
      <c r="D216" s="317">
        <v>43000</v>
      </c>
      <c r="E216" s="139">
        <f t="shared" si="45"/>
        <v>19830</v>
      </c>
      <c r="F216" s="175" t="str">
        <f t="shared" si="46"/>
        <v/>
      </c>
      <c r="G216" s="298"/>
      <c r="H216" s="299">
        <v>42000</v>
      </c>
      <c r="I216" s="282">
        <f t="shared" si="47"/>
        <v>1000</v>
      </c>
      <c r="J216" s="279"/>
      <c r="L216" s="279"/>
      <c r="M216" s="279"/>
    </row>
    <row r="217" spans="1:13" s="280" customFormat="1">
      <c r="A217" s="137" t="s">
        <v>8</v>
      </c>
      <c r="B217" s="315" t="s">
        <v>389</v>
      </c>
      <c r="C217" s="316">
        <v>115500</v>
      </c>
      <c r="D217" s="317">
        <v>69309.09</v>
      </c>
      <c r="E217" s="139" t="str">
        <f t="shared" si="45"/>
        <v/>
      </c>
      <c r="F217" s="175">
        <f t="shared" si="46"/>
        <v>-46190.91</v>
      </c>
      <c r="G217" s="298"/>
      <c r="H217" s="299">
        <v>12328.2</v>
      </c>
      <c r="I217" s="282">
        <f t="shared" si="47"/>
        <v>56980.89</v>
      </c>
      <c r="J217" s="279"/>
      <c r="L217" s="279"/>
      <c r="M217" s="279"/>
    </row>
    <row r="218" spans="1:13" s="280" customFormat="1">
      <c r="A218" s="137" t="s">
        <v>38</v>
      </c>
      <c r="B218" s="315" t="s">
        <v>390</v>
      </c>
      <c r="C218" s="316">
        <v>65000</v>
      </c>
      <c r="D218" s="398">
        <v>47040</v>
      </c>
      <c r="E218" s="139" t="str">
        <f t="shared" si="45"/>
        <v/>
      </c>
      <c r="F218" s="175">
        <f t="shared" si="46"/>
        <v>-17960</v>
      </c>
      <c r="G218" s="298"/>
      <c r="H218" s="299">
        <v>5445</v>
      </c>
      <c r="I218" s="282">
        <f t="shared" si="47"/>
        <v>41595</v>
      </c>
      <c r="J218" s="279"/>
      <c r="L218" s="279"/>
      <c r="M218" s="279"/>
    </row>
    <row r="219" spans="1:13" s="280" customFormat="1">
      <c r="A219" s="313" t="s">
        <v>432</v>
      </c>
      <c r="B219" s="338"/>
      <c r="C219" s="316"/>
      <c r="D219" s="357"/>
      <c r="E219" s="139" t="str">
        <f t="shared" si="45"/>
        <v/>
      </c>
      <c r="F219" s="175">
        <f t="shared" si="46"/>
        <v>0</v>
      </c>
      <c r="G219" s="298"/>
      <c r="H219" s="299"/>
      <c r="I219" s="282"/>
      <c r="J219" s="279"/>
      <c r="L219" s="279"/>
      <c r="M219" s="279"/>
    </row>
    <row r="220" spans="1:13" s="280" customFormat="1">
      <c r="A220" s="137" t="s">
        <v>89</v>
      </c>
      <c r="B220" s="338" t="s">
        <v>439</v>
      </c>
      <c r="C220" s="373">
        <v>40000</v>
      </c>
      <c r="D220" s="441">
        <v>29103.5</v>
      </c>
      <c r="E220" s="139" t="str">
        <f t="shared" si="45"/>
        <v/>
      </c>
      <c r="F220" s="175">
        <f t="shared" si="46"/>
        <v>-10896.5</v>
      </c>
      <c r="G220" s="298"/>
      <c r="H220" s="299">
        <v>13733</v>
      </c>
      <c r="I220" s="282">
        <f t="shared" si="47"/>
        <v>15370.5</v>
      </c>
      <c r="J220" s="286">
        <f>+I220+I199</f>
        <v>7272.5</v>
      </c>
      <c r="L220" s="279"/>
      <c r="M220" s="279"/>
    </row>
    <row r="221" spans="1:13" s="280" customFormat="1">
      <c r="A221" s="137" t="s">
        <v>172</v>
      </c>
      <c r="B221" s="338" t="s">
        <v>435</v>
      </c>
      <c r="C221" s="373">
        <v>120000</v>
      </c>
      <c r="D221" s="317">
        <v>74906.5</v>
      </c>
      <c r="E221" s="139" t="str">
        <f t="shared" si="45"/>
        <v/>
      </c>
      <c r="F221" s="175">
        <f t="shared" si="46"/>
        <v>-45093.5</v>
      </c>
      <c r="G221" s="298"/>
      <c r="H221" s="299">
        <v>5334</v>
      </c>
      <c r="I221" s="282">
        <f t="shared" si="47"/>
        <v>69572.5</v>
      </c>
      <c r="J221" s="286">
        <f>+I221+I200</f>
        <v>138163.5</v>
      </c>
      <c r="L221" s="279"/>
      <c r="M221" s="279"/>
    </row>
    <row r="222" spans="1:13" s="280" customFormat="1">
      <c r="A222" s="137" t="s">
        <v>91</v>
      </c>
      <c r="B222" s="338" t="s">
        <v>436</v>
      </c>
      <c r="C222" s="373">
        <v>30000</v>
      </c>
      <c r="D222" s="357">
        <v>19224</v>
      </c>
      <c r="E222" s="139" t="str">
        <f t="shared" si="45"/>
        <v/>
      </c>
      <c r="F222" s="175">
        <f t="shared" si="46"/>
        <v>-10776</v>
      </c>
      <c r="G222" s="298"/>
      <c r="H222" s="299">
        <v>2922</v>
      </c>
      <c r="I222" s="282">
        <f t="shared" si="47"/>
        <v>16302</v>
      </c>
      <c r="J222" s="286">
        <f>+I222+I201</f>
        <v>46589</v>
      </c>
      <c r="L222" s="279"/>
      <c r="M222" s="279"/>
    </row>
    <row r="223" spans="1:13" s="280" customFormat="1" ht="13.5" thickBot="1">
      <c r="A223" s="137" t="s">
        <v>17</v>
      </c>
      <c r="B223" s="147"/>
      <c r="C223" s="359">
        <f>SUM(C207:C222)</f>
        <v>2578670</v>
      </c>
      <c r="D223" s="359">
        <f t="shared" ref="D223:F223" si="48">SUM(D207:D222)</f>
        <v>1333632.6200000001</v>
      </c>
      <c r="E223" s="172">
        <f t="shared" si="48"/>
        <v>20643.75</v>
      </c>
      <c r="F223" s="174">
        <f t="shared" si="48"/>
        <v>-1265681.1299999999</v>
      </c>
      <c r="G223" s="298"/>
      <c r="H223" s="292">
        <f>SUM(H207:H222)</f>
        <v>259660.88</v>
      </c>
      <c r="I223" s="292">
        <f>SUM(I207:I222)</f>
        <v>1073157.99</v>
      </c>
      <c r="J223" s="279"/>
      <c r="L223" s="279"/>
      <c r="M223" s="279"/>
    </row>
    <row r="224" spans="1:13" s="280" customFormat="1" ht="13.5" thickTop="1">
      <c r="A224" s="146" t="s">
        <v>391</v>
      </c>
      <c r="B224" s="315" t="s">
        <v>392</v>
      </c>
      <c r="C224" s="366"/>
      <c r="D224" s="221"/>
      <c r="E224" s="163"/>
      <c r="F224" s="175"/>
      <c r="G224" s="298"/>
      <c r="I224" s="213"/>
      <c r="J224" s="279"/>
      <c r="L224" s="279"/>
      <c r="M224" s="279"/>
    </row>
    <row r="225" spans="1:13" s="280" customFormat="1">
      <c r="A225" s="137" t="s">
        <v>27</v>
      </c>
      <c r="B225" s="315" t="s">
        <v>393</v>
      </c>
      <c r="C225" s="316">
        <v>3500000</v>
      </c>
      <c r="D225" s="221">
        <v>1551290</v>
      </c>
      <c r="E225" s="139" t="str">
        <f>IF((D225-C225)&gt;0,D225-C225,"")</f>
        <v/>
      </c>
      <c r="F225" s="175">
        <f>IF((D225-C225)&gt;0,"",D225-C225)</f>
        <v>-1948710</v>
      </c>
      <c r="G225" s="298"/>
      <c r="H225" s="280">
        <f>261615+35800</f>
        <v>297415</v>
      </c>
      <c r="I225" s="282">
        <f>+D225-H225</f>
        <v>1253875</v>
      </c>
      <c r="J225" s="279"/>
      <c r="L225" s="279"/>
      <c r="M225" s="279"/>
    </row>
    <row r="226" spans="1:13" s="280" customFormat="1">
      <c r="A226" s="313" t="s">
        <v>432</v>
      </c>
      <c r="B226" s="338"/>
      <c r="C226" s="316"/>
      <c r="D226" s="221"/>
      <c r="E226" s="139" t="str">
        <f t="shared" ref="E226:E229" si="49">IF((D226-C226)&gt;0,D226-C226,"")</f>
        <v/>
      </c>
      <c r="F226" s="175">
        <f t="shared" ref="F226:F229" si="50">IF((D226-C226)&gt;0,"",D226-C226)</f>
        <v>0</v>
      </c>
      <c r="G226" s="298"/>
      <c r="I226" s="282"/>
      <c r="J226" s="279"/>
      <c r="L226" s="279"/>
      <c r="M226" s="279"/>
    </row>
    <row r="227" spans="1:13" s="280" customFormat="1">
      <c r="A227" s="137" t="s">
        <v>172</v>
      </c>
      <c r="B227" s="338" t="s">
        <v>435</v>
      </c>
      <c r="C227" s="316">
        <v>500000</v>
      </c>
      <c r="D227" s="221">
        <v>261530</v>
      </c>
      <c r="E227" s="139" t="str">
        <f t="shared" si="49"/>
        <v/>
      </c>
      <c r="F227" s="175">
        <f t="shared" si="50"/>
        <v>-238470</v>
      </c>
      <c r="G227" s="298"/>
      <c r="H227" s="280">
        <v>48300</v>
      </c>
      <c r="I227" s="282">
        <f>+D227-H227</f>
        <v>213230</v>
      </c>
      <c r="J227" s="279"/>
      <c r="L227" s="279"/>
      <c r="M227" s="279"/>
    </row>
    <row r="228" spans="1:13" s="280" customFormat="1">
      <c r="A228" s="137" t="s">
        <v>255</v>
      </c>
      <c r="B228" s="338" t="s">
        <v>438</v>
      </c>
      <c r="C228" s="316">
        <v>7000</v>
      </c>
      <c r="D228" s="221">
        <v>4700</v>
      </c>
      <c r="E228" s="139" t="str">
        <f t="shared" si="49"/>
        <v/>
      </c>
      <c r="F228" s="175">
        <f t="shared" si="50"/>
        <v>-2300</v>
      </c>
      <c r="G228" s="298"/>
      <c r="H228" s="280">
        <v>800</v>
      </c>
      <c r="I228" s="282">
        <f>+D228-H228</f>
        <v>3900</v>
      </c>
      <c r="J228" s="279"/>
      <c r="L228" s="279"/>
      <c r="M228" s="279"/>
    </row>
    <row r="229" spans="1:13" s="280" customFormat="1">
      <c r="A229" s="137" t="s">
        <v>263</v>
      </c>
      <c r="B229" s="338" t="s">
        <v>441</v>
      </c>
      <c r="C229" s="356">
        <v>7000</v>
      </c>
      <c r="D229" s="221">
        <v>4700</v>
      </c>
      <c r="E229" s="139" t="str">
        <f t="shared" si="49"/>
        <v/>
      </c>
      <c r="F229" s="175">
        <f t="shared" si="50"/>
        <v>-2300</v>
      </c>
      <c r="G229" s="298"/>
      <c r="H229" s="280">
        <v>800</v>
      </c>
      <c r="I229" s="282">
        <f>+D229-H229</f>
        <v>3900</v>
      </c>
      <c r="J229" s="279"/>
      <c r="L229" s="279"/>
      <c r="M229" s="279"/>
    </row>
    <row r="230" spans="1:13" s="280" customFormat="1" ht="13.5" thickBot="1">
      <c r="A230" s="137"/>
      <c r="B230" s="147"/>
      <c r="C230" s="367">
        <f>SUM(C225:C229)</f>
        <v>4014000</v>
      </c>
      <c r="D230" s="399">
        <f t="shared" ref="D230:F230" si="51">SUM(D225:D229)</f>
        <v>1822220</v>
      </c>
      <c r="E230" s="189">
        <f t="shared" si="51"/>
        <v>0</v>
      </c>
      <c r="F230" s="190">
        <f t="shared" si="51"/>
        <v>-2191780</v>
      </c>
      <c r="G230" s="298"/>
      <c r="H230" s="292">
        <f>SUM(H225:H229)</f>
        <v>347315</v>
      </c>
      <c r="I230" s="292">
        <f>SUM(I225:I229)</f>
        <v>1474905</v>
      </c>
      <c r="J230" s="279"/>
      <c r="L230" s="279"/>
      <c r="M230" s="279"/>
    </row>
    <row r="231" spans="1:13" s="280" customFormat="1" ht="13.5" thickTop="1">
      <c r="A231" s="137" t="s">
        <v>123</v>
      </c>
      <c r="B231" s="147"/>
      <c r="C231" s="356">
        <f>SUM(C230+C223+C204+C186+C169+C153+C134)</f>
        <v>112768670</v>
      </c>
      <c r="D231" s="316">
        <f t="shared" ref="D231:F231" si="52">SUM(D230+D223+D204+D186+D169+D153+D134)</f>
        <v>57179957.990000002</v>
      </c>
      <c r="E231" s="140">
        <f t="shared" si="52"/>
        <v>148873.51</v>
      </c>
      <c r="F231" s="169">
        <f t="shared" si="52"/>
        <v>-55737585.519999996</v>
      </c>
      <c r="G231" s="298"/>
      <c r="I231" s="213"/>
      <c r="J231" s="279"/>
      <c r="L231" s="279"/>
      <c r="M231" s="279"/>
    </row>
    <row r="232" spans="1:13" s="280" customFormat="1" ht="13.5" thickBot="1">
      <c r="A232" s="191" t="s">
        <v>107</v>
      </c>
      <c r="B232" s="192"/>
      <c r="C232" s="368">
        <f>+C231+C130</f>
        <v>1092930247</v>
      </c>
      <c r="D232" s="383">
        <f t="shared" ref="D232:F232" si="53">+D231+D130</f>
        <v>651956400.89999998</v>
      </c>
      <c r="E232" s="193">
        <f t="shared" si="53"/>
        <v>1707313.55</v>
      </c>
      <c r="F232" s="194">
        <f t="shared" si="53"/>
        <v>-442681159.65000004</v>
      </c>
      <c r="G232" s="298"/>
      <c r="I232" s="213"/>
      <c r="J232" s="279"/>
      <c r="L232" s="279"/>
      <c r="M232" s="279"/>
    </row>
    <row r="233" spans="1:13" s="280" customFormat="1" ht="13.5" thickTop="1">
      <c r="A233" s="171" t="s">
        <v>111</v>
      </c>
      <c r="B233" s="154"/>
      <c r="C233" s="357"/>
      <c r="D233" s="357"/>
      <c r="E233" s="153"/>
      <c r="F233" s="175"/>
      <c r="G233" s="298"/>
      <c r="H233" s="280">
        <f>D34+I244</f>
        <v>512302387.52999997</v>
      </c>
      <c r="I233" s="300">
        <v>121064830.92</v>
      </c>
      <c r="J233" s="286">
        <f>H233-I233</f>
        <v>391237556.60999995</v>
      </c>
      <c r="L233" s="279"/>
      <c r="M233" s="279"/>
    </row>
    <row r="234" spans="1:13" s="280" customFormat="1" ht="14.25">
      <c r="A234" s="195"/>
      <c r="B234" s="439"/>
      <c r="C234" s="2"/>
      <c r="D234" s="400"/>
      <c r="E234" s="197"/>
      <c r="F234" s="199"/>
      <c r="G234" s="279"/>
      <c r="I234" s="213"/>
      <c r="J234" s="279"/>
      <c r="L234" s="279"/>
      <c r="M234" s="279"/>
    </row>
    <row r="235" spans="1:13" s="280" customFormat="1" ht="14.25">
      <c r="A235" s="466" t="s">
        <v>196</v>
      </c>
      <c r="B235" s="467"/>
      <c r="C235" s="2"/>
      <c r="D235" s="2"/>
      <c r="E235" s="200"/>
      <c r="F235" s="201"/>
      <c r="G235" s="279"/>
      <c r="I235" s="213"/>
      <c r="J235" s="279"/>
      <c r="L235" s="279"/>
      <c r="M235" s="279"/>
    </row>
    <row r="236" spans="1:13" s="280" customFormat="1" ht="14.25">
      <c r="A236" s="468" t="s">
        <v>400</v>
      </c>
      <c r="B236" s="469"/>
      <c r="C236" s="3"/>
      <c r="D236" s="401" t="s">
        <v>114</v>
      </c>
      <c r="E236" s="439"/>
      <c r="F236" s="201"/>
      <c r="G236" s="279"/>
      <c r="I236" s="213"/>
      <c r="J236" s="279"/>
      <c r="L236" s="279"/>
      <c r="M236" s="279"/>
    </row>
    <row r="237" spans="1:13" s="280" customFormat="1" ht="14.25">
      <c r="A237" s="171"/>
      <c r="B237" s="439"/>
      <c r="C237" s="4"/>
      <c r="D237" s="4"/>
      <c r="E237" s="439"/>
      <c r="F237" s="201"/>
      <c r="G237" s="279"/>
      <c r="I237" s="213"/>
      <c r="J237" s="279"/>
      <c r="L237" s="279"/>
      <c r="M237" s="279"/>
    </row>
    <row r="238" spans="1:13" s="280" customFormat="1" ht="15">
      <c r="A238" s="195"/>
      <c r="B238" s="439"/>
      <c r="C238" s="369"/>
      <c r="D238" s="470" t="s">
        <v>115</v>
      </c>
      <c r="E238" s="470"/>
      <c r="F238" s="471"/>
      <c r="G238" s="279"/>
      <c r="H238" s="296"/>
      <c r="I238" s="240"/>
      <c r="J238" s="240" t="s">
        <v>187</v>
      </c>
      <c r="L238" s="279"/>
      <c r="M238" s="279"/>
    </row>
    <row r="239" spans="1:13" s="280" customFormat="1" ht="14.25">
      <c r="A239" s="195"/>
      <c r="B239" s="439"/>
      <c r="C239" s="369"/>
      <c r="D239" s="472" t="s">
        <v>116</v>
      </c>
      <c r="E239" s="472"/>
      <c r="F239" s="473"/>
      <c r="G239" s="279"/>
      <c r="H239" s="301" t="s">
        <v>179</v>
      </c>
      <c r="I239" s="302">
        <v>660286583.63</v>
      </c>
      <c r="J239" s="240" t="s">
        <v>185</v>
      </c>
      <c r="L239" s="279"/>
      <c r="M239" s="279"/>
    </row>
    <row r="240" spans="1:13" s="280" customFormat="1" ht="14.25">
      <c r="A240" s="195"/>
      <c r="B240" s="439"/>
      <c r="C240" s="369"/>
      <c r="D240" s="372"/>
      <c r="E240" s="222"/>
      <c r="F240" s="223"/>
      <c r="G240" s="279"/>
      <c r="H240" s="301"/>
      <c r="I240" s="240"/>
      <c r="J240" s="240"/>
      <c r="L240" s="279"/>
      <c r="M240" s="279"/>
    </row>
    <row r="241" spans="1:13" s="280" customFormat="1" ht="14.25">
      <c r="A241" s="171" t="s">
        <v>117</v>
      </c>
      <c r="B241" s="439"/>
      <c r="C241" s="369"/>
      <c r="D241" s="369"/>
      <c r="E241" s="148"/>
      <c r="F241" s="223"/>
      <c r="G241" s="279"/>
      <c r="H241" s="301" t="s">
        <v>180</v>
      </c>
      <c r="I241" s="296">
        <v>16586</v>
      </c>
      <c r="J241" s="240" t="s">
        <v>185</v>
      </c>
      <c r="L241" s="279"/>
      <c r="M241" s="279"/>
    </row>
    <row r="242" spans="1:13" s="280" customFormat="1">
      <c r="A242" s="171" t="s">
        <v>118</v>
      </c>
      <c r="B242" s="154"/>
      <c r="C242" s="369"/>
      <c r="D242" s="369"/>
      <c r="E242" s="154"/>
      <c r="F242" s="151"/>
      <c r="G242" s="279"/>
      <c r="H242" s="429" t="s">
        <v>181</v>
      </c>
      <c r="I242" s="241">
        <v>4601485</v>
      </c>
      <c r="J242" s="240" t="s">
        <v>186</v>
      </c>
      <c r="L242" s="279"/>
      <c r="M242" s="279"/>
    </row>
    <row r="243" spans="1:13" s="280" customFormat="1" ht="15.75" thickBot="1">
      <c r="A243" s="224"/>
      <c r="B243" s="156"/>
      <c r="C243" s="370"/>
      <c r="D243" s="370"/>
      <c r="E243" s="225"/>
      <c r="F243" s="205"/>
      <c r="G243" s="279"/>
      <c r="H243" s="301" t="s">
        <v>189</v>
      </c>
      <c r="I243" s="296">
        <f>10356.9+5265.1</f>
        <v>15622</v>
      </c>
      <c r="J243" s="240" t="s">
        <v>184</v>
      </c>
      <c r="L243" s="279"/>
      <c r="M243" s="279"/>
    </row>
    <row r="244" spans="1:13" s="280" customFormat="1" ht="11.25" customHeight="1">
      <c r="A244" s="213"/>
      <c r="B244" s="211"/>
      <c r="C244" s="371"/>
      <c r="D244" s="371"/>
      <c r="E244" s="212"/>
      <c r="F244" s="439"/>
      <c r="G244" s="279"/>
      <c r="H244" s="301" t="s">
        <v>183</v>
      </c>
      <c r="I244" s="426">
        <v>3696489.73</v>
      </c>
      <c r="J244" s="240" t="s">
        <v>185</v>
      </c>
      <c r="L244" s="279"/>
      <c r="M244" s="279"/>
    </row>
    <row r="245" spans="1:13" s="280" customFormat="1" ht="14.25">
      <c r="A245" s="148"/>
      <c r="B245" s="439"/>
      <c r="C245" s="3"/>
      <c r="D245" s="3"/>
      <c r="E245" s="202"/>
      <c r="F245" s="202"/>
      <c r="G245" s="279"/>
      <c r="H245" s="296"/>
      <c r="I245" s="296">
        <f>I239-I241-I242-I244-I243</f>
        <v>651956400.89999998</v>
      </c>
      <c r="J245" s="240"/>
      <c r="L245" s="279"/>
      <c r="M245" s="279"/>
    </row>
    <row r="246" spans="1:13" s="280" customFormat="1">
      <c r="A246" s="206"/>
      <c r="B246" s="207"/>
      <c r="C246" s="372"/>
      <c r="D246" s="372"/>
      <c r="E246" s="212"/>
      <c r="F246" s="212"/>
      <c r="G246" s="279"/>
      <c r="H246" s="296"/>
      <c r="I246" s="296"/>
      <c r="J246" s="240"/>
      <c r="L246" s="279"/>
      <c r="M246" s="279"/>
    </row>
    <row r="247" spans="1:13" s="280" customFormat="1">
      <c r="A247" s="206"/>
      <c r="B247" s="207"/>
      <c r="C247" s="372"/>
      <c r="D247" s="372"/>
      <c r="E247" s="212"/>
      <c r="F247" s="212"/>
      <c r="G247" s="279"/>
      <c r="H247" s="296"/>
      <c r="I247" s="296"/>
      <c r="J247" s="240"/>
      <c r="L247" s="279"/>
      <c r="M247" s="279"/>
    </row>
    <row r="248" spans="1:13" s="280" customFormat="1" ht="12.75" customHeight="1">
      <c r="A248" s="206"/>
      <c r="B248" s="207"/>
      <c r="C248" s="372"/>
      <c r="D248" s="372"/>
      <c r="E248" s="212"/>
      <c r="F248" s="212"/>
      <c r="G248" s="279"/>
      <c r="H248" s="296" t="s">
        <v>182</v>
      </c>
      <c r="I248" s="296">
        <f>D232</f>
        <v>651956400.89999998</v>
      </c>
      <c r="J248" s="240"/>
      <c r="L248" s="279"/>
      <c r="M248" s="279"/>
    </row>
    <row r="249" spans="1:13" s="280" customFormat="1">
      <c r="A249" s="206"/>
      <c r="B249" s="207"/>
      <c r="C249" s="372"/>
      <c r="D249" s="372"/>
      <c r="E249" s="212"/>
      <c r="F249" s="212"/>
      <c r="G249" s="279"/>
      <c r="H249" s="296" t="s">
        <v>176</v>
      </c>
      <c r="I249" s="296">
        <f>I245-I248</f>
        <v>0</v>
      </c>
      <c r="J249" s="240"/>
      <c r="L249" s="279"/>
      <c r="M249" s="279"/>
    </row>
    <row r="250" spans="1:13" s="280" customFormat="1">
      <c r="A250" s="206"/>
      <c r="B250" s="207"/>
      <c r="C250" s="372"/>
      <c r="D250" s="372"/>
      <c r="E250" s="212"/>
      <c r="F250" s="212"/>
      <c r="G250" s="279"/>
      <c r="I250" s="213"/>
      <c r="J250" s="279"/>
      <c r="L250" s="279"/>
      <c r="M250" s="279"/>
    </row>
    <row r="251" spans="1:13" s="280" customFormat="1" ht="11.25" customHeight="1">
      <c r="A251" s="206"/>
      <c r="B251" s="207"/>
      <c r="C251" s="372"/>
      <c r="D251" s="372"/>
      <c r="E251" s="212"/>
      <c r="F251" s="212"/>
      <c r="G251" s="279"/>
      <c r="I251" s="213"/>
      <c r="J251" s="279"/>
      <c r="L251" s="279"/>
      <c r="M251" s="279"/>
    </row>
    <row r="252" spans="1:13" s="280" customFormat="1">
      <c r="A252" s="206"/>
      <c r="B252" s="207"/>
      <c r="C252" s="372"/>
      <c r="D252" s="372"/>
      <c r="E252" s="279"/>
      <c r="F252" s="279"/>
      <c r="G252" s="279"/>
      <c r="H252" s="279"/>
      <c r="I252" s="279"/>
      <c r="J252" s="279"/>
      <c r="L252" s="279"/>
      <c r="M252" s="279"/>
    </row>
    <row r="253" spans="1:13" s="280" customFormat="1" ht="12.75" customHeight="1">
      <c r="A253" s="206"/>
      <c r="B253" s="207"/>
      <c r="C253" s="372"/>
      <c r="D253" s="372"/>
      <c r="E253" s="279"/>
      <c r="F253" s="279"/>
      <c r="G253" s="279"/>
      <c r="H253" s="279"/>
      <c r="I253" s="279"/>
      <c r="J253" s="279"/>
      <c r="L253" s="279"/>
      <c r="M253" s="279"/>
    </row>
    <row r="254" spans="1:13" s="280" customFormat="1" ht="13.5" customHeight="1">
      <c r="A254" s="206"/>
      <c r="B254" s="207"/>
      <c r="C254" s="372"/>
      <c r="D254" s="372"/>
      <c r="E254" s="279"/>
      <c r="F254" s="279"/>
      <c r="G254" s="279"/>
      <c r="H254" s="279"/>
      <c r="I254" s="279"/>
      <c r="J254" s="279"/>
      <c r="L254" s="279"/>
      <c r="M254" s="279"/>
    </row>
    <row r="255" spans="1:13" s="280" customFormat="1">
      <c r="A255" s="206"/>
      <c r="B255" s="207"/>
      <c r="C255" s="372"/>
      <c r="D255" s="372"/>
      <c r="E255" s="279"/>
      <c r="F255" s="279"/>
      <c r="G255" s="279"/>
      <c r="H255" s="279"/>
      <c r="I255" s="279"/>
      <c r="J255" s="279"/>
      <c r="L255" s="279"/>
      <c r="M255" s="279"/>
    </row>
    <row r="256" spans="1:13" s="280" customFormat="1">
      <c r="A256" s="206"/>
      <c r="B256" s="207"/>
      <c r="C256" s="372"/>
      <c r="D256" s="372"/>
      <c r="E256" s="279"/>
      <c r="F256" s="279"/>
      <c r="G256" s="279"/>
      <c r="H256" s="279"/>
      <c r="I256" s="279"/>
      <c r="J256" s="279"/>
      <c r="L256" s="279"/>
      <c r="M256" s="279"/>
    </row>
    <row r="257" spans="1:13" s="280" customFormat="1">
      <c r="A257" s="206"/>
      <c r="B257" s="207"/>
      <c r="C257" s="372"/>
      <c r="D257" s="372"/>
      <c r="E257" s="279"/>
      <c r="F257" s="279"/>
      <c r="G257" s="279"/>
      <c r="H257" s="279"/>
      <c r="I257" s="279"/>
      <c r="J257" s="279"/>
      <c r="L257" s="279"/>
      <c r="M257" s="279"/>
    </row>
    <row r="258" spans="1:13" s="280" customFormat="1">
      <c r="A258" s="206"/>
      <c r="B258" s="207"/>
      <c r="C258" s="372"/>
      <c r="D258" s="372"/>
      <c r="E258" s="279"/>
      <c r="F258" s="279"/>
      <c r="G258" s="279"/>
      <c r="H258" s="279"/>
      <c r="I258" s="279"/>
      <c r="J258" s="279"/>
      <c r="L258" s="279"/>
      <c r="M258" s="279"/>
    </row>
    <row r="259" spans="1:13">
      <c r="A259" s="206"/>
      <c r="B259" s="207"/>
      <c r="C259" s="222"/>
      <c r="D259" s="372"/>
      <c r="E259" s="279"/>
      <c r="F259" s="279"/>
      <c r="H259" s="279"/>
      <c r="I259" s="279"/>
    </row>
    <row r="260" spans="1:13">
      <c r="A260" s="206"/>
      <c r="B260" s="207"/>
      <c r="C260" s="222"/>
      <c r="D260" s="372"/>
      <c r="E260" s="279"/>
      <c r="F260" s="279"/>
      <c r="H260" s="279"/>
      <c r="I260" s="279"/>
    </row>
    <row r="261" spans="1:13">
      <c r="A261" s="206"/>
      <c r="B261" s="207"/>
      <c r="C261" s="222"/>
      <c r="D261" s="372"/>
      <c r="E261" s="279"/>
      <c r="F261" s="279"/>
      <c r="H261" s="279"/>
      <c r="I261" s="279"/>
    </row>
    <row r="262" spans="1:13">
      <c r="A262" s="206"/>
      <c r="B262" s="207"/>
      <c r="C262" s="222"/>
      <c r="D262" s="372"/>
      <c r="E262" s="279"/>
      <c r="F262" s="279"/>
      <c r="H262" s="279"/>
      <c r="I262" s="279"/>
    </row>
    <row r="263" spans="1:13">
      <c r="A263" s="206"/>
      <c r="B263" s="207"/>
      <c r="C263" s="222"/>
      <c r="D263" s="372"/>
      <c r="E263" s="279"/>
      <c r="F263" s="279"/>
      <c r="H263" s="279"/>
      <c r="I263" s="279"/>
    </row>
    <row r="264" spans="1:13">
      <c r="A264" s="206"/>
      <c r="B264" s="207"/>
      <c r="C264" s="222"/>
      <c r="D264" s="372"/>
      <c r="E264" s="279"/>
      <c r="F264" s="279"/>
      <c r="H264" s="279"/>
      <c r="I264" s="279"/>
    </row>
    <row r="265" spans="1:13">
      <c r="A265" s="206"/>
      <c r="B265" s="207"/>
      <c r="C265" s="222"/>
      <c r="D265" s="372"/>
      <c r="E265" s="279"/>
      <c r="F265" s="279"/>
      <c r="H265" s="279"/>
      <c r="I265" s="279"/>
    </row>
    <row r="266" spans="1:13">
      <c r="A266" s="206"/>
      <c r="B266" s="207"/>
      <c r="C266" s="222"/>
      <c r="D266" s="372"/>
      <c r="E266" s="279"/>
      <c r="F266" s="279"/>
      <c r="H266" s="279"/>
      <c r="I266" s="279"/>
    </row>
    <row r="267" spans="1:13">
      <c r="A267" s="206"/>
      <c r="B267" s="207"/>
      <c r="C267" s="222"/>
      <c r="D267" s="372"/>
      <c r="E267" s="279"/>
      <c r="F267" s="279"/>
      <c r="H267" s="279"/>
      <c r="I267" s="279"/>
    </row>
    <row r="268" spans="1:13">
      <c r="A268" s="206"/>
      <c r="B268" s="207"/>
      <c r="C268" s="222"/>
      <c r="D268" s="372"/>
      <c r="E268" s="279"/>
      <c r="F268" s="279"/>
      <c r="H268" s="279"/>
      <c r="I268" s="279"/>
    </row>
    <row r="269" spans="1:13">
      <c r="A269" s="206"/>
      <c r="B269" s="207"/>
      <c r="C269" s="222"/>
      <c r="D269" s="372"/>
      <c r="E269" s="279"/>
      <c r="F269" s="279"/>
      <c r="H269" s="279"/>
      <c r="I269" s="279"/>
    </row>
    <row r="270" spans="1:13">
      <c r="A270" s="206"/>
      <c r="B270" s="207"/>
      <c r="C270" s="222"/>
      <c r="D270" s="372"/>
      <c r="E270" s="279"/>
      <c r="F270" s="279"/>
      <c r="H270" s="279"/>
      <c r="I270" s="279"/>
    </row>
    <row r="271" spans="1:13">
      <c r="A271" s="206"/>
      <c r="B271" s="207"/>
      <c r="C271" s="222"/>
      <c r="D271" s="372"/>
      <c r="E271" s="279"/>
      <c r="F271" s="279"/>
      <c r="H271" s="279"/>
      <c r="I271" s="279"/>
    </row>
    <row r="272" spans="1:13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206"/>
      <c r="B283" s="207"/>
      <c r="C283" s="222"/>
      <c r="D283" s="372"/>
      <c r="E283" s="279"/>
      <c r="F283" s="279"/>
      <c r="H283" s="279"/>
      <c r="I283" s="279"/>
    </row>
    <row r="284" spans="1:9">
      <c r="A284" s="206"/>
      <c r="B284" s="207"/>
      <c r="C284" s="222"/>
      <c r="D284" s="372"/>
      <c r="E284" s="279"/>
      <c r="F284" s="279"/>
      <c r="H284" s="279"/>
      <c r="I284" s="279"/>
    </row>
    <row r="285" spans="1:9">
      <c r="A285" s="206"/>
      <c r="B285" s="207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  <row r="290" spans="1:9">
      <c r="A290" s="148"/>
      <c r="B290" s="154"/>
      <c r="C290" s="222"/>
      <c r="D290" s="372"/>
      <c r="E290" s="279"/>
      <c r="F290" s="279"/>
      <c r="H290" s="279"/>
      <c r="I290" s="279"/>
    </row>
    <row r="291" spans="1:9">
      <c r="A291" s="148"/>
      <c r="B291" s="154"/>
      <c r="C291" s="222"/>
      <c r="D291" s="372"/>
      <c r="E291" s="279"/>
      <c r="F291" s="279"/>
      <c r="H291" s="279"/>
      <c r="I291" s="279"/>
    </row>
    <row r="292" spans="1:9">
      <c r="A292" s="148"/>
      <c r="B292" s="154"/>
      <c r="C292" s="222"/>
      <c r="D292" s="372"/>
      <c r="E292" s="279"/>
      <c r="F292" s="279"/>
      <c r="H292" s="279"/>
      <c r="I292" s="279"/>
    </row>
  </sheetData>
  <sheetProtection password="C16D" sheet="1" objects="1" scenarios="1"/>
  <mergeCells count="10">
    <mergeCell ref="A235:B235"/>
    <mergeCell ref="A236:B236"/>
    <mergeCell ref="D238:F238"/>
    <mergeCell ref="D239:F239"/>
    <mergeCell ref="A3:F3"/>
    <mergeCell ref="A4:F4"/>
    <mergeCell ref="A7:A8"/>
    <mergeCell ref="B7:B8"/>
    <mergeCell ref="E7:E8"/>
    <mergeCell ref="F7:F8"/>
  </mergeCells>
  <conditionalFormatting sqref="F131">
    <cfRule type="cellIs" dxfId="1" priority="1" stopIfTrue="1" operator="greaterThan">
      <formula>0</formula>
    </cfRule>
  </conditionalFormatting>
  <pageMargins left="0.441176470588235" right="0.12" top="0.40625" bottom="0.85416666666666696" header="0.5" footer="0.5"/>
  <pageSetup paperSize="258" fitToHeight="0" orientation="portrait" verticalDpi="180" r:id="rId1"/>
  <headerFooter alignWithMargins="0">
    <oddFooter>Page &amp;P of &amp;N</oddFooter>
  </headerFooter>
  <rowBreaks count="3" manualBreakCount="3">
    <brk id="72" max="10" man="1"/>
    <brk id="135" max="10" man="1"/>
    <brk id="195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view="pageBreakPreview" topLeftCell="A230" zoomScaleNormal="115" zoomScaleSheetLayoutView="100" zoomScalePageLayoutView="98" workbookViewId="0">
      <selection activeCell="C240" sqref="C240"/>
    </sheetView>
  </sheetViews>
  <sheetFormatPr defaultRowHeight="12.75"/>
  <cols>
    <col min="1" max="1" width="34" style="213" customWidth="1"/>
    <col min="2" max="2" width="14.42578125" style="211" bestFit="1" customWidth="1"/>
    <col min="3" max="3" width="17.140625" style="212" bestFit="1" customWidth="1"/>
    <col min="4" max="4" width="15.28515625" style="371" customWidth="1"/>
    <col min="5" max="5" width="14.28515625" style="212" customWidth="1"/>
    <col min="6" max="6" width="17.28515625" style="212" bestFit="1" customWidth="1"/>
    <col min="7" max="7" width="9.5703125" style="279" bestFit="1" customWidth="1"/>
    <col min="8" max="8" width="15.85546875" style="280" bestFit="1" customWidth="1"/>
    <col min="9" max="9" width="15.140625" style="213" bestFit="1" customWidth="1"/>
    <col min="10" max="10" width="32.7109375" style="279" bestFit="1" customWidth="1"/>
    <col min="11" max="11" width="17.28515625" style="280" customWidth="1"/>
    <col min="12" max="12" width="12.85546875" style="279" bestFit="1" customWidth="1"/>
    <col min="13" max="13" width="14.5703125" style="279" bestFit="1" customWidth="1"/>
    <col min="14" max="16384" width="9.140625" style="279"/>
  </cols>
  <sheetData>
    <row r="1" spans="1:13">
      <c r="A1" s="303" t="s">
        <v>0</v>
      </c>
      <c r="B1" s="159"/>
      <c r="C1" s="304"/>
      <c r="D1" s="377"/>
      <c r="E1" s="304"/>
      <c r="F1" s="236"/>
    </row>
    <row r="2" spans="1:13" ht="9" customHeight="1">
      <c r="A2" s="171"/>
      <c r="B2" s="154"/>
      <c r="C2" s="222"/>
      <c r="D2" s="372"/>
      <c r="E2" s="222"/>
      <c r="F2" s="223"/>
    </row>
    <row r="3" spans="1:13" ht="15.75">
      <c r="A3" s="453" t="s">
        <v>44</v>
      </c>
      <c r="B3" s="454"/>
      <c r="C3" s="454"/>
      <c r="D3" s="454"/>
      <c r="E3" s="454"/>
      <c r="F3" s="455"/>
    </row>
    <row r="4" spans="1:13">
      <c r="A4" s="456" t="s">
        <v>475</v>
      </c>
      <c r="B4" s="457"/>
      <c r="C4" s="457"/>
      <c r="D4" s="457"/>
      <c r="E4" s="457"/>
      <c r="F4" s="458"/>
    </row>
    <row r="5" spans="1:13" ht="6" customHeight="1">
      <c r="A5" s="305"/>
      <c r="B5" s="207"/>
      <c r="C5" s="222"/>
      <c r="D5" s="372"/>
      <c r="E5" s="222"/>
      <c r="F5" s="223"/>
    </row>
    <row r="6" spans="1:13" ht="13.5" thickBot="1">
      <c r="A6" s="127" t="s">
        <v>26</v>
      </c>
      <c r="B6" s="442"/>
      <c r="C6" s="307"/>
      <c r="D6" s="334"/>
      <c r="E6" s="307"/>
      <c r="F6" s="308"/>
      <c r="H6" s="281" t="s">
        <v>154</v>
      </c>
      <c r="I6" s="211" t="s">
        <v>176</v>
      </c>
      <c r="K6" s="419"/>
    </row>
    <row r="7" spans="1:13">
      <c r="A7" s="459" t="s">
        <v>1</v>
      </c>
      <c r="B7" s="461" t="s">
        <v>110</v>
      </c>
      <c r="C7" s="125" t="s">
        <v>40</v>
      </c>
      <c r="D7" s="9" t="s">
        <v>108</v>
      </c>
      <c r="E7" s="463" t="s">
        <v>42</v>
      </c>
      <c r="F7" s="461" t="s">
        <v>43</v>
      </c>
    </row>
    <row r="8" spans="1:13" ht="13.5" thickBot="1">
      <c r="A8" s="460"/>
      <c r="B8" s="462"/>
      <c r="C8" s="126" t="s">
        <v>41</v>
      </c>
      <c r="D8" s="10" t="s">
        <v>109</v>
      </c>
      <c r="E8" s="464"/>
      <c r="F8" s="465"/>
    </row>
    <row r="9" spans="1:13" ht="13.5" thickBot="1">
      <c r="A9" s="127" t="s">
        <v>61</v>
      </c>
      <c r="B9" s="128"/>
      <c r="C9" s="128"/>
      <c r="D9" s="378"/>
      <c r="E9" s="130"/>
      <c r="F9" s="131"/>
    </row>
    <row r="10" spans="1:13">
      <c r="A10" s="132" t="s">
        <v>396</v>
      </c>
      <c r="B10" s="133"/>
      <c r="C10" s="134"/>
      <c r="D10" s="379"/>
      <c r="E10" s="135"/>
      <c r="F10" s="136"/>
    </row>
    <row r="11" spans="1:13">
      <c r="A11" s="137" t="s">
        <v>32</v>
      </c>
      <c r="B11" s="338" t="s">
        <v>213</v>
      </c>
      <c r="C11" s="316">
        <v>380000</v>
      </c>
      <c r="D11" s="365">
        <v>358575</v>
      </c>
      <c r="E11" s="140" t="str">
        <f>IF((D11-C11)&gt;0,D11-C11,"")</f>
        <v/>
      </c>
      <c r="F11" s="175">
        <f>IF((D11-C11)&gt;0,"",D11-C11)</f>
        <v>-21425</v>
      </c>
      <c r="H11" s="280">
        <v>358575</v>
      </c>
      <c r="I11" s="282">
        <f>D11-H11</f>
        <v>0</v>
      </c>
      <c r="L11" s="286"/>
    </row>
    <row r="12" spans="1:13">
      <c r="A12" s="137" t="s">
        <v>49</v>
      </c>
      <c r="B12" s="338" t="s">
        <v>202</v>
      </c>
      <c r="C12" s="316"/>
      <c r="D12" s="365"/>
      <c r="E12" s="140" t="str">
        <f t="shared" ref="E12:E33" si="0">IF((D12-C12)&gt;0,D12-C12,"")</f>
        <v/>
      </c>
      <c r="F12" s="175">
        <f t="shared" ref="F12:F33" si="1">IF((D12-C12)&gt;0,"",D12-C12)</f>
        <v>0</v>
      </c>
      <c r="I12" s="282">
        <f t="shared" ref="I12:I33" si="2">D12-H12</f>
        <v>0</v>
      </c>
      <c r="L12" s="286"/>
    </row>
    <row r="13" spans="1:13">
      <c r="A13" s="137" t="s">
        <v>50</v>
      </c>
      <c r="B13" s="338" t="s">
        <v>203</v>
      </c>
      <c r="C13" s="316">
        <v>5000000</v>
      </c>
      <c r="D13" s="365">
        <v>4458339.51</v>
      </c>
      <c r="E13" s="140" t="str">
        <f t="shared" si="0"/>
        <v/>
      </c>
      <c r="F13" s="175">
        <f t="shared" si="1"/>
        <v>-541660.49000000022</v>
      </c>
      <c r="H13" s="280">
        <v>4458339.5999999996</v>
      </c>
      <c r="I13" s="282">
        <f t="shared" si="2"/>
        <v>-8.9999999850988388E-2</v>
      </c>
      <c r="K13" s="423"/>
      <c r="L13" s="286"/>
      <c r="M13" s="286"/>
    </row>
    <row r="14" spans="1:13">
      <c r="A14" s="137" t="s">
        <v>51</v>
      </c>
      <c r="B14" s="338" t="s">
        <v>204</v>
      </c>
      <c r="C14" s="316">
        <v>1500000</v>
      </c>
      <c r="D14" s="365">
        <v>1279677.79</v>
      </c>
      <c r="E14" s="140" t="str">
        <f t="shared" si="0"/>
        <v/>
      </c>
      <c r="F14" s="175">
        <f t="shared" si="1"/>
        <v>-220322.20999999996</v>
      </c>
      <c r="H14" s="280">
        <v>1279677.79</v>
      </c>
      <c r="I14" s="282">
        <f t="shared" si="2"/>
        <v>0</v>
      </c>
      <c r="L14" s="286"/>
    </row>
    <row r="15" spans="1:13">
      <c r="A15" s="137" t="s">
        <v>216</v>
      </c>
      <c r="B15" s="338" t="s">
        <v>219</v>
      </c>
      <c r="C15" s="316"/>
      <c r="D15" s="365"/>
      <c r="E15" s="140" t="str">
        <f t="shared" si="0"/>
        <v/>
      </c>
      <c r="F15" s="175">
        <f t="shared" si="1"/>
        <v>0</v>
      </c>
      <c r="I15" s="282">
        <f t="shared" si="2"/>
        <v>0</v>
      </c>
      <c r="L15" s="286"/>
    </row>
    <row r="16" spans="1:13">
      <c r="A16" s="137" t="s">
        <v>217</v>
      </c>
      <c r="B16" s="338" t="s">
        <v>220</v>
      </c>
      <c r="C16" s="316">
        <v>45000000</v>
      </c>
      <c r="D16" s="380">
        <f>41148158.24-3754711.91</f>
        <v>37393446.329999998</v>
      </c>
      <c r="E16" s="140" t="str">
        <f t="shared" si="0"/>
        <v/>
      </c>
      <c r="F16" s="175">
        <f t="shared" si="1"/>
        <v>-7606553.6700000018</v>
      </c>
      <c r="H16" s="415">
        <v>34989777.109999999</v>
      </c>
      <c r="I16" s="282">
        <f t="shared" si="2"/>
        <v>2403669.2199999988</v>
      </c>
      <c r="J16" s="284" t="s">
        <v>454</v>
      </c>
      <c r="L16" s="286"/>
    </row>
    <row r="17" spans="1:12">
      <c r="A17" s="137" t="s">
        <v>218</v>
      </c>
      <c r="B17" s="338" t="s">
        <v>221</v>
      </c>
      <c r="C17" s="316">
        <v>7500000</v>
      </c>
      <c r="D17" s="365">
        <v>6153247.7400000002</v>
      </c>
      <c r="E17" s="140" t="str">
        <f t="shared" si="0"/>
        <v/>
      </c>
      <c r="F17" s="175">
        <f t="shared" si="1"/>
        <v>-1346752.2599999998</v>
      </c>
      <c r="H17" s="280">
        <v>6153247.79</v>
      </c>
      <c r="I17" s="282">
        <f t="shared" si="2"/>
        <v>-4.9999999813735485E-2</v>
      </c>
      <c r="J17" s="323" t="s">
        <v>477</v>
      </c>
      <c r="L17" s="286"/>
    </row>
    <row r="18" spans="1:12">
      <c r="A18" s="313" t="s">
        <v>222</v>
      </c>
      <c r="B18" s="338" t="s">
        <v>223</v>
      </c>
      <c r="C18" s="316">
        <v>200000</v>
      </c>
      <c r="D18" s="365">
        <v>79291.92</v>
      </c>
      <c r="E18" s="140" t="str">
        <f t="shared" si="0"/>
        <v/>
      </c>
      <c r="F18" s="175">
        <f t="shared" si="1"/>
        <v>-120708.08</v>
      </c>
      <c r="H18" s="280">
        <v>79282.02</v>
      </c>
      <c r="I18" s="282">
        <f t="shared" si="2"/>
        <v>9.8999999999941792</v>
      </c>
      <c r="J18" s="323" t="s">
        <v>463</v>
      </c>
      <c r="L18" s="286"/>
    </row>
    <row r="19" spans="1:12">
      <c r="A19" s="313" t="s">
        <v>401</v>
      </c>
      <c r="B19" s="338" t="s">
        <v>215</v>
      </c>
      <c r="C19" s="316">
        <v>6000000</v>
      </c>
      <c r="D19" s="365">
        <v>5255608.41</v>
      </c>
      <c r="E19" s="140" t="str">
        <f t="shared" si="0"/>
        <v/>
      </c>
      <c r="F19" s="175">
        <f t="shared" si="1"/>
        <v>-744391.58999999985</v>
      </c>
      <c r="H19" s="280">
        <v>5255608.41</v>
      </c>
      <c r="I19" s="282">
        <f t="shared" si="2"/>
        <v>0</v>
      </c>
      <c r="L19" s="286"/>
    </row>
    <row r="20" spans="1:12">
      <c r="A20" s="313" t="s">
        <v>46</v>
      </c>
      <c r="B20" s="338" t="s">
        <v>199</v>
      </c>
      <c r="C20" s="316"/>
      <c r="D20" s="365"/>
      <c r="E20" s="140" t="str">
        <f t="shared" si="0"/>
        <v/>
      </c>
      <c r="F20" s="175">
        <f t="shared" si="1"/>
        <v>0</v>
      </c>
      <c r="I20" s="282">
        <f t="shared" si="2"/>
        <v>0</v>
      </c>
      <c r="L20" s="286"/>
    </row>
    <row r="21" spans="1:12">
      <c r="A21" s="313" t="s">
        <v>47</v>
      </c>
      <c r="B21" s="338" t="s">
        <v>200</v>
      </c>
      <c r="C21" s="316">
        <v>170000000</v>
      </c>
      <c r="D21" s="365">
        <v>162019996.28</v>
      </c>
      <c r="E21" s="140" t="str">
        <f t="shared" si="0"/>
        <v/>
      </c>
      <c r="F21" s="175">
        <f t="shared" si="1"/>
        <v>-7980003.7199999988</v>
      </c>
      <c r="H21" s="280">
        <v>162019996.28</v>
      </c>
      <c r="I21" s="282">
        <f t="shared" si="2"/>
        <v>0</v>
      </c>
      <c r="J21" s="323"/>
      <c r="L21" s="286"/>
    </row>
    <row r="22" spans="1:12">
      <c r="A22" s="137" t="s">
        <v>48</v>
      </c>
      <c r="B22" s="338" t="s">
        <v>201</v>
      </c>
      <c r="C22" s="316">
        <v>3000000</v>
      </c>
      <c r="D22" s="365">
        <v>2707025.99</v>
      </c>
      <c r="E22" s="140" t="str">
        <f t="shared" si="0"/>
        <v/>
      </c>
      <c r="F22" s="175">
        <f t="shared" si="1"/>
        <v>-292974.00999999978</v>
      </c>
      <c r="H22" s="280">
        <v>2707025.99</v>
      </c>
      <c r="I22" s="282">
        <f t="shared" si="2"/>
        <v>0</v>
      </c>
      <c r="J22" s="323"/>
      <c r="L22" s="286"/>
    </row>
    <row r="23" spans="1:12">
      <c r="A23" s="313" t="s">
        <v>190</v>
      </c>
      <c r="B23" s="338" t="s">
        <v>225</v>
      </c>
      <c r="C23" s="316">
        <v>2700000</v>
      </c>
      <c r="D23" s="365">
        <v>1641555</v>
      </c>
      <c r="E23" s="140" t="str">
        <f t="shared" si="0"/>
        <v/>
      </c>
      <c r="F23" s="175">
        <f t="shared" si="1"/>
        <v>-1058445</v>
      </c>
      <c r="H23" s="280">
        <v>1511162.15</v>
      </c>
      <c r="I23" s="283">
        <f>D23-H23</f>
        <v>130392.85000000009</v>
      </c>
      <c r="J23" s="323" t="s">
        <v>463</v>
      </c>
      <c r="L23" s="286"/>
    </row>
    <row r="24" spans="1:12">
      <c r="A24" s="313" t="s">
        <v>33</v>
      </c>
      <c r="B24" s="338" t="s">
        <v>224</v>
      </c>
      <c r="C24" s="316">
        <v>1500000</v>
      </c>
      <c r="D24" s="365">
        <v>1050300</v>
      </c>
      <c r="E24" s="140" t="str">
        <f t="shared" si="0"/>
        <v/>
      </c>
      <c r="F24" s="175">
        <f t="shared" si="1"/>
        <v>-449700</v>
      </c>
      <c r="H24" s="280">
        <v>1050300</v>
      </c>
      <c r="I24" s="282">
        <f t="shared" si="2"/>
        <v>0</v>
      </c>
      <c r="L24" s="286"/>
    </row>
    <row r="25" spans="1:12">
      <c r="A25" s="313" t="s">
        <v>31</v>
      </c>
      <c r="B25" s="338" t="s">
        <v>197</v>
      </c>
      <c r="C25" s="316">
        <v>2700000</v>
      </c>
      <c r="D25" s="365">
        <v>3495797.3</v>
      </c>
      <c r="E25" s="140">
        <f t="shared" si="0"/>
        <v>795797.29999999981</v>
      </c>
      <c r="F25" s="175" t="str">
        <f t="shared" si="1"/>
        <v/>
      </c>
      <c r="H25" s="280">
        <v>3495797.3</v>
      </c>
      <c r="I25" s="282">
        <f t="shared" si="2"/>
        <v>0</v>
      </c>
      <c r="J25" s="288"/>
      <c r="L25" s="286"/>
    </row>
    <row r="26" spans="1:12">
      <c r="A26" s="313" t="s">
        <v>210</v>
      </c>
      <c r="B26" s="338" t="s">
        <v>205</v>
      </c>
      <c r="C26" s="316"/>
      <c r="D26" s="365"/>
      <c r="E26" s="140" t="str">
        <f t="shared" si="0"/>
        <v/>
      </c>
      <c r="F26" s="175">
        <f t="shared" si="1"/>
        <v>0</v>
      </c>
      <c r="I26" s="282">
        <f t="shared" si="2"/>
        <v>0</v>
      </c>
      <c r="J26" s="284"/>
      <c r="L26" s="286"/>
    </row>
    <row r="27" spans="1:12">
      <c r="A27" s="313" t="s">
        <v>206</v>
      </c>
      <c r="B27" s="338" t="s">
        <v>208</v>
      </c>
      <c r="C27" s="316">
        <v>3300000</v>
      </c>
      <c r="D27" s="365">
        <v>2394374.15</v>
      </c>
      <c r="E27" s="140" t="str">
        <f t="shared" si="0"/>
        <v/>
      </c>
      <c r="F27" s="175">
        <f t="shared" si="1"/>
        <v>-905625.85000000009</v>
      </c>
      <c r="H27" s="280">
        <v>2394374.15</v>
      </c>
      <c r="I27" s="282">
        <f t="shared" si="2"/>
        <v>0</v>
      </c>
      <c r="L27" s="286"/>
    </row>
    <row r="28" spans="1:12">
      <c r="A28" s="137" t="s">
        <v>207</v>
      </c>
      <c r="B28" s="338" t="s">
        <v>209</v>
      </c>
      <c r="C28" s="316">
        <v>586250</v>
      </c>
      <c r="D28" s="333">
        <v>519220</v>
      </c>
      <c r="E28" s="140" t="str">
        <f t="shared" si="0"/>
        <v/>
      </c>
      <c r="F28" s="175">
        <f t="shared" si="1"/>
        <v>-67030</v>
      </c>
      <c r="H28" s="280">
        <v>555000</v>
      </c>
      <c r="I28" s="446">
        <f>D28-H28</f>
        <v>-35780</v>
      </c>
      <c r="J28" s="323" t="s">
        <v>463</v>
      </c>
      <c r="L28" s="427"/>
    </row>
    <row r="29" spans="1:12">
      <c r="A29" s="313" t="s">
        <v>394</v>
      </c>
      <c r="B29" s="338"/>
      <c r="C29" s="316"/>
      <c r="D29" s="365"/>
      <c r="E29" s="140" t="str">
        <f t="shared" si="0"/>
        <v/>
      </c>
      <c r="F29" s="175">
        <f t="shared" si="1"/>
        <v>0</v>
      </c>
      <c r="I29" s="282">
        <f t="shared" si="2"/>
        <v>0</v>
      </c>
      <c r="L29" s="286"/>
    </row>
    <row r="30" spans="1:12">
      <c r="A30" s="313" t="s">
        <v>227</v>
      </c>
      <c r="B30" s="138" t="s">
        <v>229</v>
      </c>
      <c r="C30" s="316">
        <v>4000000</v>
      </c>
      <c r="D30" s="365">
        <v>3048244.68</v>
      </c>
      <c r="E30" s="140" t="str">
        <f t="shared" si="0"/>
        <v/>
      </c>
      <c r="F30" s="175">
        <f t="shared" si="1"/>
        <v>-951755.31999999983</v>
      </c>
      <c r="H30" s="280">
        <v>3048244.57</v>
      </c>
      <c r="I30" s="282">
        <f>D30-H30</f>
        <v>0.11000000033527613</v>
      </c>
      <c r="L30" s="286"/>
    </row>
    <row r="31" spans="1:12">
      <c r="A31" s="313" t="s">
        <v>426</v>
      </c>
      <c r="B31" s="338" t="s">
        <v>427</v>
      </c>
      <c r="C31" s="316">
        <v>5600000</v>
      </c>
      <c r="D31" s="365">
        <v>4185427.28</v>
      </c>
      <c r="E31" s="140" t="str">
        <f t="shared" si="0"/>
        <v/>
      </c>
      <c r="F31" s="175">
        <f t="shared" si="1"/>
        <v>-1414572.7200000002</v>
      </c>
      <c r="H31" s="280">
        <v>4185427.28</v>
      </c>
      <c r="I31" s="282">
        <f t="shared" si="2"/>
        <v>0</v>
      </c>
      <c r="J31" s="284"/>
      <c r="L31" s="286"/>
    </row>
    <row r="32" spans="1:12">
      <c r="A32" s="137" t="s">
        <v>35</v>
      </c>
      <c r="B32" s="338" t="s">
        <v>329</v>
      </c>
      <c r="C32" s="316">
        <f>605000000+5210827</f>
        <v>610210827</v>
      </c>
      <c r="D32" s="316">
        <v>355956314</v>
      </c>
      <c r="E32" s="140" t="str">
        <f t="shared" si="0"/>
        <v/>
      </c>
      <c r="F32" s="175">
        <f t="shared" si="1"/>
        <v>-254254513</v>
      </c>
      <c r="H32" s="280">
        <v>355956314</v>
      </c>
      <c r="I32" s="282">
        <f>D32-H32</f>
        <v>0</v>
      </c>
    </row>
    <row r="33" spans="1:13">
      <c r="A33" s="313"/>
      <c r="B33" s="338"/>
      <c r="C33" s="356"/>
      <c r="D33" s="356"/>
      <c r="E33" s="140" t="str">
        <f t="shared" si="0"/>
        <v/>
      </c>
      <c r="F33" s="175">
        <f t="shared" si="1"/>
        <v>0</v>
      </c>
      <c r="I33" s="282">
        <f t="shared" si="2"/>
        <v>0</v>
      </c>
      <c r="L33" s="286"/>
    </row>
    <row r="34" spans="1:13" ht="13.5" thickBot="1">
      <c r="A34" s="137" t="s">
        <v>34</v>
      </c>
      <c r="B34" s="138"/>
      <c r="C34" s="143">
        <f>SUM(C11:C33)</f>
        <v>869177077</v>
      </c>
      <c r="D34" s="381">
        <f t="shared" ref="D34:F34" si="3">SUM(D11:D33)</f>
        <v>591996441.38000011</v>
      </c>
      <c r="E34" s="144">
        <f t="shared" si="3"/>
        <v>795797.29999999981</v>
      </c>
      <c r="F34" s="145">
        <f t="shared" si="3"/>
        <v>-277976432.92000002</v>
      </c>
      <c r="H34" s="289">
        <f>SUM(H11:H33)</f>
        <v>589498149.44000006</v>
      </c>
      <c r="I34" s="290">
        <f>SUM(I11:I33)</f>
        <v>2498291.9399999995</v>
      </c>
      <c r="L34" s="286"/>
    </row>
    <row r="35" spans="1:13" ht="13.5" thickTop="1">
      <c r="A35" s="355" t="s">
        <v>397</v>
      </c>
      <c r="B35" s="147"/>
      <c r="C35" s="148"/>
      <c r="D35" s="382"/>
      <c r="E35" s="150"/>
      <c r="F35" s="151"/>
      <c r="I35" s="282"/>
      <c r="L35" s="286"/>
    </row>
    <row r="36" spans="1:13">
      <c r="A36" s="137" t="s">
        <v>53</v>
      </c>
      <c r="B36" s="138" t="s">
        <v>236</v>
      </c>
      <c r="C36" s="139"/>
      <c r="D36" s="365"/>
      <c r="E36" s="140" t="str">
        <f t="shared" ref="E36" si="4">IF((D36-C36)&gt;0,D36-C36,"")</f>
        <v/>
      </c>
      <c r="F36" s="175">
        <f t="shared" ref="F36" si="5">IF((D36-C36)&gt;0,"",D36-C36)</f>
        <v>0</v>
      </c>
      <c r="I36" s="282"/>
      <c r="L36" s="286"/>
    </row>
    <row r="37" spans="1:13">
      <c r="A37" s="137" t="s">
        <v>65</v>
      </c>
      <c r="B37" s="138" t="s">
        <v>245</v>
      </c>
      <c r="C37" s="139">
        <v>500000</v>
      </c>
      <c r="D37" s="365">
        <v>111834.3</v>
      </c>
      <c r="E37" s="140" t="str">
        <f>IF((D37-C37)&gt;0,D37-C37,"")</f>
        <v/>
      </c>
      <c r="F37" s="175">
        <f>IF((D37-C37)&gt;0,"",D37-C37)</f>
        <v>-388165.7</v>
      </c>
      <c r="H37" s="280">
        <v>116434.3</v>
      </c>
      <c r="I37" s="446">
        <f t="shared" ref="I37:I107" si="6">D37-H37</f>
        <v>-4600</v>
      </c>
      <c r="J37" s="323" t="s">
        <v>463</v>
      </c>
      <c r="L37" s="286"/>
    </row>
    <row r="38" spans="1:13">
      <c r="A38" s="137" t="s">
        <v>66</v>
      </c>
      <c r="B38" s="138" t="s">
        <v>246</v>
      </c>
      <c r="C38" s="139">
        <v>5100000</v>
      </c>
      <c r="D38" s="380">
        <v>4163221.2</v>
      </c>
      <c r="E38" s="140" t="str">
        <f t="shared" ref="E38:E101" si="7">IF((D38-C38)&gt;0,D38-C38,"")</f>
        <v/>
      </c>
      <c r="F38" s="175">
        <f t="shared" ref="F38:F101" si="8">IF((D38-C38)&gt;0,"",D38-C38)</f>
        <v>-936778.79999999981</v>
      </c>
      <c r="H38" s="419">
        <v>4164006.69</v>
      </c>
      <c r="I38" s="282">
        <f>D38-H38</f>
        <v>-785.48999999975786</v>
      </c>
      <c r="L38" s="286"/>
    </row>
    <row r="39" spans="1:13">
      <c r="A39" s="137" t="s">
        <v>67</v>
      </c>
      <c r="B39" s="138" t="s">
        <v>247</v>
      </c>
      <c r="C39" s="139">
        <v>100000</v>
      </c>
      <c r="D39" s="365">
        <v>29017</v>
      </c>
      <c r="E39" s="140" t="str">
        <f t="shared" si="7"/>
        <v/>
      </c>
      <c r="F39" s="175">
        <f t="shared" si="8"/>
        <v>-70983</v>
      </c>
      <c r="H39" s="280">
        <v>29017</v>
      </c>
      <c r="I39" s="282">
        <f t="shared" si="6"/>
        <v>0</v>
      </c>
      <c r="L39" s="286"/>
    </row>
    <row r="40" spans="1:13">
      <c r="A40" s="137" t="s">
        <v>68</v>
      </c>
      <c r="B40" s="138" t="s">
        <v>248</v>
      </c>
      <c r="C40" s="139">
        <v>3200000</v>
      </c>
      <c r="D40" s="365">
        <v>1623939.85</v>
      </c>
      <c r="E40" s="140" t="str">
        <f t="shared" si="7"/>
        <v/>
      </c>
      <c r="F40" s="175">
        <f t="shared" si="8"/>
        <v>-1576060.15</v>
      </c>
      <c r="H40" s="280">
        <v>1623939.85</v>
      </c>
      <c r="I40" s="282">
        <f t="shared" si="6"/>
        <v>0</v>
      </c>
      <c r="L40" s="286"/>
    </row>
    <row r="41" spans="1:13">
      <c r="A41" s="137" t="s">
        <v>69</v>
      </c>
      <c r="B41" s="138" t="s">
        <v>249</v>
      </c>
      <c r="C41" s="139">
        <v>1200000</v>
      </c>
      <c r="D41" s="365">
        <v>94990</v>
      </c>
      <c r="E41" s="140" t="str">
        <f t="shared" si="7"/>
        <v/>
      </c>
      <c r="F41" s="175">
        <f t="shared" si="8"/>
        <v>-1105010</v>
      </c>
      <c r="H41" s="280">
        <v>94990</v>
      </c>
      <c r="I41" s="282">
        <f t="shared" si="6"/>
        <v>0</v>
      </c>
      <c r="L41" s="286"/>
    </row>
    <row r="42" spans="1:13">
      <c r="A42" s="137" t="s">
        <v>56</v>
      </c>
      <c r="B42" s="138" t="s">
        <v>237</v>
      </c>
      <c r="C42" s="139">
        <v>11000000</v>
      </c>
      <c r="D42" s="365">
        <v>11222204.539999999</v>
      </c>
      <c r="E42" s="140">
        <f t="shared" si="7"/>
        <v>222204.53999999911</v>
      </c>
      <c r="F42" s="175" t="str">
        <f t="shared" si="8"/>
        <v/>
      </c>
      <c r="H42" s="280">
        <v>11222204.539999999</v>
      </c>
      <c r="I42" s="282">
        <f t="shared" si="6"/>
        <v>0</v>
      </c>
      <c r="L42" s="425"/>
      <c r="M42" s="323"/>
    </row>
    <row r="43" spans="1:13">
      <c r="A43" s="137" t="s">
        <v>57</v>
      </c>
      <c r="B43" s="138" t="s">
        <v>238</v>
      </c>
      <c r="C43" s="139">
        <v>50000</v>
      </c>
      <c r="D43" s="365">
        <v>3486</v>
      </c>
      <c r="E43" s="140" t="str">
        <f t="shared" si="7"/>
        <v/>
      </c>
      <c r="F43" s="175">
        <f t="shared" si="8"/>
        <v>-46514</v>
      </c>
      <c r="H43" s="280">
        <v>3486</v>
      </c>
      <c r="I43" s="282">
        <f t="shared" si="6"/>
        <v>0</v>
      </c>
      <c r="L43" s="286"/>
    </row>
    <row r="44" spans="1:13">
      <c r="A44" s="137" t="s">
        <v>58</v>
      </c>
      <c r="B44" s="138" t="s">
        <v>239</v>
      </c>
      <c r="C44" s="139">
        <v>192750</v>
      </c>
      <c r="D44" s="365">
        <v>195250</v>
      </c>
      <c r="E44" s="140">
        <f t="shared" si="7"/>
        <v>2500</v>
      </c>
      <c r="F44" s="175" t="str">
        <f t="shared" si="8"/>
        <v/>
      </c>
      <c r="H44" s="280">
        <v>195250</v>
      </c>
      <c r="I44" s="282">
        <f t="shared" si="6"/>
        <v>0</v>
      </c>
      <c r="L44" s="286"/>
    </row>
    <row r="45" spans="1:13">
      <c r="A45" s="137" t="s">
        <v>54</v>
      </c>
      <c r="B45" s="138" t="s">
        <v>241</v>
      </c>
      <c r="C45" s="139"/>
      <c r="D45" s="365"/>
      <c r="E45" s="140" t="str">
        <f t="shared" si="7"/>
        <v/>
      </c>
      <c r="F45" s="175">
        <f t="shared" si="8"/>
        <v>0</v>
      </c>
      <c r="I45" s="282">
        <f t="shared" si="6"/>
        <v>0</v>
      </c>
      <c r="L45" s="286"/>
    </row>
    <row r="46" spans="1:13">
      <c r="A46" s="137" t="s">
        <v>55</v>
      </c>
      <c r="B46" s="138" t="s">
        <v>242</v>
      </c>
      <c r="C46" s="139">
        <v>100000</v>
      </c>
      <c r="D46" s="365">
        <v>70485</v>
      </c>
      <c r="E46" s="140" t="str">
        <f t="shared" si="7"/>
        <v/>
      </c>
      <c r="F46" s="175">
        <f t="shared" si="8"/>
        <v>-29515</v>
      </c>
      <c r="G46" s="420" t="s">
        <v>422</v>
      </c>
      <c r="H46" s="421"/>
      <c r="I46" s="422">
        <f t="shared" si="6"/>
        <v>70485</v>
      </c>
      <c r="L46" s="286"/>
    </row>
    <row r="47" spans="1:13">
      <c r="A47" s="137" t="s">
        <v>59</v>
      </c>
      <c r="B47" s="138" t="s">
        <v>243</v>
      </c>
      <c r="C47" s="139">
        <v>50000</v>
      </c>
      <c r="D47" s="365">
        <v>3050</v>
      </c>
      <c r="E47" s="140" t="str">
        <f t="shared" si="7"/>
        <v/>
      </c>
      <c r="F47" s="175">
        <f t="shared" si="8"/>
        <v>-46950</v>
      </c>
      <c r="H47" s="280">
        <v>3050</v>
      </c>
      <c r="I47" s="282">
        <f t="shared" si="6"/>
        <v>0</v>
      </c>
      <c r="L47" s="427"/>
    </row>
    <row r="48" spans="1:13">
      <c r="A48" s="137" t="s">
        <v>60</v>
      </c>
      <c r="B48" s="138" t="s">
        <v>244</v>
      </c>
      <c r="C48" s="139">
        <v>1000000</v>
      </c>
      <c r="D48" s="365">
        <v>755110</v>
      </c>
      <c r="E48" s="140" t="str">
        <f t="shared" si="7"/>
        <v/>
      </c>
      <c r="F48" s="175">
        <f t="shared" si="8"/>
        <v>-244890</v>
      </c>
      <c r="H48" s="280">
        <v>755110</v>
      </c>
      <c r="I48" s="282">
        <f t="shared" si="6"/>
        <v>0</v>
      </c>
      <c r="L48" s="428"/>
    </row>
    <row r="49" spans="1:12">
      <c r="A49" s="137" t="s">
        <v>276</v>
      </c>
      <c r="B49" s="138" t="s">
        <v>235</v>
      </c>
      <c r="C49" s="139"/>
      <c r="D49" s="365"/>
      <c r="E49" s="140" t="str">
        <f t="shared" si="7"/>
        <v/>
      </c>
      <c r="F49" s="175">
        <f t="shared" si="8"/>
        <v>0</v>
      </c>
      <c r="I49" s="282">
        <f t="shared" si="6"/>
        <v>0</v>
      </c>
      <c r="L49" s="286"/>
    </row>
    <row r="50" spans="1:12">
      <c r="A50" s="137" t="s">
        <v>277</v>
      </c>
      <c r="B50" s="138" t="s">
        <v>282</v>
      </c>
      <c r="C50" s="139">
        <v>1350000</v>
      </c>
      <c r="D50" s="365">
        <v>1014040</v>
      </c>
      <c r="E50" s="140" t="str">
        <f t="shared" si="7"/>
        <v/>
      </c>
      <c r="F50" s="175">
        <f t="shared" si="8"/>
        <v>-335960</v>
      </c>
      <c r="H50" s="280">
        <v>1014040</v>
      </c>
      <c r="I50" s="282">
        <f t="shared" si="6"/>
        <v>0</v>
      </c>
      <c r="L50" s="428"/>
    </row>
    <row r="51" spans="1:12">
      <c r="A51" s="137" t="s">
        <v>278</v>
      </c>
      <c r="B51" s="138" t="s">
        <v>283</v>
      </c>
      <c r="C51" s="139">
        <v>850000</v>
      </c>
      <c r="D51" s="365">
        <v>487270</v>
      </c>
      <c r="E51" s="140" t="str">
        <f t="shared" si="7"/>
        <v/>
      </c>
      <c r="F51" s="175">
        <f t="shared" si="8"/>
        <v>-362730</v>
      </c>
      <c r="H51" s="280">
        <v>487270</v>
      </c>
      <c r="I51" s="282">
        <f t="shared" si="6"/>
        <v>0</v>
      </c>
      <c r="J51" s="323"/>
      <c r="L51" s="286"/>
    </row>
    <row r="52" spans="1:12">
      <c r="A52" s="137" t="s">
        <v>279</v>
      </c>
      <c r="B52" s="138" t="s">
        <v>284</v>
      </c>
      <c r="C52" s="139">
        <v>5000</v>
      </c>
      <c r="D52" s="365">
        <v>1270</v>
      </c>
      <c r="E52" s="140" t="str">
        <f t="shared" si="7"/>
        <v/>
      </c>
      <c r="F52" s="175">
        <f t="shared" si="8"/>
        <v>-3730</v>
      </c>
      <c r="H52" s="280">
        <v>1270</v>
      </c>
      <c r="I52" s="282">
        <f t="shared" si="6"/>
        <v>0</v>
      </c>
      <c r="L52" s="286"/>
    </row>
    <row r="53" spans="1:12">
      <c r="A53" s="137" t="s">
        <v>280</v>
      </c>
      <c r="B53" s="138" t="s">
        <v>285</v>
      </c>
      <c r="C53" s="139">
        <v>70000</v>
      </c>
      <c r="D53" s="365">
        <v>43940</v>
      </c>
      <c r="E53" s="140" t="str">
        <f t="shared" si="7"/>
        <v/>
      </c>
      <c r="F53" s="175">
        <f t="shared" si="8"/>
        <v>-26060</v>
      </c>
      <c r="H53" s="280">
        <v>43840</v>
      </c>
      <c r="I53" s="282">
        <f t="shared" si="6"/>
        <v>100</v>
      </c>
      <c r="J53" s="323" t="s">
        <v>463</v>
      </c>
      <c r="L53" s="286"/>
    </row>
    <row r="54" spans="1:12">
      <c r="A54" s="137" t="s">
        <v>71</v>
      </c>
      <c r="B54" s="138" t="s">
        <v>287</v>
      </c>
      <c r="C54" s="139">
        <v>500</v>
      </c>
      <c r="D54" s="365"/>
      <c r="E54" s="140" t="str">
        <f t="shared" si="7"/>
        <v/>
      </c>
      <c r="F54" s="175">
        <f t="shared" si="8"/>
        <v>-500</v>
      </c>
      <c r="I54" s="282">
        <f t="shared" si="6"/>
        <v>0</v>
      </c>
      <c r="J54" s="323"/>
      <c r="L54" s="286"/>
    </row>
    <row r="55" spans="1:12">
      <c r="A55" s="137" t="s">
        <v>72</v>
      </c>
      <c r="B55" s="138" t="s">
        <v>288</v>
      </c>
      <c r="C55" s="139">
        <v>5200</v>
      </c>
      <c r="D55" s="365">
        <v>5200</v>
      </c>
      <c r="E55" s="140" t="str">
        <f t="shared" si="7"/>
        <v/>
      </c>
      <c r="F55" s="175">
        <f t="shared" si="8"/>
        <v>0</v>
      </c>
      <c r="H55" s="280">
        <v>5200</v>
      </c>
      <c r="I55" s="282">
        <f t="shared" si="6"/>
        <v>0</v>
      </c>
      <c r="J55" s="323"/>
      <c r="L55" s="286"/>
    </row>
    <row r="56" spans="1:12">
      <c r="A56" s="137" t="s">
        <v>73</v>
      </c>
      <c r="B56" s="138" t="s">
        <v>289</v>
      </c>
      <c r="C56" s="139">
        <v>3000000</v>
      </c>
      <c r="D56" s="365">
        <v>1288011.2</v>
      </c>
      <c r="E56" s="140" t="str">
        <f t="shared" si="7"/>
        <v/>
      </c>
      <c r="F56" s="175">
        <f t="shared" si="8"/>
        <v>-1711988.8</v>
      </c>
      <c r="H56" s="280">
        <v>1288011.2</v>
      </c>
      <c r="I56" s="282">
        <f t="shared" si="6"/>
        <v>0</v>
      </c>
      <c r="L56" s="286"/>
    </row>
    <row r="57" spans="1:12">
      <c r="A57" s="313" t="s">
        <v>402</v>
      </c>
      <c r="B57" s="138" t="s">
        <v>290</v>
      </c>
      <c r="C57" s="139">
        <v>60000</v>
      </c>
      <c r="D57" s="365">
        <v>36100</v>
      </c>
      <c r="E57" s="140" t="str">
        <f t="shared" si="7"/>
        <v/>
      </c>
      <c r="F57" s="175">
        <f t="shared" si="8"/>
        <v>-23900</v>
      </c>
      <c r="H57" s="280">
        <v>36100</v>
      </c>
      <c r="I57" s="282">
        <f t="shared" si="6"/>
        <v>0</v>
      </c>
      <c r="L57" s="286"/>
    </row>
    <row r="58" spans="1:12">
      <c r="A58" s="137" t="s">
        <v>74</v>
      </c>
      <c r="B58" s="138" t="s">
        <v>291</v>
      </c>
      <c r="C58" s="139">
        <v>5000</v>
      </c>
      <c r="D58" s="365">
        <v>3500</v>
      </c>
      <c r="E58" s="140" t="str">
        <f t="shared" si="7"/>
        <v/>
      </c>
      <c r="F58" s="175">
        <f t="shared" si="8"/>
        <v>-1500</v>
      </c>
      <c r="H58" s="280">
        <v>3500</v>
      </c>
      <c r="I58" s="282">
        <f t="shared" si="6"/>
        <v>0</v>
      </c>
      <c r="J58" s="323"/>
      <c r="L58" s="286"/>
    </row>
    <row r="59" spans="1:12">
      <c r="A59" s="137" t="s">
        <v>75</v>
      </c>
      <c r="B59" s="138" t="s">
        <v>292</v>
      </c>
      <c r="C59" s="139">
        <v>100000</v>
      </c>
      <c r="D59" s="365">
        <v>98870</v>
      </c>
      <c r="E59" s="140" t="str">
        <f t="shared" si="7"/>
        <v/>
      </c>
      <c r="F59" s="175">
        <f t="shared" si="8"/>
        <v>-1130</v>
      </c>
      <c r="H59" s="280">
        <v>98870</v>
      </c>
      <c r="I59" s="282">
        <f t="shared" si="6"/>
        <v>0</v>
      </c>
      <c r="J59" s="323"/>
      <c r="L59" s="286"/>
    </row>
    <row r="60" spans="1:12">
      <c r="A60" s="137" t="s">
        <v>76</v>
      </c>
      <c r="B60" s="138" t="s">
        <v>293</v>
      </c>
      <c r="C60" s="139">
        <v>100000</v>
      </c>
      <c r="D60" s="365">
        <v>70700</v>
      </c>
      <c r="E60" s="140" t="str">
        <f t="shared" si="7"/>
        <v/>
      </c>
      <c r="F60" s="175">
        <f t="shared" si="8"/>
        <v>-29300</v>
      </c>
      <c r="H60" s="280">
        <v>70700</v>
      </c>
      <c r="I60" s="282">
        <f t="shared" si="6"/>
        <v>0</v>
      </c>
      <c r="L60" s="286"/>
    </row>
    <row r="61" spans="1:12">
      <c r="A61" s="313" t="s">
        <v>471</v>
      </c>
      <c r="B61" s="338" t="s">
        <v>472</v>
      </c>
      <c r="C61" s="139"/>
      <c r="D61" s="365">
        <v>100</v>
      </c>
      <c r="E61" s="140">
        <f t="shared" si="7"/>
        <v>100</v>
      </c>
      <c r="F61" s="175" t="str">
        <f t="shared" si="8"/>
        <v/>
      </c>
      <c r="H61" s="280">
        <v>100</v>
      </c>
      <c r="I61" s="282">
        <f t="shared" si="6"/>
        <v>0</v>
      </c>
      <c r="L61" s="286"/>
    </row>
    <row r="62" spans="1:12">
      <c r="A62" s="137" t="s">
        <v>77</v>
      </c>
      <c r="B62" s="138" t="s">
        <v>294</v>
      </c>
      <c r="C62" s="139">
        <v>180000</v>
      </c>
      <c r="D62" s="365">
        <v>109593.1</v>
      </c>
      <c r="E62" s="140" t="str">
        <f t="shared" si="7"/>
        <v/>
      </c>
      <c r="F62" s="175">
        <f t="shared" si="8"/>
        <v>-70406.899999999994</v>
      </c>
      <c r="H62" s="280">
        <v>109593.1</v>
      </c>
      <c r="I62" s="282">
        <f t="shared" si="6"/>
        <v>0</v>
      </c>
      <c r="L62" s="286"/>
    </row>
    <row r="63" spans="1:12">
      <c r="A63" s="313" t="s">
        <v>473</v>
      </c>
      <c r="B63" s="338" t="s">
        <v>474</v>
      </c>
      <c r="C63" s="139"/>
      <c r="D63" s="365">
        <v>1710</v>
      </c>
      <c r="E63" s="140">
        <f t="shared" si="7"/>
        <v>1710</v>
      </c>
      <c r="F63" s="175" t="str">
        <f t="shared" si="8"/>
        <v/>
      </c>
      <c r="H63" s="280">
        <v>1710</v>
      </c>
      <c r="I63" s="282">
        <f t="shared" si="6"/>
        <v>0</v>
      </c>
      <c r="L63" s="286"/>
    </row>
    <row r="64" spans="1:12">
      <c r="A64" s="137" t="s">
        <v>78</v>
      </c>
      <c r="B64" s="138" t="s">
        <v>295</v>
      </c>
      <c r="C64" s="139">
        <v>500</v>
      </c>
      <c r="D64" s="365"/>
      <c r="E64" s="140" t="str">
        <f t="shared" si="7"/>
        <v/>
      </c>
      <c r="F64" s="175">
        <f t="shared" si="8"/>
        <v>-500</v>
      </c>
      <c r="I64" s="282">
        <f t="shared" si="6"/>
        <v>0</v>
      </c>
      <c r="L64" s="286"/>
    </row>
    <row r="65" spans="1:12">
      <c r="A65" s="137" t="s">
        <v>79</v>
      </c>
      <c r="B65" s="138" t="s">
        <v>296</v>
      </c>
      <c r="C65" s="139">
        <v>50000</v>
      </c>
      <c r="D65" s="365">
        <v>3250</v>
      </c>
      <c r="E65" s="140" t="str">
        <f t="shared" si="7"/>
        <v/>
      </c>
      <c r="F65" s="175">
        <f t="shared" si="8"/>
        <v>-46750</v>
      </c>
      <c r="H65" s="280">
        <v>3250</v>
      </c>
      <c r="I65" s="282">
        <f t="shared" si="6"/>
        <v>0</v>
      </c>
      <c r="L65" s="286"/>
    </row>
    <row r="66" spans="1:12">
      <c r="A66" s="137" t="s">
        <v>80</v>
      </c>
      <c r="B66" s="138" t="s">
        <v>297</v>
      </c>
      <c r="C66" s="139">
        <v>20000</v>
      </c>
      <c r="D66" s="365">
        <v>900</v>
      </c>
      <c r="E66" s="140" t="str">
        <f t="shared" si="7"/>
        <v/>
      </c>
      <c r="F66" s="175">
        <f t="shared" si="8"/>
        <v>-19100</v>
      </c>
      <c r="H66" s="280">
        <v>900</v>
      </c>
      <c r="I66" s="282">
        <f t="shared" si="6"/>
        <v>0</v>
      </c>
      <c r="L66" s="286"/>
    </row>
    <row r="67" spans="1:12">
      <c r="A67" s="313" t="s">
        <v>449</v>
      </c>
      <c r="B67" s="338" t="s">
        <v>450</v>
      </c>
      <c r="C67" s="139">
        <v>170</v>
      </c>
      <c r="D67" s="365">
        <v>170</v>
      </c>
      <c r="E67" s="140" t="str">
        <f t="shared" si="7"/>
        <v/>
      </c>
      <c r="F67" s="175">
        <f t="shared" si="8"/>
        <v>0</v>
      </c>
      <c r="H67" s="280">
        <v>170</v>
      </c>
      <c r="I67" s="282">
        <f t="shared" si="6"/>
        <v>0</v>
      </c>
      <c r="L67" s="286"/>
    </row>
    <row r="68" spans="1:12">
      <c r="A68" s="313" t="s">
        <v>432</v>
      </c>
      <c r="B68" s="138" t="s">
        <v>431</v>
      </c>
      <c r="C68" s="139"/>
      <c r="D68" s="365"/>
      <c r="E68" s="140" t="str">
        <f t="shared" si="7"/>
        <v/>
      </c>
      <c r="F68" s="175">
        <f t="shared" si="8"/>
        <v>0</v>
      </c>
      <c r="I68" s="282"/>
      <c r="L68" s="286"/>
    </row>
    <row r="69" spans="1:12">
      <c r="A69" s="137" t="s">
        <v>172</v>
      </c>
      <c r="B69" s="338" t="s">
        <v>435</v>
      </c>
      <c r="C69" s="316">
        <v>13000000</v>
      </c>
      <c r="D69" s="365">
        <v>12120868.619999999</v>
      </c>
      <c r="E69" s="140" t="str">
        <f t="shared" si="7"/>
        <v/>
      </c>
      <c r="F69" s="175">
        <f t="shared" si="8"/>
        <v>-879131.38000000082</v>
      </c>
      <c r="H69" s="280">
        <v>12120868.619999999</v>
      </c>
      <c r="I69" s="282">
        <f t="shared" ref="I69:I76" si="9">D69-H69</f>
        <v>0</v>
      </c>
      <c r="J69" s="323"/>
      <c r="L69" s="286"/>
    </row>
    <row r="70" spans="1:12">
      <c r="A70" s="137" t="s">
        <v>91</v>
      </c>
      <c r="B70" s="138" t="s">
        <v>436</v>
      </c>
      <c r="C70" s="316">
        <v>2500000</v>
      </c>
      <c r="D70" s="365">
        <v>1922622.22</v>
      </c>
      <c r="E70" s="140" t="str">
        <f t="shared" si="7"/>
        <v/>
      </c>
      <c r="F70" s="175">
        <f t="shared" si="8"/>
        <v>-577377.78</v>
      </c>
      <c r="H70" s="280">
        <v>1922622.22</v>
      </c>
      <c r="I70" s="446">
        <f t="shared" si="9"/>
        <v>0</v>
      </c>
      <c r="J70" s="323" t="s">
        <v>476</v>
      </c>
      <c r="L70" s="286"/>
    </row>
    <row r="71" spans="1:12">
      <c r="A71" s="137" t="s">
        <v>90</v>
      </c>
      <c r="B71" s="138" t="s">
        <v>437</v>
      </c>
      <c r="C71" s="316">
        <v>8000000</v>
      </c>
      <c r="D71" s="365">
        <v>7589280</v>
      </c>
      <c r="E71" s="140" t="str">
        <f t="shared" si="7"/>
        <v/>
      </c>
      <c r="F71" s="175">
        <f t="shared" si="8"/>
        <v>-410720</v>
      </c>
      <c r="H71" s="280">
        <v>7589280</v>
      </c>
      <c r="I71" s="282">
        <f t="shared" si="9"/>
        <v>0</v>
      </c>
      <c r="L71" s="425"/>
    </row>
    <row r="72" spans="1:12" ht="13.5" thickBot="1">
      <c r="A72" s="155" t="s">
        <v>255</v>
      </c>
      <c r="B72" s="166" t="s">
        <v>438</v>
      </c>
      <c r="C72" s="385">
        <v>5500000</v>
      </c>
      <c r="D72" s="448">
        <v>3867835</v>
      </c>
      <c r="E72" s="449" t="str">
        <f t="shared" si="7"/>
        <v/>
      </c>
      <c r="F72" s="309">
        <f t="shared" si="8"/>
        <v>-1632165</v>
      </c>
      <c r="H72" s="280">
        <v>3867835</v>
      </c>
      <c r="I72" s="446">
        <f t="shared" si="9"/>
        <v>0</v>
      </c>
      <c r="J72" s="323" t="s">
        <v>476</v>
      </c>
      <c r="L72" s="286"/>
    </row>
    <row r="73" spans="1:12">
      <c r="A73" s="137" t="s">
        <v>434</v>
      </c>
      <c r="B73" s="138" t="s">
        <v>439</v>
      </c>
      <c r="C73" s="139">
        <v>600000</v>
      </c>
      <c r="D73" s="365">
        <v>482186.56</v>
      </c>
      <c r="E73" s="140" t="str">
        <f t="shared" si="7"/>
        <v/>
      </c>
      <c r="F73" s="175">
        <f t="shared" si="8"/>
        <v>-117813.44</v>
      </c>
      <c r="H73" s="280">
        <v>482186.56</v>
      </c>
      <c r="I73" s="282">
        <f t="shared" si="9"/>
        <v>0</v>
      </c>
      <c r="J73" s="323"/>
      <c r="L73" s="286"/>
    </row>
    <row r="74" spans="1:12">
      <c r="A74" s="137" t="s">
        <v>254</v>
      </c>
      <c r="B74" s="138" t="s">
        <v>440</v>
      </c>
      <c r="C74" s="316">
        <v>1600000</v>
      </c>
      <c r="D74" s="365">
        <v>1003850</v>
      </c>
      <c r="E74" s="140" t="str">
        <f t="shared" si="7"/>
        <v/>
      </c>
      <c r="F74" s="175">
        <f t="shared" si="8"/>
        <v>-596150</v>
      </c>
      <c r="H74" s="280">
        <v>1003850</v>
      </c>
      <c r="I74" s="282">
        <f t="shared" si="9"/>
        <v>0</v>
      </c>
      <c r="L74" s="286"/>
    </row>
    <row r="75" spans="1:12">
      <c r="A75" s="137" t="s">
        <v>263</v>
      </c>
      <c r="B75" s="138" t="s">
        <v>441</v>
      </c>
      <c r="C75" s="316">
        <v>5500000</v>
      </c>
      <c r="D75" s="365">
        <v>3871593.63</v>
      </c>
      <c r="E75" s="140" t="str">
        <f t="shared" si="7"/>
        <v/>
      </c>
      <c r="F75" s="175">
        <f t="shared" si="8"/>
        <v>-1628406.37</v>
      </c>
      <c r="H75" s="280">
        <v>3871593.63</v>
      </c>
      <c r="I75" s="282">
        <f t="shared" si="9"/>
        <v>0</v>
      </c>
      <c r="L75" s="286"/>
    </row>
    <row r="76" spans="1:12">
      <c r="A76" s="313" t="s">
        <v>433</v>
      </c>
      <c r="B76" s="147" t="s">
        <v>442</v>
      </c>
      <c r="C76" s="357">
        <v>1500000</v>
      </c>
      <c r="D76" s="316">
        <v>480690</v>
      </c>
      <c r="E76" s="140" t="str">
        <f t="shared" si="7"/>
        <v/>
      </c>
      <c r="F76" s="175">
        <f t="shared" si="8"/>
        <v>-1019310</v>
      </c>
      <c r="H76" s="280">
        <v>480690</v>
      </c>
      <c r="I76" s="282">
        <f t="shared" si="9"/>
        <v>0</v>
      </c>
      <c r="L76" s="286"/>
    </row>
    <row r="77" spans="1:12">
      <c r="A77" s="313" t="s">
        <v>299</v>
      </c>
      <c r="B77" s="138" t="s">
        <v>300</v>
      </c>
      <c r="C77" s="139"/>
      <c r="D77" s="365"/>
      <c r="E77" s="140" t="str">
        <f t="shared" si="7"/>
        <v/>
      </c>
      <c r="F77" s="175">
        <f t="shared" si="8"/>
        <v>0</v>
      </c>
      <c r="I77" s="282">
        <f t="shared" si="6"/>
        <v>0</v>
      </c>
      <c r="L77" s="286"/>
    </row>
    <row r="78" spans="1:12">
      <c r="A78" s="137" t="s">
        <v>81</v>
      </c>
      <c r="B78" s="138" t="s">
        <v>301</v>
      </c>
      <c r="C78" s="139">
        <v>730000</v>
      </c>
      <c r="D78" s="365">
        <v>735770</v>
      </c>
      <c r="E78" s="140">
        <f t="shared" si="7"/>
        <v>5770</v>
      </c>
      <c r="F78" s="175" t="str">
        <f t="shared" si="8"/>
        <v/>
      </c>
      <c r="H78" s="280">
        <v>735770</v>
      </c>
      <c r="I78" s="282">
        <f t="shared" si="6"/>
        <v>0</v>
      </c>
      <c r="L78" s="286"/>
    </row>
    <row r="79" spans="1:12">
      <c r="A79" s="137" t="s">
        <v>82</v>
      </c>
      <c r="B79" s="138" t="s">
        <v>302</v>
      </c>
      <c r="C79" s="139">
        <v>6700000</v>
      </c>
      <c r="D79" s="365">
        <v>4510636.7300000004</v>
      </c>
      <c r="E79" s="140" t="str">
        <f t="shared" si="7"/>
        <v/>
      </c>
      <c r="F79" s="175">
        <f t="shared" si="8"/>
        <v>-2189363.2699999996</v>
      </c>
      <c r="H79" s="280">
        <v>4510636.7300000004</v>
      </c>
      <c r="I79" s="282">
        <f t="shared" si="6"/>
        <v>0</v>
      </c>
      <c r="L79" s="286"/>
    </row>
    <row r="80" spans="1:12">
      <c r="A80" s="137" t="s">
        <v>83</v>
      </c>
      <c r="B80" s="138" t="s">
        <v>303</v>
      </c>
      <c r="C80" s="139">
        <v>2100000</v>
      </c>
      <c r="D80" s="365">
        <v>2132124</v>
      </c>
      <c r="E80" s="140">
        <f t="shared" si="7"/>
        <v>32124</v>
      </c>
      <c r="F80" s="175" t="str">
        <f t="shared" si="8"/>
        <v/>
      </c>
      <c r="H80" s="280">
        <v>2132124</v>
      </c>
      <c r="I80" s="282">
        <f t="shared" si="6"/>
        <v>0</v>
      </c>
      <c r="L80" s="286"/>
    </row>
    <row r="81" spans="1:12">
      <c r="A81" s="313" t="s">
        <v>464</v>
      </c>
      <c r="B81" s="338" t="s">
        <v>462</v>
      </c>
      <c r="C81" s="316">
        <v>2000000</v>
      </c>
      <c r="D81" s="365">
        <v>1870101</v>
      </c>
      <c r="E81" s="140" t="str">
        <f t="shared" si="7"/>
        <v/>
      </c>
      <c r="F81" s="175">
        <f t="shared" si="8"/>
        <v>-129899</v>
      </c>
      <c r="H81" s="280">
        <v>1870101</v>
      </c>
      <c r="I81" s="282">
        <f>D81-H81</f>
        <v>0</v>
      </c>
      <c r="L81" s="286"/>
    </row>
    <row r="82" spans="1:12">
      <c r="A82" s="313" t="s">
        <v>443</v>
      </c>
      <c r="B82" s="138" t="s">
        <v>444</v>
      </c>
      <c r="C82" s="139"/>
      <c r="D82" s="365"/>
      <c r="E82" s="140" t="str">
        <f t="shared" si="7"/>
        <v/>
      </c>
      <c r="F82" s="175">
        <f t="shared" si="8"/>
        <v>0</v>
      </c>
      <c r="I82" s="282"/>
      <c r="L82" s="286"/>
    </row>
    <row r="83" spans="1:12">
      <c r="A83" s="137" t="s">
        <v>281</v>
      </c>
      <c r="B83" s="138" t="s">
        <v>286</v>
      </c>
      <c r="C83" s="139">
        <v>555000</v>
      </c>
      <c r="D83" s="365">
        <v>424320</v>
      </c>
      <c r="E83" s="140" t="str">
        <f t="shared" si="7"/>
        <v/>
      </c>
      <c r="F83" s="175">
        <f t="shared" si="8"/>
        <v>-130680</v>
      </c>
      <c r="H83" s="280">
        <v>424320</v>
      </c>
      <c r="I83" s="282">
        <f>D83-H83</f>
        <v>0</v>
      </c>
      <c r="J83" s="323"/>
      <c r="L83" s="286"/>
    </row>
    <row r="84" spans="1:12">
      <c r="A84" s="313" t="s">
        <v>403</v>
      </c>
      <c r="B84" s="138" t="s">
        <v>212</v>
      </c>
      <c r="C84" s="139">
        <v>5500000</v>
      </c>
      <c r="D84" s="365">
        <v>5689480</v>
      </c>
      <c r="E84" s="140">
        <f t="shared" si="7"/>
        <v>189480</v>
      </c>
      <c r="F84" s="175" t="str">
        <f t="shared" si="8"/>
        <v/>
      </c>
      <c r="H84" s="280">
        <v>5684880</v>
      </c>
      <c r="I84" s="446">
        <f t="shared" si="6"/>
        <v>4600</v>
      </c>
      <c r="J84" s="323" t="s">
        <v>463</v>
      </c>
      <c r="L84" s="286"/>
    </row>
    <row r="85" spans="1:12">
      <c r="A85" s="313" t="s">
        <v>408</v>
      </c>
      <c r="B85" s="338" t="s">
        <v>409</v>
      </c>
      <c r="C85" s="139"/>
      <c r="D85" s="365"/>
      <c r="E85" s="140" t="str">
        <f t="shared" si="7"/>
        <v/>
      </c>
      <c r="F85" s="175">
        <f t="shared" si="8"/>
        <v>0</v>
      </c>
      <c r="I85" s="282">
        <f t="shared" si="6"/>
        <v>0</v>
      </c>
      <c r="L85" s="286"/>
    </row>
    <row r="86" spans="1:12">
      <c r="A86" s="313" t="s">
        <v>404</v>
      </c>
      <c r="B86" s="138" t="s">
        <v>231</v>
      </c>
      <c r="C86" s="139">
        <v>200000</v>
      </c>
      <c r="D86" s="365">
        <v>95430</v>
      </c>
      <c r="E86" s="140" t="str">
        <f t="shared" si="7"/>
        <v/>
      </c>
      <c r="F86" s="175">
        <f t="shared" si="8"/>
        <v>-104570</v>
      </c>
      <c r="H86" s="280">
        <v>95430</v>
      </c>
      <c r="I86" s="282">
        <f t="shared" si="6"/>
        <v>0</v>
      </c>
      <c r="L86" s="286"/>
    </row>
    <row r="87" spans="1:12">
      <c r="A87" s="313" t="s">
        <v>405</v>
      </c>
      <c r="B87" s="138" t="s">
        <v>232</v>
      </c>
      <c r="C87" s="139">
        <v>70000</v>
      </c>
      <c r="D87" s="365">
        <v>26288</v>
      </c>
      <c r="E87" s="140" t="str">
        <f t="shared" si="7"/>
        <v/>
      </c>
      <c r="F87" s="175">
        <f t="shared" si="8"/>
        <v>-43712</v>
      </c>
      <c r="H87" s="280">
        <v>26288</v>
      </c>
      <c r="I87" s="282">
        <f t="shared" si="6"/>
        <v>0</v>
      </c>
      <c r="L87" s="286"/>
    </row>
    <row r="88" spans="1:12">
      <c r="A88" s="313" t="s">
        <v>406</v>
      </c>
      <c r="B88" s="138" t="s">
        <v>233</v>
      </c>
      <c r="C88" s="139">
        <v>30000</v>
      </c>
      <c r="D88" s="365">
        <v>14780</v>
      </c>
      <c r="E88" s="140" t="str">
        <f t="shared" si="7"/>
        <v/>
      </c>
      <c r="F88" s="175">
        <f t="shared" si="8"/>
        <v>-15220</v>
      </c>
      <c r="H88" s="280">
        <v>14780</v>
      </c>
      <c r="I88" s="282">
        <f t="shared" si="6"/>
        <v>0</v>
      </c>
      <c r="L88" s="286"/>
    </row>
    <row r="89" spans="1:12">
      <c r="A89" s="313" t="s">
        <v>407</v>
      </c>
      <c r="B89" s="138" t="s">
        <v>234</v>
      </c>
      <c r="C89" s="139">
        <v>628345.59999999998</v>
      </c>
      <c r="D89" s="365">
        <v>679915.6</v>
      </c>
      <c r="E89" s="140">
        <f t="shared" si="7"/>
        <v>51570</v>
      </c>
      <c r="F89" s="175" t="str">
        <f t="shared" si="8"/>
        <v/>
      </c>
      <c r="H89" s="280">
        <v>679915.6</v>
      </c>
      <c r="I89" s="282">
        <f t="shared" si="6"/>
        <v>0</v>
      </c>
      <c r="L89" s="286"/>
    </row>
    <row r="90" spans="1:12">
      <c r="A90" s="137" t="s">
        <v>85</v>
      </c>
      <c r="B90" s="138" t="s">
        <v>240</v>
      </c>
      <c r="C90" s="139"/>
      <c r="D90" s="365"/>
      <c r="E90" s="140" t="str">
        <f t="shared" si="7"/>
        <v/>
      </c>
      <c r="F90" s="175">
        <f t="shared" si="8"/>
        <v>0</v>
      </c>
      <c r="I90" s="282">
        <f t="shared" si="6"/>
        <v>0</v>
      </c>
      <c r="L90" s="286"/>
    </row>
    <row r="91" spans="1:12">
      <c r="A91" s="137" t="s">
        <v>250</v>
      </c>
      <c r="B91" s="138" t="s">
        <v>251</v>
      </c>
      <c r="C91" s="139">
        <v>600000</v>
      </c>
      <c r="D91" s="365">
        <v>230882</v>
      </c>
      <c r="E91" s="140" t="str">
        <f t="shared" si="7"/>
        <v/>
      </c>
      <c r="F91" s="175">
        <f t="shared" si="8"/>
        <v>-369118</v>
      </c>
      <c r="H91" s="280">
        <v>230882</v>
      </c>
      <c r="I91" s="282">
        <f t="shared" si="6"/>
        <v>0</v>
      </c>
      <c r="L91" s="286"/>
    </row>
    <row r="92" spans="1:12">
      <c r="A92" s="137" t="s">
        <v>253</v>
      </c>
      <c r="B92" s="138" t="s">
        <v>252</v>
      </c>
      <c r="C92" s="139">
        <v>373000</v>
      </c>
      <c r="D92" s="365">
        <v>555000</v>
      </c>
      <c r="E92" s="140">
        <f t="shared" si="7"/>
        <v>182000</v>
      </c>
      <c r="F92" s="175" t="str">
        <f t="shared" si="8"/>
        <v/>
      </c>
      <c r="H92" s="280">
        <v>519220</v>
      </c>
      <c r="I92" s="446">
        <f t="shared" si="6"/>
        <v>35780</v>
      </c>
      <c r="J92" s="323" t="s">
        <v>463</v>
      </c>
      <c r="L92" s="286"/>
    </row>
    <row r="93" spans="1:12">
      <c r="A93" s="137" t="s">
        <v>265</v>
      </c>
      <c r="B93" s="338" t="s">
        <v>266</v>
      </c>
      <c r="C93" s="316">
        <v>3500000</v>
      </c>
      <c r="D93" s="365">
        <v>1894110</v>
      </c>
      <c r="E93" s="140" t="str">
        <f t="shared" si="7"/>
        <v/>
      </c>
      <c r="F93" s="175">
        <f t="shared" si="8"/>
        <v>-1605890</v>
      </c>
      <c r="H93" s="280">
        <v>1894110</v>
      </c>
      <c r="I93" s="282">
        <f t="shared" si="6"/>
        <v>0</v>
      </c>
      <c r="L93" s="286"/>
    </row>
    <row r="94" spans="1:12">
      <c r="A94" s="137" t="s">
        <v>84</v>
      </c>
      <c r="B94" s="338" t="s">
        <v>268</v>
      </c>
      <c r="C94" s="316">
        <v>2700000</v>
      </c>
      <c r="D94" s="365">
        <v>2795130</v>
      </c>
      <c r="E94" s="140">
        <f t="shared" si="7"/>
        <v>95130</v>
      </c>
      <c r="F94" s="175" t="str">
        <f t="shared" si="8"/>
        <v/>
      </c>
      <c r="H94" s="280">
        <v>2793990</v>
      </c>
      <c r="I94" s="446">
        <f>D94-H94</f>
        <v>1140</v>
      </c>
      <c r="J94" s="323" t="s">
        <v>463</v>
      </c>
      <c r="L94" s="286"/>
    </row>
    <row r="95" spans="1:12">
      <c r="A95" s="137" t="s">
        <v>267</v>
      </c>
      <c r="B95" s="338" t="s">
        <v>269</v>
      </c>
      <c r="C95" s="316">
        <v>2000000</v>
      </c>
      <c r="D95" s="365">
        <v>1807820</v>
      </c>
      <c r="E95" s="140" t="str">
        <f t="shared" si="7"/>
        <v/>
      </c>
      <c r="F95" s="175">
        <f t="shared" si="8"/>
        <v>-192180</v>
      </c>
      <c r="H95" s="280">
        <v>1808960</v>
      </c>
      <c r="I95" s="446">
        <f t="shared" si="6"/>
        <v>-1140</v>
      </c>
      <c r="J95" s="323" t="s">
        <v>463</v>
      </c>
      <c r="L95" s="286"/>
    </row>
    <row r="96" spans="1:12">
      <c r="A96" s="137" t="s">
        <v>86</v>
      </c>
      <c r="B96" s="338" t="s">
        <v>272</v>
      </c>
      <c r="C96" s="316">
        <v>150000</v>
      </c>
      <c r="D96" s="365">
        <v>109600</v>
      </c>
      <c r="E96" s="140" t="str">
        <f t="shared" si="7"/>
        <v/>
      </c>
      <c r="F96" s="175">
        <f t="shared" si="8"/>
        <v>-40400</v>
      </c>
      <c r="H96" s="280">
        <v>109600</v>
      </c>
      <c r="I96" s="282">
        <f t="shared" si="6"/>
        <v>0</v>
      </c>
      <c r="L96" s="286"/>
    </row>
    <row r="97" spans="1:12">
      <c r="A97" s="137" t="s">
        <v>87</v>
      </c>
      <c r="B97" s="338" t="s">
        <v>273</v>
      </c>
      <c r="C97" s="316">
        <v>450000</v>
      </c>
      <c r="D97" s="365">
        <v>243100</v>
      </c>
      <c r="E97" s="140" t="str">
        <f t="shared" si="7"/>
        <v/>
      </c>
      <c r="F97" s="175">
        <f t="shared" si="8"/>
        <v>-206900</v>
      </c>
      <c r="H97" s="280">
        <v>243100</v>
      </c>
      <c r="I97" s="282">
        <f t="shared" si="6"/>
        <v>0</v>
      </c>
      <c r="J97" s="323"/>
      <c r="L97" s="286"/>
    </row>
    <row r="98" spans="1:12">
      <c r="A98" s="137" t="s">
        <v>88</v>
      </c>
      <c r="B98" s="338" t="s">
        <v>274</v>
      </c>
      <c r="C98" s="316">
        <v>2000000</v>
      </c>
      <c r="D98" s="365">
        <v>1476720</v>
      </c>
      <c r="E98" s="140" t="str">
        <f t="shared" si="7"/>
        <v/>
      </c>
      <c r="F98" s="175">
        <f t="shared" si="8"/>
        <v>-523280</v>
      </c>
      <c r="H98" s="280">
        <v>1476720</v>
      </c>
      <c r="I98" s="282">
        <f t="shared" si="6"/>
        <v>0</v>
      </c>
      <c r="J98" s="323"/>
      <c r="L98" s="286"/>
    </row>
    <row r="99" spans="1:12">
      <c r="A99" s="137" t="s">
        <v>271</v>
      </c>
      <c r="B99" s="338" t="s">
        <v>275</v>
      </c>
      <c r="C99" s="316">
        <v>100000</v>
      </c>
      <c r="D99" s="365">
        <v>41250</v>
      </c>
      <c r="E99" s="140" t="str">
        <f t="shared" si="7"/>
        <v/>
      </c>
      <c r="F99" s="175">
        <f t="shared" si="8"/>
        <v>-58750</v>
      </c>
      <c r="H99" s="280">
        <v>41250</v>
      </c>
      <c r="I99" s="282">
        <f t="shared" si="6"/>
        <v>0</v>
      </c>
      <c r="L99" s="286"/>
    </row>
    <row r="100" spans="1:12">
      <c r="A100" s="137" t="s">
        <v>318</v>
      </c>
      <c r="B100" s="338" t="s">
        <v>319</v>
      </c>
      <c r="C100" s="316">
        <v>350000</v>
      </c>
      <c r="D100" s="365">
        <v>203540</v>
      </c>
      <c r="E100" s="140" t="str">
        <f t="shared" si="7"/>
        <v/>
      </c>
      <c r="F100" s="175">
        <f t="shared" si="8"/>
        <v>-146460</v>
      </c>
      <c r="H100" s="280">
        <v>203540</v>
      </c>
      <c r="I100" s="326">
        <f>D100-H100</f>
        <v>0</v>
      </c>
      <c r="L100" s="286"/>
    </row>
    <row r="101" spans="1:12">
      <c r="A101" s="137" t="s">
        <v>321</v>
      </c>
      <c r="B101" s="338" t="s">
        <v>320</v>
      </c>
      <c r="C101" s="316">
        <v>900000</v>
      </c>
      <c r="D101" s="365">
        <v>629506</v>
      </c>
      <c r="E101" s="140" t="str">
        <f t="shared" si="7"/>
        <v/>
      </c>
      <c r="F101" s="175">
        <f t="shared" si="8"/>
        <v>-270494</v>
      </c>
      <c r="H101" s="280">
        <v>629506</v>
      </c>
      <c r="I101" s="282">
        <f t="shared" si="6"/>
        <v>0</v>
      </c>
      <c r="L101" s="286"/>
    </row>
    <row r="102" spans="1:12">
      <c r="A102" s="137" t="s">
        <v>304</v>
      </c>
      <c r="B102" s="338" t="s">
        <v>307</v>
      </c>
      <c r="C102" s="316"/>
      <c r="D102" s="365"/>
      <c r="E102" s="140" t="str">
        <f t="shared" ref="E102:E110" si="10">IF((D102-C102)&gt;0,D102-C102,"")</f>
        <v/>
      </c>
      <c r="F102" s="175">
        <f t="shared" ref="F102:F110" si="11">IF((D102-C102)&gt;0,"",D102-C102)</f>
        <v>0</v>
      </c>
      <c r="I102" s="282">
        <f t="shared" si="6"/>
        <v>0</v>
      </c>
      <c r="L102" s="286"/>
    </row>
    <row r="103" spans="1:12">
      <c r="A103" s="313" t="s">
        <v>305</v>
      </c>
      <c r="B103" s="338" t="s">
        <v>308</v>
      </c>
      <c r="C103" s="316">
        <v>36000</v>
      </c>
      <c r="D103" s="365">
        <v>10500</v>
      </c>
      <c r="E103" s="140" t="str">
        <f t="shared" si="10"/>
        <v/>
      </c>
      <c r="F103" s="175">
        <f t="shared" si="11"/>
        <v>-25500</v>
      </c>
      <c r="H103" s="280">
        <v>10500</v>
      </c>
      <c r="I103" s="282">
        <f t="shared" si="6"/>
        <v>0</v>
      </c>
      <c r="J103" s="323"/>
      <c r="L103" s="286"/>
    </row>
    <row r="104" spans="1:12">
      <c r="A104" s="313" t="s">
        <v>306</v>
      </c>
      <c r="B104" s="338" t="s">
        <v>309</v>
      </c>
      <c r="C104" s="316">
        <v>500000</v>
      </c>
      <c r="D104" s="365">
        <v>24652</v>
      </c>
      <c r="E104" s="140" t="str">
        <f t="shared" si="10"/>
        <v/>
      </c>
      <c r="F104" s="175">
        <f t="shared" si="11"/>
        <v>-475348</v>
      </c>
      <c r="H104" s="280">
        <v>24652</v>
      </c>
      <c r="I104" s="282">
        <f t="shared" si="6"/>
        <v>0</v>
      </c>
      <c r="L104" s="286"/>
    </row>
    <row r="105" spans="1:12">
      <c r="A105" s="313" t="s">
        <v>468</v>
      </c>
      <c r="B105" s="338" t="s">
        <v>469</v>
      </c>
      <c r="C105" s="316"/>
      <c r="D105" s="365">
        <v>2350</v>
      </c>
      <c r="E105" s="140">
        <f t="shared" si="10"/>
        <v>2350</v>
      </c>
      <c r="F105" s="175" t="str">
        <f t="shared" si="11"/>
        <v/>
      </c>
      <c r="I105" s="447">
        <f t="shared" si="6"/>
        <v>2350</v>
      </c>
      <c r="L105" s="286"/>
    </row>
    <row r="106" spans="1:12">
      <c r="A106" s="313" t="s">
        <v>2</v>
      </c>
      <c r="B106" s="338" t="s">
        <v>298</v>
      </c>
      <c r="C106" s="316">
        <v>9000000</v>
      </c>
      <c r="D106" s="365">
        <v>9183539</v>
      </c>
      <c r="E106" s="140">
        <f t="shared" si="10"/>
        <v>183539</v>
      </c>
      <c r="F106" s="175" t="str">
        <f t="shared" si="11"/>
        <v/>
      </c>
      <c r="H106" s="280">
        <v>9183539</v>
      </c>
      <c r="I106" s="282">
        <f t="shared" si="6"/>
        <v>0</v>
      </c>
      <c r="L106" s="286"/>
    </row>
    <row r="107" spans="1:12">
      <c r="A107" s="313" t="s">
        <v>3</v>
      </c>
      <c r="B107" s="338" t="s">
        <v>310</v>
      </c>
      <c r="C107" s="316"/>
      <c r="D107" s="365"/>
      <c r="E107" s="140" t="str">
        <f t="shared" si="10"/>
        <v/>
      </c>
      <c r="F107" s="175">
        <f t="shared" si="11"/>
        <v>0</v>
      </c>
      <c r="I107" s="282">
        <f t="shared" si="6"/>
        <v>0</v>
      </c>
      <c r="L107" s="286"/>
    </row>
    <row r="108" spans="1:12">
      <c r="A108" s="313" t="s">
        <v>94</v>
      </c>
      <c r="B108" s="338" t="s">
        <v>311</v>
      </c>
      <c r="C108" s="316">
        <v>700000</v>
      </c>
      <c r="D108" s="380">
        <f>554165.72-10356.9</f>
        <v>543808.81999999995</v>
      </c>
      <c r="E108" s="140" t="str">
        <f t="shared" si="10"/>
        <v/>
      </c>
      <c r="F108" s="175">
        <f t="shared" si="11"/>
        <v>-156191.18000000005</v>
      </c>
      <c r="G108" s="323" t="s">
        <v>423</v>
      </c>
      <c r="H108" s="280">
        <v>505433.74</v>
      </c>
      <c r="I108" s="282">
        <f t="shared" ref="I108:I110" si="12">D108-H108</f>
        <v>38375.079999999958</v>
      </c>
      <c r="L108" s="286"/>
    </row>
    <row r="109" spans="1:12">
      <c r="A109" s="313" t="s">
        <v>95</v>
      </c>
      <c r="B109" s="338" t="s">
        <v>312</v>
      </c>
      <c r="C109" s="316"/>
      <c r="D109" s="365">
        <v>5584.38</v>
      </c>
      <c r="E109" s="140">
        <f t="shared" si="10"/>
        <v>5584.38</v>
      </c>
      <c r="F109" s="175" t="str">
        <f t="shared" si="11"/>
        <v/>
      </c>
      <c r="I109" s="282">
        <f t="shared" si="12"/>
        <v>5584.38</v>
      </c>
      <c r="L109" s="286"/>
    </row>
    <row r="110" spans="1:12" ht="12.75" hidden="1" customHeight="1">
      <c r="A110" s="137"/>
      <c r="B110" s="138"/>
      <c r="C110" s="142"/>
      <c r="D110" s="365"/>
      <c r="E110" s="140" t="str">
        <f t="shared" si="10"/>
        <v/>
      </c>
      <c r="F110" s="175">
        <f t="shared" si="11"/>
        <v>0</v>
      </c>
      <c r="I110" s="282">
        <f t="shared" si="12"/>
        <v>0</v>
      </c>
      <c r="L110" s="286"/>
    </row>
    <row r="111" spans="1:12" ht="13.5" thickBot="1">
      <c r="A111" s="137"/>
      <c r="B111" s="147"/>
      <c r="C111" s="152">
        <f>SUM(C35:C110)</f>
        <v>108361465.59999999</v>
      </c>
      <c r="D111" s="383">
        <f>SUM(D35:D110)</f>
        <v>88712075.749999985</v>
      </c>
      <c r="E111" s="152">
        <f>SUM(E35:E110)</f>
        <v>974061.91999999911</v>
      </c>
      <c r="F111" s="194">
        <f>SUM(F35:F110)</f>
        <v>-20623451.77</v>
      </c>
      <c r="G111" s="153"/>
      <c r="H111" s="291">
        <f>SUM(H70:H110)</f>
        <v>55067305.480000004</v>
      </c>
      <c r="I111" s="291">
        <f>SUM(I36:I110)</f>
        <v>151888.9700000002</v>
      </c>
      <c r="L111" s="286"/>
    </row>
    <row r="112" spans="1:12" ht="12.75" hidden="1" customHeight="1">
      <c r="A112" s="146" t="s">
        <v>398</v>
      </c>
      <c r="B112" s="147"/>
      <c r="C112" s="153"/>
      <c r="D112" s="316"/>
      <c r="E112" s="140"/>
      <c r="F112" s="175"/>
      <c r="I112" s="282"/>
      <c r="L112" s="286"/>
    </row>
    <row r="113" spans="1:12" ht="13.5" thickTop="1">
      <c r="A113" s="313" t="s">
        <v>313</v>
      </c>
      <c r="B113" s="338" t="s">
        <v>314</v>
      </c>
      <c r="C113" s="139">
        <v>300000</v>
      </c>
      <c r="D113" s="365">
        <v>291652.84999999998</v>
      </c>
      <c r="E113" s="140" t="str">
        <f t="shared" ref="E113:E114" si="13">IF((D113-C113)&gt;0,D113-C113,"")</f>
        <v/>
      </c>
      <c r="F113" s="175">
        <f t="shared" ref="F113:F114" si="14">IF((D113-C113)&gt;0,"",D113-C113)</f>
        <v>-8347.1500000000233</v>
      </c>
      <c r="H113" s="280">
        <v>291652.84999999998</v>
      </c>
      <c r="I113" s="282">
        <f>D113-H113</f>
        <v>0</v>
      </c>
      <c r="L113" s="286"/>
    </row>
    <row r="114" spans="1:12">
      <c r="A114" s="137"/>
      <c r="B114" s="147"/>
      <c r="C114" s="153"/>
      <c r="D114" s="316"/>
      <c r="E114" s="140" t="str">
        <f t="shared" si="13"/>
        <v/>
      </c>
      <c r="F114" s="175">
        <f t="shared" si="14"/>
        <v>0</v>
      </c>
      <c r="I114" s="282">
        <f t="shared" ref="I114" si="15">D114-H114</f>
        <v>0</v>
      </c>
      <c r="J114" s="284"/>
      <c r="L114" s="286"/>
    </row>
    <row r="115" spans="1:12" ht="13.5" thickBot="1">
      <c r="A115" s="137"/>
      <c r="B115" s="147"/>
      <c r="C115" s="161">
        <f>SUM(C112:C114)</f>
        <v>300000</v>
      </c>
      <c r="D115" s="368">
        <f t="shared" ref="D115:F115" si="16">SUM(D112:D114)</f>
        <v>291652.84999999998</v>
      </c>
      <c r="E115" s="161">
        <f t="shared" si="16"/>
        <v>0</v>
      </c>
      <c r="F115" s="194">
        <f t="shared" si="16"/>
        <v>-8347.1500000000233</v>
      </c>
      <c r="H115" s="292">
        <f>SUM(H114:H114)</f>
        <v>0</v>
      </c>
      <c r="I115" s="291">
        <f>SUM(I114:I114)</f>
        <v>0</v>
      </c>
      <c r="L115" s="286"/>
    </row>
    <row r="116" spans="1:12" ht="13.5" thickTop="1">
      <c r="A116" s="146" t="s">
        <v>399</v>
      </c>
      <c r="B116" s="147"/>
      <c r="C116" s="153"/>
      <c r="D116" s="316"/>
      <c r="E116" s="153"/>
      <c r="F116" s="169"/>
      <c r="I116" s="282"/>
      <c r="L116" s="286"/>
    </row>
    <row r="117" spans="1:12">
      <c r="A117" s="313" t="s">
        <v>4</v>
      </c>
      <c r="B117" s="315" t="s">
        <v>315</v>
      </c>
      <c r="C117" s="153">
        <v>900000</v>
      </c>
      <c r="D117" s="373">
        <v>89067.96</v>
      </c>
      <c r="E117" s="153" t="str">
        <f>IF((D117-C117)&gt;0,D117-C117,"")</f>
        <v/>
      </c>
      <c r="F117" s="169">
        <f>IF((D117-C117)&gt;0,"",D117-C117)</f>
        <v>-810932.04</v>
      </c>
      <c r="I117" s="283">
        <f t="shared" ref="I117:I126" si="17">D117-H117</f>
        <v>89067.96</v>
      </c>
      <c r="L117" s="425"/>
    </row>
    <row r="118" spans="1:12">
      <c r="A118" s="313" t="s">
        <v>5</v>
      </c>
      <c r="B118" s="315" t="s">
        <v>317</v>
      </c>
      <c r="C118" s="357">
        <v>20000</v>
      </c>
      <c r="D118" s="316">
        <v>19980</v>
      </c>
      <c r="E118" s="153" t="str">
        <f t="shared" ref="E118:E125" si="18">IF((D118-C118)&gt;0,D118-C118,"")</f>
        <v/>
      </c>
      <c r="F118" s="169">
        <f t="shared" ref="F118:F125" si="19">IF((D118-C118)&gt;0,"",D118-C118)</f>
        <v>-20</v>
      </c>
      <c r="H118" s="280">
        <v>19980</v>
      </c>
      <c r="I118" s="282">
        <f t="shared" si="17"/>
        <v>0</v>
      </c>
      <c r="L118" s="286"/>
    </row>
    <row r="119" spans="1:12">
      <c r="A119" s="313" t="s">
        <v>96</v>
      </c>
      <c r="B119" s="315"/>
      <c r="C119" s="357"/>
      <c r="D119" s="316"/>
      <c r="E119" s="153" t="str">
        <f t="shared" si="18"/>
        <v/>
      </c>
      <c r="F119" s="169">
        <f t="shared" si="19"/>
        <v>0</v>
      </c>
      <c r="I119" s="282">
        <f t="shared" si="17"/>
        <v>0</v>
      </c>
      <c r="L119" s="286"/>
    </row>
    <row r="120" spans="1:12">
      <c r="A120" s="137" t="s">
        <v>97</v>
      </c>
      <c r="B120" s="315" t="s">
        <v>322</v>
      </c>
      <c r="C120" s="357">
        <v>400000</v>
      </c>
      <c r="D120" s="316">
        <v>251575</v>
      </c>
      <c r="E120" s="153" t="str">
        <f t="shared" si="18"/>
        <v/>
      </c>
      <c r="F120" s="169">
        <f t="shared" si="19"/>
        <v>-148425</v>
      </c>
      <c r="H120" s="280">
        <v>251575</v>
      </c>
      <c r="I120" s="282">
        <f t="shared" si="17"/>
        <v>0</v>
      </c>
      <c r="J120" s="323"/>
      <c r="L120" s="286"/>
    </row>
    <row r="121" spans="1:12">
      <c r="A121" s="137" t="s">
        <v>98</v>
      </c>
      <c r="B121" s="315" t="s">
        <v>323</v>
      </c>
      <c r="C121" s="357">
        <v>150000</v>
      </c>
      <c r="D121" s="316">
        <v>88125</v>
      </c>
      <c r="E121" s="153" t="str">
        <f t="shared" si="18"/>
        <v/>
      </c>
      <c r="F121" s="169">
        <f t="shared" si="19"/>
        <v>-61875</v>
      </c>
      <c r="H121" s="280">
        <v>88125</v>
      </c>
      <c r="I121" s="282">
        <f t="shared" si="17"/>
        <v>0</v>
      </c>
      <c r="L121" s="286"/>
    </row>
    <row r="122" spans="1:12">
      <c r="A122" s="137" t="s">
        <v>6</v>
      </c>
      <c r="B122" s="315" t="s">
        <v>324</v>
      </c>
      <c r="C122" s="357">
        <v>300000</v>
      </c>
      <c r="D122" s="316">
        <v>14320</v>
      </c>
      <c r="E122" s="153" t="str">
        <f t="shared" si="18"/>
        <v/>
      </c>
      <c r="F122" s="169">
        <f t="shared" si="19"/>
        <v>-285680</v>
      </c>
      <c r="H122" s="280">
        <v>14320</v>
      </c>
      <c r="I122" s="282">
        <f t="shared" si="17"/>
        <v>0</v>
      </c>
      <c r="L122" s="425"/>
    </row>
    <row r="123" spans="1:12">
      <c r="A123" s="313" t="s">
        <v>36</v>
      </c>
      <c r="B123" s="315" t="s">
        <v>325</v>
      </c>
      <c r="C123" s="357">
        <v>10000</v>
      </c>
      <c r="D123" s="316"/>
      <c r="E123" s="153" t="str">
        <f t="shared" si="18"/>
        <v/>
      </c>
      <c r="F123" s="169">
        <f t="shared" si="19"/>
        <v>-10000</v>
      </c>
      <c r="I123" s="282">
        <f t="shared" si="17"/>
        <v>0</v>
      </c>
      <c r="L123" s="286"/>
    </row>
    <row r="124" spans="1:12">
      <c r="A124" s="137" t="s">
        <v>99</v>
      </c>
      <c r="B124" s="315" t="s">
        <v>326</v>
      </c>
      <c r="C124" s="357">
        <v>800000</v>
      </c>
      <c r="D124" s="373">
        <v>737034.52</v>
      </c>
      <c r="E124" s="153" t="str">
        <f t="shared" si="18"/>
        <v/>
      </c>
      <c r="F124" s="169">
        <f t="shared" si="19"/>
        <v>-62965.479999999981</v>
      </c>
      <c r="H124" s="415">
        <v>234382.68</v>
      </c>
      <c r="I124" s="283">
        <f t="shared" si="17"/>
        <v>502651.84</v>
      </c>
      <c r="J124" s="294"/>
      <c r="K124" s="424"/>
      <c r="L124" s="286"/>
    </row>
    <row r="125" spans="1:12">
      <c r="A125" s="137" t="s">
        <v>101</v>
      </c>
      <c r="B125" s="315" t="s">
        <v>328</v>
      </c>
      <c r="C125" s="357">
        <f>842575.66-99541.26</f>
        <v>743034.4</v>
      </c>
      <c r="D125" s="373">
        <f>992550.46-5265.1</f>
        <v>987285.36</v>
      </c>
      <c r="E125" s="153">
        <f t="shared" si="18"/>
        <v>244250.95999999996</v>
      </c>
      <c r="F125" s="169" t="str">
        <f t="shared" si="19"/>
        <v/>
      </c>
      <c r="I125" s="282">
        <f t="shared" si="17"/>
        <v>987285.36</v>
      </c>
      <c r="J125" s="323" t="s">
        <v>421</v>
      </c>
      <c r="L125" s="286"/>
    </row>
    <row r="126" spans="1:12">
      <c r="A126" s="137"/>
      <c r="B126" s="315"/>
      <c r="C126" s="357"/>
      <c r="D126" s="316"/>
      <c r="E126" s="153" t="str">
        <f>IF((D126-C126)&gt;0,D126-C126,"")</f>
        <v/>
      </c>
      <c r="F126" s="169">
        <f>IF((D126-C126)&gt;0,"",D126-C126)</f>
        <v>0</v>
      </c>
      <c r="I126" s="282">
        <f t="shared" si="17"/>
        <v>0</v>
      </c>
      <c r="L126" s="286"/>
    </row>
    <row r="127" spans="1:12" ht="13.5" thickBot="1">
      <c r="A127" s="146"/>
      <c r="B127" s="138"/>
      <c r="C127" s="163">
        <f>SUM(C117:C126)</f>
        <v>3323034.4</v>
      </c>
      <c r="D127" s="384">
        <f t="shared" ref="D127:F127" si="20">SUM(D117:D126)</f>
        <v>2187387.84</v>
      </c>
      <c r="E127" s="163">
        <f t="shared" si="20"/>
        <v>244250.95999999996</v>
      </c>
      <c r="F127" s="164">
        <f t="shared" si="20"/>
        <v>-1379897.52</v>
      </c>
      <c r="I127" s="406">
        <f>SUM(I116:I126)</f>
        <v>1579005.1600000001</v>
      </c>
      <c r="L127" s="286"/>
    </row>
    <row r="128" spans="1:12" ht="13.5" thickBot="1">
      <c r="A128" s="165" t="s">
        <v>124</v>
      </c>
      <c r="B128" s="166"/>
      <c r="C128" s="167">
        <f>SUM(C127+C115+C111+C34)</f>
        <v>981161577</v>
      </c>
      <c r="D128" s="385">
        <f t="shared" ref="D128:F128" si="21">SUM(D127+D115+D111+D34)</f>
        <v>683187557.82000005</v>
      </c>
      <c r="E128" s="157">
        <f t="shared" si="21"/>
        <v>2014110.1799999988</v>
      </c>
      <c r="F128" s="210">
        <f t="shared" si="21"/>
        <v>-299988129.36000001</v>
      </c>
      <c r="I128" s="282"/>
    </row>
    <row r="129" spans="1:9">
      <c r="A129" s="158"/>
      <c r="B129" s="348"/>
      <c r="C129" s="358"/>
      <c r="D129" s="358"/>
      <c r="E129" s="310"/>
      <c r="F129" s="184"/>
      <c r="I129" s="282"/>
    </row>
    <row r="130" spans="1:9">
      <c r="A130" s="171" t="s">
        <v>102</v>
      </c>
      <c r="B130" s="138"/>
      <c r="C130" s="160">
        <f>+C128</f>
        <v>981161577</v>
      </c>
      <c r="D130" s="316">
        <f t="shared" ref="D130:F130" si="22">+D128</f>
        <v>683187557.82000005</v>
      </c>
      <c r="E130" s="139">
        <f t="shared" si="22"/>
        <v>2014110.1799999988</v>
      </c>
      <c r="F130" s="169">
        <f t="shared" si="22"/>
        <v>-299988129.36000001</v>
      </c>
      <c r="I130" s="282"/>
    </row>
    <row r="131" spans="1:9">
      <c r="A131" s="137"/>
      <c r="B131" s="147"/>
      <c r="C131" s="153"/>
      <c r="D131" s="316"/>
      <c r="E131" s="139"/>
      <c r="F131" s="169"/>
      <c r="I131" s="282"/>
    </row>
    <row r="132" spans="1:9">
      <c r="A132" s="146" t="s">
        <v>103</v>
      </c>
      <c r="B132" s="147"/>
      <c r="C132" s="153"/>
      <c r="D132" s="316"/>
      <c r="E132" s="140"/>
      <c r="F132" s="151"/>
      <c r="I132" s="282"/>
    </row>
    <row r="133" spans="1:9">
      <c r="A133" s="137" t="s">
        <v>17</v>
      </c>
      <c r="B133" s="147"/>
      <c r="C133" s="153"/>
      <c r="D133" s="356"/>
      <c r="E133" s="140"/>
      <c r="F133" s="151"/>
      <c r="I133" s="282"/>
    </row>
    <row r="134" spans="1:9">
      <c r="A134" s="146" t="s">
        <v>104</v>
      </c>
      <c r="B134" s="315" t="s">
        <v>330</v>
      </c>
      <c r="C134" s="359">
        <v>15000000</v>
      </c>
      <c r="D134" s="386">
        <v>3884000</v>
      </c>
      <c r="E134" s="172">
        <v>0</v>
      </c>
      <c r="F134" s="177">
        <f>IF((D134-C134)&gt;0,"",D134-C134)</f>
        <v>-11116000</v>
      </c>
      <c r="H134" s="280">
        <v>4073877.21</v>
      </c>
      <c r="I134" s="282">
        <f>+D134-H134</f>
        <v>-189877.20999999996</v>
      </c>
    </row>
    <row r="135" spans="1:9" ht="13.5" thickBot="1">
      <c r="A135" s="155"/>
      <c r="B135" s="450"/>
      <c r="C135" s="363"/>
      <c r="D135" s="385"/>
      <c r="E135" s="449"/>
      <c r="F135" s="309"/>
      <c r="I135" s="282"/>
    </row>
    <row r="136" spans="1:9">
      <c r="A136" s="146" t="s">
        <v>331</v>
      </c>
      <c r="B136" s="315" t="s">
        <v>332</v>
      </c>
      <c r="C136" s="316"/>
      <c r="D136" s="365"/>
      <c r="E136" s="140" t="str">
        <f t="shared" ref="E136" si="23">IF((D136-C136)&gt;0,D136-C136,"")</f>
        <v/>
      </c>
      <c r="F136" s="175">
        <f t="shared" ref="F136" si="24">IF((D136-C136)&gt;0,"",D136-C136)</f>
        <v>0</v>
      </c>
      <c r="H136" s="280" t="s">
        <v>192</v>
      </c>
      <c r="I136" s="282"/>
    </row>
    <row r="137" spans="1:9">
      <c r="A137" s="313" t="s">
        <v>333</v>
      </c>
      <c r="B137" s="315" t="s">
        <v>334</v>
      </c>
      <c r="C137" s="316">
        <v>5000000</v>
      </c>
      <c r="D137" s="357">
        <v>3997649.98</v>
      </c>
      <c r="E137" s="139" t="str">
        <f>IF((D137-C137)&gt;0,D137-C137,"")</f>
        <v/>
      </c>
      <c r="F137" s="175">
        <f>IF((D137-C137)&gt;0,"",D137-C137)</f>
        <v>-1002350.02</v>
      </c>
      <c r="H137" s="280">
        <v>427987.48</v>
      </c>
      <c r="I137" s="282">
        <f>+D137-H137</f>
        <v>3569662.5</v>
      </c>
    </row>
    <row r="138" spans="1:9">
      <c r="A138" s="137" t="s">
        <v>8</v>
      </c>
      <c r="B138" s="315" t="s">
        <v>335</v>
      </c>
      <c r="C138" s="316">
        <v>25350000</v>
      </c>
      <c r="D138" s="360">
        <v>15480858.210000001</v>
      </c>
      <c r="E138" s="139" t="str">
        <f t="shared" ref="E138:E152" si="25">IF((D138-C138)&gt;0,D138-C138,"")</f>
        <v/>
      </c>
      <c r="F138" s="175">
        <f t="shared" ref="F138:F152" si="26">IF((D138-C138)&gt;0,"",D138-C138)</f>
        <v>-9869141.7899999991</v>
      </c>
      <c r="H138" s="280">
        <v>3424818.37</v>
      </c>
      <c r="I138" s="282">
        <f t="shared" ref="I138:I152" si="27">+D138-H138</f>
        <v>12056039.84</v>
      </c>
    </row>
    <row r="139" spans="1:9">
      <c r="A139" s="171" t="s">
        <v>9</v>
      </c>
      <c r="B139" s="315" t="s">
        <v>336</v>
      </c>
      <c r="C139" s="357">
        <v>8000000</v>
      </c>
      <c r="D139" s="360">
        <v>5505375.6200000001</v>
      </c>
      <c r="E139" s="139" t="str">
        <f t="shared" si="25"/>
        <v/>
      </c>
      <c r="F139" s="175">
        <f t="shared" si="26"/>
        <v>-2494624.38</v>
      </c>
      <c r="H139" s="280">
        <v>692943</v>
      </c>
      <c r="I139" s="282">
        <f t="shared" si="27"/>
        <v>4812432.62</v>
      </c>
    </row>
    <row r="140" spans="1:9">
      <c r="A140" s="313" t="s">
        <v>344</v>
      </c>
      <c r="B140" s="315" t="s">
        <v>345</v>
      </c>
      <c r="C140" s="360">
        <v>1980000</v>
      </c>
      <c r="D140" s="360"/>
      <c r="E140" s="139" t="str">
        <f t="shared" si="25"/>
        <v/>
      </c>
      <c r="F140" s="175">
        <f t="shared" si="26"/>
        <v>-1980000</v>
      </c>
      <c r="H140" s="280">
        <v>0</v>
      </c>
      <c r="I140" s="282">
        <f t="shared" si="27"/>
        <v>0</v>
      </c>
    </row>
    <row r="141" spans="1:9">
      <c r="A141" s="171" t="s">
        <v>4</v>
      </c>
      <c r="B141" s="315" t="s">
        <v>337</v>
      </c>
      <c r="C141" s="360">
        <v>600000</v>
      </c>
      <c r="D141" s="387">
        <v>381686.35</v>
      </c>
      <c r="E141" s="139" t="str">
        <f t="shared" si="25"/>
        <v/>
      </c>
      <c r="F141" s="175">
        <f t="shared" si="26"/>
        <v>-218313.65000000002</v>
      </c>
      <c r="H141" s="280">
        <f>21060+184800</f>
        <v>205860</v>
      </c>
      <c r="I141" s="282">
        <f t="shared" si="27"/>
        <v>175826.34999999998</v>
      </c>
    </row>
    <row r="142" spans="1:9">
      <c r="A142" s="313" t="s">
        <v>338</v>
      </c>
      <c r="B142" s="315" t="s">
        <v>339</v>
      </c>
      <c r="C142" s="360">
        <v>1400000</v>
      </c>
      <c r="D142" s="387">
        <v>781728</v>
      </c>
      <c r="E142" s="139" t="str">
        <f t="shared" si="25"/>
        <v/>
      </c>
      <c r="F142" s="175">
        <f t="shared" si="26"/>
        <v>-618272</v>
      </c>
      <c r="H142" s="280">
        <v>64008</v>
      </c>
      <c r="I142" s="282">
        <f t="shared" si="27"/>
        <v>717720</v>
      </c>
    </row>
    <row r="143" spans="1:9">
      <c r="A143" s="137" t="s">
        <v>106</v>
      </c>
      <c r="B143" s="315" t="s">
        <v>340</v>
      </c>
      <c r="C143" s="360">
        <v>400000</v>
      </c>
      <c r="D143" s="387">
        <v>375487.6</v>
      </c>
      <c r="E143" s="139" t="str">
        <f t="shared" si="25"/>
        <v/>
      </c>
      <c r="F143" s="175">
        <f t="shared" si="26"/>
        <v>-24512.400000000023</v>
      </c>
      <c r="H143" s="280">
        <v>90887.28</v>
      </c>
      <c r="I143" s="282">
        <f t="shared" si="27"/>
        <v>284600.31999999995</v>
      </c>
    </row>
    <row r="144" spans="1:9">
      <c r="A144" s="137" t="s">
        <v>10</v>
      </c>
      <c r="B144" s="315" t="s">
        <v>341</v>
      </c>
      <c r="C144" s="316">
        <v>1000000</v>
      </c>
      <c r="D144" s="388">
        <v>871920</v>
      </c>
      <c r="E144" s="139" t="str">
        <f t="shared" si="25"/>
        <v/>
      </c>
      <c r="F144" s="175">
        <f t="shared" si="26"/>
        <v>-128080</v>
      </c>
      <c r="H144" s="280">
        <v>485000</v>
      </c>
      <c r="I144" s="282">
        <f t="shared" si="27"/>
        <v>386920</v>
      </c>
    </row>
    <row r="145" spans="1:9">
      <c r="A145" s="137" t="s">
        <v>28</v>
      </c>
      <c r="B145" s="315" t="s">
        <v>342</v>
      </c>
      <c r="C145" s="316">
        <v>160000</v>
      </c>
      <c r="D145" s="357">
        <v>182700</v>
      </c>
      <c r="E145" s="139">
        <f t="shared" si="25"/>
        <v>22700</v>
      </c>
      <c r="F145" s="175" t="str">
        <f t="shared" si="26"/>
        <v/>
      </c>
      <c r="I145" s="282">
        <f t="shared" si="27"/>
        <v>182700</v>
      </c>
    </row>
    <row r="146" spans="1:9">
      <c r="A146" s="137" t="s">
        <v>30</v>
      </c>
      <c r="B146" s="315" t="s">
        <v>343</v>
      </c>
      <c r="C146" s="316">
        <v>170000</v>
      </c>
      <c r="D146" s="388">
        <v>79500</v>
      </c>
      <c r="E146" s="139" t="str">
        <f t="shared" si="25"/>
        <v/>
      </c>
      <c r="F146" s="175">
        <f t="shared" si="26"/>
        <v>-90500</v>
      </c>
      <c r="H146" s="280">
        <v>13500</v>
      </c>
      <c r="I146" s="282">
        <f t="shared" si="27"/>
        <v>66000</v>
      </c>
    </row>
    <row r="147" spans="1:9">
      <c r="A147" s="313" t="s">
        <v>432</v>
      </c>
      <c r="B147" s="338"/>
      <c r="C147" s="316"/>
      <c r="D147" s="388"/>
      <c r="E147" s="139" t="str">
        <f t="shared" si="25"/>
        <v/>
      </c>
      <c r="F147" s="175">
        <f t="shared" si="26"/>
        <v>0</v>
      </c>
      <c r="I147" s="282"/>
    </row>
    <row r="148" spans="1:9">
      <c r="A148" s="137" t="s">
        <v>89</v>
      </c>
      <c r="B148" s="338" t="s">
        <v>439</v>
      </c>
      <c r="C148" s="316">
        <v>430000</v>
      </c>
      <c r="D148" s="221">
        <v>58985</v>
      </c>
      <c r="E148" s="139" t="str">
        <f t="shared" si="25"/>
        <v/>
      </c>
      <c r="F148" s="175">
        <f t="shared" si="26"/>
        <v>-371015</v>
      </c>
      <c r="H148" s="280">
        <v>136136.47</v>
      </c>
      <c r="I148" s="282">
        <f t="shared" si="27"/>
        <v>-77151.47</v>
      </c>
    </row>
    <row r="149" spans="1:9">
      <c r="A149" s="137" t="s">
        <v>172</v>
      </c>
      <c r="B149" s="338" t="s">
        <v>435</v>
      </c>
      <c r="C149" s="316">
        <v>1000000</v>
      </c>
      <c r="D149" s="436">
        <v>738209.68</v>
      </c>
      <c r="E149" s="139" t="str">
        <f t="shared" si="25"/>
        <v/>
      </c>
      <c r="F149" s="175">
        <f t="shared" si="26"/>
        <v>-261790.31999999995</v>
      </c>
      <c r="H149" s="280">
        <v>14000</v>
      </c>
      <c r="I149" s="282">
        <f t="shared" si="27"/>
        <v>724209.68</v>
      </c>
    </row>
    <row r="150" spans="1:9">
      <c r="A150" s="137" t="s">
        <v>91</v>
      </c>
      <c r="B150" s="338" t="s">
        <v>436</v>
      </c>
      <c r="C150" s="316">
        <v>250000</v>
      </c>
      <c r="D150" s="221">
        <v>155610</v>
      </c>
      <c r="E150" s="139" t="str">
        <f t="shared" si="25"/>
        <v/>
      </c>
      <c r="F150" s="175">
        <f t="shared" si="26"/>
        <v>-94390</v>
      </c>
      <c r="H150" s="280">
        <v>35000</v>
      </c>
      <c r="I150" s="282">
        <f t="shared" si="27"/>
        <v>120610</v>
      </c>
    </row>
    <row r="151" spans="1:9">
      <c r="A151" s="137" t="s">
        <v>255</v>
      </c>
      <c r="B151" s="338" t="s">
        <v>438</v>
      </c>
      <c r="C151" s="316">
        <v>250000</v>
      </c>
      <c r="D151" s="221">
        <v>179640</v>
      </c>
      <c r="E151" s="139" t="str">
        <f t="shared" si="25"/>
        <v/>
      </c>
      <c r="F151" s="175">
        <f t="shared" si="26"/>
        <v>-70360</v>
      </c>
      <c r="H151" s="280">
        <v>35700</v>
      </c>
      <c r="I151" s="282">
        <f t="shared" si="27"/>
        <v>143940</v>
      </c>
    </row>
    <row r="152" spans="1:9">
      <c r="A152" s="137" t="s">
        <v>263</v>
      </c>
      <c r="B152" s="315" t="s">
        <v>441</v>
      </c>
      <c r="C152" s="316">
        <v>610000</v>
      </c>
      <c r="D152" s="221">
        <v>178000</v>
      </c>
      <c r="E152" s="139" t="str">
        <f t="shared" si="25"/>
        <v/>
      </c>
      <c r="F152" s="175">
        <f t="shared" si="26"/>
        <v>-432000</v>
      </c>
      <c r="H152" s="280">
        <v>35700</v>
      </c>
      <c r="I152" s="282">
        <f t="shared" si="27"/>
        <v>142300</v>
      </c>
    </row>
    <row r="153" spans="1:9" ht="13.5" thickBot="1">
      <c r="A153" s="137"/>
      <c r="B153" s="147"/>
      <c r="C153" s="172">
        <f>SUM(C137:C152)</f>
        <v>46600000</v>
      </c>
      <c r="D153" s="359">
        <f t="shared" ref="D153:F153" si="28">SUM(D137:D152)</f>
        <v>28967350.440000005</v>
      </c>
      <c r="E153" s="172">
        <f t="shared" si="28"/>
        <v>22700</v>
      </c>
      <c r="F153" s="174">
        <f t="shared" si="28"/>
        <v>-17655349.559999999</v>
      </c>
      <c r="H153" s="292">
        <f>SUM(H137:H152)</f>
        <v>5661540.5999999996</v>
      </c>
      <c r="I153" s="292">
        <f>SUM(I137:I152)</f>
        <v>23305809.840000004</v>
      </c>
    </row>
    <row r="154" spans="1:9" ht="13.5" thickTop="1">
      <c r="A154" s="146" t="s">
        <v>395</v>
      </c>
      <c r="B154" s="315" t="s">
        <v>332</v>
      </c>
      <c r="C154" s="153"/>
      <c r="D154" s="360"/>
      <c r="E154" s="163"/>
      <c r="F154" s="151"/>
      <c r="I154" s="282"/>
    </row>
    <row r="155" spans="1:9">
      <c r="A155" s="137" t="s">
        <v>8</v>
      </c>
      <c r="B155" s="315" t="s">
        <v>346</v>
      </c>
      <c r="C155" s="316">
        <v>8000000</v>
      </c>
      <c r="D155" s="317">
        <v>4834052.5599999996</v>
      </c>
      <c r="E155" s="139" t="str">
        <f>IF((D155-C155)&gt;0,D155-C155,"")</f>
        <v/>
      </c>
      <c r="F155" s="175">
        <f>IF((D155-C155)&gt;0,"",D155-C155)</f>
        <v>-3165947.4400000004</v>
      </c>
      <c r="H155" s="280">
        <v>757628.52</v>
      </c>
      <c r="I155" s="282">
        <f>+D155-H155</f>
        <v>4076424.0399999996</v>
      </c>
    </row>
    <row r="156" spans="1:9">
      <c r="A156" s="137" t="s">
        <v>106</v>
      </c>
      <c r="B156" s="315" t="s">
        <v>347</v>
      </c>
      <c r="C156" s="316">
        <v>100000</v>
      </c>
      <c r="D156" s="317">
        <v>78053.5</v>
      </c>
      <c r="E156" s="139" t="str">
        <f t="shared" ref="E156:E168" si="29">IF((D156-C156)&gt;0,D156-C156,"")</f>
        <v/>
      </c>
      <c r="F156" s="175">
        <f t="shared" ref="F156:F168" si="30">IF((D156-C156)&gt;0,"",D156-C156)</f>
        <v>-21946.5</v>
      </c>
      <c r="H156" s="280">
        <v>9418.23</v>
      </c>
      <c r="I156" s="282">
        <f t="shared" ref="I156:I168" si="31">+D156-H156</f>
        <v>68635.27</v>
      </c>
    </row>
    <row r="157" spans="1:9">
      <c r="A157" s="137" t="s">
        <v>4</v>
      </c>
      <c r="B157" s="315" t="s">
        <v>348</v>
      </c>
      <c r="C157" s="316">
        <v>30000</v>
      </c>
      <c r="D157" s="317">
        <v>29740</v>
      </c>
      <c r="E157" s="139" t="str">
        <f t="shared" si="29"/>
        <v/>
      </c>
      <c r="F157" s="175">
        <f t="shared" si="30"/>
        <v>-260</v>
      </c>
      <c r="H157" s="280">
        <f>300+21600</f>
        <v>21900</v>
      </c>
      <c r="I157" s="282">
        <f t="shared" si="31"/>
        <v>7840</v>
      </c>
    </row>
    <row r="158" spans="1:9">
      <c r="A158" s="137" t="s">
        <v>11</v>
      </c>
      <c r="B158" s="315" t="s">
        <v>349</v>
      </c>
      <c r="C158" s="316">
        <v>200000</v>
      </c>
      <c r="D158" s="317">
        <v>1000</v>
      </c>
      <c r="E158" s="139" t="str">
        <f t="shared" si="29"/>
        <v/>
      </c>
      <c r="F158" s="175">
        <f t="shared" si="30"/>
        <v>-199000</v>
      </c>
      <c r="H158" s="280">
        <v>21000</v>
      </c>
      <c r="I158" s="282">
        <f t="shared" si="31"/>
        <v>-20000</v>
      </c>
    </row>
    <row r="159" spans="1:9">
      <c r="A159" s="137" t="s">
        <v>12</v>
      </c>
      <c r="B159" s="315" t="s">
        <v>350</v>
      </c>
      <c r="C159" s="316">
        <v>1100000</v>
      </c>
      <c r="D159" s="317">
        <v>477222</v>
      </c>
      <c r="E159" s="139" t="str">
        <f t="shared" si="29"/>
        <v/>
      </c>
      <c r="F159" s="175">
        <f t="shared" si="30"/>
        <v>-622778</v>
      </c>
      <c r="H159" s="280">
        <v>72531</v>
      </c>
      <c r="I159" s="282">
        <f t="shared" si="31"/>
        <v>404691</v>
      </c>
    </row>
    <row r="160" spans="1:9">
      <c r="A160" s="137" t="s">
        <v>37</v>
      </c>
      <c r="B160" s="315" t="s">
        <v>351</v>
      </c>
      <c r="C160" s="316">
        <v>6500000</v>
      </c>
      <c r="D160" s="317">
        <v>3649663</v>
      </c>
      <c r="E160" s="139" t="str">
        <f t="shared" si="29"/>
        <v/>
      </c>
      <c r="F160" s="175">
        <f t="shared" si="30"/>
        <v>-2850337</v>
      </c>
      <c r="H160" s="280">
        <v>505073</v>
      </c>
      <c r="I160" s="282">
        <f t="shared" si="31"/>
        <v>3144590</v>
      </c>
    </row>
    <row r="161" spans="1:11">
      <c r="A161" s="313" t="s">
        <v>447</v>
      </c>
      <c r="B161" s="315" t="s">
        <v>446</v>
      </c>
      <c r="C161" s="316">
        <v>120000</v>
      </c>
      <c r="D161" s="317">
        <v>125120</v>
      </c>
      <c r="E161" s="139">
        <f t="shared" si="29"/>
        <v>5120</v>
      </c>
      <c r="F161" s="175" t="str">
        <f t="shared" si="30"/>
        <v/>
      </c>
      <c r="I161" s="282">
        <f>+D161-H161</f>
        <v>125120</v>
      </c>
    </row>
    <row r="162" spans="1:11">
      <c r="A162" s="313" t="s">
        <v>432</v>
      </c>
      <c r="B162" s="338"/>
      <c r="C162" s="316"/>
      <c r="D162" s="317"/>
      <c r="E162" s="139" t="str">
        <f t="shared" si="29"/>
        <v/>
      </c>
      <c r="F162" s="175">
        <f t="shared" si="30"/>
        <v>0</v>
      </c>
      <c r="I162" s="282"/>
    </row>
    <row r="163" spans="1:11">
      <c r="A163" s="313" t="s">
        <v>352</v>
      </c>
      <c r="B163" s="338" t="s">
        <v>439</v>
      </c>
      <c r="C163" s="316">
        <v>250000</v>
      </c>
      <c r="D163" s="221">
        <v>68910</v>
      </c>
      <c r="E163" s="139" t="str">
        <f t="shared" si="29"/>
        <v/>
      </c>
      <c r="F163" s="175">
        <f t="shared" si="30"/>
        <v>-181090</v>
      </c>
      <c r="H163" s="280">
        <v>9658</v>
      </c>
      <c r="I163" s="282">
        <f>+D163-H163</f>
        <v>59252</v>
      </c>
    </row>
    <row r="164" spans="1:11">
      <c r="A164" s="313" t="s">
        <v>353</v>
      </c>
      <c r="B164" s="338" t="s">
        <v>435</v>
      </c>
      <c r="C164" s="373">
        <v>50000</v>
      </c>
      <c r="D164" s="389">
        <v>19880</v>
      </c>
      <c r="E164" s="139" t="str">
        <f t="shared" si="29"/>
        <v/>
      </c>
      <c r="F164" s="175">
        <f t="shared" si="30"/>
        <v>-30120</v>
      </c>
      <c r="H164" s="280">
        <v>6490</v>
      </c>
      <c r="I164" s="282">
        <f t="shared" si="31"/>
        <v>13390</v>
      </c>
    </row>
    <row r="165" spans="1:11">
      <c r="A165" s="313" t="s">
        <v>354</v>
      </c>
      <c r="B165" s="338" t="s">
        <v>435</v>
      </c>
      <c r="C165" s="373">
        <v>250000</v>
      </c>
      <c r="D165" s="389">
        <f>69195-325</f>
        <v>68870</v>
      </c>
      <c r="E165" s="139" t="str">
        <f t="shared" si="29"/>
        <v/>
      </c>
      <c r="F165" s="175">
        <f t="shared" si="30"/>
        <v>-181130</v>
      </c>
      <c r="H165" s="280">
        <v>9058</v>
      </c>
      <c r="I165" s="282">
        <f t="shared" si="31"/>
        <v>59812</v>
      </c>
    </row>
    <row r="166" spans="1:11" s="321" customFormat="1">
      <c r="A166" s="352" t="s">
        <v>355</v>
      </c>
      <c r="B166" s="338" t="s">
        <v>436</v>
      </c>
      <c r="C166" s="316">
        <v>20000</v>
      </c>
      <c r="D166" s="221">
        <v>16880</v>
      </c>
      <c r="E166" s="139" t="str">
        <f t="shared" si="29"/>
        <v/>
      </c>
      <c r="F166" s="175">
        <f t="shared" si="30"/>
        <v>-3120</v>
      </c>
      <c r="G166" s="319">
        <v>43933</v>
      </c>
      <c r="H166" s="320">
        <v>3260</v>
      </c>
      <c r="I166" s="25">
        <f t="shared" si="31"/>
        <v>13620</v>
      </c>
      <c r="K166" s="320"/>
    </row>
    <row r="167" spans="1:11" s="321" customFormat="1">
      <c r="A167" s="352" t="s">
        <v>356</v>
      </c>
      <c r="B167" s="338" t="s">
        <v>438</v>
      </c>
      <c r="C167" s="316">
        <v>25000</v>
      </c>
      <c r="D167" s="221">
        <v>13825</v>
      </c>
      <c r="E167" s="139" t="str">
        <f t="shared" si="29"/>
        <v/>
      </c>
      <c r="F167" s="175">
        <f t="shared" si="30"/>
        <v>-11175</v>
      </c>
      <c r="H167" s="320">
        <v>2180</v>
      </c>
      <c r="I167" s="25">
        <f t="shared" si="31"/>
        <v>11645</v>
      </c>
      <c r="K167" s="320"/>
    </row>
    <row r="168" spans="1:11">
      <c r="A168" s="313" t="s">
        <v>92</v>
      </c>
      <c r="B168" s="315" t="s">
        <v>441</v>
      </c>
      <c r="C168" s="316">
        <v>25000</v>
      </c>
      <c r="D168" s="390">
        <v>13825</v>
      </c>
      <c r="E168" s="139" t="str">
        <f t="shared" si="29"/>
        <v/>
      </c>
      <c r="F168" s="175">
        <f t="shared" si="30"/>
        <v>-11175</v>
      </c>
      <c r="H168" s="280">
        <v>2180</v>
      </c>
      <c r="I168" s="282">
        <f t="shared" si="31"/>
        <v>11645</v>
      </c>
    </row>
    <row r="169" spans="1:11" ht="13.5" thickBot="1">
      <c r="A169" s="137"/>
      <c r="B169" s="147"/>
      <c r="C169" s="176">
        <f>SUM(C155:C168)</f>
        <v>16670000</v>
      </c>
      <c r="D169" s="359">
        <f t="shared" ref="D169:F169" si="32">SUM(D155:D168)</f>
        <v>9397041.0599999987</v>
      </c>
      <c r="E169" s="173">
        <f t="shared" si="32"/>
        <v>5120</v>
      </c>
      <c r="F169" s="177">
        <f t="shared" si="32"/>
        <v>-7278078.9400000004</v>
      </c>
      <c r="H169" s="292">
        <f>SUM(H155:H168)</f>
        <v>1420376.75</v>
      </c>
      <c r="I169" s="292">
        <f>SUM(I155:I168)</f>
        <v>7976664.3099999996</v>
      </c>
      <c r="J169" s="297"/>
    </row>
    <row r="170" spans="1:11" ht="13.5" customHeight="1" thickTop="1">
      <c r="A170" s="146"/>
      <c r="B170" s="147"/>
      <c r="C170" s="153"/>
      <c r="D170" s="316"/>
      <c r="E170" s="140"/>
      <c r="F170" s="151"/>
      <c r="I170" s="282"/>
    </row>
    <row r="171" spans="1:11">
      <c r="A171" s="146" t="s">
        <v>420</v>
      </c>
      <c r="B171" s="315" t="s">
        <v>358</v>
      </c>
      <c r="C171" s="153"/>
      <c r="D171" s="360"/>
      <c r="E171" s="139"/>
      <c r="F171" s="151"/>
      <c r="H171" s="280" t="s">
        <v>192</v>
      </c>
      <c r="I171" s="282"/>
    </row>
    <row r="172" spans="1:11">
      <c r="A172" s="313" t="s">
        <v>410</v>
      </c>
      <c r="B172" s="315" t="s">
        <v>359</v>
      </c>
      <c r="C172" s="316">
        <v>12100000</v>
      </c>
      <c r="D172" s="391">
        <v>9082390</v>
      </c>
      <c r="E172" s="139" t="str">
        <f>IF((D172-C172)&gt;0,D172-C172,"")</f>
        <v/>
      </c>
      <c r="F172" s="175">
        <f>IF((D172-C172)&gt;0,"",D172-C172)</f>
        <v>-3017610</v>
      </c>
      <c r="H172" s="280">
        <v>1024740</v>
      </c>
      <c r="I172" s="282">
        <f>+D172-H172</f>
        <v>8057650</v>
      </c>
    </row>
    <row r="173" spans="1:11">
      <c r="A173" s="137" t="s">
        <v>14</v>
      </c>
      <c r="B173" s="315" t="s">
        <v>360</v>
      </c>
      <c r="C173" s="316">
        <v>2000000</v>
      </c>
      <c r="D173" s="391">
        <v>1211840</v>
      </c>
      <c r="E173" s="139" t="str">
        <f t="shared" ref="E173:E185" si="33">IF((D173-C173)&gt;0,D173-C173,"")</f>
        <v/>
      </c>
      <c r="F173" s="175">
        <f t="shared" ref="F173:F185" si="34">IF((D173-C173)&gt;0,"",D173-C173)</f>
        <v>-788160</v>
      </c>
      <c r="H173" s="280">
        <v>157270</v>
      </c>
      <c r="I173" s="282">
        <f t="shared" ref="I173:I185" si="35">+D173-H173</f>
        <v>1054570</v>
      </c>
    </row>
    <row r="174" spans="1:11">
      <c r="A174" s="137" t="s">
        <v>8</v>
      </c>
      <c r="B174" s="315" t="s">
        <v>361</v>
      </c>
      <c r="C174" s="316">
        <v>2626000</v>
      </c>
      <c r="D174" s="392">
        <v>1746840.74</v>
      </c>
      <c r="E174" s="139" t="str">
        <f t="shared" si="33"/>
        <v/>
      </c>
      <c r="F174" s="175">
        <f t="shared" si="34"/>
        <v>-879159.26</v>
      </c>
      <c r="H174" s="280">
        <v>334433.96999999997</v>
      </c>
      <c r="I174" s="282">
        <f t="shared" si="35"/>
        <v>1412406.77</v>
      </c>
    </row>
    <row r="175" spans="1:11">
      <c r="A175" s="137" t="s">
        <v>15</v>
      </c>
      <c r="B175" s="315" t="s">
        <v>362</v>
      </c>
      <c r="C175" s="316">
        <v>3000000</v>
      </c>
      <c r="D175" s="392">
        <v>1831349</v>
      </c>
      <c r="E175" s="139" t="str">
        <f t="shared" si="33"/>
        <v/>
      </c>
      <c r="F175" s="175">
        <f t="shared" si="34"/>
        <v>-1168651</v>
      </c>
      <c r="H175" s="280">
        <v>266606</v>
      </c>
      <c r="I175" s="282">
        <f t="shared" si="35"/>
        <v>1564743</v>
      </c>
    </row>
    <row r="176" spans="1:11">
      <c r="A176" s="137" t="s">
        <v>4</v>
      </c>
      <c r="B176" s="315" t="s">
        <v>363</v>
      </c>
      <c r="C176" s="316">
        <v>100000</v>
      </c>
      <c r="D176" s="391">
        <v>96600</v>
      </c>
      <c r="E176" s="139" t="str">
        <f t="shared" si="33"/>
        <v/>
      </c>
      <c r="F176" s="175">
        <f t="shared" si="34"/>
        <v>-3400</v>
      </c>
      <c r="H176" s="280">
        <v>14700</v>
      </c>
      <c r="I176" s="282">
        <f t="shared" si="35"/>
        <v>81900</v>
      </c>
    </row>
    <row r="177" spans="1:11">
      <c r="A177" s="137" t="s">
        <v>16</v>
      </c>
      <c r="B177" s="315" t="s">
        <v>364</v>
      </c>
      <c r="C177" s="316">
        <v>60000</v>
      </c>
      <c r="D177" s="391">
        <v>94000</v>
      </c>
      <c r="E177" s="139">
        <f t="shared" si="33"/>
        <v>34000</v>
      </c>
      <c r="F177" s="175" t="str">
        <f t="shared" si="34"/>
        <v/>
      </c>
      <c r="H177" s="280">
        <v>1000</v>
      </c>
      <c r="I177" s="282">
        <f t="shared" si="35"/>
        <v>93000</v>
      </c>
    </row>
    <row r="178" spans="1:11">
      <c r="A178" s="137" t="s">
        <v>106</v>
      </c>
      <c r="B178" s="315" t="s">
        <v>365</v>
      </c>
      <c r="C178" s="316">
        <v>60000</v>
      </c>
      <c r="D178" s="391">
        <v>73304.34</v>
      </c>
      <c r="E178" s="139">
        <f t="shared" si="33"/>
        <v>13304.339999999997</v>
      </c>
      <c r="F178" s="175" t="str">
        <f t="shared" si="34"/>
        <v/>
      </c>
      <c r="H178" s="280">
        <v>23773.7</v>
      </c>
      <c r="I178" s="282">
        <f t="shared" si="35"/>
        <v>49530.64</v>
      </c>
    </row>
    <row r="179" spans="1:11">
      <c r="A179" s="137" t="s">
        <v>173</v>
      </c>
      <c r="B179" s="315" t="s">
        <v>366</v>
      </c>
      <c r="C179" s="316">
        <v>300000</v>
      </c>
      <c r="D179" s="391">
        <v>365850</v>
      </c>
      <c r="E179" s="139">
        <f t="shared" si="33"/>
        <v>65850</v>
      </c>
      <c r="F179" s="175" t="str">
        <f t="shared" si="34"/>
        <v/>
      </c>
      <c r="H179" s="280">
        <v>289950</v>
      </c>
      <c r="I179" s="282">
        <f t="shared" si="35"/>
        <v>75900</v>
      </c>
    </row>
    <row r="180" spans="1:11">
      <c r="A180" s="313" t="s">
        <v>432</v>
      </c>
      <c r="B180" s="338"/>
      <c r="C180" s="316"/>
      <c r="D180" s="391"/>
      <c r="E180" s="139" t="str">
        <f t="shared" si="33"/>
        <v/>
      </c>
      <c r="F180" s="175">
        <f t="shared" si="34"/>
        <v>0</v>
      </c>
      <c r="I180" s="282"/>
    </row>
    <row r="181" spans="1:11">
      <c r="A181" s="137" t="s">
        <v>89</v>
      </c>
      <c r="B181" s="338" t="s">
        <v>439</v>
      </c>
      <c r="C181" s="316">
        <v>700000</v>
      </c>
      <c r="D181" s="391">
        <v>488943</v>
      </c>
      <c r="E181" s="139" t="str">
        <f t="shared" si="33"/>
        <v/>
      </c>
      <c r="F181" s="175">
        <f t="shared" si="34"/>
        <v>-211057</v>
      </c>
      <c r="H181" s="280">
        <v>77206</v>
      </c>
      <c r="I181" s="282">
        <f t="shared" si="35"/>
        <v>411737</v>
      </c>
    </row>
    <row r="182" spans="1:11">
      <c r="A182" s="137" t="s">
        <v>172</v>
      </c>
      <c r="B182" s="338" t="s">
        <v>435</v>
      </c>
      <c r="C182" s="316">
        <v>600000</v>
      </c>
      <c r="D182" s="391">
        <v>439238</v>
      </c>
      <c r="E182" s="139" t="str">
        <f t="shared" si="33"/>
        <v/>
      </c>
      <c r="F182" s="175">
        <f t="shared" si="34"/>
        <v>-160762</v>
      </c>
      <c r="H182" s="280">
        <v>63403</v>
      </c>
      <c r="I182" s="282">
        <f t="shared" si="35"/>
        <v>375835</v>
      </c>
    </row>
    <row r="183" spans="1:11">
      <c r="A183" s="137" t="s">
        <v>91</v>
      </c>
      <c r="B183" s="338" t="s">
        <v>436</v>
      </c>
      <c r="C183" s="316">
        <v>50000</v>
      </c>
      <c r="D183" s="391">
        <v>42065</v>
      </c>
      <c r="E183" s="139" t="str">
        <f t="shared" si="33"/>
        <v/>
      </c>
      <c r="F183" s="175">
        <f t="shared" si="34"/>
        <v>-7935</v>
      </c>
      <c r="H183" s="280">
        <v>26651</v>
      </c>
      <c r="I183" s="282">
        <f t="shared" si="35"/>
        <v>15414</v>
      </c>
    </row>
    <row r="184" spans="1:11">
      <c r="A184" s="137" t="s">
        <v>255</v>
      </c>
      <c r="B184" s="443" t="s">
        <v>438</v>
      </c>
      <c r="C184" s="316">
        <v>50000</v>
      </c>
      <c r="D184" s="391">
        <v>42485</v>
      </c>
      <c r="E184" s="139" t="str">
        <f t="shared" si="33"/>
        <v/>
      </c>
      <c r="F184" s="175">
        <f t="shared" si="34"/>
        <v>-7515</v>
      </c>
      <c r="H184" s="280">
        <v>26500</v>
      </c>
      <c r="I184" s="282">
        <f t="shared" si="35"/>
        <v>15985</v>
      </c>
    </row>
    <row r="185" spans="1:11">
      <c r="A185" s="137" t="s">
        <v>263</v>
      </c>
      <c r="B185" s="338" t="s">
        <v>441</v>
      </c>
      <c r="C185" s="316">
        <v>50000</v>
      </c>
      <c r="D185" s="391">
        <v>42445</v>
      </c>
      <c r="E185" s="139" t="str">
        <f t="shared" si="33"/>
        <v/>
      </c>
      <c r="F185" s="175">
        <f t="shared" si="34"/>
        <v>-7555</v>
      </c>
      <c r="H185" s="280">
        <v>26500</v>
      </c>
      <c r="I185" s="282">
        <f t="shared" si="35"/>
        <v>15945</v>
      </c>
    </row>
    <row r="186" spans="1:11" ht="13.5" thickBot="1">
      <c r="A186" s="155" t="s">
        <v>17</v>
      </c>
      <c r="B186" s="166"/>
      <c r="C186" s="361">
        <f>SUM(C172:C185)</f>
        <v>21696000</v>
      </c>
      <c r="D186" s="393">
        <f t="shared" ref="D186:F186" si="36">SUM(D172:D185)</f>
        <v>15557350.08</v>
      </c>
      <c r="E186" s="178">
        <f t="shared" si="36"/>
        <v>113154.34</v>
      </c>
      <c r="F186" s="180">
        <f t="shared" si="36"/>
        <v>-6251804.2599999998</v>
      </c>
      <c r="H186" s="292">
        <f>SUM(H172:H185)</f>
        <v>2332733.67</v>
      </c>
      <c r="I186" s="292">
        <f>SUM(I172:I185)</f>
        <v>13224616.41</v>
      </c>
    </row>
    <row r="187" spans="1:11" s="298" customFormat="1">
      <c r="A187" s="312"/>
      <c r="B187" s="159"/>
      <c r="C187" s="362"/>
      <c r="D187" s="362"/>
      <c r="E187" s="209"/>
      <c r="F187" s="184"/>
      <c r="H187" s="299"/>
      <c r="I187" s="282"/>
      <c r="K187" s="299"/>
    </row>
    <row r="188" spans="1:11" s="298" customFormat="1" ht="13.5" thickBot="1">
      <c r="A188" s="224"/>
      <c r="B188" s="156"/>
      <c r="C188" s="363"/>
      <c r="D188" s="363"/>
      <c r="E188" s="208"/>
      <c r="F188" s="309"/>
      <c r="H188" s="299"/>
      <c r="I188" s="282"/>
      <c r="K188" s="299"/>
    </row>
    <row r="189" spans="1:11">
      <c r="A189" s="132" t="s">
        <v>368</v>
      </c>
      <c r="B189" s="315" t="s">
        <v>369</v>
      </c>
      <c r="C189" s="364"/>
      <c r="D189" s="394"/>
      <c r="E189" s="183"/>
      <c r="F189" s="184"/>
      <c r="I189" s="282"/>
    </row>
    <row r="190" spans="1:11">
      <c r="A190" s="137" t="s">
        <v>18</v>
      </c>
      <c r="B190" s="315" t="s">
        <v>370</v>
      </c>
      <c r="C190" s="365">
        <v>1400000</v>
      </c>
      <c r="D190" s="317">
        <v>765585</v>
      </c>
      <c r="E190" s="139" t="str">
        <f>IF((D190-C190)&gt;0,D190-C190,"")</f>
        <v/>
      </c>
      <c r="F190" s="175">
        <f>IF((D190-C190)&gt;0,"",D190-C190)</f>
        <v>-634415</v>
      </c>
      <c r="I190" s="282">
        <f>+D190-H190</f>
        <v>765585</v>
      </c>
    </row>
    <row r="191" spans="1:11">
      <c r="A191" s="137" t="s">
        <v>121</v>
      </c>
      <c r="B191" s="315" t="s">
        <v>371</v>
      </c>
      <c r="C191" s="316">
        <v>650000</v>
      </c>
      <c r="D191" s="317">
        <v>394455</v>
      </c>
      <c r="E191" s="139" t="str">
        <f t="shared" ref="E191:E203" si="37">IF((D191-C191)&gt;0,D191-C191,"")</f>
        <v/>
      </c>
      <c r="F191" s="175">
        <f t="shared" ref="F191:F203" si="38">IF((D191-C191)&gt;0,"",D191-C191)</f>
        <v>-255545</v>
      </c>
      <c r="I191" s="282">
        <f t="shared" ref="I191:I201" si="39">+D191-H191</f>
        <v>394455</v>
      </c>
    </row>
    <row r="192" spans="1:11">
      <c r="A192" s="137" t="s">
        <v>122</v>
      </c>
      <c r="B192" s="315" t="s">
        <v>372</v>
      </c>
      <c r="C192" s="316">
        <v>280000</v>
      </c>
      <c r="D192" s="317">
        <v>179180</v>
      </c>
      <c r="E192" s="139" t="str">
        <f t="shared" si="37"/>
        <v/>
      </c>
      <c r="F192" s="175">
        <f t="shared" si="38"/>
        <v>-100820</v>
      </c>
      <c r="I192" s="282">
        <f t="shared" si="39"/>
        <v>179180</v>
      </c>
    </row>
    <row r="193" spans="1:13">
      <c r="A193" s="137" t="s">
        <v>19</v>
      </c>
      <c r="B193" s="315" t="s">
        <v>373</v>
      </c>
      <c r="C193" s="316">
        <v>1400000</v>
      </c>
      <c r="D193" s="317">
        <v>897490</v>
      </c>
      <c r="E193" s="139" t="str">
        <f t="shared" si="37"/>
        <v/>
      </c>
      <c r="F193" s="175">
        <f t="shared" si="38"/>
        <v>-502510</v>
      </c>
      <c r="I193" s="282">
        <f t="shared" si="39"/>
        <v>897490</v>
      </c>
    </row>
    <row r="194" spans="1:13">
      <c r="A194" s="171" t="s">
        <v>20</v>
      </c>
      <c r="B194" s="315" t="s">
        <v>374</v>
      </c>
      <c r="C194" s="357">
        <v>790000</v>
      </c>
      <c r="D194" s="395">
        <v>490000</v>
      </c>
      <c r="E194" s="139" t="str">
        <f t="shared" si="37"/>
        <v/>
      </c>
      <c r="F194" s="175">
        <f t="shared" si="38"/>
        <v>-300000</v>
      </c>
      <c r="H194" s="280">
        <v>61255</v>
      </c>
      <c r="I194" s="282">
        <f t="shared" si="39"/>
        <v>428745</v>
      </c>
    </row>
    <row r="195" spans="1:13" s="280" customFormat="1" ht="13.5" thickBot="1">
      <c r="A195" s="155" t="s">
        <v>9</v>
      </c>
      <c r="B195" s="451" t="s">
        <v>375</v>
      </c>
      <c r="C195" s="385">
        <v>120000</v>
      </c>
      <c r="D195" s="452">
        <v>79910</v>
      </c>
      <c r="E195" s="157" t="str">
        <f t="shared" si="37"/>
        <v/>
      </c>
      <c r="F195" s="309">
        <f t="shared" si="38"/>
        <v>-40090</v>
      </c>
      <c r="G195" s="279"/>
      <c r="H195" s="280">
        <v>9532</v>
      </c>
      <c r="I195" s="282">
        <f t="shared" si="39"/>
        <v>70378</v>
      </c>
      <c r="J195" s="279"/>
      <c r="L195" s="279"/>
      <c r="M195" s="279"/>
    </row>
    <row r="196" spans="1:13" s="280" customFormat="1">
      <c r="A196" s="137" t="s">
        <v>4</v>
      </c>
      <c r="B196" s="315" t="s">
        <v>376</v>
      </c>
      <c r="C196" s="316">
        <v>720000</v>
      </c>
      <c r="D196" s="317">
        <v>461902</v>
      </c>
      <c r="E196" s="139" t="str">
        <f t="shared" si="37"/>
        <v/>
      </c>
      <c r="F196" s="175">
        <f t="shared" si="38"/>
        <v>-258098</v>
      </c>
      <c r="G196" s="279"/>
      <c r="H196" s="280">
        <f>19400+37900</f>
        <v>57300</v>
      </c>
      <c r="I196" s="282">
        <f t="shared" si="39"/>
        <v>404602</v>
      </c>
      <c r="J196" s="279"/>
      <c r="L196" s="279"/>
      <c r="M196" s="279"/>
    </row>
    <row r="197" spans="1:13" s="280" customFormat="1">
      <c r="A197" s="313" t="s">
        <v>377</v>
      </c>
      <c r="B197" s="315" t="s">
        <v>378</v>
      </c>
      <c r="C197" s="316">
        <v>620000</v>
      </c>
      <c r="D197" s="317">
        <v>387890</v>
      </c>
      <c r="E197" s="139" t="str">
        <f t="shared" si="37"/>
        <v/>
      </c>
      <c r="F197" s="175">
        <f t="shared" si="38"/>
        <v>-232110</v>
      </c>
      <c r="G197" s="279"/>
      <c r="H197" s="280">
        <v>49045</v>
      </c>
      <c r="I197" s="282">
        <f t="shared" si="39"/>
        <v>338845</v>
      </c>
      <c r="J197" s="279"/>
      <c r="L197" s="279"/>
      <c r="M197" s="279"/>
    </row>
    <row r="198" spans="1:13" s="280" customFormat="1">
      <c r="A198" s="313" t="s">
        <v>432</v>
      </c>
      <c r="B198" s="338"/>
      <c r="C198" s="316"/>
      <c r="D198" s="317"/>
      <c r="E198" s="139" t="str">
        <f t="shared" si="37"/>
        <v/>
      </c>
      <c r="F198" s="175">
        <f t="shared" si="38"/>
        <v>0</v>
      </c>
      <c r="G198" s="279"/>
      <c r="I198" s="282"/>
      <c r="J198" s="279"/>
      <c r="L198" s="279"/>
      <c r="M198" s="279"/>
    </row>
    <row r="199" spans="1:13" s="280" customFormat="1">
      <c r="A199" s="137" t="s">
        <v>89</v>
      </c>
      <c r="B199" s="338" t="s">
        <v>439</v>
      </c>
      <c r="C199" s="373">
        <v>5000</v>
      </c>
      <c r="D199" s="396">
        <v>2783</v>
      </c>
      <c r="E199" s="139" t="str">
        <f t="shared" si="37"/>
        <v/>
      </c>
      <c r="F199" s="175">
        <f t="shared" si="38"/>
        <v>-2217</v>
      </c>
      <c r="G199" s="279"/>
      <c r="H199" s="280">
        <v>10821</v>
      </c>
      <c r="I199" s="282">
        <f t="shared" si="39"/>
        <v>-8038</v>
      </c>
      <c r="J199" s="286">
        <f>+I199+I220</f>
        <v>12569.5</v>
      </c>
      <c r="L199" s="279"/>
      <c r="M199" s="279"/>
    </row>
    <row r="200" spans="1:13" s="280" customFormat="1">
      <c r="A200" s="137" t="s">
        <v>172</v>
      </c>
      <c r="B200" s="338" t="s">
        <v>435</v>
      </c>
      <c r="C200" s="373">
        <v>140000</v>
      </c>
      <c r="D200" s="397">
        <v>80686</v>
      </c>
      <c r="E200" s="139" t="str">
        <f t="shared" si="37"/>
        <v/>
      </c>
      <c r="F200" s="175">
        <f t="shared" si="38"/>
        <v>-59314</v>
      </c>
      <c r="G200" s="279"/>
      <c r="H200" s="280">
        <v>150</v>
      </c>
      <c r="I200" s="282">
        <f t="shared" si="39"/>
        <v>80536</v>
      </c>
      <c r="J200" s="286">
        <f>+I200+I221</f>
        <v>161826</v>
      </c>
      <c r="L200" s="279"/>
      <c r="M200" s="279"/>
    </row>
    <row r="201" spans="1:13" s="280" customFormat="1">
      <c r="A201" s="137" t="s">
        <v>91</v>
      </c>
      <c r="B201" s="338" t="s">
        <v>436</v>
      </c>
      <c r="C201" s="373">
        <v>65000</v>
      </c>
      <c r="D201" s="397">
        <v>41771</v>
      </c>
      <c r="E201" s="139" t="str">
        <f t="shared" si="37"/>
        <v/>
      </c>
      <c r="F201" s="175">
        <f t="shared" si="38"/>
        <v>-23229</v>
      </c>
      <c r="G201" s="279"/>
      <c r="H201" s="280">
        <v>5251</v>
      </c>
      <c r="I201" s="282">
        <f t="shared" si="39"/>
        <v>36520</v>
      </c>
      <c r="J201" s="286">
        <f>+I201+I222</f>
        <v>55530.5</v>
      </c>
      <c r="L201" s="279"/>
      <c r="M201" s="279"/>
    </row>
    <row r="202" spans="1:13" s="280" customFormat="1">
      <c r="A202" s="137" t="s">
        <v>255</v>
      </c>
      <c r="B202" s="338" t="s">
        <v>438</v>
      </c>
      <c r="C202" s="373">
        <v>10000</v>
      </c>
      <c r="D202" s="440">
        <v>6340</v>
      </c>
      <c r="E202" s="139" t="str">
        <f t="shared" si="37"/>
        <v/>
      </c>
      <c r="F202" s="175">
        <f t="shared" si="38"/>
        <v>-3660</v>
      </c>
      <c r="G202" s="288"/>
      <c r="I202" s="282">
        <f>+G202-H202</f>
        <v>0</v>
      </c>
      <c r="J202" s="286" t="e">
        <f>+I202+#REF!</f>
        <v>#REF!</v>
      </c>
      <c r="L202" s="279"/>
      <c r="M202" s="279"/>
    </row>
    <row r="203" spans="1:13" s="280" customFormat="1">
      <c r="A203" s="137" t="s">
        <v>263</v>
      </c>
      <c r="B203" s="443" t="s">
        <v>441</v>
      </c>
      <c r="C203" s="414">
        <v>10000</v>
      </c>
      <c r="D203" s="440">
        <v>6340</v>
      </c>
      <c r="E203" s="139" t="str">
        <f t="shared" si="37"/>
        <v/>
      </c>
      <c r="F203" s="175">
        <f t="shared" si="38"/>
        <v>-3660</v>
      </c>
      <c r="G203" s="288"/>
      <c r="I203" s="282">
        <f>+G203-H203</f>
        <v>0</v>
      </c>
      <c r="J203" s="286" t="e">
        <f>+I203+#REF!</f>
        <v>#REF!</v>
      </c>
      <c r="L203" s="279"/>
      <c r="M203" s="279"/>
    </row>
    <row r="204" spans="1:13" s="280" customFormat="1" ht="13.5" thickBot="1">
      <c r="A204" s="137"/>
      <c r="B204" s="443"/>
      <c r="C204" s="359">
        <f>SUM(C190:C203)</f>
        <v>6210000</v>
      </c>
      <c r="D204" s="359">
        <f t="shared" ref="D204:F204" si="40">SUM(D190:D203)</f>
        <v>3794332</v>
      </c>
      <c r="E204" s="172">
        <f t="shared" si="40"/>
        <v>0</v>
      </c>
      <c r="F204" s="174">
        <f t="shared" si="40"/>
        <v>-2415668</v>
      </c>
      <c r="G204" s="288"/>
      <c r="H204" s="292">
        <f>SUM(H190:H203)</f>
        <v>193354</v>
      </c>
      <c r="I204" s="282">
        <f>+G204-H204</f>
        <v>-193354</v>
      </c>
      <c r="J204" s="279"/>
      <c r="L204" s="279"/>
      <c r="M204" s="279"/>
    </row>
    <row r="205" spans="1:13" s="280" customFormat="1" ht="13.5" thickTop="1">
      <c r="A205" s="137"/>
      <c r="B205" s="147"/>
      <c r="C205" s="357"/>
      <c r="D205" s="316"/>
      <c r="E205" s="140"/>
      <c r="F205" s="175"/>
      <c r="G205" s="288"/>
      <c r="I205" s="282">
        <f>+G205-H205</f>
        <v>0</v>
      </c>
      <c r="J205" s="279"/>
      <c r="L205" s="279"/>
      <c r="M205" s="279"/>
    </row>
    <row r="206" spans="1:13" s="280" customFormat="1">
      <c r="A206" s="146" t="s">
        <v>367</v>
      </c>
      <c r="B206" s="147"/>
      <c r="C206" s="357"/>
      <c r="D206" s="360"/>
      <c r="E206" s="139"/>
      <c r="F206" s="175"/>
      <c r="G206" s="288"/>
      <c r="I206" s="282">
        <f>+G206-H206</f>
        <v>0</v>
      </c>
      <c r="J206" s="279"/>
      <c r="L206" s="279"/>
      <c r="M206" s="279"/>
    </row>
    <row r="207" spans="1:13" s="280" customFormat="1">
      <c r="A207" s="137" t="s">
        <v>21</v>
      </c>
      <c r="B207" s="315" t="s">
        <v>379</v>
      </c>
      <c r="C207" s="316">
        <v>85000</v>
      </c>
      <c r="D207" s="317">
        <v>60533</v>
      </c>
      <c r="E207" s="139" t="str">
        <f>IF((D207-C207)&gt;0,D207-C207,"")</f>
        <v/>
      </c>
      <c r="F207" s="175">
        <f>IF((D207-C207)&gt;0,"",D207-C207)</f>
        <v>-24467</v>
      </c>
      <c r="G207" s="279"/>
      <c r="H207" s="280">
        <v>6052</v>
      </c>
      <c r="I207" s="282">
        <f>+D207-H207</f>
        <v>54481</v>
      </c>
      <c r="J207" s="279"/>
      <c r="L207" s="279"/>
      <c r="M207" s="279"/>
    </row>
    <row r="208" spans="1:13" s="280" customFormat="1">
      <c r="A208" s="137" t="s">
        <v>22</v>
      </c>
      <c r="B208" s="315" t="s">
        <v>380</v>
      </c>
      <c r="C208" s="316">
        <v>400000</v>
      </c>
      <c r="D208" s="317">
        <v>197859.5</v>
      </c>
      <c r="E208" s="139" t="str">
        <f t="shared" ref="E208:E222" si="41">IF((D208-C208)&gt;0,D208-C208,"")</f>
        <v/>
      </c>
      <c r="F208" s="175">
        <f t="shared" ref="F208:F222" si="42">IF((D208-C208)&gt;0,"",D208-C208)</f>
        <v>-202140.5</v>
      </c>
      <c r="G208" s="279"/>
      <c r="H208" s="280">
        <v>26885</v>
      </c>
      <c r="I208" s="282">
        <f t="shared" ref="I208:I222" si="43">+D208-H208</f>
        <v>170974.5</v>
      </c>
      <c r="J208" s="279"/>
      <c r="L208" s="279"/>
      <c r="M208" s="279"/>
    </row>
    <row r="209" spans="1:13" s="280" customFormat="1">
      <c r="A209" s="137" t="s">
        <v>7</v>
      </c>
      <c r="B209" s="315" t="s">
        <v>381</v>
      </c>
      <c r="C209" s="316">
        <v>300000</v>
      </c>
      <c r="D209" s="317">
        <v>111681.5</v>
      </c>
      <c r="E209" s="139" t="str">
        <f t="shared" si="41"/>
        <v/>
      </c>
      <c r="F209" s="175">
        <f t="shared" si="42"/>
        <v>-188318.5</v>
      </c>
      <c r="G209" s="279"/>
      <c r="H209" s="280">
        <v>12795</v>
      </c>
      <c r="I209" s="282">
        <f t="shared" si="43"/>
        <v>98886.5</v>
      </c>
      <c r="J209" s="279"/>
      <c r="L209" s="279"/>
      <c r="M209" s="279"/>
    </row>
    <row r="210" spans="1:13" s="280" customFormat="1">
      <c r="A210" s="137" t="s">
        <v>23</v>
      </c>
      <c r="B210" s="315" t="s">
        <v>382</v>
      </c>
      <c r="C210" s="316">
        <v>270000</v>
      </c>
      <c r="D210" s="317">
        <v>173695.5</v>
      </c>
      <c r="E210" s="139" t="str">
        <f t="shared" si="41"/>
        <v/>
      </c>
      <c r="F210" s="175">
        <f t="shared" si="42"/>
        <v>-96304.5</v>
      </c>
      <c r="G210" s="279"/>
      <c r="H210" s="280">
        <v>27310.5</v>
      </c>
      <c r="I210" s="282">
        <f t="shared" si="43"/>
        <v>146385</v>
      </c>
      <c r="J210" s="279"/>
      <c r="L210" s="279"/>
      <c r="M210" s="279"/>
    </row>
    <row r="211" spans="1:13" s="280" customFormat="1">
      <c r="A211" s="137" t="s">
        <v>24</v>
      </c>
      <c r="B211" s="315" t="s">
        <v>383</v>
      </c>
      <c r="C211" s="316">
        <v>130000</v>
      </c>
      <c r="D211" s="317">
        <v>73767.75</v>
      </c>
      <c r="E211" s="139" t="str">
        <f t="shared" si="41"/>
        <v/>
      </c>
      <c r="F211" s="175">
        <f t="shared" si="42"/>
        <v>-56232.25</v>
      </c>
      <c r="G211" s="279"/>
      <c r="H211" s="280">
        <v>12027.75</v>
      </c>
      <c r="I211" s="282">
        <f t="shared" si="43"/>
        <v>61740</v>
      </c>
      <c r="J211" s="279"/>
      <c r="L211" s="279"/>
      <c r="M211" s="279"/>
    </row>
    <row r="212" spans="1:13" s="280" customFormat="1">
      <c r="A212" s="137" t="s">
        <v>4</v>
      </c>
      <c r="B212" s="315" t="s">
        <v>384</v>
      </c>
      <c r="C212" s="316">
        <v>60000</v>
      </c>
      <c r="D212" s="317">
        <v>44325.51</v>
      </c>
      <c r="E212" s="139" t="str">
        <f t="shared" si="41"/>
        <v/>
      </c>
      <c r="F212" s="175">
        <f t="shared" si="42"/>
        <v>-15674.489999999998</v>
      </c>
      <c r="G212" s="279"/>
      <c r="H212" s="280">
        <f>600+8800+313.43</f>
        <v>9713.43</v>
      </c>
      <c r="I212" s="282">
        <f t="shared" si="43"/>
        <v>34612.080000000002</v>
      </c>
      <c r="J212" s="279"/>
      <c r="L212" s="279"/>
      <c r="M212" s="279"/>
    </row>
    <row r="213" spans="1:13" s="280" customFormat="1">
      <c r="A213" s="313" t="s">
        <v>411</v>
      </c>
      <c r="B213" s="315" t="s">
        <v>412</v>
      </c>
      <c r="C213" s="316"/>
      <c r="D213" s="317">
        <v>813.75</v>
      </c>
      <c r="E213" s="139">
        <f t="shared" si="41"/>
        <v>813.75</v>
      </c>
      <c r="F213" s="175" t="str">
        <f t="shared" si="42"/>
        <v/>
      </c>
      <c r="G213" s="279"/>
      <c r="I213" s="282"/>
      <c r="J213" s="279"/>
      <c r="L213" s="279"/>
      <c r="M213" s="279"/>
    </row>
    <row r="214" spans="1:13" s="280" customFormat="1" ht="12" customHeight="1">
      <c r="A214" s="137" t="s">
        <v>25</v>
      </c>
      <c r="B214" s="315" t="s">
        <v>385</v>
      </c>
      <c r="C214" s="316">
        <v>900000</v>
      </c>
      <c r="D214" s="317">
        <v>536385</v>
      </c>
      <c r="E214" s="139" t="str">
        <f t="shared" si="41"/>
        <v/>
      </c>
      <c r="F214" s="175">
        <f t="shared" si="42"/>
        <v>-363615</v>
      </c>
      <c r="G214" s="298"/>
      <c r="H214" s="299">
        <v>79860</v>
      </c>
      <c r="I214" s="282">
        <f t="shared" si="43"/>
        <v>456525</v>
      </c>
      <c r="J214" s="279"/>
      <c r="L214" s="279"/>
      <c r="M214" s="279"/>
    </row>
    <row r="215" spans="1:13" s="280" customFormat="1">
      <c r="A215" s="137" t="s">
        <v>29</v>
      </c>
      <c r="B215" s="315" t="s">
        <v>386</v>
      </c>
      <c r="C215" s="316">
        <v>40000</v>
      </c>
      <c r="D215" s="317">
        <v>30990</v>
      </c>
      <c r="E215" s="139" t="str">
        <f t="shared" si="41"/>
        <v/>
      </c>
      <c r="F215" s="175">
        <f t="shared" si="42"/>
        <v>-9010</v>
      </c>
      <c r="G215" s="298"/>
      <c r="H215" s="299">
        <v>3255</v>
      </c>
      <c r="I215" s="282">
        <f t="shared" si="43"/>
        <v>27735</v>
      </c>
      <c r="J215" s="279"/>
      <c r="L215" s="279"/>
      <c r="M215" s="279"/>
    </row>
    <row r="216" spans="1:13" s="280" customFormat="1">
      <c r="A216" s="313" t="s">
        <v>388</v>
      </c>
      <c r="B216" s="315" t="s">
        <v>387</v>
      </c>
      <c r="C216" s="316">
        <v>23170</v>
      </c>
      <c r="D216" s="317">
        <v>43000</v>
      </c>
      <c r="E216" s="139">
        <f t="shared" si="41"/>
        <v>19830</v>
      </c>
      <c r="F216" s="175" t="str">
        <f t="shared" si="42"/>
        <v/>
      </c>
      <c r="G216" s="298"/>
      <c r="H216" s="299">
        <v>42000</v>
      </c>
      <c r="I216" s="282">
        <f t="shared" si="43"/>
        <v>1000</v>
      </c>
      <c r="J216" s="279"/>
      <c r="L216" s="279"/>
      <c r="M216" s="279"/>
    </row>
    <row r="217" spans="1:13" s="280" customFormat="1">
      <c r="A217" s="137" t="s">
        <v>8</v>
      </c>
      <c r="B217" s="315" t="s">
        <v>389</v>
      </c>
      <c r="C217" s="316">
        <v>115500</v>
      </c>
      <c r="D217" s="317">
        <v>82539.28</v>
      </c>
      <c r="E217" s="139" t="str">
        <f t="shared" si="41"/>
        <v/>
      </c>
      <c r="F217" s="175">
        <f t="shared" si="42"/>
        <v>-32960.720000000001</v>
      </c>
      <c r="G217" s="298"/>
      <c r="H217" s="299">
        <v>12328.2</v>
      </c>
      <c r="I217" s="282">
        <f t="shared" si="43"/>
        <v>70211.08</v>
      </c>
      <c r="J217" s="279"/>
      <c r="L217" s="279"/>
      <c r="M217" s="279"/>
    </row>
    <row r="218" spans="1:13" s="280" customFormat="1">
      <c r="A218" s="137" t="s">
        <v>38</v>
      </c>
      <c r="B218" s="315" t="s">
        <v>390</v>
      </c>
      <c r="C218" s="316">
        <v>65000</v>
      </c>
      <c r="D218" s="398">
        <v>55620</v>
      </c>
      <c r="E218" s="139" t="str">
        <f t="shared" si="41"/>
        <v/>
      </c>
      <c r="F218" s="175">
        <f t="shared" si="42"/>
        <v>-9380</v>
      </c>
      <c r="G218" s="298"/>
      <c r="H218" s="299">
        <v>5445</v>
      </c>
      <c r="I218" s="282">
        <f t="shared" si="43"/>
        <v>50175</v>
      </c>
      <c r="J218" s="279"/>
      <c r="L218" s="279"/>
      <c r="M218" s="279"/>
    </row>
    <row r="219" spans="1:13" s="280" customFormat="1">
      <c r="A219" s="313" t="s">
        <v>432</v>
      </c>
      <c r="B219" s="338"/>
      <c r="C219" s="316"/>
      <c r="D219" s="357"/>
      <c r="E219" s="139" t="str">
        <f t="shared" si="41"/>
        <v/>
      </c>
      <c r="F219" s="175">
        <f t="shared" si="42"/>
        <v>0</v>
      </c>
      <c r="G219" s="298"/>
      <c r="H219" s="299"/>
      <c r="I219" s="282"/>
      <c r="J219" s="279"/>
      <c r="L219" s="279"/>
      <c r="M219" s="279"/>
    </row>
    <row r="220" spans="1:13" s="280" customFormat="1">
      <c r="A220" s="137" t="s">
        <v>89</v>
      </c>
      <c r="B220" s="338" t="s">
        <v>439</v>
      </c>
      <c r="C220" s="373">
        <v>40000</v>
      </c>
      <c r="D220" s="441">
        <v>34340.5</v>
      </c>
      <c r="E220" s="139" t="str">
        <f t="shared" si="41"/>
        <v/>
      </c>
      <c r="F220" s="175">
        <f t="shared" si="42"/>
        <v>-5659.5</v>
      </c>
      <c r="G220" s="298"/>
      <c r="H220" s="299">
        <v>13733</v>
      </c>
      <c r="I220" s="282">
        <f t="shared" si="43"/>
        <v>20607.5</v>
      </c>
      <c r="J220" s="286">
        <f>+I220+I199</f>
        <v>12569.5</v>
      </c>
      <c r="L220" s="279"/>
      <c r="M220" s="279"/>
    </row>
    <row r="221" spans="1:13" s="280" customFormat="1">
      <c r="A221" s="137" t="s">
        <v>172</v>
      </c>
      <c r="B221" s="338" t="s">
        <v>435</v>
      </c>
      <c r="C221" s="373">
        <v>120000</v>
      </c>
      <c r="D221" s="317">
        <v>86624</v>
      </c>
      <c r="E221" s="139" t="str">
        <f t="shared" si="41"/>
        <v/>
      </c>
      <c r="F221" s="175">
        <f t="shared" si="42"/>
        <v>-33376</v>
      </c>
      <c r="G221" s="298"/>
      <c r="H221" s="299">
        <v>5334</v>
      </c>
      <c r="I221" s="282">
        <f t="shared" si="43"/>
        <v>81290</v>
      </c>
      <c r="J221" s="286">
        <f>+I221+I200</f>
        <v>161826</v>
      </c>
      <c r="L221" s="279"/>
      <c r="M221" s="279"/>
    </row>
    <row r="222" spans="1:13" s="280" customFormat="1">
      <c r="A222" s="137" t="s">
        <v>91</v>
      </c>
      <c r="B222" s="338" t="s">
        <v>436</v>
      </c>
      <c r="C222" s="373">
        <v>30000</v>
      </c>
      <c r="D222" s="357">
        <v>21932.5</v>
      </c>
      <c r="E222" s="139" t="str">
        <f t="shared" si="41"/>
        <v/>
      </c>
      <c r="F222" s="175">
        <f t="shared" si="42"/>
        <v>-8067.5</v>
      </c>
      <c r="G222" s="298"/>
      <c r="H222" s="299">
        <v>2922</v>
      </c>
      <c r="I222" s="282">
        <f t="shared" si="43"/>
        <v>19010.5</v>
      </c>
      <c r="J222" s="286">
        <f>+I222+I201</f>
        <v>55530.5</v>
      </c>
      <c r="L222" s="279"/>
      <c r="M222" s="279"/>
    </row>
    <row r="223" spans="1:13" s="280" customFormat="1" ht="13.5" thickBot="1">
      <c r="A223" s="137" t="s">
        <v>17</v>
      </c>
      <c r="B223" s="147"/>
      <c r="C223" s="359">
        <f>SUM(C207:C222)</f>
        <v>2578670</v>
      </c>
      <c r="D223" s="359">
        <f t="shared" ref="D223:F223" si="44">SUM(D207:D222)</f>
        <v>1554107.79</v>
      </c>
      <c r="E223" s="172">
        <f t="shared" si="44"/>
        <v>20643.75</v>
      </c>
      <c r="F223" s="174">
        <f t="shared" si="44"/>
        <v>-1045205.96</v>
      </c>
      <c r="G223" s="298"/>
      <c r="H223" s="292">
        <f>SUM(H207:H222)</f>
        <v>259660.88</v>
      </c>
      <c r="I223" s="292">
        <f>SUM(I207:I222)</f>
        <v>1293633.1600000001</v>
      </c>
      <c r="J223" s="279"/>
      <c r="L223" s="279"/>
      <c r="M223" s="279"/>
    </row>
    <row r="224" spans="1:13" s="280" customFormat="1" ht="13.5" thickTop="1">
      <c r="A224" s="146" t="s">
        <v>391</v>
      </c>
      <c r="B224" s="315" t="s">
        <v>392</v>
      </c>
      <c r="C224" s="366"/>
      <c r="D224" s="221"/>
      <c r="E224" s="163"/>
      <c r="F224" s="175"/>
      <c r="G224" s="298"/>
      <c r="I224" s="213"/>
      <c r="J224" s="279"/>
      <c r="L224" s="279"/>
      <c r="M224" s="279"/>
    </row>
    <row r="225" spans="1:13" s="280" customFormat="1">
      <c r="A225" s="137" t="s">
        <v>27</v>
      </c>
      <c r="B225" s="315" t="s">
        <v>393</v>
      </c>
      <c r="C225" s="316">
        <v>3500000</v>
      </c>
      <c r="D225" s="221">
        <v>1790595</v>
      </c>
      <c r="E225" s="139" t="str">
        <f>IF((D225-C225)&gt;0,D225-C225,"")</f>
        <v/>
      </c>
      <c r="F225" s="175">
        <f>IF((D225-C225)&gt;0,"",D225-C225)</f>
        <v>-1709405</v>
      </c>
      <c r="G225" s="298"/>
      <c r="H225" s="280">
        <f>261615+35800</f>
        <v>297415</v>
      </c>
      <c r="I225" s="282">
        <f>+D225-H225</f>
        <v>1493180</v>
      </c>
      <c r="J225" s="279"/>
      <c r="L225" s="279"/>
      <c r="M225" s="279"/>
    </row>
    <row r="226" spans="1:13" s="280" customFormat="1">
      <c r="A226" s="313" t="s">
        <v>432</v>
      </c>
      <c r="B226" s="338"/>
      <c r="C226" s="316"/>
      <c r="D226" s="221"/>
      <c r="E226" s="139" t="str">
        <f t="shared" ref="E226:E229" si="45">IF((D226-C226)&gt;0,D226-C226,"")</f>
        <v/>
      </c>
      <c r="F226" s="175">
        <f t="shared" ref="F226:F229" si="46">IF((D226-C226)&gt;0,"",D226-C226)</f>
        <v>0</v>
      </c>
      <c r="G226" s="298"/>
      <c r="I226" s="282"/>
      <c r="J226" s="279"/>
      <c r="L226" s="279"/>
      <c r="M226" s="279"/>
    </row>
    <row r="227" spans="1:13" s="280" customFormat="1">
      <c r="A227" s="137" t="s">
        <v>172</v>
      </c>
      <c r="B227" s="338" t="s">
        <v>435</v>
      </c>
      <c r="C227" s="316">
        <v>500000</v>
      </c>
      <c r="D227" s="221">
        <v>304260</v>
      </c>
      <c r="E227" s="139" t="str">
        <f t="shared" si="45"/>
        <v/>
      </c>
      <c r="F227" s="175">
        <f t="shared" si="46"/>
        <v>-195740</v>
      </c>
      <c r="G227" s="298"/>
      <c r="H227" s="280">
        <v>48300</v>
      </c>
      <c r="I227" s="282">
        <f>+D227-H227</f>
        <v>255960</v>
      </c>
      <c r="J227" s="279"/>
      <c r="L227" s="279"/>
      <c r="M227" s="279"/>
    </row>
    <row r="228" spans="1:13" s="280" customFormat="1">
      <c r="A228" s="137" t="s">
        <v>255</v>
      </c>
      <c r="B228" s="338" t="s">
        <v>438</v>
      </c>
      <c r="C228" s="316">
        <v>7000</v>
      </c>
      <c r="D228" s="221">
        <v>5420</v>
      </c>
      <c r="E228" s="139" t="str">
        <f t="shared" si="45"/>
        <v/>
      </c>
      <c r="F228" s="175">
        <f t="shared" si="46"/>
        <v>-1580</v>
      </c>
      <c r="G228" s="298"/>
      <c r="H228" s="280">
        <v>800</v>
      </c>
      <c r="I228" s="282">
        <f>+D228-H228</f>
        <v>4620</v>
      </c>
      <c r="J228" s="279"/>
      <c r="L228" s="279"/>
      <c r="M228" s="279"/>
    </row>
    <row r="229" spans="1:13" s="280" customFormat="1">
      <c r="A229" s="137" t="s">
        <v>263</v>
      </c>
      <c r="B229" s="338" t="s">
        <v>441</v>
      </c>
      <c r="C229" s="356">
        <v>7000</v>
      </c>
      <c r="D229" s="221">
        <v>5420</v>
      </c>
      <c r="E229" s="139" t="str">
        <f t="shared" si="45"/>
        <v/>
      </c>
      <c r="F229" s="175">
        <f t="shared" si="46"/>
        <v>-1580</v>
      </c>
      <c r="G229" s="298"/>
      <c r="H229" s="280">
        <v>800</v>
      </c>
      <c r="I229" s="282">
        <f>+D229-H229</f>
        <v>4620</v>
      </c>
      <c r="J229" s="279"/>
      <c r="L229" s="279"/>
      <c r="M229" s="279"/>
    </row>
    <row r="230" spans="1:13" s="280" customFormat="1" ht="13.5" thickBot="1">
      <c r="A230" s="137"/>
      <c r="B230" s="147"/>
      <c r="C230" s="367">
        <f>SUM(C225:C229)</f>
        <v>4014000</v>
      </c>
      <c r="D230" s="399">
        <f t="shared" ref="D230:F230" si="47">SUM(D225:D229)</f>
        <v>2105695</v>
      </c>
      <c r="E230" s="189">
        <f t="shared" si="47"/>
        <v>0</v>
      </c>
      <c r="F230" s="190">
        <f t="shared" si="47"/>
        <v>-1908305</v>
      </c>
      <c r="G230" s="298"/>
      <c r="H230" s="292">
        <f>SUM(H225:H229)</f>
        <v>347315</v>
      </c>
      <c r="I230" s="292">
        <f>SUM(I225:I229)</f>
        <v>1758380</v>
      </c>
      <c r="J230" s="279"/>
      <c r="L230" s="279"/>
      <c r="M230" s="279"/>
    </row>
    <row r="231" spans="1:13" s="280" customFormat="1" ht="13.5" thickTop="1">
      <c r="A231" s="137" t="s">
        <v>123</v>
      </c>
      <c r="B231" s="147"/>
      <c r="C231" s="356">
        <f>SUM(C230+C223+C204+C186+C169+C153+C134)</f>
        <v>112768670</v>
      </c>
      <c r="D231" s="316">
        <f t="shared" ref="D231:F231" si="48">SUM(D230+D223+D204+D186+D169+D153+D134)</f>
        <v>65259876.370000005</v>
      </c>
      <c r="E231" s="140">
        <f t="shared" si="48"/>
        <v>161618.09</v>
      </c>
      <c r="F231" s="169">
        <f t="shared" si="48"/>
        <v>-47670411.719999999</v>
      </c>
      <c r="G231" s="298"/>
      <c r="I231" s="213"/>
      <c r="J231" s="279"/>
      <c r="L231" s="279"/>
      <c r="M231" s="279"/>
    </row>
    <row r="232" spans="1:13" s="280" customFormat="1" ht="13.5" thickBot="1">
      <c r="A232" s="191" t="s">
        <v>107</v>
      </c>
      <c r="B232" s="192"/>
      <c r="C232" s="368">
        <f>+C231+C130</f>
        <v>1093930247</v>
      </c>
      <c r="D232" s="383">
        <f t="shared" ref="D232:F232" si="49">+D231+D130</f>
        <v>748447434.19000006</v>
      </c>
      <c r="E232" s="193">
        <f t="shared" si="49"/>
        <v>2175728.2699999986</v>
      </c>
      <c r="F232" s="194">
        <f t="shared" si="49"/>
        <v>-347658541.08000004</v>
      </c>
      <c r="G232" s="298"/>
      <c r="I232" s="213"/>
      <c r="J232" s="279"/>
      <c r="L232" s="279"/>
      <c r="M232" s="279"/>
    </row>
    <row r="233" spans="1:13" s="280" customFormat="1" ht="13.5" thickTop="1">
      <c r="A233" s="171" t="s">
        <v>111</v>
      </c>
      <c r="B233" s="154"/>
      <c r="C233" s="357"/>
      <c r="D233" s="357"/>
      <c r="E233" s="153"/>
      <c r="F233" s="175"/>
      <c r="G233" s="298"/>
      <c r="H233" s="280">
        <f>D34+I244</f>
        <v>595751153.29000008</v>
      </c>
      <c r="I233" s="300">
        <v>121064830.92</v>
      </c>
      <c r="J233" s="286">
        <f>H233-I233</f>
        <v>474686322.37000006</v>
      </c>
      <c r="L233" s="279"/>
      <c r="M233" s="279"/>
    </row>
    <row r="234" spans="1:13" s="280" customFormat="1" ht="14.25">
      <c r="A234" s="195"/>
      <c r="B234" s="444"/>
      <c r="C234" s="2"/>
      <c r="D234" s="400"/>
      <c r="E234" s="197"/>
      <c r="F234" s="199"/>
      <c r="G234" s="279"/>
      <c r="I234" s="213"/>
      <c r="J234" s="279"/>
      <c r="L234" s="279"/>
      <c r="M234" s="279"/>
    </row>
    <row r="235" spans="1:13" s="280" customFormat="1" ht="14.25">
      <c r="A235" s="466" t="s">
        <v>196</v>
      </c>
      <c r="B235" s="467"/>
      <c r="C235" s="2"/>
      <c r="D235" s="2"/>
      <c r="E235" s="200"/>
      <c r="F235" s="201"/>
      <c r="G235" s="279"/>
      <c r="I235" s="213"/>
      <c r="J235" s="279"/>
      <c r="L235" s="279"/>
      <c r="M235" s="279"/>
    </row>
    <row r="236" spans="1:13" s="280" customFormat="1" ht="14.25">
      <c r="A236" s="468" t="s">
        <v>400</v>
      </c>
      <c r="B236" s="469"/>
      <c r="C236" s="3"/>
      <c r="D236" s="401" t="s">
        <v>114</v>
      </c>
      <c r="E236" s="444"/>
      <c r="F236" s="201"/>
      <c r="G236" s="279"/>
      <c r="I236" s="213"/>
      <c r="J236" s="279"/>
      <c r="L236" s="279"/>
      <c r="M236" s="279"/>
    </row>
    <row r="237" spans="1:13" s="280" customFormat="1" ht="14.25">
      <c r="A237" s="171"/>
      <c r="B237" s="444"/>
      <c r="C237" s="4"/>
      <c r="D237" s="4"/>
      <c r="E237" s="444"/>
      <c r="F237" s="201"/>
      <c r="G237" s="279"/>
      <c r="I237" s="213"/>
      <c r="J237" s="279"/>
      <c r="L237" s="279"/>
      <c r="M237" s="279"/>
    </row>
    <row r="238" spans="1:13" s="280" customFormat="1" ht="15">
      <c r="A238" s="195"/>
      <c r="B238" s="444"/>
      <c r="C238" s="369"/>
      <c r="D238" s="470" t="s">
        <v>115</v>
      </c>
      <c r="E238" s="470"/>
      <c r="F238" s="471"/>
      <c r="G238" s="279"/>
      <c r="H238" s="296"/>
      <c r="I238" s="240"/>
      <c r="J238" s="240" t="s">
        <v>187</v>
      </c>
      <c r="L238" s="279"/>
      <c r="M238" s="279"/>
    </row>
    <row r="239" spans="1:13" s="280" customFormat="1" ht="14.25">
      <c r="A239" s="195"/>
      <c r="B239" s="444"/>
      <c r="C239" s="369"/>
      <c r="D239" s="472" t="s">
        <v>116</v>
      </c>
      <c r="E239" s="472"/>
      <c r="F239" s="473"/>
      <c r="G239" s="279"/>
      <c r="H239" s="301" t="s">
        <v>179</v>
      </c>
      <c r="I239" s="302">
        <v>756933146.10000002</v>
      </c>
      <c r="J239" s="240" t="s">
        <v>185</v>
      </c>
      <c r="L239" s="279"/>
      <c r="M239" s="279"/>
    </row>
    <row r="240" spans="1:13" s="280" customFormat="1" ht="14.25">
      <c r="A240" s="195"/>
      <c r="B240" s="444"/>
      <c r="C240" s="369"/>
      <c r="D240" s="372"/>
      <c r="E240" s="222"/>
      <c r="F240" s="223"/>
      <c r="G240" s="279"/>
      <c r="H240" s="301"/>
      <c r="I240" s="240"/>
      <c r="J240" s="240"/>
      <c r="L240" s="279"/>
      <c r="M240" s="279"/>
    </row>
    <row r="241" spans="1:13" s="280" customFormat="1" ht="14.25">
      <c r="A241" s="171" t="s">
        <v>117</v>
      </c>
      <c r="B241" s="444"/>
      <c r="C241" s="369"/>
      <c r="D241" s="369"/>
      <c r="E241" s="148"/>
      <c r="F241" s="223"/>
      <c r="G241" s="279"/>
      <c r="H241" s="301" t="s">
        <v>180</v>
      </c>
      <c r="I241" s="296">
        <v>16586</v>
      </c>
      <c r="J241" s="240" t="s">
        <v>185</v>
      </c>
      <c r="L241" s="279"/>
      <c r="M241" s="279"/>
    </row>
    <row r="242" spans="1:13" s="280" customFormat="1">
      <c r="A242" s="171" t="s">
        <v>118</v>
      </c>
      <c r="B242" s="154"/>
      <c r="C242" s="369"/>
      <c r="D242" s="369"/>
      <c r="E242" s="154"/>
      <c r="F242" s="151"/>
      <c r="G242" s="279"/>
      <c r="H242" s="429" t="s">
        <v>181</v>
      </c>
      <c r="I242" s="241">
        <v>4698792</v>
      </c>
      <c r="J242" s="240" t="s">
        <v>186</v>
      </c>
      <c r="L242" s="279"/>
      <c r="M242" s="279"/>
    </row>
    <row r="243" spans="1:13" s="280" customFormat="1" ht="15.75" thickBot="1">
      <c r="A243" s="224"/>
      <c r="B243" s="156"/>
      <c r="C243" s="370"/>
      <c r="D243" s="370"/>
      <c r="E243" s="225"/>
      <c r="F243" s="205"/>
      <c r="G243" s="279"/>
      <c r="H243" s="301" t="s">
        <v>189</v>
      </c>
      <c r="I243" s="296">
        <f>10356.9+5265.1</f>
        <v>15622</v>
      </c>
      <c r="J243" s="240" t="s">
        <v>184</v>
      </c>
      <c r="L243" s="279"/>
      <c r="M243" s="279"/>
    </row>
    <row r="244" spans="1:13" s="280" customFormat="1" ht="11.25" customHeight="1">
      <c r="A244" s="213"/>
      <c r="B244" s="211"/>
      <c r="C244" s="371"/>
      <c r="D244" s="371"/>
      <c r="E244" s="212"/>
      <c r="F244" s="444"/>
      <c r="G244" s="279"/>
      <c r="H244" s="301" t="s">
        <v>183</v>
      </c>
      <c r="I244" s="426">
        <v>3754711.91</v>
      </c>
      <c r="J244" s="240" t="s">
        <v>185</v>
      </c>
      <c r="L244" s="279"/>
      <c r="M244" s="279"/>
    </row>
    <row r="245" spans="1:13" s="280" customFormat="1" ht="14.25">
      <c r="A245" s="148"/>
      <c r="B245" s="444"/>
      <c r="C245" s="3"/>
      <c r="D245" s="3"/>
      <c r="E245" s="202"/>
      <c r="F245" s="202"/>
      <c r="G245" s="279"/>
      <c r="H245" s="296"/>
      <c r="I245" s="296">
        <f>I239-I241-I242-I244-I243</f>
        <v>748447434.19000006</v>
      </c>
      <c r="J245" s="240"/>
      <c r="L245" s="279"/>
      <c r="M245" s="279"/>
    </row>
    <row r="246" spans="1:13" s="280" customFormat="1">
      <c r="A246" s="206"/>
      <c r="B246" s="207"/>
      <c r="C246" s="372"/>
      <c r="D246" s="372"/>
      <c r="E246" s="212"/>
      <c r="F246" s="212"/>
      <c r="G246" s="279"/>
      <c r="H246" s="296"/>
      <c r="I246" s="296"/>
      <c r="J246" s="240"/>
      <c r="L246" s="279"/>
      <c r="M246" s="279"/>
    </row>
    <row r="247" spans="1:13" s="280" customFormat="1">
      <c r="A247" s="206"/>
      <c r="B247" s="207"/>
      <c r="C247" s="372"/>
      <c r="D247" s="372"/>
      <c r="E247" s="212"/>
      <c r="F247" s="212"/>
      <c r="G247" s="279"/>
      <c r="H247" s="296"/>
      <c r="I247" s="296"/>
      <c r="J247" s="240"/>
      <c r="L247" s="279"/>
      <c r="M247" s="279"/>
    </row>
    <row r="248" spans="1:13" s="280" customFormat="1" ht="12.75" customHeight="1">
      <c r="A248" s="206"/>
      <c r="B248" s="207"/>
      <c r="C248" s="372"/>
      <c r="D248" s="372"/>
      <c r="E248" s="212"/>
      <c r="F248" s="212"/>
      <c r="G248" s="279"/>
      <c r="H248" s="296" t="s">
        <v>182</v>
      </c>
      <c r="I248" s="296">
        <f>D232</f>
        <v>748447434.19000006</v>
      </c>
      <c r="J248" s="240"/>
      <c r="L248" s="279"/>
      <c r="M248" s="279"/>
    </row>
    <row r="249" spans="1:13" s="280" customFormat="1">
      <c r="A249" s="206"/>
      <c r="B249" s="207"/>
      <c r="C249" s="372"/>
      <c r="D249" s="372"/>
      <c r="E249" s="212"/>
      <c r="F249" s="212"/>
      <c r="G249" s="279"/>
      <c r="H249" s="296" t="s">
        <v>176</v>
      </c>
      <c r="I249" s="296">
        <f>I245-I248</f>
        <v>0</v>
      </c>
      <c r="J249" s="240"/>
      <c r="L249" s="279"/>
      <c r="M249" s="279"/>
    </row>
    <row r="250" spans="1:13" s="280" customFormat="1">
      <c r="A250" s="206"/>
      <c r="B250" s="207"/>
      <c r="C250" s="372"/>
      <c r="D250" s="372"/>
      <c r="E250" s="212"/>
      <c r="F250" s="212"/>
      <c r="G250" s="279"/>
      <c r="I250" s="213"/>
      <c r="J250" s="279"/>
      <c r="L250" s="279"/>
      <c r="M250" s="279"/>
    </row>
    <row r="251" spans="1:13" s="280" customFormat="1" ht="11.25" customHeight="1">
      <c r="A251" s="206"/>
      <c r="B251" s="207"/>
      <c r="C251" s="372"/>
      <c r="D251" s="372"/>
      <c r="E251" s="212"/>
      <c r="F251" s="212"/>
      <c r="G251" s="279"/>
      <c r="I251" s="213"/>
      <c r="J251" s="279"/>
      <c r="L251" s="279"/>
      <c r="M251" s="279"/>
    </row>
    <row r="252" spans="1:13" s="280" customFormat="1">
      <c r="A252" s="206"/>
      <c r="B252" s="207"/>
      <c r="C252" s="372"/>
      <c r="D252" s="372"/>
      <c r="E252" s="279"/>
      <c r="F252" s="279"/>
      <c r="G252" s="279"/>
      <c r="H252" s="279"/>
      <c r="I252" s="279"/>
      <c r="J252" s="279"/>
      <c r="L252" s="279"/>
      <c r="M252" s="279"/>
    </row>
    <row r="253" spans="1:13" s="280" customFormat="1" ht="12.75" customHeight="1">
      <c r="A253" s="206"/>
      <c r="B253" s="207"/>
      <c r="C253" s="372"/>
      <c r="D253" s="372"/>
      <c r="E253" s="279"/>
      <c r="F253" s="279"/>
      <c r="G253" s="279"/>
      <c r="H253" s="279"/>
      <c r="I253" s="279"/>
      <c r="J253" s="279"/>
      <c r="L253" s="279"/>
      <c r="M253" s="279"/>
    </row>
    <row r="254" spans="1:13" s="280" customFormat="1" ht="13.5" customHeight="1">
      <c r="A254" s="206"/>
      <c r="B254" s="207"/>
      <c r="C254" s="372"/>
      <c r="D254" s="372"/>
      <c r="E254" s="279"/>
      <c r="F254" s="279"/>
      <c r="G254" s="279"/>
      <c r="H254" s="279"/>
      <c r="I254" s="279"/>
      <c r="J254" s="279"/>
      <c r="L254" s="279"/>
      <c r="M254" s="279"/>
    </row>
    <row r="255" spans="1:13" s="280" customFormat="1">
      <c r="A255" s="206"/>
      <c r="B255" s="207"/>
      <c r="C255" s="372"/>
      <c r="D255" s="372"/>
      <c r="E255" s="279"/>
      <c r="F255" s="279"/>
      <c r="G255" s="279"/>
      <c r="H255" s="279"/>
      <c r="I255" s="279"/>
      <c r="J255" s="279"/>
      <c r="L255" s="279"/>
      <c r="M255" s="279"/>
    </row>
    <row r="256" spans="1:13" s="280" customFormat="1">
      <c r="A256" s="206"/>
      <c r="B256" s="207"/>
      <c r="C256" s="372"/>
      <c r="D256" s="372"/>
      <c r="E256" s="279"/>
      <c r="F256" s="279"/>
      <c r="G256" s="279"/>
      <c r="H256" s="279"/>
      <c r="I256" s="279"/>
      <c r="J256" s="279"/>
      <c r="L256" s="279"/>
      <c r="M256" s="279"/>
    </row>
    <row r="257" spans="1:13" s="280" customFormat="1">
      <c r="A257" s="206"/>
      <c r="B257" s="207"/>
      <c r="C257" s="372"/>
      <c r="D257" s="372"/>
      <c r="E257" s="279"/>
      <c r="F257" s="279"/>
      <c r="G257" s="279"/>
      <c r="H257" s="279"/>
      <c r="I257" s="279"/>
      <c r="J257" s="279"/>
      <c r="L257" s="279"/>
      <c r="M257" s="279"/>
    </row>
    <row r="258" spans="1:13" s="280" customFormat="1">
      <c r="A258" s="206"/>
      <c r="B258" s="207"/>
      <c r="C258" s="372"/>
      <c r="D258" s="372"/>
      <c r="E258" s="279"/>
      <c r="F258" s="279"/>
      <c r="G258" s="279"/>
      <c r="H258" s="279"/>
      <c r="I258" s="279"/>
      <c r="J258" s="279"/>
      <c r="L258" s="279"/>
      <c r="M258" s="279"/>
    </row>
    <row r="259" spans="1:13">
      <c r="A259" s="206"/>
      <c r="B259" s="207"/>
      <c r="C259" s="222"/>
      <c r="D259" s="372"/>
      <c r="E259" s="279"/>
      <c r="F259" s="279"/>
      <c r="H259" s="279"/>
      <c r="I259" s="279"/>
    </row>
    <row r="260" spans="1:13">
      <c r="A260" s="206"/>
      <c r="B260" s="207"/>
      <c r="C260" s="222"/>
      <c r="D260" s="372"/>
      <c r="E260" s="279"/>
      <c r="F260" s="279"/>
      <c r="H260" s="279"/>
      <c r="I260" s="279"/>
    </row>
    <row r="261" spans="1:13">
      <c r="A261" s="206"/>
      <c r="B261" s="207"/>
      <c r="C261" s="222"/>
      <c r="D261" s="372"/>
      <c r="E261" s="279"/>
      <c r="F261" s="279"/>
      <c r="H261" s="279"/>
      <c r="I261" s="279"/>
    </row>
    <row r="262" spans="1:13">
      <c r="A262" s="206"/>
      <c r="B262" s="207"/>
      <c r="C262" s="222"/>
      <c r="D262" s="372"/>
      <c r="E262" s="279"/>
      <c r="F262" s="279"/>
      <c r="H262" s="279"/>
      <c r="I262" s="279"/>
    </row>
    <row r="263" spans="1:13">
      <c r="A263" s="206"/>
      <c r="B263" s="207"/>
      <c r="C263" s="222"/>
      <c r="D263" s="372"/>
      <c r="E263" s="279"/>
      <c r="F263" s="279"/>
      <c r="H263" s="279"/>
      <c r="I263" s="279"/>
    </row>
    <row r="264" spans="1:13">
      <c r="A264" s="206"/>
      <c r="B264" s="207"/>
      <c r="C264" s="222"/>
      <c r="D264" s="372"/>
      <c r="E264" s="279"/>
      <c r="F264" s="279"/>
      <c r="H264" s="279"/>
      <c r="I264" s="279"/>
    </row>
    <row r="265" spans="1:13">
      <c r="A265" s="206"/>
      <c r="B265" s="207"/>
      <c r="C265" s="222"/>
      <c r="D265" s="372"/>
      <c r="E265" s="279"/>
      <c r="F265" s="279"/>
      <c r="H265" s="279"/>
      <c r="I265" s="279"/>
    </row>
    <row r="266" spans="1:13">
      <c r="A266" s="206"/>
      <c r="B266" s="207"/>
      <c r="C266" s="222"/>
      <c r="D266" s="372"/>
      <c r="E266" s="279"/>
      <c r="F266" s="279"/>
      <c r="H266" s="279"/>
      <c r="I266" s="279"/>
    </row>
    <row r="267" spans="1:13">
      <c r="A267" s="206"/>
      <c r="B267" s="207"/>
      <c r="C267" s="222"/>
      <c r="D267" s="372"/>
      <c r="E267" s="279"/>
      <c r="F267" s="279"/>
      <c r="H267" s="279"/>
      <c r="I267" s="279"/>
    </row>
    <row r="268" spans="1:13">
      <c r="A268" s="206"/>
      <c r="B268" s="207"/>
      <c r="C268" s="222"/>
      <c r="D268" s="372"/>
      <c r="E268" s="279"/>
      <c r="F268" s="279"/>
      <c r="H268" s="279"/>
      <c r="I268" s="279"/>
    </row>
    <row r="269" spans="1:13">
      <c r="A269" s="206"/>
      <c r="B269" s="207"/>
      <c r="C269" s="222"/>
      <c r="D269" s="372"/>
      <c r="E269" s="279"/>
      <c r="F269" s="279"/>
      <c r="H269" s="279"/>
      <c r="I269" s="279"/>
    </row>
    <row r="270" spans="1:13">
      <c r="A270" s="206"/>
      <c r="B270" s="207"/>
      <c r="C270" s="222"/>
      <c r="D270" s="372"/>
      <c r="E270" s="279"/>
      <c r="F270" s="279"/>
      <c r="H270" s="279"/>
      <c r="I270" s="279"/>
    </row>
    <row r="271" spans="1:13">
      <c r="A271" s="206"/>
      <c r="B271" s="207"/>
      <c r="C271" s="222"/>
      <c r="D271" s="372"/>
      <c r="E271" s="279"/>
      <c r="F271" s="279"/>
      <c r="H271" s="279"/>
      <c r="I271" s="279"/>
    </row>
    <row r="272" spans="1:13">
      <c r="A272" s="206"/>
      <c r="B272" s="207"/>
      <c r="C272" s="222"/>
      <c r="D272" s="372"/>
      <c r="E272" s="279"/>
      <c r="F272" s="279"/>
      <c r="H272" s="279"/>
      <c r="I272" s="279"/>
    </row>
    <row r="273" spans="1:9">
      <c r="A273" s="206"/>
      <c r="B273" s="207"/>
      <c r="C273" s="222"/>
      <c r="D273" s="372"/>
      <c r="E273" s="279"/>
      <c r="F273" s="279"/>
      <c r="H273" s="279"/>
      <c r="I273" s="279"/>
    </row>
    <row r="274" spans="1:9">
      <c r="A274" s="206"/>
      <c r="B274" s="207"/>
      <c r="C274" s="222"/>
      <c r="D274" s="372"/>
      <c r="E274" s="279"/>
      <c r="F274" s="279"/>
      <c r="H274" s="279"/>
      <c r="I274" s="279"/>
    </row>
    <row r="275" spans="1:9">
      <c r="A275" s="206"/>
      <c r="B275" s="207"/>
      <c r="C275" s="222"/>
      <c r="D275" s="372"/>
      <c r="E275" s="279"/>
      <c r="F275" s="279"/>
      <c r="H275" s="279"/>
      <c r="I275" s="279"/>
    </row>
    <row r="276" spans="1:9">
      <c r="A276" s="206"/>
      <c r="B276" s="207"/>
      <c r="C276" s="222"/>
      <c r="D276" s="372"/>
      <c r="E276" s="279"/>
      <c r="F276" s="279"/>
      <c r="H276" s="279"/>
      <c r="I276" s="279"/>
    </row>
    <row r="277" spans="1:9">
      <c r="A277" s="206"/>
      <c r="B277" s="207"/>
      <c r="C277" s="222"/>
      <c r="D277" s="372"/>
      <c r="E277" s="279"/>
      <c r="F277" s="279"/>
      <c r="H277" s="279"/>
      <c r="I277" s="279"/>
    </row>
    <row r="278" spans="1:9">
      <c r="A278" s="206"/>
      <c r="B278" s="207"/>
      <c r="C278" s="222"/>
      <c r="D278" s="372"/>
      <c r="E278" s="279"/>
      <c r="F278" s="279"/>
      <c r="H278" s="279"/>
      <c r="I278" s="279"/>
    </row>
    <row r="279" spans="1:9">
      <c r="A279" s="206"/>
      <c r="B279" s="207"/>
      <c r="C279" s="222"/>
      <c r="D279" s="372"/>
      <c r="E279" s="279"/>
      <c r="F279" s="279"/>
      <c r="H279" s="279"/>
      <c r="I279" s="279"/>
    </row>
    <row r="280" spans="1:9">
      <c r="A280" s="206"/>
      <c r="B280" s="207"/>
      <c r="C280" s="222"/>
      <c r="D280" s="372"/>
      <c r="E280" s="279"/>
      <c r="F280" s="279"/>
      <c r="H280" s="279"/>
      <c r="I280" s="279"/>
    </row>
    <row r="281" spans="1:9">
      <c r="A281" s="206"/>
      <c r="B281" s="207"/>
      <c r="C281" s="222"/>
      <c r="D281" s="372"/>
      <c r="E281" s="279"/>
      <c r="F281" s="279"/>
      <c r="H281" s="279"/>
      <c r="I281" s="279"/>
    </row>
    <row r="282" spans="1:9">
      <c r="A282" s="206"/>
      <c r="B282" s="207"/>
      <c r="C282" s="222"/>
      <c r="D282" s="372"/>
      <c r="E282" s="279"/>
      <c r="F282" s="279"/>
      <c r="H282" s="279"/>
      <c r="I282" s="279"/>
    </row>
    <row r="283" spans="1:9">
      <c r="A283" s="206"/>
      <c r="B283" s="207"/>
      <c r="C283" s="222"/>
      <c r="D283" s="372"/>
      <c r="E283" s="279"/>
      <c r="F283" s="279"/>
      <c r="H283" s="279"/>
      <c r="I283" s="279"/>
    </row>
    <row r="284" spans="1:9">
      <c r="A284" s="206"/>
      <c r="B284" s="207"/>
      <c r="C284" s="222"/>
      <c r="D284" s="372"/>
      <c r="E284" s="279"/>
      <c r="F284" s="279"/>
      <c r="H284" s="279"/>
      <c r="I284" s="279"/>
    </row>
    <row r="285" spans="1:9">
      <c r="A285" s="206"/>
      <c r="B285" s="207"/>
      <c r="C285" s="222"/>
      <c r="D285" s="372"/>
      <c r="E285" s="279"/>
      <c r="F285" s="279"/>
      <c r="H285" s="279"/>
      <c r="I285" s="279"/>
    </row>
    <row r="286" spans="1:9">
      <c r="A286" s="148"/>
      <c r="B286" s="154"/>
      <c r="C286" s="222"/>
      <c r="D286" s="372"/>
      <c r="E286" s="279"/>
      <c r="F286" s="279"/>
      <c r="H286" s="279"/>
      <c r="I286" s="279"/>
    </row>
    <row r="287" spans="1:9">
      <c r="A287" s="148"/>
      <c r="B287" s="154"/>
      <c r="C287" s="222"/>
      <c r="D287" s="372"/>
      <c r="E287" s="279"/>
      <c r="F287" s="279"/>
      <c r="H287" s="279"/>
      <c r="I287" s="279"/>
    </row>
    <row r="288" spans="1:9">
      <c r="A288" s="148"/>
      <c r="B288" s="154"/>
      <c r="C288" s="222"/>
      <c r="D288" s="372"/>
      <c r="E288" s="279"/>
      <c r="F288" s="279"/>
      <c r="H288" s="279"/>
      <c r="I288" s="279"/>
    </row>
    <row r="289" spans="1:9">
      <c r="A289" s="148"/>
      <c r="B289" s="154"/>
      <c r="C289" s="222"/>
      <c r="D289" s="372"/>
      <c r="E289" s="279"/>
      <c r="F289" s="279"/>
      <c r="H289" s="279"/>
      <c r="I289" s="279"/>
    </row>
    <row r="290" spans="1:9">
      <c r="A290" s="148"/>
      <c r="B290" s="154"/>
      <c r="C290" s="222"/>
      <c r="D290" s="372"/>
      <c r="E290" s="279"/>
      <c r="F290" s="279"/>
      <c r="H290" s="279"/>
      <c r="I290" s="279"/>
    </row>
    <row r="291" spans="1:9">
      <c r="A291" s="148"/>
      <c r="B291" s="154"/>
      <c r="C291" s="222"/>
      <c r="D291" s="372"/>
      <c r="E291" s="279"/>
      <c r="F291" s="279"/>
      <c r="H291" s="279"/>
      <c r="I291" s="279"/>
    </row>
    <row r="292" spans="1:9">
      <c r="A292" s="148"/>
      <c r="B292" s="154"/>
      <c r="C292" s="222"/>
      <c r="D292" s="372"/>
      <c r="E292" s="279"/>
      <c r="F292" s="279"/>
      <c r="H292" s="279"/>
      <c r="I292" s="279"/>
    </row>
  </sheetData>
  <mergeCells count="10">
    <mergeCell ref="A235:B235"/>
    <mergeCell ref="A236:B236"/>
    <mergeCell ref="D238:F238"/>
    <mergeCell ref="D239:F239"/>
    <mergeCell ref="A3:F3"/>
    <mergeCell ref="A4:F4"/>
    <mergeCell ref="A7:A8"/>
    <mergeCell ref="B7:B8"/>
    <mergeCell ref="E7:E8"/>
    <mergeCell ref="F7:F8"/>
  </mergeCells>
  <conditionalFormatting sqref="F131">
    <cfRule type="cellIs" dxfId="0" priority="1" stopIfTrue="1" operator="greaterThan">
      <formula>0</formula>
    </cfRule>
  </conditionalFormatting>
  <pageMargins left="0.441176470588235" right="0.12" top="0.40625" bottom="0.85416666666666696" header="0.5" footer="0.5"/>
  <pageSetup paperSize="258" fitToHeight="0" orientation="portrait" verticalDpi="180" r:id="rId1"/>
  <headerFooter alignWithMargins="0">
    <oddFooter>Page &amp;P of &amp;N</oddFooter>
  </headerFooter>
  <rowBreaks count="3" manualBreakCount="3">
    <brk id="72" max="10" man="1"/>
    <brk id="135" max="10" man="1"/>
    <brk id="19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0</vt:lpstr>
      <vt:lpstr>JAN'16</vt:lpstr>
      <vt:lpstr>JAN'16REVISED</vt:lpstr>
      <vt:lpstr>FEB'16</vt:lpstr>
      <vt:lpstr>MAR'16</vt:lpstr>
      <vt:lpstr>APR'16</vt:lpstr>
      <vt:lpstr>MAY'16</vt:lpstr>
      <vt:lpstr>JUN'16</vt:lpstr>
      <vt:lpstr>JUL'16</vt:lpstr>
      <vt:lpstr>misc monthly</vt:lpstr>
      <vt:lpstr>EV &amp; RPT</vt:lpstr>
      <vt:lpstr>'0'!Print_Area</vt:lpstr>
      <vt:lpstr>'APR''16'!Print_Area</vt:lpstr>
      <vt:lpstr>'EV &amp; RPT'!Print_Area</vt:lpstr>
      <vt:lpstr>'FEB''16'!Print_Area</vt:lpstr>
      <vt:lpstr>'JAN''16'!Print_Area</vt:lpstr>
      <vt:lpstr>'JAN''16REVISED'!Print_Area</vt:lpstr>
      <vt:lpstr>'JUL''16'!Print_Area</vt:lpstr>
      <vt:lpstr>'JUN''16'!Print_Area</vt:lpstr>
      <vt:lpstr>'MAR''16'!Print_Area</vt:lpstr>
      <vt:lpstr>'MAY''16'!Print_Area</vt:lpstr>
      <vt:lpstr>'misc monthly'!Print_Area</vt:lpstr>
      <vt:lpstr>'0'!Print_Titles</vt:lpstr>
      <vt:lpstr>'APR''16'!Print_Titles</vt:lpstr>
      <vt:lpstr>'FEB''16'!Print_Titles</vt:lpstr>
      <vt:lpstr>'JAN''16'!Print_Titles</vt:lpstr>
      <vt:lpstr>'JAN''16REVISED'!Print_Titles</vt:lpstr>
      <vt:lpstr>'JUL''16'!Print_Titles</vt:lpstr>
      <vt:lpstr>'JUN''16'!Print_Titles</vt:lpstr>
      <vt:lpstr>'MAR''16'!Print_Titles</vt:lpstr>
      <vt:lpstr>'MAY''16'!Print_Titles</vt:lpstr>
    </vt:vector>
  </TitlesOfParts>
  <Company>ENGAS_Tagum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</dc:creator>
  <cp:lastModifiedBy>user</cp:lastModifiedBy>
  <cp:lastPrinted>2016-08-24T06:24:29Z</cp:lastPrinted>
  <dcterms:created xsi:type="dcterms:W3CDTF">2006-01-05T05:38:10Z</dcterms:created>
  <dcterms:modified xsi:type="dcterms:W3CDTF">2016-08-26T18:41:52Z</dcterms:modified>
</cp:coreProperties>
</file>