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75" windowWidth="15480" windowHeight="7275" activeTab="1"/>
  </bookViews>
  <sheets>
    <sheet name="Instrucciones" sheetId="3" r:id="rId1"/>
    <sheet name="Batch Sueldos" sheetId="1" r:id="rId2"/>
    <sheet name="Detalle Sueldos" sheetId="4" r:id="rId3"/>
    <sheet name="Batch Retenciones" sheetId="6" r:id="rId4"/>
    <sheet name="Detalle Retenciones" sheetId="7" r:id="rId5"/>
    <sheet name="Tablas" sheetId="2" r:id="rId6"/>
  </sheets>
  <definedNames>
    <definedName name="_xlnm.Print_Area" localSheetId="4">'Detalle Retenciones'!$C$1:$E$42</definedName>
    <definedName name="_xlnm.Print_Area" localSheetId="2">'Detalle Sueldos'!$C$1:$G$127</definedName>
    <definedName name="CVEDIV">Tablas!$J$4:$J$9</definedName>
    <definedName name="CVPAGO">Tablas!$J$12:$J$27</definedName>
    <definedName name="TISR177">Tablas!$B$4:$E$11</definedName>
    <definedName name="TISR1991">Tablas!$B$15:$E$19</definedName>
    <definedName name="_xlnm.Print_Titles" localSheetId="2">'Detalle Sueldos'!#REF!</definedName>
    <definedName name="TSUB1991">Tablas!$B$23:$E$29</definedName>
  </definedNames>
  <calcPr calcId="145621" fullPrecision="0"/>
</workbook>
</file>

<file path=xl/calcChain.xml><?xml version="1.0" encoding="utf-8"?>
<calcChain xmlns="http://schemas.openxmlformats.org/spreadsheetml/2006/main">
  <c r="P4" i="1" l="1"/>
  <c r="P5" i="1"/>
  <c r="P6" i="1"/>
  <c r="P7" i="1"/>
  <c r="P8" i="1"/>
  <c r="P9" i="1"/>
  <c r="N4" i="1"/>
  <c r="N5" i="1"/>
  <c r="N6" i="1"/>
  <c r="N7" i="1"/>
  <c r="N8" i="1"/>
  <c r="N9" i="1"/>
  <c r="L5" i="1"/>
  <c r="O5" i="1"/>
  <c r="T5" i="1"/>
  <c r="X5" i="1"/>
  <c r="AC5" i="1"/>
  <c r="AD5" i="1"/>
  <c r="AK5" i="1"/>
  <c r="AN5" i="1"/>
  <c r="AR5" i="1"/>
  <c r="DA5" i="1"/>
  <c r="DB5" i="1"/>
  <c r="DJ5" i="1"/>
  <c r="DK5" i="1"/>
  <c r="DN5" i="1"/>
  <c r="DO5" i="1"/>
  <c r="DP5" i="1"/>
  <c r="DQ5" i="1"/>
  <c r="DR5" i="1"/>
  <c r="DY5" i="1"/>
  <c r="EB5" i="1"/>
  <c r="DS5" i="1" s="1"/>
  <c r="EC5" i="1"/>
  <c r="ED5" i="1"/>
  <c r="EE5" i="1"/>
  <c r="EF5" i="1"/>
  <c r="EG5" i="1"/>
  <c r="EH5" i="1"/>
  <c r="EI5" i="1"/>
  <c r="EK5" i="1"/>
  <c r="L6" i="1"/>
  <c r="O6" i="1"/>
  <c r="T6" i="1"/>
  <c r="X6" i="1"/>
  <c r="AC6" i="1"/>
  <c r="AD6" i="1"/>
  <c r="AK6" i="1"/>
  <c r="AN6" i="1"/>
  <c r="AR6" i="1"/>
  <c r="DA6" i="1"/>
  <c r="DB6" i="1"/>
  <c r="DJ6" i="1"/>
  <c r="DK6" i="1"/>
  <c r="DN6" i="1"/>
  <c r="DO6" i="1"/>
  <c r="DP6" i="1"/>
  <c r="DQ6" i="1"/>
  <c r="DR6" i="1"/>
  <c r="DY6" i="1"/>
  <c r="EB6" i="1"/>
  <c r="DS6" i="1" s="1"/>
  <c r="EC6" i="1"/>
  <c r="ED6" i="1"/>
  <c r="EE6" i="1"/>
  <c r="EF6" i="1"/>
  <c r="EG6" i="1"/>
  <c r="EH6" i="1"/>
  <c r="EI6" i="1"/>
  <c r="EK6" i="1"/>
  <c r="L7" i="1"/>
  <c r="T7" i="1"/>
  <c r="X7" i="1"/>
  <c r="AC7" i="1"/>
  <c r="AD7" i="1"/>
  <c r="AK7" i="1"/>
  <c r="AN7" i="1"/>
  <c r="AR7" i="1"/>
  <c r="DA7" i="1"/>
  <c r="DB7" i="1"/>
  <c r="DJ7" i="1"/>
  <c r="DK7" i="1"/>
  <c r="DN7" i="1"/>
  <c r="DO7" i="1"/>
  <c r="DP7" i="1"/>
  <c r="DQ7" i="1"/>
  <c r="DR7" i="1"/>
  <c r="DY7" i="1"/>
  <c r="EB7" i="1"/>
  <c r="DS7" i="1" s="1"/>
  <c r="EC7" i="1"/>
  <c r="ED7" i="1"/>
  <c r="EE7" i="1"/>
  <c r="EF7" i="1"/>
  <c r="EG7" i="1"/>
  <c r="EH7" i="1"/>
  <c r="EI7" i="1"/>
  <c r="EK7" i="1"/>
  <c r="K8" i="1"/>
  <c r="L8" i="1"/>
  <c r="T8" i="1"/>
  <c r="X8" i="1"/>
  <c r="AC8" i="1"/>
  <c r="AD8" i="1"/>
  <c r="AK8" i="1"/>
  <c r="AN8" i="1"/>
  <c r="AR8" i="1"/>
  <c r="DA8" i="1"/>
  <c r="DB8" i="1"/>
  <c r="DJ8" i="1"/>
  <c r="DK8" i="1"/>
  <c r="DN8" i="1"/>
  <c r="DO8" i="1"/>
  <c r="DP8" i="1"/>
  <c r="DQ8" i="1"/>
  <c r="DR8" i="1"/>
  <c r="DY8" i="1"/>
  <c r="EB8" i="1"/>
  <c r="DS8" i="1" s="1"/>
  <c r="EC8" i="1"/>
  <c r="ED8" i="1"/>
  <c r="EE8" i="1"/>
  <c r="EF8" i="1"/>
  <c r="EG8" i="1"/>
  <c r="EH8" i="1"/>
  <c r="EI8" i="1"/>
  <c r="EK8" i="1"/>
  <c r="L9" i="1"/>
  <c r="T9" i="1"/>
  <c r="X9" i="1"/>
  <c r="AC9" i="1"/>
  <c r="AD9" i="1"/>
  <c r="AK9" i="1"/>
  <c r="AN9" i="1"/>
  <c r="AR9" i="1"/>
  <c r="DA9" i="1"/>
  <c r="DB9" i="1"/>
  <c r="DJ9" i="1"/>
  <c r="DK9" i="1"/>
  <c r="DN9" i="1"/>
  <c r="DO9" i="1"/>
  <c r="DP9" i="1"/>
  <c r="DQ9" i="1"/>
  <c r="DR9" i="1"/>
  <c r="DY9" i="1"/>
  <c r="EB9" i="1"/>
  <c r="DS9" i="1" s="1"/>
  <c r="EC9" i="1"/>
  <c r="ED9" i="1"/>
  <c r="EE9" i="1"/>
  <c r="EF9" i="1"/>
  <c r="EG9" i="1"/>
  <c r="EH9" i="1"/>
  <c r="EI9" i="1"/>
  <c r="EK9" i="1"/>
  <c r="K4" i="1"/>
  <c r="EC4" i="1" s="1"/>
  <c r="L4" i="1"/>
  <c r="O4" i="1"/>
  <c r="T4" i="1"/>
  <c r="X4" i="1"/>
  <c r="AC4" i="1"/>
  <c r="AD4" i="1"/>
  <c r="AK4" i="1"/>
  <c r="AN4" i="1"/>
  <c r="AR4" i="1"/>
  <c r="DA4" i="1"/>
  <c r="DB4" i="1"/>
  <c r="DJ4" i="1"/>
  <c r="DK4" i="1"/>
  <c r="DN4" i="1"/>
  <c r="DO4" i="1"/>
  <c r="DP4" i="1"/>
  <c r="DQ4" i="1"/>
  <c r="DR4" i="1"/>
  <c r="DY4" i="1"/>
  <c r="EB4" i="1"/>
  <c r="DS4" i="1" s="1"/>
  <c r="EE4" i="1"/>
  <c r="EG4" i="1"/>
  <c r="EH4" i="1"/>
  <c r="EI4" i="1"/>
  <c r="EK4" i="1"/>
  <c r="ED4" i="1" l="1"/>
  <c r="EF4" i="1" s="1"/>
  <c r="DV9" i="1"/>
  <c r="DX9" i="1" s="1"/>
  <c r="EJ9" i="1"/>
  <c r="DV8" i="1"/>
  <c r="DX8" i="1" s="1"/>
  <c r="EJ8" i="1"/>
  <c r="DV7" i="1"/>
  <c r="DX7" i="1" s="1"/>
  <c r="EJ7" i="1"/>
  <c r="DV6" i="1"/>
  <c r="DX6" i="1" s="1"/>
  <c r="EJ6" i="1"/>
  <c r="DV5" i="1"/>
  <c r="DX5" i="1" s="1"/>
  <c r="EJ5" i="1"/>
  <c r="DV4" i="1"/>
  <c r="DX4" i="1" s="1"/>
  <c r="EJ4" i="1"/>
  <c r="E7" i="4"/>
  <c r="B10" i="1"/>
  <c r="S10" i="1"/>
  <c r="U10" i="1"/>
  <c r="V10" i="1"/>
  <c r="X10" i="1"/>
  <c r="Y10" i="1"/>
  <c r="Z10" i="1"/>
  <c r="AA10" i="1"/>
  <c r="AB10" i="1"/>
  <c r="AC10" i="1"/>
  <c r="AD10" i="1"/>
  <c r="AE10" i="1"/>
  <c r="AF10" i="1"/>
  <c r="AG10" i="1"/>
  <c r="AH10" i="1"/>
  <c r="AI10" i="1"/>
  <c r="AJ10" i="1"/>
  <c r="AK10" i="1"/>
  <c r="AL10" i="1"/>
  <c r="AM10" i="1"/>
  <c r="AO10" i="1"/>
  <c r="AP10" i="1"/>
  <c r="AQ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C10" i="1"/>
  <c r="DD10" i="1"/>
  <c r="DE10" i="1"/>
  <c r="DF10" i="1"/>
  <c r="DG10" i="1"/>
  <c r="DH10" i="1"/>
  <c r="DL10" i="1"/>
  <c r="DM10" i="1"/>
  <c r="DT10" i="1"/>
  <c r="DU10" i="1"/>
  <c r="DW10" i="1"/>
  <c r="DZ10" i="1"/>
  <c r="EA10" i="1"/>
  <c r="DY10" i="1"/>
  <c r="E114" i="4"/>
  <c r="E117" i="4"/>
  <c r="E118" i="4"/>
  <c r="E109" i="4"/>
  <c r="E110" i="4"/>
  <c r="DA10" i="1"/>
  <c r="G60" i="2"/>
  <c r="G64" i="2" s="1"/>
  <c r="AD5" i="6"/>
  <c r="AE5" i="6"/>
  <c r="X5" i="6"/>
  <c r="Y5" i="6"/>
  <c r="Z5" i="6"/>
  <c r="AA5" i="6"/>
  <c r="AB5" i="6"/>
  <c r="AC5" i="6"/>
  <c r="W5" i="6"/>
  <c r="T5" i="6"/>
  <c r="U5" i="6"/>
  <c r="S5" i="6"/>
  <c r="Q5" i="6"/>
  <c r="P5" i="6"/>
  <c r="L5" i="6"/>
  <c r="M5" i="6"/>
  <c r="K5" i="6"/>
  <c r="B5" i="6"/>
  <c r="E40" i="7"/>
  <c r="E39" i="7"/>
  <c r="E38" i="7"/>
  <c r="E36" i="7"/>
  <c r="E35" i="7"/>
  <c r="E34" i="7"/>
  <c r="H6" i="7"/>
  <c r="H5" i="7"/>
  <c r="H4" i="7"/>
  <c r="E32" i="7"/>
  <c r="E31" i="7"/>
  <c r="E30" i="7"/>
  <c r="E29" i="7"/>
  <c r="E28" i="7"/>
  <c r="E27" i="7"/>
  <c r="E26" i="7"/>
  <c r="E25" i="7"/>
  <c r="E24" i="7"/>
  <c r="E23" i="7"/>
  <c r="E22" i="7"/>
  <c r="E21" i="7"/>
  <c r="E20" i="7"/>
  <c r="E19" i="7"/>
  <c r="E17" i="7"/>
  <c r="E16" i="7"/>
  <c r="E15" i="7"/>
  <c r="E13" i="7"/>
  <c r="E12" i="7"/>
  <c r="E11" i="7"/>
  <c r="E10" i="7"/>
  <c r="E9" i="7"/>
  <c r="E3" i="7"/>
  <c r="E4" i="7"/>
  <c r="E5" i="7"/>
  <c r="E7" i="7"/>
  <c r="E2" i="7"/>
  <c r="AF4" i="6"/>
  <c r="AG4" i="6"/>
  <c r="E97" i="4"/>
  <c r="I2" i="4"/>
  <c r="H3" i="4" s="1"/>
  <c r="C123" i="4"/>
  <c r="C120" i="4"/>
  <c r="C124" i="4"/>
  <c r="C121" i="4"/>
  <c r="E11" i="4"/>
  <c r="E13" i="4"/>
  <c r="C4" i="4"/>
  <c r="C3" i="4"/>
  <c r="E5" i="4"/>
  <c r="F2" i="4"/>
  <c r="E2" i="4"/>
  <c r="E16" i="4"/>
  <c r="E15" i="4"/>
  <c r="E14" i="4"/>
  <c r="E6" i="4"/>
  <c r="E101" i="4"/>
  <c r="E100" i="4"/>
  <c r="E98" i="4"/>
  <c r="E94" i="4"/>
  <c r="E93" i="4"/>
  <c r="E92" i="4"/>
  <c r="E91" i="4"/>
  <c r="F88" i="4"/>
  <c r="E88" i="4"/>
  <c r="F87" i="4"/>
  <c r="E87" i="4"/>
  <c r="F86" i="4"/>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6" i="4"/>
  <c r="E66" i="4"/>
  <c r="F65" i="4"/>
  <c r="E65" i="4"/>
  <c r="F64" i="4"/>
  <c r="E64" i="4"/>
  <c r="F63" i="4"/>
  <c r="E63" i="4"/>
  <c r="F62" i="4"/>
  <c r="E62" i="4"/>
  <c r="F61" i="4"/>
  <c r="E61" i="4"/>
  <c r="F60" i="4"/>
  <c r="E60" i="4"/>
  <c r="E57" i="4"/>
  <c r="E56" i="4"/>
  <c r="E55" i="4"/>
  <c r="E54" i="4"/>
  <c r="E52" i="4"/>
  <c r="E51" i="4"/>
  <c r="E49" i="4"/>
  <c r="E47" i="4"/>
  <c r="E46" i="4"/>
  <c r="E45" i="4"/>
  <c r="E44" i="4"/>
  <c r="E43" i="4"/>
  <c r="E42" i="4"/>
  <c r="E40" i="4"/>
  <c r="E39" i="4"/>
  <c r="E38" i="4"/>
  <c r="E37" i="4"/>
  <c r="E36" i="4"/>
  <c r="E35" i="4"/>
  <c r="E34" i="4"/>
  <c r="E33" i="4"/>
  <c r="E32" i="4"/>
  <c r="E31" i="4"/>
  <c r="E28" i="4"/>
  <c r="E27" i="4"/>
  <c r="E25" i="4"/>
  <c r="E12" i="4"/>
  <c r="E53" i="4"/>
  <c r="E26" i="4"/>
  <c r="F90" i="4"/>
  <c r="C5" i="2"/>
  <c r="C6" i="2"/>
  <c r="C7" i="2"/>
  <c r="C8" i="2"/>
  <c r="C9" i="2"/>
  <c r="C10" i="2"/>
  <c r="C4" i="2"/>
  <c r="E116" i="4" l="1"/>
  <c r="E99" i="4"/>
  <c r="DQ10" i="1"/>
  <c r="AN10" i="1"/>
  <c r="E107" i="4"/>
  <c r="E106" i="4"/>
  <c r="DK10" i="1"/>
  <c r="DJ10" i="1"/>
  <c r="DI10" i="1"/>
  <c r="DB10" i="1"/>
  <c r="E90" i="4"/>
  <c r="E104" i="4"/>
  <c r="E48" i="4" l="1"/>
  <c r="DO10" i="1"/>
  <c r="DR10" i="1"/>
  <c r="E130" i="4"/>
  <c r="DN10" i="1"/>
  <c r="E103" i="4"/>
  <c r="E129" i="4"/>
  <c r="DP10" i="1"/>
  <c r="E105" i="4"/>
  <c r="EB10" i="1" l="1"/>
  <c r="E131" i="4"/>
  <c r="EF10" i="1"/>
  <c r="DS10" i="1" l="1"/>
  <c r="E108" i="4"/>
  <c r="DV10" i="1" l="1"/>
  <c r="E113" i="4"/>
  <c r="E115" i="4" l="1"/>
  <c r="H116" i="4" s="1"/>
  <c r="DX10" i="1"/>
</calcChain>
</file>

<file path=xl/comments1.xml><?xml version="1.0" encoding="utf-8"?>
<comments xmlns="http://schemas.openxmlformats.org/spreadsheetml/2006/main">
  <authors>
    <author>Daniel Reyes</author>
  </authors>
  <commentList>
    <comment ref="A3" authorId="0">
      <text>
        <r>
          <rPr>
            <b/>
            <sz val="9"/>
            <color indexed="81"/>
            <rFont val="Tahoma"/>
            <family val="2"/>
          </rPr>
          <t>Número de Nomina o Secuencial para Control</t>
        </r>
        <r>
          <rPr>
            <sz val="9"/>
            <color indexed="81"/>
            <rFont val="Tahoma"/>
            <family val="2"/>
          </rPr>
          <t xml:space="preserve">
</t>
        </r>
      </text>
    </comment>
    <comment ref="B3" authorId="0">
      <text>
        <r>
          <rPr>
            <b/>
            <sz val="9"/>
            <color indexed="81"/>
            <rFont val="Tahoma"/>
            <family val="2"/>
          </rPr>
          <t>Elegir Tema Aplicable:</t>
        </r>
        <r>
          <rPr>
            <sz val="9"/>
            <color indexed="81"/>
            <rFont val="Tahoma"/>
            <family val="2"/>
          </rPr>
          <t xml:space="preserve">
1 Sólo Salarios
2 Salarios y pagos por Separa.
3 Sólo pagos por Separación
4 Salarios y Asimilables
5 Sólo Asimilados
6 Todos los conceptos
</t>
        </r>
      </text>
    </comment>
    <comment ref="J3" authorId="0">
      <text>
        <r>
          <rPr>
            <b/>
            <sz val="9"/>
            <color indexed="81"/>
            <rFont val="Tahoma"/>
            <family val="2"/>
          </rPr>
          <t xml:space="preserve">Area Geografica:
</t>
        </r>
        <r>
          <rPr>
            <sz val="9"/>
            <color indexed="81"/>
            <rFont val="Tahoma"/>
            <family val="2"/>
          </rPr>
          <t>0 &lt;SinSelección&gt;</t>
        </r>
        <r>
          <rPr>
            <b/>
            <sz val="9"/>
            <color indexed="81"/>
            <rFont val="Tahoma"/>
            <family val="2"/>
          </rPr>
          <t xml:space="preserve">
</t>
        </r>
        <r>
          <rPr>
            <sz val="9"/>
            <color indexed="81"/>
            <rFont val="Tahoma"/>
            <family val="2"/>
          </rPr>
          <t xml:space="preserve">01 Área A
02 Área B
03 Área C
</t>
        </r>
      </text>
    </comment>
    <comment ref="K3" authorId="0">
      <text>
        <r>
          <rPr>
            <b/>
            <sz val="9"/>
            <color indexed="81"/>
            <rFont val="Tahoma"/>
            <family val="2"/>
          </rPr>
          <t xml:space="preserve">¿Realiza Cálculo Anual:
</t>
        </r>
        <r>
          <rPr>
            <sz val="9"/>
            <color indexed="81"/>
            <rFont val="Tahoma"/>
            <family val="2"/>
          </rPr>
          <t>0    &lt;Sin Selección&gt;
1    SI
2    NO</t>
        </r>
      </text>
    </comment>
    <comment ref="L3" authorId="0">
      <text>
        <r>
          <rPr>
            <b/>
            <sz val="9"/>
            <color indexed="81"/>
            <rFont val="Tahoma"/>
            <family val="2"/>
          </rPr>
          <t xml:space="preserve">Tabla Utilizada:
</t>
        </r>
        <r>
          <rPr>
            <sz val="9"/>
            <color indexed="81"/>
            <rFont val="Tahoma"/>
            <family val="2"/>
          </rPr>
          <t>0    &lt;Sin Selección&gt;
1    2009
2    1991</t>
        </r>
      </text>
    </comment>
    <comment ref="N3" authorId="0">
      <text>
        <r>
          <rPr>
            <b/>
            <sz val="9"/>
            <color indexed="81"/>
            <rFont val="Tahoma"/>
            <family val="2"/>
          </rPr>
          <t>¿Es Sindicalizado?:</t>
        </r>
        <r>
          <rPr>
            <sz val="9"/>
            <color indexed="81"/>
            <rFont val="Tahoma"/>
            <family val="2"/>
          </rPr>
          <t xml:space="preserve">
0    &lt;Sin Selección&gt;
1    SI
2    NO</t>
        </r>
      </text>
    </comment>
    <comment ref="O3" authorId="0">
      <text>
        <r>
          <rPr>
            <b/>
            <sz val="9"/>
            <color indexed="81"/>
            <rFont val="Tahoma"/>
            <family val="2"/>
          </rPr>
          <t xml:space="preserve">Clave Asimilado:
</t>
        </r>
        <r>
          <rPr>
            <sz val="9"/>
            <color indexed="81"/>
            <rFont val="Tahoma"/>
            <family val="2"/>
          </rPr>
          <t>0    &lt;Sin Selección&gt;
A    Sociedad Cooperativa
B    SC o AC
C    Consejo Directivo, Vigilancia 
      Consultivo o Comisarios
D   Comisionistas
E   Honorarios Asimilables
F   Otros
E   Honorarios Asimilables
F   Otros
G   Ing. en Acciones ó T. Valor</t>
        </r>
      </text>
    </comment>
    <comment ref="P3" authorId="0">
      <text>
        <r>
          <rPr>
            <b/>
            <sz val="9"/>
            <color indexed="81"/>
            <rFont val="Tahoma"/>
            <family val="2"/>
          </rPr>
          <t xml:space="preserve">Entidades Federativas:
</t>
        </r>
        <r>
          <rPr>
            <sz val="9"/>
            <color indexed="81"/>
            <rFont val="Tahoma"/>
            <family val="2"/>
          </rPr>
          <t>01 Ags    02  BC    03 BCS
04 Cam   05 Coa    06 Col
07 Chp    08 Chh   09 DF
10 Dgo    11 Gto   12 Gro
13 Hgo    14 Jal     15 Méx
16 Mich   17 Mor    18 Nay
19 NL      20 Oax    21Pue
22 Qro    23 QR     24 SLP
25 Sin     26 Son    27 Tab
28 Tam   29 Tlax    30 Ver
31 Yuc   32 Zac</t>
        </r>
      </text>
    </comment>
    <comment ref="S3" authorId="0">
      <text>
        <r>
          <rPr>
            <b/>
            <sz val="9"/>
            <color indexed="81"/>
            <rFont val="Tahoma"/>
            <family val="2"/>
          </rPr>
          <t>Art. 231-A RLISR:</t>
        </r>
        <r>
          <rPr>
            <sz val="9"/>
            <color indexed="81"/>
            <rFont val="Tahoma"/>
            <family val="2"/>
          </rPr>
          <t xml:space="preserve">
</t>
        </r>
      </text>
    </comment>
    <comment ref="T3" authorId="0">
      <text>
        <r>
          <rPr>
            <b/>
            <sz val="9"/>
            <color indexed="81"/>
            <rFont val="Tahoma"/>
            <family val="2"/>
          </rPr>
          <t xml:space="preserve">Indicar:
</t>
        </r>
        <r>
          <rPr>
            <sz val="9"/>
            <color indexed="81"/>
            <rFont val="Tahoma"/>
            <family val="2"/>
          </rPr>
          <t>0    &lt;Sin Selección&gt;
1    SI
2    No</t>
        </r>
      </text>
    </comment>
    <comment ref="X3" authorId="0">
      <text>
        <r>
          <rPr>
            <b/>
            <sz val="9"/>
            <color indexed="81"/>
            <rFont val="Tahoma"/>
            <family val="2"/>
          </rPr>
          <t>:</t>
        </r>
        <r>
          <rPr>
            <sz val="9"/>
            <color indexed="81"/>
            <rFont val="Tahoma"/>
            <family val="2"/>
          </rPr>
          <t xml:space="preserve">
Sumar mes a mes los pagos de la empresa por este concepto</t>
        </r>
      </text>
    </comment>
    <comment ref="Y3" authorId="0">
      <text>
        <r>
          <rPr>
            <b/>
            <sz val="9"/>
            <color indexed="81"/>
            <rFont val="Tahoma"/>
            <family val="2"/>
          </rPr>
          <t>:</t>
        </r>
        <r>
          <rPr>
            <sz val="9"/>
            <color indexed="81"/>
            <rFont val="Tahoma"/>
            <family val="2"/>
          </rPr>
          <t xml:space="preserve">
Monto recibido entre el numero de días de percepción</t>
        </r>
      </text>
    </comment>
    <comment ref="Z3" authorId="0">
      <text>
        <r>
          <rPr>
            <b/>
            <sz val="9"/>
            <color indexed="81"/>
            <rFont val="Tahoma"/>
            <family val="2"/>
          </rPr>
          <t>:</t>
        </r>
        <r>
          <rPr>
            <sz val="9"/>
            <color indexed="81"/>
            <rFont val="Tahoma"/>
            <family val="2"/>
          </rPr>
          <t xml:space="preserve">
aplicable a declaraciones 2005 hacia atras</t>
        </r>
      </text>
    </comment>
    <comment ref="AA3" authorId="0">
      <text>
        <r>
          <rPr>
            <b/>
            <sz val="9"/>
            <color indexed="81"/>
            <rFont val="Tahoma"/>
            <family val="2"/>
          </rPr>
          <t>:</t>
        </r>
        <r>
          <rPr>
            <sz val="9"/>
            <color indexed="81"/>
            <rFont val="Tahoma"/>
            <family val="2"/>
          </rPr>
          <t xml:space="preserve">
En caso de Haberlo convenido con el patron, en su caso no se llenan los campos anteriores</t>
        </r>
      </text>
    </comment>
    <comment ref="AB3" authorId="0">
      <text>
        <r>
          <rPr>
            <b/>
            <sz val="9"/>
            <color indexed="81"/>
            <rFont val="Tahoma"/>
            <family val="2"/>
          </rPr>
          <t>:</t>
        </r>
        <r>
          <rPr>
            <sz val="9"/>
            <color indexed="81"/>
            <rFont val="Tahoma"/>
            <family val="2"/>
          </rPr>
          <t xml:space="preserve">
Solo aplica para 2005 y anteriores</t>
        </r>
      </text>
    </comment>
    <comment ref="AC3" authorId="0">
      <text>
        <r>
          <rPr>
            <b/>
            <sz val="9"/>
            <color indexed="81"/>
            <rFont val="Tahoma"/>
            <family val="2"/>
          </rPr>
          <t>Art. 140 RLISR:</t>
        </r>
        <r>
          <rPr>
            <sz val="9"/>
            <color indexed="81"/>
            <rFont val="Tahoma"/>
            <family val="2"/>
          </rPr>
          <t xml:space="preserve">
No se pagara ISR cuando no exceda de 90 días</t>
        </r>
      </text>
    </comment>
    <comment ref="AE3" authorId="0">
      <text>
        <r>
          <rPr>
            <b/>
            <sz val="9"/>
            <color indexed="81"/>
            <rFont val="Tahoma"/>
            <family val="2"/>
          </rPr>
          <t>Art. 112:</t>
        </r>
        <r>
          <rPr>
            <sz val="9"/>
            <color indexed="81"/>
            <rFont val="Tahoma"/>
            <family val="2"/>
          </rPr>
          <t xml:space="preserve">
El equivalente al ultimo sueldo mensual ordinario </t>
        </r>
      </text>
    </comment>
    <comment ref="AH3" authorId="0">
      <text>
        <r>
          <rPr>
            <b/>
            <sz val="9"/>
            <color indexed="81"/>
            <rFont val="Tahoma"/>
            <family val="2"/>
          </rPr>
          <t>:</t>
        </r>
        <r>
          <rPr>
            <sz val="9"/>
            <color indexed="81"/>
            <rFont val="Tahoma"/>
            <family val="2"/>
          </rPr>
          <t xml:space="preserve">
Primas de Antigüedad e indemnizaciones</t>
        </r>
      </text>
    </comment>
    <comment ref="AI3" authorId="0">
      <text>
        <r>
          <rPr>
            <b/>
            <sz val="9"/>
            <color indexed="81"/>
            <rFont val="Tahoma"/>
            <family val="2"/>
          </rPr>
          <t>Art. 109 fX LISR:</t>
        </r>
        <r>
          <rPr>
            <sz val="9"/>
            <color indexed="81"/>
            <rFont val="Tahoma"/>
            <family val="2"/>
          </rPr>
          <t xml:space="preserve">
Se debe considerar como un año todo periodo que exceda de 6 meses</t>
        </r>
      </text>
    </comment>
    <comment ref="AJ3" authorId="0">
      <text>
        <r>
          <rPr>
            <b/>
            <sz val="9"/>
            <color indexed="81"/>
            <rFont val="Tahoma"/>
            <family val="2"/>
          </rPr>
          <t>Art. 109 X LISR:</t>
        </r>
        <r>
          <rPr>
            <sz val="9"/>
            <color indexed="81"/>
            <rFont val="Tahoma"/>
            <family val="2"/>
          </rPr>
          <t xml:space="preserve">
90 días por cada año de servicio</t>
        </r>
      </text>
    </comment>
    <comment ref="AL3" authorId="0">
      <text>
        <r>
          <rPr>
            <b/>
            <sz val="9"/>
            <color indexed="81"/>
            <rFont val="Tahoma"/>
            <family val="2"/>
          </rPr>
          <t>Art. 112 LISR:</t>
        </r>
        <r>
          <rPr>
            <sz val="9"/>
            <color indexed="81"/>
            <rFont val="Tahoma"/>
            <family val="2"/>
          </rPr>
          <t xml:space="preserve">
</t>
        </r>
      </text>
    </comment>
    <comment ref="AM3" authorId="0">
      <text>
        <r>
          <rPr>
            <b/>
            <sz val="9"/>
            <color indexed="81"/>
            <rFont val="Tahoma"/>
            <family val="2"/>
          </rPr>
          <t>:</t>
        </r>
        <r>
          <rPr>
            <sz val="9"/>
            <color indexed="81"/>
            <rFont val="Tahoma"/>
            <family val="2"/>
          </rPr>
          <t xml:space="preserve">
considero que Disminuido con el Subsidio</t>
        </r>
      </text>
    </comment>
    <comment ref="AR3" authorId="0">
      <text>
        <r>
          <rPr>
            <b/>
            <sz val="9"/>
            <color indexed="81"/>
            <rFont val="Tahoma"/>
            <family val="2"/>
          </rPr>
          <t xml:space="preserve">¿Acciones o Titulos?
</t>
        </r>
        <r>
          <rPr>
            <sz val="9"/>
            <color indexed="81"/>
            <rFont val="Tahoma"/>
            <family val="2"/>
          </rPr>
          <t>0 &lt;Sin Selección&gt;
1   SI
2   NO
Art. 110 VII LISR</t>
        </r>
      </text>
    </comment>
    <comment ref="AT3" authorId="0">
      <text>
        <r>
          <rPr>
            <b/>
            <sz val="9"/>
            <color indexed="81"/>
            <rFont val="Tahoma"/>
            <family val="2"/>
          </rPr>
          <t>Art. 110-A LISR:</t>
        </r>
        <r>
          <rPr>
            <sz val="9"/>
            <color indexed="81"/>
            <rFont val="Tahoma"/>
            <family val="2"/>
          </rPr>
          <t xml:space="preserve">
Precio establecido por el empleador o por una parte relacionada (Valor de mercado)</t>
        </r>
      </text>
    </comment>
    <comment ref="AX3" authorId="0">
      <text>
        <r>
          <rPr>
            <b/>
            <sz val="9"/>
            <color indexed="81"/>
            <rFont val="Tahoma"/>
            <family val="2"/>
          </rPr>
          <t>No se utiliza:</t>
        </r>
        <r>
          <rPr>
            <sz val="9"/>
            <color indexed="81"/>
            <rFont val="Tahoma"/>
            <family val="2"/>
          </rPr>
          <t xml:space="preserve">
NO existen conceptos de sueldos y/o salarios exentos</t>
        </r>
      </text>
    </comment>
    <comment ref="AZ3" authorId="0">
      <text>
        <r>
          <rPr>
            <b/>
            <sz val="9"/>
            <color indexed="81"/>
            <rFont val="Tahoma"/>
            <family val="2"/>
          </rPr>
          <t xml:space="preserve">Aguinaldo 109-XI:
</t>
        </r>
        <r>
          <rPr>
            <sz val="9"/>
            <color indexed="81"/>
            <rFont val="Tahoma"/>
            <family val="2"/>
          </rPr>
          <t>30 dias del SMG
A 62.33 -&gt;$1,869.90
B 50.08 -&gt;  1,772.40</t>
        </r>
      </text>
    </comment>
    <comment ref="BB3" authorId="0">
      <text>
        <r>
          <rPr>
            <b/>
            <sz val="9"/>
            <color indexed="81"/>
            <rFont val="Tahoma"/>
            <family val="2"/>
          </rPr>
          <t xml:space="preserve">Viaticos 109-XIII:
</t>
        </r>
        <r>
          <rPr>
            <sz val="9"/>
            <color indexed="81"/>
            <rFont val="Tahoma"/>
            <family val="2"/>
          </rPr>
          <t>Viaticos comprobados o</t>
        </r>
        <r>
          <rPr>
            <b/>
            <sz val="9"/>
            <color indexed="81"/>
            <rFont val="Tahoma"/>
            <family val="2"/>
          </rPr>
          <t xml:space="preserve">
Regla I.3.10.6 RM
 </t>
        </r>
        <r>
          <rPr>
            <sz val="9"/>
            <color indexed="81"/>
            <rFont val="Tahoma"/>
            <family val="2"/>
          </rPr>
          <t xml:space="preserve">Hasta un 20% sin exceder de 15 mil  </t>
        </r>
      </text>
    </comment>
    <comment ref="BD3" authorId="0">
      <text>
        <r>
          <rPr>
            <b/>
            <sz val="9"/>
            <color indexed="81"/>
            <rFont val="Tahoma"/>
            <family val="2"/>
          </rPr>
          <t xml:space="preserve">Tiempo Extra 109-I:
</t>
        </r>
        <r>
          <rPr>
            <sz val="9"/>
            <color indexed="81"/>
            <rFont val="Tahoma"/>
            <family val="2"/>
          </rPr>
          <t>Que no exceda límite LFT, SM (Todo exento) los que exceden 50% exento</t>
        </r>
      </text>
    </comment>
    <comment ref="BF3" authorId="0">
      <text>
        <r>
          <rPr>
            <b/>
            <sz val="9"/>
            <color indexed="81"/>
            <rFont val="Tahoma"/>
            <family val="2"/>
          </rPr>
          <t xml:space="preserve">P. Vac.  109-XI:
</t>
        </r>
        <r>
          <rPr>
            <sz val="9"/>
            <color indexed="81"/>
            <rFont val="Tahoma"/>
            <family val="2"/>
          </rPr>
          <t>15 dias SMG
A 62.33 -&gt;$934.95
B 59.08 -&gt;  886.20</t>
        </r>
      </text>
    </comment>
    <comment ref="BH3" authorId="0">
      <text>
        <r>
          <rPr>
            <b/>
            <sz val="9"/>
            <color indexed="81"/>
            <rFont val="Tahoma"/>
            <family val="2"/>
          </rPr>
          <t>Art. 109 XI LISR:</t>
        </r>
        <r>
          <rPr>
            <sz val="9"/>
            <color indexed="81"/>
            <rFont val="Tahoma"/>
            <family val="2"/>
          </rPr>
          <t xml:space="preserve">
Exentas hasta por un SMG por cada domingo laborado</t>
        </r>
      </text>
    </comment>
    <comment ref="BJ3" authorId="0">
      <text>
        <r>
          <rPr>
            <b/>
            <sz val="9"/>
            <color indexed="81"/>
            <rFont val="Tahoma"/>
            <family val="2"/>
          </rPr>
          <t xml:space="preserve">PTU  109-XI:
</t>
        </r>
        <r>
          <rPr>
            <sz val="9"/>
            <color indexed="81"/>
            <rFont val="Tahoma"/>
            <family val="2"/>
          </rPr>
          <t>15 dias SMG
A 62.33 -&gt;$934.95
B 59.08 -&gt;  886.20</t>
        </r>
      </text>
    </comment>
    <comment ref="BL3" authorId="0">
      <text>
        <r>
          <rPr>
            <b/>
            <sz val="9"/>
            <color indexed="81"/>
            <rFont val="Tahoma"/>
            <family val="2"/>
          </rPr>
          <t xml:space="preserve">Reemb GM 109-IV:
</t>
        </r>
        <r>
          <rPr>
            <sz val="9"/>
            <color indexed="81"/>
            <rFont val="Tahoma"/>
            <family val="2"/>
          </rPr>
          <t xml:space="preserve">Los que se concedan de manera General </t>
        </r>
      </text>
    </comment>
    <comment ref="BN3" authorId="0">
      <text>
        <r>
          <rPr>
            <b/>
            <sz val="9"/>
            <color indexed="81"/>
            <rFont val="Tahoma"/>
            <family val="2"/>
          </rPr>
          <t>109 VIII y 31 XII LISR 42 RLISR:</t>
        </r>
        <r>
          <rPr>
            <sz val="9"/>
            <color indexed="81"/>
            <rFont val="Tahoma"/>
            <family val="2"/>
          </rPr>
          <t xml:space="preserve">
En forma Gral., Montos de aportación iguales, no exceda de 13% del salario, ni 1.3 el SMGA, Solo retirar una vez por año</t>
        </r>
      </text>
    </comment>
    <comment ref="BP3" authorId="0">
      <text>
        <r>
          <rPr>
            <b/>
            <sz val="9"/>
            <color indexed="81"/>
            <rFont val="Tahoma"/>
            <family val="2"/>
          </rPr>
          <t>No aplica:</t>
        </r>
        <r>
          <rPr>
            <sz val="9"/>
            <color indexed="81"/>
            <rFont val="Tahoma"/>
            <family val="2"/>
          </rPr>
          <t xml:space="preserve">
No lo genera el empleador la administran los trabajadores</t>
        </r>
      </text>
    </comment>
    <comment ref="BR3" authorId="0">
      <text>
        <r>
          <rPr>
            <b/>
            <sz val="9"/>
            <color indexed="81"/>
            <rFont val="Tahoma"/>
            <family val="2"/>
          </rPr>
          <t>Previsión Social:</t>
        </r>
        <r>
          <rPr>
            <sz val="9"/>
            <color indexed="81"/>
            <rFont val="Tahoma"/>
            <family val="2"/>
          </rPr>
          <t xml:space="preserve">
</t>
        </r>
      </text>
    </comment>
    <comment ref="BT3" authorId="0">
      <text>
        <r>
          <rPr>
            <b/>
            <sz val="9"/>
            <color indexed="81"/>
            <rFont val="Tahoma"/>
            <family val="2"/>
          </rPr>
          <t>Art. 109 IV:</t>
        </r>
        <r>
          <rPr>
            <sz val="9"/>
            <color indexed="81"/>
            <rFont val="Tahoma"/>
            <family val="2"/>
          </rPr>
          <t xml:space="preserve">
Aplica como el reembolso de gastos médicos</t>
        </r>
      </text>
    </comment>
    <comment ref="BV3" authorId="0">
      <text>
        <r>
          <rPr>
            <b/>
            <sz val="9"/>
            <color indexed="81"/>
            <rFont val="Tahoma"/>
            <family val="2"/>
          </rPr>
          <t>Art. 109 IX:</t>
        </r>
        <r>
          <rPr>
            <sz val="9"/>
            <color indexed="81"/>
            <rFont val="Tahoma"/>
            <family val="2"/>
          </rPr>
          <t xml:space="preserve">
Cuotas de Seguridad Social pagadas por el patron estan exentas</t>
        </r>
      </text>
    </comment>
    <comment ref="BX3" authorId="0">
      <text>
        <r>
          <rPr>
            <b/>
            <sz val="9"/>
            <color indexed="81"/>
            <rFont val="Tahoma"/>
            <family val="2"/>
          </rPr>
          <t>No existen:</t>
        </r>
        <r>
          <rPr>
            <sz val="9"/>
            <color indexed="81"/>
            <rFont val="Tahoma"/>
            <family val="2"/>
          </rPr>
          <t xml:space="preserve">
No estan previstos en la LEY
</t>
        </r>
      </text>
    </comment>
    <comment ref="BZ3" authorId="0">
      <text>
        <r>
          <rPr>
            <b/>
            <sz val="9"/>
            <color indexed="81"/>
            <rFont val="Tahoma"/>
            <family val="2"/>
          </rPr>
          <t>Previsión Social:</t>
        </r>
        <r>
          <rPr>
            <sz val="9"/>
            <color indexed="81"/>
            <rFont val="Tahoma"/>
            <family val="2"/>
          </rPr>
          <t xml:space="preserve">
</t>
        </r>
      </text>
    </comment>
    <comment ref="CB3" authorId="0">
      <text>
        <r>
          <rPr>
            <b/>
            <sz val="9"/>
            <color indexed="81"/>
            <rFont val="Tahoma"/>
            <family val="2"/>
          </rPr>
          <t>Previsión Social:</t>
        </r>
        <r>
          <rPr>
            <sz val="9"/>
            <color indexed="81"/>
            <rFont val="Tahoma"/>
            <family val="2"/>
          </rPr>
          <t xml:space="preserve">
</t>
        </r>
      </text>
    </comment>
    <comment ref="CD3" authorId="0">
      <text>
        <r>
          <rPr>
            <b/>
            <sz val="9"/>
            <color indexed="81"/>
            <rFont val="Tahoma"/>
            <family val="2"/>
          </rPr>
          <t>Previsión Social:</t>
        </r>
        <r>
          <rPr>
            <sz val="9"/>
            <color indexed="81"/>
            <rFont val="Tahoma"/>
            <family val="2"/>
          </rPr>
          <t xml:space="preserve">
</t>
        </r>
      </text>
    </comment>
    <comment ref="CF3" authorId="0">
      <text>
        <r>
          <rPr>
            <b/>
            <sz val="9"/>
            <color indexed="81"/>
            <rFont val="Tahoma"/>
            <family val="2"/>
          </rPr>
          <t>Previsión Social:</t>
        </r>
        <r>
          <rPr>
            <sz val="9"/>
            <color indexed="81"/>
            <rFont val="Tahoma"/>
            <family val="2"/>
          </rPr>
          <t xml:space="preserve">
</t>
        </r>
      </text>
    </comment>
    <comment ref="CH3" authorId="0">
      <text>
        <r>
          <rPr>
            <b/>
            <sz val="9"/>
            <color indexed="81"/>
            <rFont val="Tahoma"/>
            <family val="2"/>
          </rPr>
          <t>Previsión Social:</t>
        </r>
        <r>
          <rPr>
            <sz val="9"/>
            <color indexed="81"/>
            <rFont val="Tahoma"/>
            <family val="2"/>
          </rPr>
          <t xml:space="preserve">
</t>
        </r>
      </text>
    </comment>
    <comment ref="CJ3" authorId="0">
      <text>
        <r>
          <rPr>
            <b/>
            <sz val="9"/>
            <color indexed="81"/>
            <rFont val="Tahoma"/>
            <family val="2"/>
          </rPr>
          <t>Art. 137 RLISR:</t>
        </r>
        <r>
          <rPr>
            <sz val="9"/>
            <color indexed="81"/>
            <rFont val="Tahoma"/>
            <family val="2"/>
          </rPr>
          <t xml:space="preserve">
Se consideran ingresos por salarios</t>
        </r>
      </text>
    </comment>
    <comment ref="CL3" authorId="0">
      <text>
        <r>
          <rPr>
            <b/>
            <sz val="9"/>
            <color indexed="81"/>
            <rFont val="Tahoma"/>
            <family val="2"/>
          </rPr>
          <t>Previsión Social:</t>
        </r>
        <r>
          <rPr>
            <sz val="9"/>
            <color indexed="81"/>
            <rFont val="Tahoma"/>
            <family val="2"/>
          </rPr>
          <t xml:space="preserve">
</t>
        </r>
      </text>
    </comment>
    <comment ref="CN3" authorId="0">
      <text>
        <r>
          <rPr>
            <b/>
            <sz val="9"/>
            <color indexed="81"/>
            <rFont val="Tahoma"/>
            <family val="2"/>
          </rPr>
          <t>Previsión Social
:</t>
        </r>
        <r>
          <rPr>
            <sz val="9"/>
            <color indexed="81"/>
            <rFont val="Tahoma"/>
            <family val="2"/>
          </rPr>
          <t xml:space="preserve">
</t>
        </r>
      </text>
    </comment>
    <comment ref="CP3" authorId="0">
      <text>
        <r>
          <rPr>
            <b/>
            <sz val="9"/>
            <color indexed="81"/>
            <rFont val="Tahoma"/>
            <family val="2"/>
          </rPr>
          <t>Art. 137 RLISR:</t>
        </r>
        <r>
          <rPr>
            <sz val="9"/>
            <color indexed="81"/>
            <rFont val="Tahoma"/>
            <family val="2"/>
          </rPr>
          <t xml:space="preserve">
Se consideran ingresos por salarios</t>
        </r>
      </text>
    </comment>
    <comment ref="CR3" authorId="0">
      <text>
        <r>
          <rPr>
            <b/>
            <sz val="9"/>
            <color indexed="81"/>
            <rFont val="Tahoma"/>
            <family val="2"/>
          </rPr>
          <t>Previsión Social:</t>
        </r>
        <r>
          <rPr>
            <sz val="9"/>
            <color indexed="81"/>
            <rFont val="Tahoma"/>
            <family val="2"/>
          </rPr>
          <t xml:space="preserve">
</t>
        </r>
      </text>
    </comment>
    <comment ref="CT3" authorId="0">
      <text>
        <r>
          <rPr>
            <b/>
            <sz val="9"/>
            <color indexed="81"/>
            <rFont val="Tahoma"/>
            <family val="2"/>
          </rPr>
          <t>Previsión Social:</t>
        </r>
        <r>
          <rPr>
            <sz val="9"/>
            <color indexed="81"/>
            <rFont val="Tahoma"/>
            <family val="2"/>
          </rPr>
          <t xml:space="preserve">
</t>
        </r>
      </text>
    </comment>
    <comment ref="CV3" authorId="0">
      <text>
        <r>
          <rPr>
            <b/>
            <sz val="9"/>
            <color indexed="81"/>
            <rFont val="Tahoma"/>
            <family val="2"/>
          </rPr>
          <t>Previsión Social:</t>
        </r>
        <r>
          <rPr>
            <sz val="9"/>
            <color indexed="81"/>
            <rFont val="Tahoma"/>
            <family val="2"/>
          </rPr>
          <t xml:space="preserve">
</t>
        </r>
      </text>
    </comment>
    <comment ref="CX3" authorId="0">
      <text>
        <r>
          <rPr>
            <b/>
            <sz val="9"/>
            <color indexed="81"/>
            <rFont val="Tahoma"/>
            <family val="2"/>
          </rPr>
          <t>No duplicar los Exentos:</t>
        </r>
        <r>
          <rPr>
            <sz val="9"/>
            <color indexed="81"/>
            <rFont val="Tahoma"/>
            <family val="2"/>
          </rPr>
          <t xml:space="preserve">
</t>
        </r>
      </text>
    </comment>
    <comment ref="DE3" authorId="0">
      <text>
        <r>
          <rPr>
            <b/>
            <sz val="9"/>
            <color indexed="81"/>
            <rFont val="Tahoma"/>
            <family val="2"/>
          </rPr>
          <t>Art. 116 LISR y 8vo del decreto Subsidio:</t>
        </r>
        <r>
          <rPr>
            <sz val="9"/>
            <color indexed="81"/>
            <rFont val="Tahoma"/>
            <family val="2"/>
          </rPr>
          <t xml:space="preserve">
Saldo a favor determinado por el patrón en el cálculo anual</t>
        </r>
      </text>
    </comment>
    <comment ref="DG3" authorId="0">
      <text>
        <r>
          <rPr>
            <b/>
            <sz val="9"/>
            <color indexed="81"/>
            <rFont val="Tahoma"/>
            <family val="2"/>
          </rPr>
          <t>:</t>
        </r>
        <r>
          <rPr>
            <sz val="9"/>
            <color indexed="81"/>
            <rFont val="Tahoma"/>
            <family val="2"/>
          </rPr>
          <t xml:space="preserve">
No Aplica para 2012</t>
        </r>
      </text>
    </comment>
    <comment ref="DH3" authorId="0">
      <text>
        <r>
          <rPr>
            <b/>
            <sz val="9"/>
            <color indexed="81"/>
            <rFont val="Tahoma"/>
            <family val="2"/>
          </rPr>
          <t>:</t>
        </r>
        <r>
          <rPr>
            <sz val="9"/>
            <color indexed="81"/>
            <rFont val="Tahoma"/>
            <family val="2"/>
          </rPr>
          <t xml:space="preserve">
No Aplica para 2012</t>
        </r>
      </text>
    </comment>
    <comment ref="DJ3" authorId="0">
      <text>
        <r>
          <rPr>
            <b/>
            <sz val="9"/>
            <color indexed="81"/>
            <rFont val="Tahoma"/>
            <family val="2"/>
          </rPr>
          <t>Art. 8 5to p., 31 XII, 109 IV,VI,VIII:</t>
        </r>
        <r>
          <rPr>
            <sz val="9"/>
            <color indexed="81"/>
            <rFont val="Tahoma"/>
            <family val="2"/>
          </rPr>
          <t xml:space="preserve">
exento 7 VSMAG</t>
        </r>
      </text>
    </comment>
    <comment ref="DL3" authorId="0">
      <text>
        <r>
          <rPr>
            <b/>
            <sz val="9"/>
            <color indexed="81"/>
            <rFont val="Tahoma"/>
            <family val="2"/>
          </rPr>
          <t>:</t>
        </r>
        <r>
          <rPr>
            <sz val="9"/>
            <color indexed="81"/>
            <rFont val="Tahoma"/>
            <family val="2"/>
          </rPr>
          <t xml:space="preserve">
Aplicable solo a Entidades que tengan dicho impuesto como Chihuahua y Guanajuato</t>
        </r>
      </text>
    </comment>
    <comment ref="DM3" authorId="0">
      <text>
        <r>
          <rPr>
            <b/>
            <sz val="9"/>
            <color indexed="81"/>
            <rFont val="Tahoma"/>
            <family val="2"/>
          </rPr>
          <t>Art. 8vo III e Decreto del Subsidio:</t>
        </r>
        <r>
          <rPr>
            <sz val="9"/>
            <color indexed="81"/>
            <rFont val="Tahoma"/>
            <family val="2"/>
          </rPr>
          <t xml:space="preserve">
Sumatoria del entregado en efectivo</t>
        </r>
      </text>
    </comment>
    <comment ref="DN3" authorId="0">
      <text>
        <r>
          <rPr>
            <b/>
            <sz val="9"/>
            <color indexed="81"/>
            <rFont val="Tahoma"/>
            <family val="2"/>
          </rPr>
          <t>:</t>
        </r>
        <r>
          <rPr>
            <sz val="9"/>
            <color indexed="81"/>
            <rFont val="Tahoma"/>
            <family val="2"/>
          </rPr>
          <t xml:space="preserve">
No viene como campo de la carga batch pero en el formato es la suma de las percepciones</t>
        </r>
      </text>
    </comment>
    <comment ref="DO3" authorId="0">
      <text>
        <r>
          <rPr>
            <b/>
            <sz val="9"/>
            <color indexed="81"/>
            <rFont val="Tahoma"/>
            <family val="2"/>
          </rPr>
          <t>:</t>
        </r>
        <r>
          <rPr>
            <sz val="9"/>
            <color indexed="81"/>
            <rFont val="Tahoma"/>
            <family val="2"/>
          </rPr>
          <t xml:space="preserve">
Suma de ingresos Exentos de cada tema</t>
        </r>
      </text>
    </comment>
    <comment ref="DV3" authorId="0">
      <text>
        <r>
          <rPr>
            <b/>
            <sz val="9"/>
            <color indexed="81"/>
            <rFont val="Tahoma"/>
            <family val="2"/>
          </rPr>
          <t>Impuesto S/Ingresos Acumulables:</t>
        </r>
        <r>
          <rPr>
            <sz val="9"/>
            <color indexed="81"/>
            <rFont val="Tahoma"/>
            <family val="2"/>
          </rPr>
          <t xml:space="preserve">
El Impuesto a cargo del contribuyente se disminuira con la suma de las cantidades que por concepto de subsidio para el empleo mensual le correspondan al contribuyente</t>
        </r>
      </text>
    </comment>
    <comment ref="EA3" authorId="0">
      <text>
        <r>
          <rPr>
            <b/>
            <sz val="9"/>
            <color indexed="81"/>
            <rFont val="Tahoma"/>
            <family val="2"/>
          </rPr>
          <t>Art. 8vo III e Decreto del Subsidio:</t>
        </r>
        <r>
          <rPr>
            <sz val="9"/>
            <color indexed="81"/>
            <rFont val="Tahoma"/>
            <family val="2"/>
          </rPr>
          <t xml:space="preserve">
Sumatoria del subsidio de la tabla (No el entregado)</t>
        </r>
      </text>
    </comment>
    <comment ref="EB3" authorId="0">
      <text>
        <r>
          <rPr>
            <b/>
            <sz val="9"/>
            <color indexed="81"/>
            <rFont val="Tahoma"/>
            <family val="2"/>
          </rPr>
          <t>Cálculo ISR:</t>
        </r>
        <r>
          <rPr>
            <sz val="9"/>
            <color indexed="81"/>
            <rFont val="Tahoma"/>
            <family val="2"/>
          </rPr>
          <t xml:space="preserve">
Conforme a la tarifa Anual</t>
        </r>
      </text>
    </comment>
    <comment ref="EC3" authorId="0">
      <text>
        <r>
          <rPr>
            <b/>
            <sz val="9"/>
            <color indexed="81"/>
            <rFont val="Tahoma"/>
            <family val="2"/>
          </rPr>
          <t>Campo:</t>
        </r>
        <r>
          <rPr>
            <sz val="9"/>
            <color indexed="81"/>
            <rFont val="Tahoma"/>
            <family val="2"/>
          </rPr>
          <t xml:space="preserve">
134</t>
        </r>
      </text>
    </comment>
    <comment ref="ED3" authorId="0">
      <text>
        <r>
          <rPr>
            <b/>
            <sz val="9"/>
            <color indexed="81"/>
            <rFont val="Tahoma"/>
            <family val="2"/>
          </rPr>
          <t>Diferencia ISR - Sub:</t>
        </r>
        <r>
          <rPr>
            <sz val="9"/>
            <color indexed="81"/>
            <rFont val="Tahoma"/>
            <family val="2"/>
          </rPr>
          <t xml:space="preserve">
En caso de que El subsidi o sea mayor no se devolvera al empleado</t>
        </r>
      </text>
    </comment>
    <comment ref="EE3" authorId="0">
      <text>
        <r>
          <rPr>
            <b/>
            <sz val="9"/>
            <color indexed="81"/>
            <rFont val="Tahoma"/>
            <family val="2"/>
          </rPr>
          <t>Campos:</t>
        </r>
        <r>
          <rPr>
            <sz val="9"/>
            <color indexed="81"/>
            <rFont val="Tahoma"/>
            <family val="2"/>
          </rPr>
          <t xml:space="preserve">
42,50,52,57,116,117</t>
        </r>
      </text>
    </comment>
  </commentList>
</comments>
</file>

<file path=xl/comments2.xml><?xml version="1.0" encoding="utf-8"?>
<comments xmlns="http://schemas.openxmlformats.org/spreadsheetml/2006/main">
  <authors>
    <author>Daniel Reyes</author>
  </authors>
  <commentList>
    <comment ref="H6" authorId="0">
      <text>
        <r>
          <rPr>
            <b/>
            <sz val="9"/>
            <color indexed="81"/>
            <rFont val="Tahoma"/>
            <family val="2"/>
          </rPr>
          <t xml:space="preserve">Art. 116 LISR:
</t>
        </r>
        <r>
          <rPr>
            <sz val="9"/>
            <color indexed="81"/>
            <rFont val="Tahoma"/>
            <family val="2"/>
          </rPr>
          <t xml:space="preserve">- No hayan trabajado el año completo
- Ingresos Mayores a $400,000
-Comunique por escrito
</t>
        </r>
      </text>
    </comment>
    <comment ref="H61" authorId="0">
      <text>
        <r>
          <rPr>
            <b/>
            <sz val="9"/>
            <color indexed="81"/>
            <rFont val="Tahoma"/>
            <family val="2"/>
          </rPr>
          <t xml:space="preserve">Aguinaldo 109-XI:
</t>
        </r>
        <r>
          <rPr>
            <sz val="9"/>
            <color indexed="81"/>
            <rFont val="Tahoma"/>
            <family val="2"/>
          </rPr>
          <t>30 dias del SMG
A 62.33 -&gt;$1,869.90
B 59.08 -&gt;  1,772.40</t>
        </r>
      </text>
    </comment>
    <comment ref="H62" authorId="0">
      <text>
        <r>
          <rPr>
            <b/>
            <sz val="9"/>
            <color indexed="81"/>
            <rFont val="Tahoma"/>
            <family val="2"/>
          </rPr>
          <t xml:space="preserve">Viaticos 109-XIII:
</t>
        </r>
        <r>
          <rPr>
            <sz val="9"/>
            <color indexed="81"/>
            <rFont val="Tahoma"/>
            <family val="2"/>
          </rPr>
          <t>Viaticos comprobados o</t>
        </r>
        <r>
          <rPr>
            <b/>
            <sz val="9"/>
            <color indexed="81"/>
            <rFont val="Tahoma"/>
            <family val="2"/>
          </rPr>
          <t xml:space="preserve">
Regla I.3.12.2 RM
 </t>
        </r>
        <r>
          <rPr>
            <sz val="9"/>
            <color indexed="81"/>
            <rFont val="Tahoma"/>
            <family val="2"/>
          </rPr>
          <t xml:space="preserve">Hasta un 20% sin exceder de 15 mil  </t>
        </r>
      </text>
    </comment>
    <comment ref="H63" authorId="0">
      <text>
        <r>
          <rPr>
            <b/>
            <sz val="9"/>
            <color indexed="81"/>
            <rFont val="Tahoma"/>
            <family val="2"/>
          </rPr>
          <t xml:space="preserve">Tiempo Extra 109-I:
</t>
        </r>
        <r>
          <rPr>
            <sz val="9"/>
            <color indexed="81"/>
            <rFont val="Tahoma"/>
            <family val="2"/>
          </rPr>
          <t>Que no exceda límite LFT, SM (Todo exento) los que exceden 50% exento</t>
        </r>
      </text>
    </comment>
    <comment ref="H64" authorId="0">
      <text>
        <r>
          <rPr>
            <b/>
            <sz val="9"/>
            <color indexed="81"/>
            <rFont val="Tahoma"/>
            <family val="2"/>
          </rPr>
          <t xml:space="preserve">P. Vac.  109-XI:
</t>
        </r>
        <r>
          <rPr>
            <sz val="9"/>
            <color indexed="81"/>
            <rFont val="Tahoma"/>
            <family val="2"/>
          </rPr>
          <t>15 dias SMG
A 62.33 -&gt;$934.95
B 59.08 -&gt;  886.20</t>
        </r>
      </text>
    </comment>
  </commentList>
</comments>
</file>

<file path=xl/sharedStrings.xml><?xml version="1.0" encoding="utf-8"?>
<sst xmlns="http://schemas.openxmlformats.org/spreadsheetml/2006/main" count="594" uniqueCount="487">
  <si>
    <t>RFC</t>
  </si>
  <si>
    <t>Mes Inicial</t>
  </si>
  <si>
    <t>Mes Final</t>
  </si>
  <si>
    <t>Apellido paterno</t>
  </si>
  <si>
    <t>Nombre(S)</t>
  </si>
  <si>
    <t>Sueldos gravados</t>
  </si>
  <si>
    <t>Sueldos exentos</t>
  </si>
  <si>
    <t>Viáticos gravados</t>
  </si>
  <si>
    <t>Viáticos exentos</t>
  </si>
  <si>
    <t>Tiempo extra gravado</t>
  </si>
  <si>
    <t>Tiempo extra exento</t>
  </si>
  <si>
    <t>Prima vacacional gravada</t>
  </si>
  <si>
    <t>Prima vacacional exenta</t>
  </si>
  <si>
    <t>Prima dominical gravada</t>
  </si>
  <si>
    <t>Prima dominical exenta</t>
  </si>
  <si>
    <t>Premios por puntualidad gravados</t>
  </si>
  <si>
    <t>Premios por puntualidad exentos</t>
  </si>
  <si>
    <t>Cuotas sindicales gravadas</t>
  </si>
  <si>
    <t>Cuotas sindicales exentas</t>
  </si>
  <si>
    <r>
      <t>Pagos de otros patrones</t>
    </r>
    <r>
      <rPr>
        <b/>
        <vertAlign val="superscript"/>
        <sz val="8"/>
        <color indexed="12"/>
        <rFont val="Arial"/>
        <family val="2"/>
      </rPr>
      <t>1</t>
    </r>
    <r>
      <rPr>
        <b/>
        <sz val="8"/>
        <rFont val="Arial"/>
        <family val="2"/>
      </rPr>
      <t xml:space="preserve"> gravados</t>
    </r>
  </si>
  <si>
    <r>
      <t>Pagos de otros patrones</t>
    </r>
    <r>
      <rPr>
        <b/>
        <vertAlign val="superscript"/>
        <sz val="8"/>
        <color indexed="12"/>
        <rFont val="Arial"/>
        <family val="2"/>
      </rPr>
      <t>1</t>
    </r>
    <r>
      <rPr>
        <b/>
        <sz val="8"/>
        <rFont val="Arial"/>
        <family val="2"/>
      </rPr>
      <t xml:space="preserve"> exentos</t>
    </r>
  </si>
  <si>
    <t>Otros pagos por salarios gravados</t>
  </si>
  <si>
    <t>Otros pagos por salarios exentos</t>
  </si>
  <si>
    <t>Impuesto retenido</t>
  </si>
  <si>
    <t>Impuesto retenido por otros patrones</t>
  </si>
  <si>
    <t>Crédito al salario entregado en efectivo al trabajador</t>
  </si>
  <si>
    <t>Total de previsión social</t>
  </si>
  <si>
    <t>Impuesto local sobre sueldos retenido</t>
  </si>
  <si>
    <t>Monto del subsidio para el empleo entregado en efectivo</t>
  </si>
  <si>
    <t>Datos de identificación</t>
  </si>
  <si>
    <t>Asimilados</t>
  </si>
  <si>
    <t>Resumen ISR</t>
  </si>
  <si>
    <t>Ingresos totales por pago en parcialidades</t>
  </si>
  <si>
    <t>Monto pagado en una exhibición</t>
  </si>
  <si>
    <t>Número de días</t>
  </si>
  <si>
    <t>Ingresos exentos</t>
  </si>
  <si>
    <t>Ingresos gravables</t>
  </si>
  <si>
    <t>Ingresos acumulables</t>
  </si>
  <si>
    <t>Ingresos no acumulables</t>
  </si>
  <si>
    <t>Monto total pagado de otros pagos por separación</t>
  </si>
  <si>
    <t>Número de años de servicio del trabajador</t>
  </si>
  <si>
    <t>Ingresos gravados</t>
  </si>
  <si>
    <t>Ingresos asimilados a salarios</t>
  </si>
  <si>
    <t>Impuesto retenido durante el ejercicio</t>
  </si>
  <si>
    <t>Valor de mercado de las acciones o títulos valor al ejercer la opción</t>
  </si>
  <si>
    <t>Ingreso acumulable</t>
  </si>
  <si>
    <t>ISR conforme a la tarifa anual</t>
  </si>
  <si>
    <t>Subsidio acreditable</t>
  </si>
  <si>
    <t>Subsidio no acreditable</t>
  </si>
  <si>
    <t>Impuesto sobre ingresos acumulables</t>
  </si>
  <si>
    <t>Impuesto sobre ingresos no acumulables</t>
  </si>
  <si>
    <t>Diferencia</t>
  </si>
  <si>
    <t>10 y 11</t>
  </si>
  <si>
    <t>Cant que Hub. Rec de no ser por pagos por Sep, Jub o Pens</t>
  </si>
  <si>
    <t>Monto diario Perc por Jub, Pens o Hab de retiro en Parc</t>
  </si>
  <si>
    <t>Área Geográfica del Salario Mínimo</t>
  </si>
  <si>
    <t>17 a 25</t>
  </si>
  <si>
    <t>Tipo de Operación a Registrar</t>
  </si>
  <si>
    <t>Gratificación anual   gravada</t>
  </si>
  <si>
    <t>Gratificación anual   exenta</t>
  </si>
  <si>
    <t>PTU     gravada</t>
  </si>
  <si>
    <t>PTU       exenta</t>
  </si>
  <si>
    <t>Esp-1</t>
  </si>
  <si>
    <t>Tabla de ISR Utilizada</t>
  </si>
  <si>
    <t>En adelante</t>
  </si>
  <si>
    <t xml:space="preserve">Límite
Inferior </t>
  </si>
  <si>
    <t>Límite 
Superior</t>
  </si>
  <si>
    <t>Cuota
Fija</t>
  </si>
  <si>
    <t>% p/aplicar
s/excedente</t>
  </si>
  <si>
    <t>MONO720101TW8</t>
  </si>
  <si>
    <t>MONO720101HDFRVL04</t>
  </si>
  <si>
    <t>MORALES</t>
  </si>
  <si>
    <t>NAVARRO</t>
  </si>
  <si>
    <t>OLAF</t>
  </si>
  <si>
    <t>Monto de las Aportaciones Voluntarias Efectuadas</t>
  </si>
  <si>
    <t>Monto de las Aport. voluntarias deducibles para Trab. que realizarán su Decl.</t>
  </si>
  <si>
    <t>Monto de las aportaciones voluntarias deducibles aplicadas por el patrón</t>
  </si>
  <si>
    <t>30,31,32</t>
  </si>
  <si>
    <t>Carga Batch</t>
  </si>
  <si>
    <t>Indique si el patrón aplicó el monto de las Aport. Vol. en el cálculo del Impto. (Oblig)</t>
  </si>
  <si>
    <t>Sep</t>
  </si>
  <si>
    <t>Asi</t>
  </si>
  <si>
    <t>Sal</t>
  </si>
  <si>
    <t>Tabla Anual de ISR  Art. 177 LISR</t>
  </si>
  <si>
    <t>¿El Trabajador es Sindicalizado?   1=SI    2=NO</t>
  </si>
  <si>
    <t>Resumen de Sueldos y Salarios</t>
  </si>
  <si>
    <t>Suma de ingreso gravado</t>
  </si>
  <si>
    <t>Suma de ingreso exento</t>
  </si>
  <si>
    <t>Saldo a favor del ejercicio anterior no compensado</t>
  </si>
  <si>
    <t>Suma de ingresos exentos de previsón social</t>
  </si>
  <si>
    <t>Suma de ingresos por sueldos y salarios</t>
  </si>
  <si>
    <t>Total de las aportaciones voluntarias deducibles</t>
  </si>
  <si>
    <t>Precio establecido al otorgarse la opción de Ing en Opc o Tít valor</t>
  </si>
  <si>
    <t>Impuesto local a los ingresos por sueldos y salarios</t>
  </si>
  <si>
    <t>¿Se Ejer la opción del Empl. para adquirir Acc. o títulos valor? (Oblig)</t>
  </si>
  <si>
    <t>Impuesto retenido durante el ejercicio (Oblig)</t>
  </si>
  <si>
    <t>CURP (Opcional)</t>
  </si>
  <si>
    <t>Apellido materno (Opcional)</t>
  </si>
  <si>
    <t>Proporción del Subsidio aplicado (Opcional)</t>
  </si>
  <si>
    <t>Si es asimilado a salario indique la clave     (Oblig)</t>
  </si>
  <si>
    <t>RFC (1) del otro patrón      (Opcional)</t>
  </si>
  <si>
    <t>RFC (2) del otro patrón      (Opcional)</t>
  </si>
  <si>
    <t>Previsión social y Otros</t>
  </si>
  <si>
    <t>Sueldos y Salarios</t>
  </si>
  <si>
    <t>Impuesto Determinado ( - ) Subsidio Entregado</t>
  </si>
  <si>
    <t>Saldo a favor Deter en el Ejerc que declara,  Q se compensará  o Sol Dev</t>
  </si>
  <si>
    <t>Impuesto Corresp al último sueldo mensual Ord</t>
  </si>
  <si>
    <t>Monto del Subs para el empleo que le Corresp al Trab en el Ejer</t>
  </si>
  <si>
    <t>Tema</t>
  </si>
  <si>
    <t>∑ de las Cant por concepto de Créd al Sal le Corresp al Trab</t>
  </si>
  <si>
    <r>
      <t>1</t>
    </r>
    <r>
      <rPr>
        <b/>
        <sz val="10"/>
        <color indexed="12"/>
        <rFont val="Arial"/>
        <family val="2"/>
      </rPr>
      <t xml:space="preserve"> Sólo si usted hizo el cálculo anual</t>
    </r>
  </si>
  <si>
    <t>Campo -&gt;</t>
  </si>
  <si>
    <t>No. de Empleado</t>
  </si>
  <si>
    <t>CONTRIBUYENTE</t>
  </si>
  <si>
    <t>NOMBRE</t>
  </si>
  <si>
    <t>REPRESENTANTE LEGAL</t>
  </si>
  <si>
    <t>CURP</t>
  </si>
  <si>
    <t>Instrucciones y Recomendaciones</t>
  </si>
  <si>
    <t>HIJOLE SA DE CV</t>
  </si>
  <si>
    <t>HIJ010101IJ5</t>
  </si>
  <si>
    <t>MORALES NAVARRO OLAF</t>
  </si>
  <si>
    <t>1. No utilizar directamente este archivo, para poder utilizarlo en otras empresas o en caso de que se dañe una o varias formulas del mismo</t>
  </si>
  <si>
    <t>A</t>
  </si>
  <si>
    <t>Ingresos por Sueldos Salarios y conceptos Asimilables</t>
  </si>
  <si>
    <t>Impuesto retenido durante el ejercicio5</t>
  </si>
  <si>
    <t>No.</t>
  </si>
  <si>
    <t>Mes Inicial / Mes Final</t>
  </si>
  <si>
    <t>Proporción del Subsidio aplicado</t>
  </si>
  <si>
    <t>&lt;Sin Selección&gt;</t>
  </si>
  <si>
    <t>01 - Aguascalientes</t>
  </si>
  <si>
    <t>02 - Baja California</t>
  </si>
  <si>
    <t>03 - Baja California Sur</t>
  </si>
  <si>
    <t>04 - Campeche</t>
  </si>
  <si>
    <t>05 - Coahuila</t>
  </si>
  <si>
    <t>06 - Colima</t>
  </si>
  <si>
    <t>07 - Chiapas</t>
  </si>
  <si>
    <t>08 - Chihuahua</t>
  </si>
  <si>
    <t>09 - Distrito Federal</t>
  </si>
  <si>
    <t>10 - Durango</t>
  </si>
  <si>
    <t>11 - Guanajuato</t>
  </si>
  <si>
    <t>12 - Guerrero</t>
  </si>
  <si>
    <t>13 - Hidalgo</t>
  </si>
  <si>
    <t>14 - Jalisco</t>
  </si>
  <si>
    <t>15 - Estado de México</t>
  </si>
  <si>
    <t>16 - Michoacán</t>
  </si>
  <si>
    <t>17 - Morelos</t>
  </si>
  <si>
    <t>18 - Nayarit</t>
  </si>
  <si>
    <t>19 - Nuevo León</t>
  </si>
  <si>
    <t>20 - Oaxaca</t>
  </si>
  <si>
    <t>21 - Puebla</t>
  </si>
  <si>
    <t>22 - Querétaro</t>
  </si>
  <si>
    <t>23 - Quintana Roo</t>
  </si>
  <si>
    <t>24 - San Luis Potosí</t>
  </si>
  <si>
    <t>25 - Sinaloa</t>
  </si>
  <si>
    <t>26 - Sonora</t>
  </si>
  <si>
    <t>27 - Tabasco</t>
  </si>
  <si>
    <t>28 - Tamaulipas</t>
  </si>
  <si>
    <t>29 - Tlaxcala</t>
  </si>
  <si>
    <t>30 - Veracruz</t>
  </si>
  <si>
    <t>31 - Yucatán</t>
  </si>
  <si>
    <t>32 - Zacatecas</t>
  </si>
  <si>
    <t>Valor</t>
  </si>
  <si>
    <t>Descripción</t>
  </si>
  <si>
    <t>Anexo 1 - Identificacion del Trabajador</t>
  </si>
  <si>
    <t>B</t>
  </si>
  <si>
    <t>C</t>
  </si>
  <si>
    <t>D</t>
  </si>
  <si>
    <t>E</t>
  </si>
  <si>
    <t>F</t>
  </si>
  <si>
    <t>Otros</t>
  </si>
  <si>
    <t>G</t>
  </si>
  <si>
    <t>Consejos, Comisarios y Gerentes</t>
  </si>
  <si>
    <t>Honorarios asimilados</t>
  </si>
  <si>
    <t>Ingresos en acciones</t>
  </si>
  <si>
    <t xml:space="preserve">Proporción del Subsidio </t>
  </si>
  <si>
    <t>Anexo 1 - Pagos por Separación</t>
  </si>
  <si>
    <t xml:space="preserve">PAGOS POR SEPARACIÓN JUBILACIONES, PENSIONES O HABERES DE RETIRO EN PARCIALIDADES O EN UNA SOLA EXHIBICIÓN   </t>
  </si>
  <si>
    <t>OTROS PAGOS POR SEPARACIÓN (INCLUYENDO ENTRE OTROS PRIMA DE ANTIGÜEDAD E INDEMNIZACIONES)</t>
  </si>
  <si>
    <t>Anexo 1 - Ingresos Asimilados a Salarios</t>
  </si>
  <si>
    <t>Gravados</t>
  </si>
  <si>
    <t>Exentos</t>
  </si>
  <si>
    <t>Gratificación anual</t>
  </si>
  <si>
    <t>Prima vacacional</t>
  </si>
  <si>
    <t>Prima dominical</t>
  </si>
  <si>
    <t>Caja de ahorro</t>
  </si>
  <si>
    <t>Fondo de ahorro</t>
  </si>
  <si>
    <t>Vales de despensa</t>
  </si>
  <si>
    <t>Premios por puntualidad</t>
  </si>
  <si>
    <t>Prima seguro de vida</t>
  </si>
  <si>
    <t>Vales para restaurante</t>
  </si>
  <si>
    <t>Vales para gasolina</t>
  </si>
  <si>
    <t>Vales para ropa</t>
  </si>
  <si>
    <t>Ayuda para renta</t>
  </si>
  <si>
    <t>Ayuda para transporte</t>
  </si>
  <si>
    <t>Subsidios por incapacidad</t>
  </si>
  <si>
    <t>Previsión social y otros</t>
  </si>
  <si>
    <t>Impuesto sobre la Renta (Resumen)</t>
  </si>
  <si>
    <t>Total de Ingresos por sueldos salarios y conceptos asimilables</t>
  </si>
  <si>
    <t>FIRMA DEL RETENEDOR O SU REPRESENTANTE LEGAL</t>
  </si>
  <si>
    <t>SELLO DEL RETENEDOR (En caso de tenerlo)</t>
  </si>
  <si>
    <t>FIRMA DEL CONTRIBUYENTE</t>
  </si>
  <si>
    <t>DATOS DEL RETENDEDOR</t>
  </si>
  <si>
    <t>DATOS DEL REPRESENTANTE LEGAL</t>
  </si>
  <si>
    <t>VACA8006158C8</t>
  </si>
  <si>
    <t>VACA800615MASRRN08</t>
  </si>
  <si>
    <t>VARGAS</t>
  </si>
  <si>
    <t>CERON</t>
  </si>
  <si>
    <t>ANA</t>
  </si>
  <si>
    <t>Impuesto Retenido</t>
  </si>
  <si>
    <t>Sólo Salarios</t>
  </si>
  <si>
    <t>Salarios y pagos por Separa.</t>
  </si>
  <si>
    <t>Sólo pagos por Separación</t>
  </si>
  <si>
    <t>Salarios y Asimilables</t>
  </si>
  <si>
    <t>Sólo Asimilados</t>
  </si>
  <si>
    <t>Todos los conceptos</t>
  </si>
  <si>
    <t>¿El patrón realizó Cálculo Anual?             1=SI   2=NO</t>
  </si>
  <si>
    <t xml:space="preserve">2. Las lineas con sus formulas se acomodan automaticamente con solo anotar el número del trabajador a capturar o copiando y pegando el RFC uno por uno o en grupo </t>
  </si>
  <si>
    <t>4. Una vez creada la linea seleccionar el Tema a llenar para habilitar las celdas que deberán capturadas. Ejemplo Tema 1 = Solo Ingresos por Salarios</t>
  </si>
  <si>
    <t xml:space="preserve">5. En los titulos existen Comentarios de apoyo y ayuda para facilitar el llenado del formato, colocar el puntero del mouse para ver el comentario o seleccionar la celda de titulo </t>
  </si>
  <si>
    <r>
      <t>3. Si se copia y pegan datos de otra hoja de Excel se recomienda &lt;</t>
    </r>
    <r>
      <rPr>
        <b/>
        <sz val="11"/>
        <color theme="1"/>
        <rFont val="Calibri"/>
        <family val="2"/>
        <scheme val="minor"/>
      </rPr>
      <t xml:space="preserve">pegado especial valores&gt; </t>
    </r>
    <r>
      <rPr>
        <sz val="11"/>
        <color theme="1"/>
        <rFont val="Calibri"/>
        <family val="2"/>
        <scheme val="minor"/>
      </rPr>
      <t>para que no se vea afectado el formato de la plantilla</t>
    </r>
  </si>
  <si>
    <t>Total</t>
  </si>
  <si>
    <t>Ingresos exentos por Separación</t>
  </si>
  <si>
    <t>Impuesto retenido por Separación</t>
  </si>
  <si>
    <t>BETA800615DQ1</t>
  </si>
  <si>
    <t>BETA800615HCHLRR08</t>
  </si>
  <si>
    <t>BELTRAN</t>
  </si>
  <si>
    <t>TORRES</t>
  </si>
  <si>
    <t>ARTUDITO</t>
  </si>
  <si>
    <t>Ingreso acumulable Asimilables por pagos en acciones</t>
  </si>
  <si>
    <t>Impuesto retenido por pagos a asimilables por acciones</t>
  </si>
  <si>
    <t xml:space="preserve">Impuesto retenido por pagos a asimilables </t>
  </si>
  <si>
    <t>Indicar si el  patrón realizó cálculo anual?</t>
  </si>
  <si>
    <t xml:space="preserve">Proporción del subsidio calculada conforme a las disposiciones vigentes en el ejercicio que declara  </t>
  </si>
  <si>
    <t xml:space="preserve">Proporción del subsidio calculada conforme a las disposiciones vigentes en 1991  </t>
  </si>
  <si>
    <t>Indique si el  trabajador es sindicalizado</t>
  </si>
  <si>
    <t xml:space="preserve">Si es asimilado a salarios, señale la clave correspondiente  </t>
  </si>
  <si>
    <t>Miembro Sociedades Coop. de Prod.</t>
  </si>
  <si>
    <t>Miembro de SC o AC</t>
  </si>
  <si>
    <t>Actividad Empresarial (Comisionistas)</t>
  </si>
  <si>
    <t xml:space="preserve">Clave de la Entidad Federativa donde prestó sus servicios  </t>
  </si>
  <si>
    <t>En su caso señale el RFC num 1 del otro patrón  </t>
  </si>
  <si>
    <t>En su caso señale el RFC num 2 del otro patrón  </t>
  </si>
  <si>
    <t>Monto de las aportaciones voluntarias efectuadas</t>
  </si>
  <si>
    <t>Indique si el patrón aplicó el monto de las Aport. Vol. en el cálculo del Imptuesto</t>
  </si>
  <si>
    <t xml:space="preserve">Monto de las Aport. voluntarias deducibles para Trab. que realizarán su declaración  </t>
  </si>
  <si>
    <t xml:space="preserve">Monto diario percibido por jubilaciones, pensiones o haberes de retiro en parcialidades  </t>
  </si>
  <si>
    <t>Cantidad que hubiera recibido de no ser por pagos por Separación, Jubilación, Pensión o Haberes en una solo exhibición</t>
  </si>
  <si>
    <t>Monto total pagado en una sola exhibición</t>
  </si>
  <si>
    <t>Ingresos acumulables (último sueldo mensual ordinario)</t>
  </si>
  <si>
    <t>Impuesto Correspondiente al último sueldo mensual 0rdinario</t>
  </si>
  <si>
    <t xml:space="preserve">Anexo 1 - Pagos del Patrón Efectuados a sus Trabajadores </t>
  </si>
  <si>
    <t xml:space="preserve">Sueldos, salarios, rayas y jornales gravado  </t>
  </si>
  <si>
    <t xml:space="preserve">Participación de los trabajadores en las utilidades (PTU) </t>
  </si>
  <si>
    <t>Reembolso de gastos médicos, dentales y hospitalarios</t>
  </si>
  <si>
    <t xml:space="preserve">Ayuda para gastos de funeral </t>
  </si>
  <si>
    <t>Viáticos y gastos de viaje</t>
  </si>
  <si>
    <t>Tiempo extraordinario</t>
  </si>
  <si>
    <t xml:space="preserve">Contribuciones a cargo del trabajador pagadas por el patrón </t>
  </si>
  <si>
    <t xml:space="preserve">Seguro de gastos médicos mayores </t>
  </si>
  <si>
    <t xml:space="preserve">Ayuda para artículos escolares </t>
  </si>
  <si>
    <t xml:space="preserve">Dotación o ayuda para anteojos </t>
  </si>
  <si>
    <t xml:space="preserve">Cuotas sindicales pagadas por el patrón </t>
  </si>
  <si>
    <t xml:space="preserve">Becas para trabajadores y/o sus hijos </t>
  </si>
  <si>
    <t xml:space="preserve">Pagos efectuados por otros empleadores (sólo si el patrón que declara realizó cálculo anual) </t>
  </si>
  <si>
    <t>Otros ingresos por salarios</t>
  </si>
  <si>
    <t>IMPUESTO SOBRE LA RENTA POR SUELDOS Y SALARIOS</t>
  </si>
  <si>
    <t xml:space="preserve">Suma del ingreso por sueldos y salarios  </t>
  </si>
  <si>
    <t>Impuesto retenido durante el ejercicio que declara</t>
  </si>
  <si>
    <t>Impuesto retenido por otro(s) patrón(es) durante el ejercicio que declara</t>
  </si>
  <si>
    <t>Saldo a favor determinado en el ejercicio que declara,  que se compensará  o Sol Dev</t>
  </si>
  <si>
    <t xml:space="preserve">Saldo a favor del ejercicio anterior no compensado durante el ejercicio que declara  </t>
  </si>
  <si>
    <t xml:space="preserve">Suma de las cantidades que por concepto de crédito al salario le correspondió al trabajador  </t>
  </si>
  <si>
    <t xml:space="preserve">Crédito al salario entregado en efectivo al trabajador durante el ejercicio que declara  </t>
  </si>
  <si>
    <t xml:space="preserve">Monto total de ingresos obtenidos por concepto de prestaciones de previsión social  </t>
  </si>
  <si>
    <t xml:space="preserve">Suma de ingresos exentos por concepto de prestaciones de previsión social  </t>
  </si>
  <si>
    <t xml:space="preserve">Impuesto local a los Ing. por sueldos, salarios y en Gral. por un Serv. personal Sub. retenido  </t>
  </si>
  <si>
    <t>Monto del subsidio para el empleo entregado en efectivo al trabajador durante el ejercicio que declara</t>
  </si>
  <si>
    <t xml:space="preserve">Monto del subsidio acreditable fracción III (sólo para 2001)  </t>
  </si>
  <si>
    <t xml:space="preserve">Monto del subsidio acreditable fracción IV (sólo para 2001)  </t>
  </si>
  <si>
    <t xml:space="preserve">Impuesto sobre la renta causado en el ejercicio que declara  </t>
  </si>
  <si>
    <t xml:space="preserve">Impuesto retenido al contribuyente  </t>
  </si>
  <si>
    <t>Monto del subsidio para el empleo que le correspondio  al trabajador en el ejercicio</t>
  </si>
  <si>
    <t>Campos</t>
  </si>
  <si>
    <t>58, 59</t>
  </si>
  <si>
    <t>60, 61</t>
  </si>
  <si>
    <t>62, 63</t>
  </si>
  <si>
    <t>64, 65</t>
  </si>
  <si>
    <t>66, 67</t>
  </si>
  <si>
    <t>68, 69</t>
  </si>
  <si>
    <t>70, 71</t>
  </si>
  <si>
    <t>72, 73</t>
  </si>
  <si>
    <t>74, 75</t>
  </si>
  <si>
    <t>76, 77</t>
  </si>
  <si>
    <t>78, 79</t>
  </si>
  <si>
    <t>80, 81</t>
  </si>
  <si>
    <t>82, 83</t>
  </si>
  <si>
    <t>84, 85</t>
  </si>
  <si>
    <t>86, 87</t>
  </si>
  <si>
    <t>88, 89</t>
  </si>
  <si>
    <t>90, 91</t>
  </si>
  <si>
    <t>92, 93</t>
  </si>
  <si>
    <t>94, 95</t>
  </si>
  <si>
    <t>96, 97</t>
  </si>
  <si>
    <t>98, 99</t>
  </si>
  <si>
    <t>100, 101</t>
  </si>
  <si>
    <t>102, 103</t>
  </si>
  <si>
    <t>104, 105</t>
  </si>
  <si>
    <t>106, 107</t>
  </si>
  <si>
    <t>108, 109</t>
  </si>
  <si>
    <t>110, 111</t>
  </si>
  <si>
    <t>112, 113</t>
  </si>
  <si>
    <t>114, 115</t>
  </si>
  <si>
    <t>3, 4</t>
  </si>
  <si>
    <t>1, 2</t>
  </si>
  <si>
    <t>5, 6, 7</t>
  </si>
  <si>
    <t>En su caso señale el RFC num 3 del otro patrón  </t>
  </si>
  <si>
    <t>En su caso señale el RFC num 4 del otro patrón  </t>
  </si>
  <si>
    <t>En su caso señale el RFC num 5 del otro patrón  </t>
  </si>
  <si>
    <t>En su caso señale el RFC num 6 del otro patrón  </t>
  </si>
  <si>
    <t>En su caso señale el RFC num 7 del otro patrón  </t>
  </si>
  <si>
    <t>En su caso señale el RFC num 8 del otro patrón  </t>
  </si>
  <si>
    <t>En su caso señale el RFC num 9 del otro patrón  </t>
  </si>
  <si>
    <t>En su caso señale el RFC num 10 del otro patrón  </t>
  </si>
  <si>
    <t>Ver Claves</t>
  </si>
  <si>
    <t>Regresar</t>
  </si>
  <si>
    <t>Cuando no se Realiza</t>
  </si>
  <si>
    <t>Si o No</t>
  </si>
  <si>
    <t>Ver Entidades</t>
  </si>
  <si>
    <t>Art. 109-XI</t>
  </si>
  <si>
    <t>Art. 109-XIII</t>
  </si>
  <si>
    <t>Art. 109-I</t>
  </si>
  <si>
    <t>MANO9902146M9</t>
  </si>
  <si>
    <t>MONA820101MDFRVN09</t>
  </si>
  <si>
    <t>Apellido paterno, materno y nombre(s) o denominación o razón social</t>
  </si>
  <si>
    <t>MARES NARVAEZ OGCAR</t>
  </si>
  <si>
    <t>Tipo de dividendo o utilidad distribuído</t>
  </si>
  <si>
    <t>Monto del dividendo o utilidad distribuído</t>
  </si>
  <si>
    <t>Monto del dividendo o utilidad acumulable</t>
  </si>
  <si>
    <t>Monto del ISR acreditable</t>
  </si>
  <si>
    <t>Domicilio del socio o accionista (calle, número, código postal, entidad federativa)</t>
  </si>
  <si>
    <t>Porcentaje de participación</t>
  </si>
  <si>
    <t>Monto del remanente que le corresponde</t>
  </si>
  <si>
    <t>Impuesto retenido (en su caso)</t>
  </si>
  <si>
    <t>Clave del pago</t>
  </si>
  <si>
    <t>Monto del interés nominal, tratándose de intereses</t>
  </si>
  <si>
    <t>Especifique: tipo de pago (sólo si selecciono la clave G1. 'otros')</t>
  </si>
  <si>
    <t>Monto de la operación o actividad gravada para efectos del ISR</t>
  </si>
  <si>
    <t>Monto de la operación o actividad gravada para efectos del IVA</t>
  </si>
  <si>
    <t>Monto de la operación o actividad gravada para efectos del IEPS</t>
  </si>
  <si>
    <t>Monto de la operación o actividad exenta para efectos del ISR</t>
  </si>
  <si>
    <t>Monto de la operación o actividad exenta para efectos del IVA</t>
  </si>
  <si>
    <t>Monto de la operación o actividad exenta para efectos del IEPS</t>
  </si>
  <si>
    <t>ISR retenido</t>
  </si>
  <si>
    <t>IVA retenido</t>
  </si>
  <si>
    <t>IEPS retenido</t>
  </si>
  <si>
    <t>Pagos Prov efectuados por la Fiduc., tratándose de Arrend en fideicomiso</t>
  </si>
  <si>
    <t>Deducciones Corresp (tratándose de Arrend en fideicomiso)</t>
  </si>
  <si>
    <t>AV DE LOS PINOS 125 CENTRO CP 42087 HIDALGO</t>
  </si>
  <si>
    <t>Remanente distribuíble   0=Sin Selec 1=SI   2=NO</t>
  </si>
  <si>
    <t>Dividendos o utilidades distribuídos 0=Sin Selec 1=SI   2=NO</t>
  </si>
  <si>
    <t>Otros pagos y retenciones 0=Sin Selec 1=SI   2=NO</t>
  </si>
  <si>
    <t>A1 - SERVICIOS PROFESIONALES</t>
  </si>
  <si>
    <t>A2 - REGALIAS POR DERECHOS DE AUTOR</t>
  </si>
  <si>
    <t>A3 - AUTOTRANSPORTE TERRESTRE DE CARGA</t>
  </si>
  <si>
    <t>A4 - SERVICIOS PRESTADOS POR COMISIONISTAS</t>
  </si>
  <si>
    <t>B1 - ARRENDAMIENTO</t>
  </si>
  <si>
    <t>B2 - ARRENDAMIENTO EN FIDEICOMISO</t>
  </si>
  <si>
    <t>C1 - ENAJENACIÓN DE ACCIONES</t>
  </si>
  <si>
    <t>C2 - ENAJENACIÓN DE BIENES OBJETO DE LA LIEPS, A TRAVÉS DE MEDIADORES, AGENTES, REPRESENTANTES, CORREDORES,     CONSIGNATARIOS O DISTRIBUIDORES</t>
  </si>
  <si>
    <t>C3 - ENAJENACIÓN DE OTROS BIENES, NO CONSIGNADA EN ESCRITURA PÚBLICA</t>
  </si>
  <si>
    <t>D1 - ADQUISICIÓN DE DESPERDICIOS INDUSTRIALES</t>
  </si>
  <si>
    <t>D2 - ADQUISICIÓN DE OTROS BIENES, NO CONSIGNADA EN ESCRITURA PÚBLICA</t>
  </si>
  <si>
    <t>E1 - INTERESES</t>
  </si>
  <si>
    <t>E2 - OPERACIONES FINANCIERAS DERIVADAS</t>
  </si>
  <si>
    <t>F1 - PREMIOS</t>
  </si>
  <si>
    <t>G1 - OTROS</t>
  </si>
  <si>
    <t>00 &lt;Sin Selección&gt;</t>
  </si>
  <si>
    <t>Carga Batch Salarios</t>
  </si>
  <si>
    <t>Temas</t>
  </si>
  <si>
    <t>Dividendos</t>
  </si>
  <si>
    <t>Dividendos o Utilidades Distribuidos</t>
  </si>
  <si>
    <t>Remanente  Distribuible</t>
  </si>
  <si>
    <t>Otros Pagos y retenciones</t>
  </si>
  <si>
    <t>A - PROVIENE DE CUFIN</t>
  </si>
  <si>
    <t>B - NO PROVIENE DE CUFIN</t>
  </si>
  <si>
    <t>C - REEMBOLSO O REDUCCIÓN DE CAPITAL</t>
  </si>
  <si>
    <t>D - LIQUIDACIÓN DE LA PERSONA MORAL</t>
  </si>
  <si>
    <t>E - CUFINRE (Fracción XLV del Art. Segundo de las Disposiciones Transitorias para 2002)</t>
  </si>
  <si>
    <t>0  &lt;Sin Selección&gt;</t>
  </si>
  <si>
    <t>Campo</t>
  </si>
  <si>
    <t xml:space="preserve">No. </t>
  </si>
  <si>
    <t>Apellido paterno, materno y nombre(s)                                              o denominación o razón social</t>
  </si>
  <si>
    <t xml:space="preserve">Anexo 2 - Datos de Identificación del Tercero </t>
  </si>
  <si>
    <t>Remanente</t>
  </si>
  <si>
    <t>Otros pagos</t>
  </si>
  <si>
    <t xml:space="preserve">DIVIDENDOS O UTILIDADES DISTRIBUIDOS   </t>
  </si>
  <si>
    <t xml:space="preserve">REMANENTE DISTRIBUIBLE   </t>
  </si>
  <si>
    <t>OTROS PAGOS Y RETENCIONES</t>
  </si>
  <si>
    <t xml:space="preserve">Registro Federal de Contribuyentes  </t>
  </si>
  <si>
    <t xml:space="preserve">Clave única de registro de población (sólo personas físicas)  </t>
  </si>
  <si>
    <t>Ejercicio</t>
  </si>
  <si>
    <t>Clave única de registro de población</t>
  </si>
  <si>
    <t>Apellido paterno, materno y nombre(s)</t>
  </si>
  <si>
    <t>Grupo</t>
  </si>
  <si>
    <t>Generales</t>
  </si>
  <si>
    <t>Resumen</t>
  </si>
  <si>
    <t>Suma Parcial</t>
  </si>
  <si>
    <t>Separación</t>
  </si>
  <si>
    <t>Cantidad de Campos</t>
  </si>
  <si>
    <t>6. Asi mismo en en las lineas de los detalles se anotaron comentarios a efecto de facilicitar el analisis de cada caso</t>
  </si>
  <si>
    <t>Derechos Reservados, no se autoriza su venta o explotación sin autorización expresa del Titular.
Este archivo es una idea y creación de: LCC Julio Daniel Reyes Rivero  
Cualquier duda, sugerencia o comentario enviarla a: jdcconsultores@prodigy.net.mx, o al Telefono (771) 715 10 56,</t>
  </si>
  <si>
    <t>Ingresos Acumulables Totales</t>
  </si>
  <si>
    <t>Pagos por separación una sola Exibición</t>
  </si>
  <si>
    <t>Otros pagos por separación</t>
  </si>
  <si>
    <t>Ingresos exentos otros pagos por separación</t>
  </si>
  <si>
    <t>Ingresos gravados otros pagos por separación</t>
  </si>
  <si>
    <t>Ingresos no acumulables otros pagos por separación</t>
  </si>
  <si>
    <t>Ingresos acumulables (último Sue Men Ord)</t>
  </si>
  <si>
    <t>Impuesto retenido otros pagos por separación</t>
  </si>
  <si>
    <t>Ingresos Exentos de Salarios</t>
  </si>
  <si>
    <t>Ingresos No Acumulables Totales</t>
  </si>
  <si>
    <t>Impuesto  Sobre la Renta Causado en el ejercicio que declara</t>
  </si>
  <si>
    <t>Impuesto Retenido al Contribuyente</t>
  </si>
  <si>
    <t>Determinación de Diferencia</t>
  </si>
  <si>
    <t>Entidad Federativa donde prestó servicios (Oblig)</t>
  </si>
  <si>
    <t>Cálculo del ISR</t>
  </si>
  <si>
    <t>MONA8201011A7</t>
  </si>
  <si>
    <t>MANO8506196M6</t>
  </si>
  <si>
    <t>MANO850619HTCRRG09</t>
  </si>
  <si>
    <t>MARES</t>
  </si>
  <si>
    <t>NARVAEZ</t>
  </si>
  <si>
    <t>OGCAR</t>
  </si>
  <si>
    <t>MANA7007215QA</t>
  </si>
  <si>
    <t>MANA700721MYNRNL08</t>
  </si>
  <si>
    <t>MARQUEZ</t>
  </si>
  <si>
    <t>NONES</t>
  </si>
  <si>
    <t>ALMA</t>
  </si>
  <si>
    <t>Suma del Subsidio Calculado en cada nómina Campo 134</t>
  </si>
  <si>
    <t>Diferencia a Cargo o (a Favor)</t>
  </si>
  <si>
    <t>Ya disminuido con el subsidio</t>
  </si>
  <si>
    <t>Resumen de cálculo</t>
  </si>
  <si>
    <t>ISR del Ejercicio</t>
  </si>
  <si>
    <t>Diferencia ISR (-) Subsidio</t>
  </si>
  <si>
    <t>Diferencia a cargo o             (a Favor)</t>
  </si>
  <si>
    <t xml:space="preserve">Ayuda para transporte exenta </t>
  </si>
  <si>
    <t xml:space="preserve">Ayuda para transporte gravada </t>
  </si>
  <si>
    <t xml:space="preserve">Ayuda para renta exenta </t>
  </si>
  <si>
    <t xml:space="preserve">Ayuda para renta   gravada  </t>
  </si>
  <si>
    <t xml:space="preserve">Reembolso gastos médicos gravados </t>
  </si>
  <si>
    <t xml:space="preserve">Reembolso gastos médicos exentos </t>
  </si>
  <si>
    <t xml:space="preserve">Fondo de ahorro gravado  </t>
  </si>
  <si>
    <t xml:space="preserve">Fondo de ahorro exento  </t>
  </si>
  <si>
    <t xml:space="preserve">Caja de ahorro gravada  </t>
  </si>
  <si>
    <t xml:space="preserve">Caja de ahorro exenta  </t>
  </si>
  <si>
    <t xml:space="preserve">Vales de despensa gravados  </t>
  </si>
  <si>
    <t xml:space="preserve">Vales de despensa exentos  </t>
  </si>
  <si>
    <t xml:space="preserve">Ayuda gastos funeral gravada  </t>
  </si>
  <si>
    <t xml:space="preserve">Ayuda gastos funeral exenta  </t>
  </si>
  <si>
    <t xml:space="preserve">Contribuciones pagadas por el patrón gravadas  </t>
  </si>
  <si>
    <t xml:space="preserve">Contribuciones pagadas por el patrón exentas  </t>
  </si>
  <si>
    <t xml:space="preserve">Prima seguro de vida gravada  </t>
  </si>
  <si>
    <t xml:space="preserve">Prima seguro de vida exenta  </t>
  </si>
  <si>
    <t xml:space="preserve">Gastos médicos mayores gravados  </t>
  </si>
  <si>
    <t xml:space="preserve">Gastos médicos mayores exentos  </t>
  </si>
  <si>
    <t xml:space="preserve">Vales para restaurante gravados  </t>
  </si>
  <si>
    <t xml:space="preserve">Vales para restaurante exentos </t>
  </si>
  <si>
    <t xml:space="preserve">Vales para gasolina gravados  </t>
  </si>
  <si>
    <t xml:space="preserve">Vales para gasolina exentos  </t>
  </si>
  <si>
    <t xml:space="preserve">Vales para ropa gravados  </t>
  </si>
  <si>
    <t xml:space="preserve">Vales para ropa    exentos  </t>
  </si>
  <si>
    <t xml:space="preserve">Ayuda para útiles escolares gravada  </t>
  </si>
  <si>
    <t xml:space="preserve">Ayuda para útiles escolares exenta  </t>
  </si>
  <si>
    <t xml:space="preserve">Ayuda para lentes gravada  </t>
  </si>
  <si>
    <t xml:space="preserve">Ayuda para lentes   exenta  </t>
  </si>
  <si>
    <t xml:space="preserve">Subsidios por incapacidad gravados  </t>
  </si>
  <si>
    <t xml:space="preserve">Subsidios por incapacidad exentos  </t>
  </si>
  <si>
    <t xml:space="preserve">Becas para trabajador o hijos gravadas  </t>
  </si>
  <si>
    <t xml:space="preserve">Becas para trabajador o hijos   exentas  </t>
  </si>
  <si>
    <t>Campo nuevo desde 2009</t>
  </si>
  <si>
    <t>Num</t>
  </si>
  <si>
    <t>OTRO</t>
  </si>
  <si>
    <t>7. Carga Batch: para generar el archivo de la carga batch es necesario copiar las lineas de la columna "Carga Batch" a un Block de Notas, y con ése archivo hacer la importación al DIM</t>
  </si>
  <si>
    <t>Asimilados Art. 110 LISR</t>
  </si>
  <si>
    <t>Columna1</t>
  </si>
  <si>
    <t>Tabla de ISR Utilizada 1=2011 2=1991</t>
  </si>
  <si>
    <t>CARGA BATCH PARA DECLARACIONES INFORMATIVAS 2012</t>
  </si>
  <si>
    <t>Area A ó B (Ya desaparecio la 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</si>
</sst>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00"/>
    <numFmt numFmtId="166" formatCode="_-* #,##0_-;\-* #,##0_-;_-* &quot;-&quot;??_-;_-@_-"/>
    <numFmt numFmtId="167" formatCode="_(* #,##0.00_);_(* \(#,##0.00\);_(* &quot;-&quot;??_);_(@_)"/>
    <numFmt numFmtId="168" formatCode="#,##0_ ;\-#,##0\ "/>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b/>
      <vertAlign val="superscript"/>
      <sz val="8"/>
      <color indexed="12"/>
      <name val="Arial"/>
      <family val="2"/>
    </font>
    <font>
      <b/>
      <sz val="10"/>
      <name val="Arial"/>
      <family val="2"/>
    </font>
    <font>
      <b/>
      <sz val="8"/>
      <color theme="0"/>
      <name val="Arial"/>
      <family val="2"/>
    </font>
    <font>
      <sz val="9"/>
      <color indexed="81"/>
      <name val="Tahoma"/>
      <family val="2"/>
    </font>
    <font>
      <b/>
      <sz val="9"/>
      <color indexed="81"/>
      <name val="Tahoma"/>
      <family val="2"/>
    </font>
    <font>
      <sz val="10"/>
      <name val="Arial"/>
      <family val="2"/>
    </font>
    <font>
      <b/>
      <sz val="9"/>
      <name val="Arial"/>
      <family val="2"/>
    </font>
    <font>
      <sz val="10"/>
      <color theme="1"/>
      <name val="Arial"/>
      <family val="2"/>
    </font>
    <font>
      <b/>
      <sz val="9"/>
      <color theme="1"/>
      <name val="Calibri"/>
      <family val="2"/>
      <scheme val="minor"/>
    </font>
    <font>
      <b/>
      <vertAlign val="superscript"/>
      <sz val="10"/>
      <color indexed="12"/>
      <name val="Arial"/>
      <family val="2"/>
    </font>
    <font>
      <b/>
      <sz val="10"/>
      <color indexed="12"/>
      <name val="Arial"/>
      <family val="2"/>
    </font>
    <font>
      <sz val="8"/>
      <color theme="1"/>
      <name val="Arial"/>
      <family val="2"/>
    </font>
    <font>
      <b/>
      <sz val="8"/>
      <color rgb="FF0000FF"/>
      <name val="Arial"/>
      <family val="2"/>
    </font>
    <font>
      <sz val="8"/>
      <name val="Arial"/>
      <family val="2"/>
    </font>
    <font>
      <sz val="10"/>
      <color rgb="FF0000FF"/>
      <name val="Arial"/>
      <family val="2"/>
    </font>
    <font>
      <b/>
      <sz val="10"/>
      <color rgb="FF0000FF"/>
      <name val="Arial"/>
      <family val="2"/>
    </font>
    <font>
      <b/>
      <sz val="14"/>
      <color theme="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b/>
      <sz val="10"/>
      <color theme="1"/>
      <name val="Arial"/>
      <family val="2"/>
    </font>
    <font>
      <sz val="11"/>
      <color theme="1"/>
      <name val="Arial"/>
      <family val="2"/>
    </font>
    <font>
      <b/>
      <sz val="11"/>
      <color theme="1"/>
      <name val="Arial"/>
      <family val="2"/>
    </font>
    <font>
      <b/>
      <sz val="11"/>
      <color rgb="FF0000FF"/>
      <name val="Calibri"/>
      <family val="2"/>
      <scheme val="minor"/>
    </font>
    <font>
      <sz val="11"/>
      <color rgb="FF0000FF"/>
      <name val="Calibri"/>
      <family val="2"/>
      <scheme val="minor"/>
    </font>
    <font>
      <u/>
      <sz val="11"/>
      <color theme="10"/>
      <name val="Calibri"/>
      <family val="2"/>
    </font>
    <font>
      <b/>
      <sz val="8"/>
      <color theme="1"/>
      <name val="Arial"/>
      <family val="2"/>
    </font>
    <font>
      <sz val="9"/>
      <color theme="1"/>
      <name val="Calibri"/>
      <family val="2"/>
      <scheme val="minor"/>
    </font>
    <font>
      <b/>
      <sz val="10"/>
      <color theme="5"/>
      <name val="Arial"/>
      <family val="2"/>
    </font>
  </fonts>
  <fills count="19">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bgColor theme="4"/>
      </patternFill>
    </fill>
    <fill>
      <patternFill patternType="solid">
        <fgColor theme="7" tint="0.59999389629810485"/>
        <bgColor indexed="64"/>
      </patternFill>
    </fill>
  </fills>
  <borders count="3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theme="0"/>
      </right>
      <top/>
      <bottom style="thick">
        <color theme="0"/>
      </bottom>
      <diagonal/>
    </border>
    <border>
      <left/>
      <right/>
      <top/>
      <bottom style="thick">
        <color theme="0"/>
      </bottom>
      <diagonal/>
    </border>
    <border>
      <left/>
      <right/>
      <top/>
      <bottom style="thin">
        <color theme="0"/>
      </bottom>
      <diagonal/>
    </border>
    <border>
      <left style="hair">
        <color indexed="64"/>
      </left>
      <right/>
      <top/>
      <bottom/>
      <diagonal/>
    </border>
    <border>
      <left/>
      <right style="thin">
        <color theme="0"/>
      </right>
      <top/>
      <bottom style="thin">
        <color theme="0"/>
      </bottom>
      <diagonal/>
    </border>
    <border>
      <left/>
      <right style="hair">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7" fontId="9" fillId="0" borderId="0" applyFont="0" applyFill="0" applyBorder="0" applyAlignment="0" applyProtection="0"/>
    <xf numFmtId="0" fontId="29" fillId="0" borderId="0" applyNumberFormat="0" applyFill="0" applyBorder="0" applyAlignment="0" applyProtection="0">
      <alignment vertical="top"/>
      <protection locked="0"/>
    </xf>
  </cellStyleXfs>
  <cellXfs count="237">
    <xf numFmtId="0" fontId="0" fillId="0" borderId="0" xfId="0"/>
    <xf numFmtId="0" fontId="0" fillId="0" borderId="0" xfId="0" applyBorder="1"/>
    <xf numFmtId="0" fontId="5" fillId="0" borderId="0" xfId="0" applyFont="1" applyFill="1" applyBorder="1"/>
    <xf numFmtId="0" fontId="0" fillId="0" borderId="0" xfId="0" applyAlignment="1">
      <alignment horizontal="center"/>
    </xf>
    <xf numFmtId="0" fontId="2" fillId="0" borderId="0" xfId="0" applyFont="1"/>
    <xf numFmtId="0" fontId="5" fillId="2" borderId="0" xfId="0" applyFont="1" applyFill="1"/>
    <xf numFmtId="0" fontId="5" fillId="3" borderId="0" xfId="0" applyFont="1" applyFill="1"/>
    <xf numFmtId="0" fontId="5" fillId="4" borderId="0" xfId="0" applyFont="1" applyFill="1"/>
    <xf numFmtId="0" fontId="5" fillId="5" borderId="0" xfId="0" applyFont="1" applyFill="1"/>
    <xf numFmtId="0" fontId="5" fillId="3" borderId="1" xfId="0" applyFont="1" applyFill="1" applyBorder="1" applyAlignment="1"/>
    <xf numFmtId="167" fontId="5" fillId="0" borderId="0" xfId="1" applyNumberFormat="1" applyFont="1" applyBorder="1"/>
    <xf numFmtId="167" fontId="9" fillId="0" borderId="0" xfId="1" applyNumberFormat="1" applyFont="1" applyBorder="1"/>
    <xf numFmtId="167" fontId="10" fillId="3" borderId="5" xfId="1" applyNumberFormat="1" applyFont="1" applyFill="1" applyBorder="1" applyAlignment="1">
      <alignment horizontal="center" vertical="center" wrapText="1"/>
    </xf>
    <xf numFmtId="0" fontId="10" fillId="3" borderId="5" xfId="0" quotePrefix="1" applyFont="1" applyFill="1" applyBorder="1" applyAlignment="1">
      <alignment horizontal="center" vertical="center" wrapText="1"/>
    </xf>
    <xf numFmtId="4" fontId="11" fillId="8" borderId="6" xfId="3" applyNumberFormat="1" applyFont="1" applyFill="1" applyBorder="1"/>
    <xf numFmtId="4" fontId="11" fillId="8" borderId="2" xfId="3" applyNumberFormat="1" applyFont="1" applyFill="1" applyBorder="1"/>
    <xf numFmtId="10" fontId="9" fillId="8" borderId="7" xfId="2" applyNumberFormat="1" applyFont="1" applyFill="1" applyBorder="1" applyAlignment="1">
      <alignment horizontal="center"/>
    </xf>
    <xf numFmtId="4" fontId="11" fillId="7" borderId="6" xfId="3" applyNumberFormat="1" applyFont="1" applyFill="1" applyBorder="1"/>
    <xf numFmtId="4" fontId="11" fillId="7" borderId="2" xfId="3" applyNumberFormat="1" applyFont="1" applyFill="1" applyBorder="1"/>
    <xf numFmtId="10" fontId="9" fillId="7" borderId="7" xfId="2" applyNumberFormat="1" applyFont="1" applyFill="1" applyBorder="1" applyAlignment="1">
      <alignment horizontal="center"/>
    </xf>
    <xf numFmtId="4" fontId="11" fillId="7" borderId="8" xfId="3" applyNumberFormat="1" applyFont="1" applyFill="1" applyBorder="1"/>
    <xf numFmtId="4" fontId="11" fillId="7" borderId="9" xfId="3" applyNumberFormat="1" applyFont="1" applyFill="1" applyBorder="1"/>
    <xf numFmtId="10" fontId="9" fillId="7" borderId="10" xfId="2" applyNumberFormat="1" applyFont="1" applyFill="1" applyBorder="1" applyAlignment="1">
      <alignment horizontal="center"/>
    </xf>
    <xf numFmtId="4" fontId="11" fillId="8" borderId="11" xfId="3" applyNumberFormat="1" applyFont="1" applyFill="1" applyBorder="1"/>
    <xf numFmtId="4" fontId="11" fillId="8" borderId="4" xfId="3" applyNumberFormat="1" applyFont="1" applyFill="1" applyBorder="1"/>
    <xf numFmtId="10" fontId="9" fillId="8" borderId="12" xfId="2" applyNumberFormat="1" applyFont="1" applyFill="1" applyBorder="1" applyAlignment="1">
      <alignment horizontal="center"/>
    </xf>
    <xf numFmtId="0" fontId="3" fillId="2"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0" xfId="0" applyFont="1"/>
    <xf numFmtId="0" fontId="11" fillId="0" borderId="0" xfId="0" applyFont="1"/>
    <xf numFmtId="0" fontId="11" fillId="2" borderId="0" xfId="0" applyFont="1" applyFill="1"/>
    <xf numFmtId="0" fontId="11" fillId="4" borderId="0" xfId="0" applyFont="1" applyFill="1"/>
    <xf numFmtId="0" fontId="11" fillId="5" borderId="0" xfId="0" applyFont="1" applyFill="1"/>
    <xf numFmtId="0" fontId="13" fillId="4" borderId="0" xfId="0" applyFont="1" applyFill="1"/>
    <xf numFmtId="0" fontId="11" fillId="3" borderId="0" xfId="0" applyFont="1" applyFill="1"/>
    <xf numFmtId="0" fontId="15" fillId="0" borderId="0" xfId="0" applyFont="1"/>
    <xf numFmtId="0" fontId="16" fillId="0" borderId="0" xfId="0" applyFont="1" applyAlignment="1">
      <alignment horizontal="center"/>
    </xf>
    <xf numFmtId="0" fontId="15" fillId="0" borderId="0" xfId="0" applyFont="1" applyFill="1" applyBorder="1"/>
    <xf numFmtId="0" fontId="11" fillId="0" borderId="0" xfId="0" applyFont="1" applyFill="1" applyBorder="1"/>
    <xf numFmtId="0" fontId="11" fillId="0" borderId="0" xfId="0" applyFont="1" applyAlignment="1">
      <alignment horizontal="left"/>
    </xf>
    <xf numFmtId="0" fontId="19" fillId="0" borderId="0" xfId="0" applyFont="1" applyAlignment="1">
      <alignment horizontal="center"/>
    </xf>
    <xf numFmtId="0" fontId="19" fillId="0" borderId="0" xfId="0" applyFont="1" applyFill="1" applyBorder="1" applyAlignment="1">
      <alignment horizontal="center"/>
    </xf>
    <xf numFmtId="0" fontId="19" fillId="0" borderId="0" xfId="0" applyFont="1" applyBorder="1" applyAlignment="1">
      <alignment horizontal="center"/>
    </xf>
    <xf numFmtId="0" fontId="3" fillId="11" borderId="0" xfId="0" applyFont="1" applyFill="1" applyBorder="1" applyAlignment="1">
      <alignment horizontal="center" vertical="center" wrapText="1"/>
    </xf>
    <xf numFmtId="49" fontId="17" fillId="3" borderId="15" xfId="0" applyNumberFormat="1" applyFont="1" applyFill="1" applyBorder="1" applyAlignment="1">
      <alignment horizontal="left" vertical="center" indent="1"/>
    </xf>
    <xf numFmtId="0" fontId="5" fillId="0" borderId="0" xfId="0" applyFont="1"/>
    <xf numFmtId="49" fontId="9" fillId="0" borderId="2" xfId="0" applyNumberFormat="1" applyFont="1" applyBorder="1" applyAlignment="1" applyProtection="1">
      <alignment horizontal="left" vertical="center" indent="1"/>
      <protection locked="0"/>
    </xf>
    <xf numFmtId="0" fontId="0" fillId="0" borderId="0" xfId="0" applyAlignment="1">
      <alignment vertical="center"/>
    </xf>
    <xf numFmtId="0" fontId="5" fillId="9" borderId="0" xfId="0" applyFont="1" applyFill="1"/>
    <xf numFmtId="0" fontId="3" fillId="9" borderId="17" xfId="0" applyFont="1" applyFill="1" applyBorder="1" applyAlignment="1">
      <alignment horizontal="center" vertical="center" wrapText="1"/>
    </xf>
    <xf numFmtId="0" fontId="11" fillId="0" borderId="18" xfId="0" applyFont="1" applyBorder="1" applyAlignment="1">
      <alignment horizontal="center"/>
    </xf>
    <xf numFmtId="0" fontId="11" fillId="0" borderId="18" xfId="0" applyFont="1" applyBorder="1"/>
    <xf numFmtId="164" fontId="11" fillId="0" borderId="18" xfId="0" applyNumberFormat="1" applyFont="1" applyBorder="1" applyAlignment="1">
      <alignment horizontal="center"/>
    </xf>
    <xf numFmtId="166" fontId="11" fillId="0" borderId="18" xfId="1" applyNumberFormat="1" applyFont="1" applyBorder="1"/>
    <xf numFmtId="0" fontId="0" fillId="0" borderId="5" xfId="0" applyFont="1" applyBorder="1" applyAlignment="1">
      <alignment horizontal="center"/>
    </xf>
    <xf numFmtId="0" fontId="0" fillId="0" borderId="22" xfId="0" applyFont="1" applyBorder="1"/>
    <xf numFmtId="0" fontId="0" fillId="0" borderId="23" xfId="0" applyFont="1" applyBorder="1"/>
    <xf numFmtId="0" fontId="0" fillId="0" borderId="0" xfId="0" applyFont="1" applyBorder="1"/>
    <xf numFmtId="0" fontId="2" fillId="0" borderId="21" xfId="0" applyFont="1" applyBorder="1" applyAlignment="1">
      <alignment horizontal="left" indent="2"/>
    </xf>
    <xf numFmtId="0" fontId="2" fillId="0" borderId="22" xfId="0" applyFont="1" applyBorder="1" applyAlignment="1">
      <alignment horizontal="left" indent="2"/>
    </xf>
    <xf numFmtId="0" fontId="2" fillId="0" borderId="0" xfId="0" applyFont="1" applyAlignment="1"/>
    <xf numFmtId="0" fontId="2" fillId="13" borderId="0" xfId="0" applyFont="1" applyFill="1" applyBorder="1" applyAlignment="1">
      <alignment horizontal="center"/>
    </xf>
    <xf numFmtId="0" fontId="21" fillId="13" borderId="0" xfId="0" applyFont="1" applyFill="1" applyBorder="1" applyAlignment="1">
      <alignment horizontal="center"/>
    </xf>
    <xf numFmtId="166" fontId="0" fillId="0" borderId="5" xfId="1" applyNumberFormat="1" applyFont="1" applyBorder="1"/>
    <xf numFmtId="0" fontId="21" fillId="14" borderId="0" xfId="0" applyFont="1" applyFill="1" applyBorder="1" applyAlignment="1">
      <alignment horizontal="center"/>
    </xf>
    <xf numFmtId="0" fontId="2" fillId="14" borderId="0" xfId="0" applyFont="1" applyFill="1" applyBorder="1" applyAlignment="1">
      <alignment horizontal="left" indent="1"/>
    </xf>
    <xf numFmtId="166" fontId="2" fillId="0" borderId="5" xfId="0" applyNumberFormat="1" applyFont="1" applyBorder="1"/>
    <xf numFmtId="0" fontId="0" fillId="0" borderId="0" xfId="0" applyFont="1" applyFill="1"/>
    <xf numFmtId="0" fontId="22" fillId="0" borderId="0" xfId="0" applyFont="1" applyFill="1" applyBorder="1" applyAlignment="1">
      <alignment horizontal="left" wrapText="1" indent="2"/>
    </xf>
    <xf numFmtId="166" fontId="0" fillId="0" borderId="0" xfId="1" applyNumberFormat="1" applyFont="1" applyFill="1" applyBorder="1" applyAlignment="1">
      <alignment horizontal="center"/>
    </xf>
    <xf numFmtId="0" fontId="12" fillId="0" borderId="5" xfId="0" applyFont="1" applyFill="1" applyBorder="1" applyAlignment="1">
      <alignment horizontal="left" vertical="top" wrapText="1"/>
    </xf>
    <xf numFmtId="0" fontId="22" fillId="4" borderId="21" xfId="0" applyFont="1" applyFill="1" applyBorder="1" applyAlignment="1">
      <alignment horizontal="left" indent="1"/>
    </xf>
    <xf numFmtId="0" fontId="25" fillId="0" borderId="0" xfId="0" applyFont="1"/>
    <xf numFmtId="0" fontId="23" fillId="17" borderId="29" xfId="0" applyFont="1" applyFill="1" applyBorder="1" applyAlignment="1">
      <alignment horizontal="center"/>
    </xf>
    <xf numFmtId="0" fontId="23" fillId="17" borderId="30" xfId="0" applyFont="1" applyFill="1" applyBorder="1" applyAlignment="1">
      <alignment horizontal="center"/>
    </xf>
    <xf numFmtId="0" fontId="21" fillId="4" borderId="21" xfId="0" applyFont="1" applyFill="1" applyBorder="1" applyAlignment="1">
      <alignment horizontal="left" indent="1"/>
    </xf>
    <xf numFmtId="0" fontId="21" fillId="4" borderId="5" xfId="0" applyFont="1" applyFill="1" applyBorder="1" applyAlignment="1">
      <alignment horizontal="center"/>
    </xf>
    <xf numFmtId="0" fontId="21" fillId="0" borderId="5" xfId="0" applyFont="1" applyFill="1" applyBorder="1" applyAlignment="1" applyProtection="1">
      <alignment horizontal="center"/>
      <protection locked="0"/>
    </xf>
    <xf numFmtId="166" fontId="18" fillId="0" borderId="0" xfId="1" applyNumberFormat="1" applyFont="1" applyFill="1" applyBorder="1"/>
    <xf numFmtId="166" fontId="19" fillId="0" borderId="0" xfId="1" applyNumberFormat="1" applyFont="1" applyFill="1" applyBorder="1"/>
    <xf numFmtId="0" fontId="24" fillId="13" borderId="2" xfId="0" applyFont="1" applyFill="1" applyBorder="1" applyAlignment="1">
      <alignment horizontal="center"/>
    </xf>
    <xf numFmtId="0" fontId="24" fillId="13" borderId="2" xfId="0" applyFont="1" applyFill="1" applyBorder="1"/>
    <xf numFmtId="166" fontId="24" fillId="13" borderId="2" xfId="0" applyNumberFormat="1" applyFont="1" applyFill="1" applyBorder="1"/>
    <xf numFmtId="0" fontId="24" fillId="13" borderId="2" xfId="0" applyNumberFormat="1" applyFont="1" applyFill="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166" fontId="11" fillId="0" borderId="0" xfId="1" applyNumberFormat="1" applyFont="1" applyFill="1" applyBorder="1"/>
    <xf numFmtId="0" fontId="11" fillId="0" borderId="0" xfId="1" applyNumberFormat="1" applyFont="1" applyFill="1" applyBorder="1" applyAlignment="1">
      <alignment horizontal="center"/>
    </xf>
    <xf numFmtId="166" fontId="19" fillId="0" borderId="0" xfId="0" applyNumberFormat="1" applyFont="1" applyFill="1" applyBorder="1"/>
    <xf numFmtId="0" fontId="19" fillId="0" borderId="0" xfId="0" applyFont="1" applyFill="1" applyBorder="1"/>
    <xf numFmtId="0" fontId="11" fillId="0" borderId="0" xfId="0" applyFont="1" applyFill="1"/>
    <xf numFmtId="0" fontId="11" fillId="0" borderId="0" xfId="0" applyFont="1" applyFill="1" applyAlignment="1">
      <alignment horizontal="left"/>
    </xf>
    <xf numFmtId="0" fontId="22" fillId="4" borderId="23" xfId="0" applyFont="1" applyFill="1" applyBorder="1" applyAlignment="1">
      <alignment horizontal="left" indent="1"/>
    </xf>
    <xf numFmtId="0" fontId="27" fillId="0" borderId="0" xfId="0" applyFont="1" applyAlignment="1">
      <alignment horizontal="center"/>
    </xf>
    <xf numFmtId="0" fontId="27" fillId="0" borderId="0" xfId="0" applyFont="1" applyFill="1" applyAlignment="1">
      <alignment horizontal="center"/>
    </xf>
    <xf numFmtId="0" fontId="28" fillId="0" borderId="0" xfId="0" applyFont="1"/>
    <xf numFmtId="0" fontId="29" fillId="0" borderId="0" xfId="4" applyAlignment="1" applyProtection="1"/>
    <xf numFmtId="0" fontId="29" fillId="0" borderId="0" xfId="4" applyAlignment="1" applyProtection="1">
      <protection locked="0"/>
    </xf>
    <xf numFmtId="0" fontId="28" fillId="0" borderId="0" xfId="0" applyFont="1" applyAlignment="1"/>
    <xf numFmtId="0" fontId="19" fillId="2" borderId="0" xfId="0" applyFont="1" applyFill="1" applyAlignment="1">
      <alignment horizontal="center"/>
    </xf>
    <xf numFmtId="0" fontId="30" fillId="11" borderId="0" xfId="0" applyFont="1" applyFill="1" applyAlignment="1">
      <alignment horizontal="center" vertical="center"/>
    </xf>
    <xf numFmtId="0" fontId="23" fillId="17" borderId="30" xfId="0" applyFont="1" applyFill="1" applyBorder="1"/>
    <xf numFmtId="0" fontId="0" fillId="7" borderId="31" xfId="0" applyFont="1" applyFill="1" applyBorder="1"/>
    <xf numFmtId="0" fontId="0" fillId="8" borderId="31" xfId="0" applyFont="1" applyFill="1" applyBorder="1"/>
    <xf numFmtId="0" fontId="0" fillId="8" borderId="0" xfId="0" applyFont="1" applyFill="1"/>
    <xf numFmtId="0" fontId="25" fillId="0" borderId="0" xfId="0" quotePrefix="1" applyFont="1"/>
    <xf numFmtId="0" fontId="19" fillId="3" borderId="0" xfId="0" applyFont="1" applyFill="1" applyAlignment="1">
      <alignment horizontal="center"/>
    </xf>
    <xf numFmtId="0" fontId="19" fillId="4" borderId="0" xfId="0" applyFont="1" applyFill="1" applyAlignment="1">
      <alignment horizontal="center"/>
    </xf>
    <xf numFmtId="0" fontId="11" fillId="11" borderId="0" xfId="0" applyFont="1" applyFill="1"/>
    <xf numFmtId="0" fontId="0" fillId="7" borderId="31" xfId="0" applyFill="1" applyBorder="1"/>
    <xf numFmtId="0" fontId="16" fillId="11" borderId="0" xfId="0" applyFont="1" applyFill="1" applyAlignment="1">
      <alignment horizontal="center"/>
    </xf>
    <xf numFmtId="0" fontId="0" fillId="0" borderId="5" xfId="0" applyFont="1" applyBorder="1" applyAlignment="1">
      <alignment horizontal="center" vertical="center"/>
    </xf>
    <xf numFmtId="2" fontId="11" fillId="0" borderId="18" xfId="1" applyNumberFormat="1" applyFont="1" applyBorder="1"/>
    <xf numFmtId="0" fontId="3" fillId="11" borderId="32" xfId="0" applyFont="1" applyFill="1" applyBorder="1" applyAlignment="1">
      <alignment horizontal="center" vertical="center" wrapText="1"/>
    </xf>
    <xf numFmtId="0" fontId="27" fillId="0" borderId="0" xfId="0" applyFont="1" applyBorder="1" applyAlignment="1">
      <alignment horizontal="center"/>
    </xf>
    <xf numFmtId="0" fontId="22" fillId="4" borderId="21" xfId="0" applyFont="1" applyFill="1" applyBorder="1" applyAlignment="1"/>
    <xf numFmtId="166" fontId="0" fillId="0" borderId="5" xfId="1" applyNumberFormat="1" applyFont="1" applyBorder="1" applyAlignment="1">
      <alignment horizontal="center" vertical="center"/>
    </xf>
    <xf numFmtId="166" fontId="12" fillId="0" borderId="5" xfId="1" applyNumberFormat="1" applyFont="1" applyFill="1" applyBorder="1" applyAlignment="1">
      <alignment vertical="top"/>
    </xf>
    <xf numFmtId="0" fontId="0" fillId="0" borderId="5" xfId="0" applyFont="1" applyBorder="1" applyAlignment="1">
      <alignment horizontal="right" vertical="center" indent="1"/>
    </xf>
    <xf numFmtId="164" fontId="0" fillId="0" borderId="5" xfId="0" applyNumberFormat="1" applyFont="1" applyBorder="1" applyAlignment="1">
      <alignment horizontal="right" vertical="center" indent="1"/>
    </xf>
    <xf numFmtId="0" fontId="31" fillId="0" borderId="5" xfId="0" applyFont="1" applyBorder="1" applyAlignment="1">
      <alignment horizontal="right" vertical="center" wrapText="1" indent="1"/>
    </xf>
    <xf numFmtId="49" fontId="0" fillId="0" borderId="5" xfId="0" applyNumberFormat="1" applyFont="1" applyBorder="1" applyAlignment="1">
      <alignment horizontal="right" vertical="center" indent="1"/>
    </xf>
    <xf numFmtId="49" fontId="0" fillId="0" borderId="5" xfId="0" applyNumberFormat="1" applyBorder="1" applyAlignment="1">
      <alignment horizontal="right" vertical="center" indent="1"/>
    </xf>
    <xf numFmtId="0" fontId="26" fillId="0" borderId="0" xfId="0" applyFont="1"/>
    <xf numFmtId="0" fontId="0" fillId="7" borderId="33" xfId="0" applyFont="1" applyFill="1" applyBorder="1" applyAlignment="1">
      <alignment horizontal="center"/>
    </xf>
    <xf numFmtId="0" fontId="0" fillId="8" borderId="33" xfId="0" applyFont="1" applyFill="1" applyBorder="1" applyAlignment="1">
      <alignment horizontal="center"/>
    </xf>
    <xf numFmtId="0" fontId="2" fillId="7" borderId="33" xfId="0" applyFont="1" applyFill="1" applyBorder="1" applyAlignment="1">
      <alignment horizontal="center"/>
    </xf>
    <xf numFmtId="0" fontId="2" fillId="7" borderId="31" xfId="0" applyFont="1" applyFill="1" applyBorder="1"/>
    <xf numFmtId="0" fontId="0" fillId="8" borderId="31" xfId="0" applyFill="1" applyBorder="1"/>
    <xf numFmtId="0" fontId="5" fillId="18" borderId="0" xfId="0" applyFont="1" applyFill="1"/>
    <xf numFmtId="0" fontId="11" fillId="18" borderId="0" xfId="0" applyFont="1" applyFill="1"/>
    <xf numFmtId="0" fontId="3" fillId="11" borderId="34"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18" borderId="13" xfId="0" applyFont="1" applyFill="1" applyBorder="1" applyAlignment="1" applyProtection="1">
      <alignment horizontal="center" vertical="center" wrapText="1"/>
      <protection locked="0"/>
    </xf>
    <xf numFmtId="0" fontId="3" fillId="10" borderId="13" xfId="0" applyFont="1" applyFill="1" applyBorder="1" applyAlignment="1" applyProtection="1">
      <alignment horizontal="center" vertical="center" wrapText="1"/>
      <protection locked="0"/>
    </xf>
    <xf numFmtId="0" fontId="3" fillId="9" borderId="17"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15" fillId="0" borderId="0" xfId="0" applyFont="1" applyBorder="1" applyAlignment="1" applyProtection="1">
      <alignment vertical="center"/>
      <protection locked="0"/>
    </xf>
    <xf numFmtId="0" fontId="11" fillId="0" borderId="2" xfId="0" applyFont="1" applyBorder="1" applyAlignment="1" applyProtection="1">
      <alignment horizontal="center"/>
    </xf>
    <xf numFmtId="0" fontId="11" fillId="0" borderId="2" xfId="0" applyFont="1" applyBorder="1" applyProtection="1"/>
    <xf numFmtId="164" fontId="11" fillId="0" borderId="2" xfId="0" applyNumberFormat="1" applyFont="1" applyBorder="1" applyAlignment="1" applyProtection="1">
      <alignment horizontal="center"/>
    </xf>
    <xf numFmtId="0" fontId="32" fillId="0" borderId="2" xfId="0" applyNumberFormat="1" applyFont="1" applyBorder="1" applyAlignment="1" applyProtection="1">
      <alignment horizontal="center"/>
    </xf>
    <xf numFmtId="0" fontId="32" fillId="0" borderId="2" xfId="0" applyFont="1" applyBorder="1" applyAlignment="1" applyProtection="1">
      <alignment horizontal="center"/>
    </xf>
    <xf numFmtId="0" fontId="32" fillId="13" borderId="2" xfId="0" applyNumberFormat="1" applyFont="1" applyFill="1" applyBorder="1" applyAlignment="1" applyProtection="1">
      <alignment horizontal="center"/>
    </xf>
    <xf numFmtId="166" fontId="11" fillId="0" borderId="2" xfId="1" applyNumberFormat="1" applyFont="1" applyBorder="1" applyProtection="1"/>
    <xf numFmtId="0" fontId="11" fillId="0" borderId="2" xfId="0" applyFont="1" applyFill="1" applyBorder="1" applyProtection="1"/>
    <xf numFmtId="168" fontId="32" fillId="0" borderId="2" xfId="1" applyNumberFormat="1" applyFont="1" applyBorder="1" applyProtection="1"/>
    <xf numFmtId="3" fontId="11" fillId="0" borderId="2" xfId="1" applyNumberFormat="1" applyFont="1" applyBorder="1" applyProtection="1"/>
    <xf numFmtId="1" fontId="11" fillId="0" borderId="2" xfId="1" applyNumberFormat="1" applyFont="1" applyBorder="1" applyAlignment="1" applyProtection="1">
      <alignment horizontal="center"/>
    </xf>
    <xf numFmtId="3" fontId="32" fillId="0" borderId="2" xfId="1" applyNumberFormat="1" applyFont="1" applyBorder="1" applyProtection="1"/>
    <xf numFmtId="3" fontId="32" fillId="0" borderId="2" xfId="1" applyNumberFormat="1" applyFont="1" applyBorder="1" applyAlignment="1" applyProtection="1">
      <alignment horizontal="center"/>
    </xf>
    <xf numFmtId="3" fontId="19" fillId="0" borderId="2" xfId="1" applyNumberFormat="1" applyFont="1" applyFill="1" applyBorder="1" applyProtection="1"/>
    <xf numFmtId="3" fontId="11" fillId="12" borderId="2" xfId="1" applyNumberFormat="1" applyFont="1" applyFill="1" applyBorder="1" applyProtection="1"/>
    <xf numFmtId="3" fontId="19" fillId="0" borderId="2" xfId="1" applyNumberFormat="1" applyFont="1" applyBorder="1" applyProtection="1"/>
    <xf numFmtId="3" fontId="19" fillId="0" borderId="2" xfId="0" applyNumberFormat="1" applyFont="1" applyBorder="1" applyProtection="1"/>
    <xf numFmtId="0" fontId="19" fillId="0" borderId="2" xfId="0" applyFont="1" applyBorder="1" applyProtection="1">
      <protection hidden="1"/>
    </xf>
    <xf numFmtId="0" fontId="19" fillId="0" borderId="2" xfId="0" applyFont="1" applyBorder="1" applyAlignment="1" applyProtection="1">
      <alignment horizontal="center"/>
    </xf>
    <xf numFmtId="0" fontId="11" fillId="0" borderId="0" xfId="0" applyFont="1" applyProtection="1"/>
    <xf numFmtId="43" fontId="11" fillId="0" borderId="2" xfId="1" applyFont="1" applyBorder="1" applyProtection="1"/>
    <xf numFmtId="0" fontId="24" fillId="13" borderId="2" xfId="0" applyFont="1" applyFill="1" applyBorder="1" applyAlignment="1" applyProtection="1">
      <alignment horizontal="center"/>
    </xf>
    <xf numFmtId="0" fontId="24" fillId="13" borderId="2" xfId="0" applyFont="1" applyFill="1" applyBorder="1" applyProtection="1"/>
    <xf numFmtId="166" fontId="24" fillId="13" borderId="2" xfId="0" applyNumberFormat="1" applyFont="1" applyFill="1" applyBorder="1" applyProtection="1"/>
    <xf numFmtId="168" fontId="24" fillId="13" borderId="2" xfId="0" applyNumberFormat="1" applyFont="1" applyFill="1" applyBorder="1" applyProtection="1"/>
    <xf numFmtId="3" fontId="24" fillId="13" borderId="2" xfId="0" applyNumberFormat="1" applyFont="1" applyFill="1" applyBorder="1" applyProtection="1"/>
    <xf numFmtId="1" fontId="24" fillId="13" borderId="2" xfId="0" applyNumberFormat="1" applyFont="1" applyFill="1" applyBorder="1" applyAlignment="1" applyProtection="1">
      <alignment horizontal="center"/>
    </xf>
    <xf numFmtId="3" fontId="24" fillId="13" borderId="2" xfId="0" applyNumberFormat="1" applyFont="1" applyFill="1" applyBorder="1" applyAlignment="1" applyProtection="1">
      <alignment horizontal="center"/>
    </xf>
    <xf numFmtId="0" fontId="19" fillId="13" borderId="2" xfId="0" applyFont="1" applyFill="1" applyBorder="1" applyProtection="1">
      <protection hidden="1"/>
    </xf>
    <xf numFmtId="0" fontId="19" fillId="0" borderId="0" xfId="0" applyFont="1" applyFill="1" applyBorder="1" applyProtection="1"/>
    <xf numFmtId="168" fontId="11" fillId="0" borderId="18" xfId="1" applyNumberFormat="1" applyFont="1" applyBorder="1"/>
    <xf numFmtId="168" fontId="24" fillId="13" borderId="2" xfId="0" applyNumberFormat="1" applyFont="1" applyFill="1" applyBorder="1"/>
    <xf numFmtId="1" fontId="11" fillId="0" borderId="18" xfId="1" applyNumberFormat="1" applyFont="1" applyBorder="1" applyAlignment="1">
      <alignment horizontal="center"/>
    </xf>
    <xf numFmtId="1" fontId="24" fillId="13" borderId="2" xfId="0" applyNumberFormat="1" applyFont="1" applyFill="1" applyBorder="1" applyAlignment="1">
      <alignment horizontal="center"/>
    </xf>
    <xf numFmtId="0" fontId="11" fillId="0" borderId="19" xfId="0" applyFont="1" applyBorder="1" applyAlignment="1">
      <alignment horizontal="center"/>
    </xf>
    <xf numFmtId="167" fontId="5" fillId="0" borderId="0" xfId="1" applyNumberFormat="1" applyFont="1" applyFill="1" applyBorder="1"/>
    <xf numFmtId="0" fontId="0" fillId="0" borderId="0" xfId="0" applyFill="1" applyBorder="1"/>
    <xf numFmtId="167" fontId="10" fillId="0" borderId="0" xfId="1" applyNumberFormat="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4" fontId="11" fillId="0" borderId="0" xfId="3" applyNumberFormat="1" applyFont="1" applyFill="1" applyBorder="1"/>
    <xf numFmtId="10" fontId="9" fillId="0" borderId="0" xfId="2" applyNumberFormat="1" applyFont="1" applyFill="1" applyBorder="1" applyAlignment="1">
      <alignment horizontal="center"/>
    </xf>
    <xf numFmtId="0" fontId="10" fillId="0" borderId="0" xfId="0" applyFont="1" applyFill="1" applyBorder="1" applyAlignment="1">
      <alignment horizontal="center" vertical="center" wrapText="1"/>
    </xf>
    <xf numFmtId="10" fontId="11" fillId="0" borderId="0" xfId="2" applyNumberFormat="1" applyFont="1" applyFill="1" applyBorder="1" applyAlignment="1">
      <alignment horizontal="center"/>
    </xf>
    <xf numFmtId="165" fontId="11" fillId="13" borderId="2" xfId="0" applyNumberFormat="1" applyFont="1" applyFill="1" applyBorder="1" applyAlignment="1" applyProtection="1">
      <alignment horizontal="center"/>
    </xf>
    <xf numFmtId="0" fontId="19" fillId="13" borderId="2" xfId="0" applyFont="1" applyFill="1" applyBorder="1" applyAlignment="1" applyProtection="1">
      <alignment horizont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0" fillId="0" borderId="0" xfId="0" applyFont="1" applyAlignment="1">
      <alignment horizontal="center"/>
    </xf>
    <xf numFmtId="0" fontId="5" fillId="0" borderId="21" xfId="0" applyFont="1" applyBorder="1" applyAlignment="1">
      <alignment horizontal="left" vertical="center" wrapText="1" indent="1"/>
    </xf>
    <xf numFmtId="0" fontId="5" fillId="0" borderId="23" xfId="0" applyFont="1" applyBorder="1" applyAlignment="1">
      <alignment horizontal="left" vertical="center" wrapText="1" indent="1"/>
    </xf>
    <xf numFmtId="49" fontId="3" fillId="0" borderId="1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66" fontId="0" fillId="0" borderId="21" xfId="1" applyNumberFormat="1" applyFont="1" applyBorder="1" applyAlignment="1">
      <alignment horizontal="center" vertical="center"/>
    </xf>
    <xf numFmtId="166" fontId="0" fillId="0" borderId="23" xfId="1" applyNumberFormat="1" applyFont="1" applyBorder="1" applyAlignment="1">
      <alignment horizontal="center" vertical="center"/>
    </xf>
    <xf numFmtId="0" fontId="2" fillId="13" borderId="24" xfId="0" applyFont="1" applyFill="1" applyBorder="1" applyAlignment="1">
      <alignment horizontal="center"/>
    </xf>
    <xf numFmtId="0" fontId="2" fillId="13" borderId="20" xfId="0" applyFont="1" applyFill="1" applyBorder="1" applyAlignment="1">
      <alignment horizontal="center"/>
    </xf>
    <xf numFmtId="0" fontId="2" fillId="13" borderId="25" xfId="0" applyFont="1" applyFill="1" applyBorder="1" applyAlignment="1">
      <alignment horizontal="center"/>
    </xf>
    <xf numFmtId="166" fontId="0" fillId="0" borderId="5" xfId="1" applyNumberFormat="1" applyFont="1" applyBorder="1" applyAlignment="1">
      <alignment horizontal="center"/>
    </xf>
    <xf numFmtId="0" fontId="22" fillId="4" borderId="21" xfId="0" applyFont="1" applyFill="1" applyBorder="1" applyAlignment="1">
      <alignment horizontal="left" indent="1"/>
    </xf>
    <xf numFmtId="0" fontId="22" fillId="4" borderId="23" xfId="0" applyFont="1" applyFill="1" applyBorder="1" applyAlignment="1">
      <alignment horizontal="left" indent="1"/>
    </xf>
    <xf numFmtId="165" fontId="0" fillId="0" borderId="21" xfId="0" applyNumberFormat="1" applyFont="1" applyBorder="1" applyAlignment="1">
      <alignment horizontal="center" vertical="center"/>
    </xf>
    <xf numFmtId="165" fontId="0" fillId="0" borderId="23" xfId="0" applyNumberFormat="1" applyFont="1" applyBorder="1" applyAlignment="1">
      <alignment horizontal="center" vertical="center"/>
    </xf>
    <xf numFmtId="0" fontId="22" fillId="4" borderId="21" xfId="0" applyFont="1" applyFill="1" applyBorder="1" applyAlignment="1">
      <alignment horizontal="left" vertical="center" wrapText="1" indent="1"/>
    </xf>
    <xf numFmtId="0" fontId="22" fillId="4" borderId="23" xfId="0" applyFont="1" applyFill="1" applyBorder="1" applyAlignment="1">
      <alignment horizontal="left" vertical="center" wrapText="1" indent="1"/>
    </xf>
    <xf numFmtId="0" fontId="12" fillId="14" borderId="26" xfId="0" applyFont="1" applyFill="1" applyBorder="1" applyAlignment="1">
      <alignment horizontal="center"/>
    </xf>
    <xf numFmtId="0" fontId="12" fillId="14" borderId="27" xfId="0" applyFont="1" applyFill="1" applyBorder="1" applyAlignment="1">
      <alignment horizontal="center"/>
    </xf>
    <xf numFmtId="0" fontId="12" fillId="14" borderId="28" xfId="0" applyFont="1" applyFill="1" applyBorder="1" applyAlignment="1">
      <alignment horizontal="center"/>
    </xf>
    <xf numFmtId="0" fontId="2" fillId="13" borderId="1" xfId="0" applyFont="1" applyFill="1" applyBorder="1" applyAlignment="1">
      <alignment horizont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2" fillId="0" borderId="21" xfId="0" applyFont="1" applyBorder="1" applyAlignment="1">
      <alignment horizontal="left" indent="2"/>
    </xf>
    <xf numFmtId="0" fontId="2" fillId="0" borderId="22" xfId="0" applyFont="1" applyBorder="1" applyAlignment="1">
      <alignment horizontal="left" indent="2"/>
    </xf>
    <xf numFmtId="0" fontId="2" fillId="0" borderId="23" xfId="0" applyFont="1" applyBorder="1" applyAlignment="1">
      <alignment horizontal="left" indent="2"/>
    </xf>
    <xf numFmtId="0" fontId="2" fillId="14" borderId="1" xfId="0" applyFont="1" applyFill="1" applyBorder="1" applyAlignment="1">
      <alignment horizontal="center"/>
    </xf>
    <xf numFmtId="0" fontId="2" fillId="13" borderId="22" xfId="0" applyFont="1" applyFill="1" applyBorder="1" applyAlignment="1">
      <alignment horizontal="center"/>
    </xf>
    <xf numFmtId="166" fontId="0" fillId="13" borderId="5" xfId="1" applyNumberFormat="1" applyFont="1" applyFill="1" applyBorder="1" applyAlignment="1">
      <alignment horizontal="center"/>
    </xf>
    <xf numFmtId="0" fontId="22" fillId="16" borderId="21" xfId="0" applyFont="1" applyFill="1" applyBorder="1" applyAlignment="1">
      <alignment horizontal="left" vertical="center" wrapText="1" indent="1"/>
    </xf>
    <xf numFmtId="0" fontId="22" fillId="16" borderId="23" xfId="0" applyFont="1" applyFill="1" applyBorder="1" applyAlignment="1">
      <alignment horizontal="left" vertical="center" wrapText="1" indent="1"/>
    </xf>
    <xf numFmtId="0" fontId="2" fillId="15" borderId="1" xfId="0" applyFont="1" applyFill="1" applyBorder="1" applyAlignment="1">
      <alignment horizontal="center" vertical="center"/>
    </xf>
    <xf numFmtId="166" fontId="12" fillId="0" borderId="21" xfId="1" applyNumberFormat="1" applyFont="1" applyFill="1" applyBorder="1" applyAlignment="1">
      <alignment horizontal="left" vertical="top"/>
    </xf>
    <xf numFmtId="166" fontId="12" fillId="0" borderId="23" xfId="1" applyNumberFormat="1" applyFont="1" applyFill="1" applyBorder="1" applyAlignment="1">
      <alignment horizontal="left" vertical="top"/>
    </xf>
    <xf numFmtId="49" fontId="2" fillId="0" borderId="21" xfId="0" applyNumberFormat="1" applyFont="1" applyBorder="1" applyAlignment="1">
      <alignment horizontal="left" indent="2"/>
    </xf>
    <xf numFmtId="0" fontId="2" fillId="0" borderId="22" xfId="0" applyNumberFormat="1" applyFont="1" applyBorder="1" applyAlignment="1">
      <alignment horizontal="left" indent="2"/>
    </xf>
    <xf numFmtId="0" fontId="2" fillId="0" borderId="23" xfId="0" applyNumberFormat="1" applyFont="1" applyBorder="1" applyAlignment="1">
      <alignment horizontal="left" indent="2"/>
    </xf>
    <xf numFmtId="0" fontId="12" fillId="13" borderId="22" xfId="0" applyFont="1" applyFill="1" applyBorder="1" applyAlignment="1">
      <alignment horizontal="center"/>
    </xf>
    <xf numFmtId="0" fontId="21" fillId="4" borderId="21" xfId="0" applyFont="1" applyFill="1" applyBorder="1" applyAlignment="1">
      <alignment horizontal="left" indent="1"/>
    </xf>
    <xf numFmtId="0" fontId="21" fillId="4" borderId="23" xfId="0" applyFont="1" applyFill="1" applyBorder="1" applyAlignment="1">
      <alignment horizontal="left" indent="1"/>
    </xf>
    <xf numFmtId="0" fontId="2" fillId="4" borderId="21" xfId="0" applyFont="1" applyFill="1" applyBorder="1" applyAlignment="1">
      <alignment horizontal="center"/>
    </xf>
    <xf numFmtId="0" fontId="2" fillId="4" borderId="23" xfId="0" applyFont="1" applyFill="1" applyBorder="1" applyAlignment="1">
      <alignment horizontal="center"/>
    </xf>
    <xf numFmtId="168" fontId="0" fillId="4" borderId="21" xfId="1" applyNumberFormat="1" applyFont="1" applyFill="1" applyBorder="1" applyAlignment="1">
      <alignment horizontal="center"/>
    </xf>
    <xf numFmtId="168" fontId="0" fillId="4" borderId="23" xfId="1" applyNumberFormat="1" applyFont="1" applyFill="1" applyBorder="1" applyAlignment="1">
      <alignment horizontal="center"/>
    </xf>
    <xf numFmtId="0" fontId="20" fillId="12" borderId="22" xfId="0" applyFont="1" applyFill="1" applyBorder="1" applyAlignment="1">
      <alignment horizontal="center"/>
    </xf>
  </cellXfs>
  <cellStyles count="5">
    <cellStyle name="Hipervínculo" xfId="4" builtinId="8"/>
    <cellStyle name="Millares" xfId="1" builtinId="3"/>
    <cellStyle name="Millares_Calculo de ISR e IVA 2002" xfId="3"/>
    <cellStyle name="Normal" xfId="0" builtinId="0"/>
    <cellStyle name="Porcentaje" xfId="2" builtinId="5"/>
  </cellStyles>
  <dxfs count="347">
    <dxf>
      <alignment horizontal="center"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0" relativeIndent="0" justifyLastLine="0" shrinkToFit="0" readingOrder="0"/>
      <border diagonalUp="0" diagonalDown="0" outline="0">
        <left style="thin">
          <color theme="0"/>
        </left>
        <right style="thin">
          <color theme="0"/>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border outline="0">
        <right style="hair">
          <color indexed="64"/>
        </right>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0" formatCode="General"/>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0" formatCode="General"/>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8" formatCode="#,##0_ ;\-#,##0\ "/>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numFmt numFmtId="168" formatCode="#,##0_ ;\-#,##0\ "/>
    </dxf>
    <dxf>
      <font>
        <b/>
        <i val="0"/>
        <strike val="0"/>
        <condense val="0"/>
        <extend val="0"/>
        <outline val="0"/>
        <shadow val="0"/>
        <u val="none"/>
        <vertAlign val="baseline"/>
        <sz val="10"/>
        <color theme="1"/>
        <name val="Arial"/>
        <scheme val="none"/>
      </font>
      <numFmt numFmtId="168" formatCode="#,##0_ ;\-#,##0\ "/>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numFmt numFmtId="168" formatCode="#,##0_ ;\-#,##0\ "/>
    </dxf>
    <dxf>
      <font>
        <b/>
        <i val="0"/>
        <strike val="0"/>
        <condense val="0"/>
        <extend val="0"/>
        <outline val="0"/>
        <shadow val="0"/>
        <u val="none"/>
        <vertAlign val="baseline"/>
        <sz val="10"/>
        <color theme="1"/>
        <name val="Arial"/>
        <scheme val="none"/>
      </font>
      <numFmt numFmtId="0" formatCode="General"/>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0" formatCode="General"/>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numFmt numFmtId="168" formatCode="#,##0_ ;\-#,##0\ "/>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numFmt numFmtId="168" formatCode="#,##0_ ;\-#,##0\ "/>
    </dxf>
    <dxf>
      <font>
        <b/>
        <i val="0"/>
        <strike val="0"/>
        <condense val="0"/>
        <extend val="0"/>
        <outline val="0"/>
        <shadow val="0"/>
        <u val="none"/>
        <vertAlign val="baseline"/>
        <sz val="10"/>
        <color theme="1"/>
        <name val="Arial"/>
        <scheme val="none"/>
      </font>
      <numFmt numFmtId="168" formatCode="#,##0_ ;\-#,##0\ "/>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numFmt numFmtId="168" formatCode="#,##0_ ;\-#,##0\ "/>
    </dxf>
    <dxf>
      <font>
        <b/>
        <i val="0"/>
        <strike val="0"/>
        <condense val="0"/>
        <extend val="0"/>
        <outline val="0"/>
        <shadow val="0"/>
        <u val="none"/>
        <vertAlign val="baseline"/>
        <sz val="10"/>
        <color theme="1"/>
        <name val="Arial"/>
        <scheme val="none"/>
      </font>
      <numFmt numFmtId="0" formatCode="General"/>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border outline="0">
        <left style="hair">
          <color indexed="64"/>
        </left>
      </border>
    </dxf>
    <dxf>
      <font>
        <b/>
        <i val="0"/>
        <strike val="0"/>
        <condense val="0"/>
        <extend val="0"/>
        <outline val="0"/>
        <shadow val="0"/>
        <u val="none"/>
        <vertAlign val="baseline"/>
        <sz val="10"/>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numFmt numFmtId="1" formatCode="0"/>
      <alignment horizontal="center" vertical="bottom" textRotation="0" wrapText="0" indent="0" justifyLastLine="0" shrinkToFit="0" readingOrder="0"/>
      <border diagonalUp="0" diagonalDown="0" outline="0">
        <left style="hair">
          <color indexed="64"/>
        </left>
        <right/>
        <top/>
      </border>
    </dxf>
    <dxf>
      <font>
        <b/>
        <i val="0"/>
        <strike val="0"/>
        <condense val="0"/>
        <extend val="0"/>
        <outline val="0"/>
        <shadow val="0"/>
        <u val="none"/>
        <vertAlign val="baseline"/>
        <sz val="10"/>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numFmt numFmtId="1" formatCode="0"/>
      <alignment horizontal="center" vertical="bottom" textRotation="0" wrapText="0" indent="0" justifyLastLine="0" shrinkToFit="0" readingOrder="0"/>
      <border diagonalUp="0" diagonalDown="0" outline="0">
        <left style="hair">
          <color indexed="64"/>
        </left>
        <right style="hair">
          <color indexed="64"/>
        </right>
        <top/>
      </border>
    </dxf>
    <dxf>
      <font>
        <b/>
        <i val="0"/>
        <strike val="0"/>
        <condense val="0"/>
        <extend val="0"/>
        <outline val="0"/>
        <shadow val="0"/>
        <u val="none"/>
        <vertAlign val="baseline"/>
        <sz val="10"/>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numFmt numFmtId="1" formatCode="0"/>
      <alignment horizontal="center" vertical="bottom" textRotation="0" wrapText="0" indent="0" justifyLastLine="0" shrinkToFit="0" readingOrder="0"/>
      <border outline="0">
        <right style="hair">
          <color indexed="64"/>
        </right>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border outline="0">
        <right style="hair">
          <color indexed="64"/>
        </right>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border>
        <top style="hair">
          <color indexed="64"/>
        </top>
        <vertical/>
        <horizontal/>
      </border>
    </dxf>
    <dxf>
      <font>
        <b/>
      </font>
      <fill>
        <patternFill patternType="solid">
          <fgColor indexed="64"/>
          <bgColor theme="0" tint="-0.14999847407452621"/>
        </patternFill>
      </fill>
      <border diagonalUp="0" diagonalDown="0" outline="0">
        <left style="hair">
          <color indexed="64"/>
        </left>
        <right style="hair">
          <color indexed="64"/>
        </right>
        <top/>
        <bottom/>
      </border>
    </dxf>
    <dxf>
      <border outline="0">
        <right style="hair">
          <color indexed="64"/>
        </right>
        <bottom style="hair">
          <color indexed="64"/>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8"/>
        <color auto="1"/>
        <name val="Arial"/>
        <scheme val="none"/>
      </font>
      <fill>
        <patternFill patternType="solid">
          <fgColor indexed="64"/>
          <bgColor theme="3" tint="0.79998168889431442"/>
        </patternFill>
      </fill>
      <alignment horizontal="center" vertical="center" textRotation="0" wrapText="1" relativeIndent="0" justifyLastLine="0" shrinkToFit="0" readingOrder="0"/>
      <border diagonalUp="0" diagonalDown="0" outline="0">
        <left style="hair">
          <color indexed="64"/>
        </left>
        <right style="hair">
          <color indexed="64"/>
        </right>
        <top/>
        <bottom/>
      </border>
    </dxf>
    <dxf>
      <fill>
        <patternFill>
          <bgColor rgb="FFFFFF00"/>
        </patternFill>
      </fill>
    </dxf>
    <dxf>
      <font>
        <b/>
        <i val="0"/>
        <strike val="0"/>
        <condense val="0"/>
        <extend val="0"/>
        <outline val="0"/>
        <shadow val="0"/>
        <u val="none"/>
        <vertAlign val="baseline"/>
        <sz val="10"/>
        <color rgb="FF0000FF"/>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rgb="FF0000FF"/>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1"/>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1"/>
    </dxf>
    <dxf>
      <font>
        <b/>
        <i val="0"/>
        <strike val="0"/>
        <condense val="0"/>
        <extend val="0"/>
        <outline val="0"/>
        <shadow val="0"/>
        <u val="none"/>
        <vertAlign val="baseline"/>
        <sz val="10"/>
        <color rgb="FF0000FF"/>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1"/>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1"/>
    </dxf>
    <dxf>
      <font>
        <b/>
        <i val="0"/>
        <strike val="0"/>
        <condense val="0"/>
        <extend val="0"/>
        <outline val="0"/>
        <shadow val="0"/>
        <u val="none"/>
        <vertAlign val="baseline"/>
        <sz val="10"/>
        <color rgb="FF0000FF"/>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1"/>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1"/>
    </dxf>
    <dxf>
      <font>
        <b/>
        <i val="0"/>
        <strike val="0"/>
        <condense val="0"/>
        <extend val="0"/>
        <outline val="0"/>
        <shadow val="0"/>
        <u val="none"/>
        <vertAlign val="baseline"/>
        <sz val="10"/>
        <color rgb="FF0000FF"/>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1"/>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rgb="FF0000FF"/>
        <name val="Arial"/>
        <scheme val="none"/>
      </font>
      <numFmt numFmtId="3" formatCode="#,##0"/>
      <fill>
        <patternFill patternType="none">
          <fgColor indexed="64"/>
          <bgColor indexed="65"/>
        </patternFill>
      </fill>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rgb="FF0000FF"/>
        <name val="Arial"/>
        <scheme val="none"/>
      </font>
      <numFmt numFmtId="3" formatCode="#,##0"/>
      <fill>
        <patternFill patternType="none">
          <fgColor indexed="64"/>
          <bgColor indexed="65"/>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rgb="FF0000FF"/>
        <name val="Arial"/>
        <scheme val="none"/>
      </font>
      <numFmt numFmtId="3" formatCode="#,##0"/>
      <fill>
        <patternFill patternType="none">
          <fgColor indexed="64"/>
          <bgColor indexed="65"/>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rgb="FF0000FF"/>
        <name val="Arial"/>
        <scheme val="none"/>
      </font>
      <numFmt numFmtId="3" formatCode="#,##0"/>
      <fill>
        <patternFill patternType="none">
          <fgColor indexed="64"/>
          <bgColor indexed="65"/>
        </patternFill>
      </fill>
      <border diagonalUp="0" diagonalDown="0">
        <left style="hair">
          <color indexed="64"/>
        </left>
        <right style="hair">
          <color indexed="64"/>
        </right>
        <top style="hair">
          <color indexed="64"/>
        </top>
        <bottom style="hair">
          <color indexed="64"/>
        </bottom>
        <vertical/>
        <horizontal/>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rgb="FF0000FF"/>
        <name val="Arial"/>
        <scheme val="none"/>
      </font>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font>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rgb="FF0000FF"/>
        <name val="Arial"/>
        <scheme val="none"/>
      </font>
      <numFmt numFmtId="3" formatCode="#,##0"/>
      <fill>
        <patternFill patternType="none">
          <fgColor indexed="64"/>
          <bgColor indexed="65"/>
        </patternFill>
      </fill>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font>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font>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font>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fill>
        <patternFill patternType="solid">
          <fgColor indexed="64"/>
          <bgColor theme="0" tint="-0.249977111117893"/>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fill>
        <patternFill patternType="solid">
          <fgColor indexed="64"/>
          <bgColor theme="0" tint="-0.249977111117893"/>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fill>
        <patternFill patternType="solid">
          <fgColor indexed="64"/>
          <bgColor theme="0" tint="-0.249977111117893"/>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fill>
        <patternFill patternType="solid">
          <fgColor indexed="64"/>
          <bgColor theme="0" tint="-0.249977111117893"/>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fill>
        <patternFill patternType="solid">
          <fgColor indexed="64"/>
          <bgColor theme="0" tint="-0.249977111117893"/>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3" formatCode="#,##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numFmt numFmtId="1"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numFmt numFmtId="1"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3" formatCode="#,##0"/>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numFmt numFmtId="3" formatCode="#,##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168" formatCode="#,##0_ ;\-#,##0\ "/>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168" formatCode="#,##0_ ;\-#,##0\ "/>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numFmt numFmtId="166" formatCode="_-* #,##0_-;\-* #,##0_-;_-* &quot;-&quot;??_-;_-@_-"/>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numFmt numFmtId="164" formatCode="00"/>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fill>
        <patternFill patternType="solid">
          <fgColor indexed="64"/>
          <bgColor theme="0" tint="-0.14999847407452621"/>
        </patternFill>
      </fill>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0" formatCode="General"/>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5"/>
        <name val="Arial"/>
        <scheme val="none"/>
      </font>
      <numFmt numFmtId="0" formatCode="General"/>
      <alignment horizontal="center" vertical="bottom" textRotation="0" wrapText="0" relativeIndent="0" justifyLastLine="0" shrinkToFit="0" readingOrder="0"/>
      <border diagonalUp="0" diagonalDown="0" outline="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font>
        <b/>
        <strike val="0"/>
        <outline val="0"/>
        <shadow val="0"/>
        <u val="none"/>
        <vertAlign val="baseline"/>
        <sz val="10"/>
        <color theme="5"/>
        <name val="Arial"/>
        <scheme val="none"/>
      </font>
      <numFmt numFmtId="0" formatCode="General"/>
      <border diagonalUp="0" diagonalDown="0">
        <left style="hair">
          <color indexed="64"/>
        </left>
        <right style="hair">
          <color indexed="64"/>
        </right>
        <top style="hair">
          <color indexed="64"/>
        </top>
        <bottom style="hair">
          <color indexed="64"/>
        </bottom>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1" hidden="0"/>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dxf>
    <dxf>
      <border>
        <top style="hair">
          <color indexed="64"/>
        </top>
        <vertical/>
        <horizontal/>
      </border>
    </dxf>
    <dxf>
      <font>
        <b/>
      </font>
      <fill>
        <patternFill>
          <fgColor indexed="64"/>
          <bgColor theme="0" tint="-0.14999847407452621"/>
        </patternFill>
      </fill>
      <alignment textRotation="0" relativeIndent="0" justifyLastLine="0" shrinkToFit="0" readingOrder="0"/>
      <border diagonalUp="0" diagonalDown="0">
        <left style="hair">
          <color indexed="64"/>
        </left>
        <right style="hair">
          <color indexed="64"/>
        </right>
        <top/>
        <bottom/>
      </border>
      <protection locked="0"/>
    </dxf>
    <dxf>
      <border outline="0">
        <left style="hair">
          <color indexed="64"/>
        </left>
        <right style="hair">
          <color indexed="64"/>
        </right>
        <bottom style="hair">
          <color indexed="64"/>
        </bottom>
      </border>
    </dxf>
    <dxf>
      <font>
        <b/>
        <i val="0"/>
        <strike val="0"/>
        <condense val="0"/>
        <extend val="0"/>
        <outline val="0"/>
        <shadow val="0"/>
        <u val="none"/>
        <vertAlign val="baseline"/>
        <sz val="10"/>
        <color rgb="FF0000FF"/>
        <name val="Arial"/>
        <scheme val="none"/>
      </font>
      <fill>
        <patternFill>
          <fgColor indexed="64"/>
        </patternFill>
      </fill>
      <alignment textRotation="0" relativeIndent="0" justifyLastLine="0" shrinkToFit="0" readingOrder="0"/>
      <border diagonalUp="0" diagonalDown="0"/>
      <protection locked="0"/>
    </dxf>
    <dxf>
      <font>
        <b/>
        <i val="0"/>
        <strike val="0"/>
        <condense val="0"/>
        <extend val="0"/>
        <outline val="0"/>
        <shadow val="0"/>
        <u val="none"/>
        <vertAlign val="baseline"/>
        <sz val="8"/>
        <color auto="1"/>
        <name val="Arial"/>
        <scheme val="none"/>
      </font>
      <fill>
        <patternFill patternType="solid">
          <fgColor indexed="64"/>
          <bgColor theme="8" tint="0.59999389629810485"/>
        </patternFill>
      </fill>
      <alignment horizontal="center" vertical="center" textRotation="0" wrapText="1" relativeIndent="0" justifyLastLine="0" shrinkToFit="0" readingOrder="0"/>
      <border diagonalUp="0" diagonalDown="0">
        <left style="hair">
          <color indexed="64"/>
        </left>
        <right style="hair">
          <color indexed="64"/>
        </right>
        <top/>
        <bottom/>
      </border>
      <protection locked="0"/>
    </dxf>
    <dxf>
      <fill>
        <patternFill patternType="solid">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647700</xdr:colOff>
      <xdr:row>2</xdr:row>
      <xdr:rowOff>142875</xdr:rowOff>
    </xdr:to>
    <xdr:pic>
      <xdr:nvPicPr>
        <xdr:cNvPr id="2"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5725" y="57150"/>
          <a:ext cx="561975" cy="514350"/>
        </a:xfrm>
        <a:prstGeom prst="rect">
          <a:avLst/>
        </a:prstGeom>
        <a:noFill/>
        <a:ln w="9525">
          <a:noFill/>
          <a:miter lim="800000"/>
          <a:headEnd/>
          <a:tailEnd/>
        </a:ln>
      </xdr:spPr>
    </xdr:pic>
    <xdr:clientData/>
  </xdr:twoCellAnchor>
  <xdr:twoCellAnchor editAs="oneCell">
    <xdr:from>
      <xdr:col>3</xdr:col>
      <xdr:colOff>85725</xdr:colOff>
      <xdr:row>0</xdr:row>
      <xdr:rowOff>66675</xdr:rowOff>
    </xdr:from>
    <xdr:to>
      <xdr:col>3</xdr:col>
      <xdr:colOff>647700</xdr:colOff>
      <xdr:row>2</xdr:row>
      <xdr:rowOff>152400</xdr:rowOff>
    </xdr:to>
    <xdr:pic>
      <xdr:nvPicPr>
        <xdr:cNvPr id="3"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657725" y="66675"/>
          <a:ext cx="561975" cy="5143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2" name="BchSal" displayName="BchSal" ref="A3:EK10" totalsRowCount="1" headerRowDxfId="342" dataDxfId="341" totalsRowDxfId="339" tableBorderDxfId="340" totalsRowBorderDxfId="338">
  <autoFilter ref="A3:EK9"/>
  <tableColumns count="141">
    <tableColumn id="1" name="No. de Empleado" totalsRowLabel="Total" dataDxfId="337" totalsRowDxfId="336"/>
    <tableColumn id="2" name="Tipo de Operación a Registrar" totalsRowFunction="count" dataDxfId="335" totalsRowDxfId="334"/>
    <tableColumn id="3" name="RFC" dataDxfId="333" totalsRowDxfId="332"/>
    <tableColumn id="4" name="Mes Inicial" dataDxfId="331" totalsRowDxfId="330"/>
    <tableColumn id="5" name="Mes Final" dataDxfId="329" totalsRowDxfId="328"/>
    <tableColumn id="6" name="CURP (Opcional)" dataDxfId="327" totalsRowDxfId="326"/>
    <tableColumn id="7" name="Apellido paterno" dataDxfId="325" totalsRowDxfId="324"/>
    <tableColumn id="8" name="Apellido materno (Opcional)" dataDxfId="323" totalsRowDxfId="322"/>
    <tableColumn id="9" name="Nombre(S)" dataDxfId="321" totalsRowDxfId="320"/>
    <tableColumn id="10" name="Área Geográfica del Salario Mínimo" dataDxfId="319" totalsRowDxfId="318"/>
    <tableColumn id="11" name="¿El patrón realizó Cálculo Anual?             1=SI   2=NO" dataDxfId="317" totalsRowDxfId="316">
      <calculatedColumnFormula>1</calculatedColumnFormula>
    </tableColumn>
    <tableColumn id="12" name="Tabla de ISR Utilizada 1=2011 2=1991" dataDxfId="315" totalsRowDxfId="314">
      <calculatedColumnFormula>1</calculatedColumnFormula>
    </tableColumn>
    <tableColumn id="13" name="Proporción del Subsidio aplicado (Opcional)" dataDxfId="313" totalsRowDxfId="312"/>
    <tableColumn id="14" name="¿El Trabajador es Sindicalizado?   1=SI    2=NO" dataDxfId="311" totalsRowDxfId="310">
      <calculatedColumnFormula>2</calculatedColumnFormula>
    </tableColumn>
    <tableColumn id="15" name="Si es asimilado a salario indique la clave     (Oblig)" dataDxfId="309" totalsRowDxfId="308">
      <calculatedColumnFormula>0</calculatedColumnFormula>
    </tableColumn>
    <tableColumn id="16" name="Entidad Federativa donde prestó servicios (Oblig)" dataDxfId="307" totalsRowDxfId="306">
      <calculatedColumnFormula>13</calculatedColumnFormula>
    </tableColumn>
    <tableColumn id="17" name="RFC (1) del otro patrón      (Opcional)" dataDxfId="305" totalsRowDxfId="304"/>
    <tableColumn id="18" name="RFC (2) del otro patrón      (Opcional)" dataDxfId="303" totalsRowDxfId="302"/>
    <tableColumn id="19" name="Monto de las Aportaciones Voluntarias Efectuadas" totalsRowFunction="sum" dataDxfId="301" totalsRowDxfId="300" dataCellStyle="Millares"/>
    <tableColumn id="20" name="Indique si el patrón aplicó el monto de las Aport. Vol. en el cálculo del Impto. (Oblig)" dataDxfId="299" totalsRowDxfId="298">
      <calculatedColumnFormula>0</calculatedColumnFormula>
    </tableColumn>
    <tableColumn id="21" name="Monto de las Aport. voluntarias deducibles para Trab. que realizarán su Decl." totalsRowFunction="sum" dataDxfId="297" totalsRowDxfId="296" dataCellStyle="Millares"/>
    <tableColumn id="22" name="Monto de las aportaciones voluntarias deducibles aplicadas por el patrón" totalsRowFunction="sum" dataDxfId="295" totalsRowDxfId="294" dataCellStyle="Millares"/>
    <tableColumn id="23" name="Esp-1" dataDxfId="293" totalsRowDxfId="292"/>
    <tableColumn id="24" name="Ingresos totales por pago en parcialidades" totalsRowFunction="sum" dataDxfId="291" totalsRowDxfId="290" dataCellStyle="Millares">
      <calculatedColumnFormula>0</calculatedColumnFormula>
    </tableColumn>
    <tableColumn id="25" name="Monto diario Perc por Jub, Pens o Hab de retiro en Parc" totalsRowFunction="sum" dataDxfId="289" totalsRowDxfId="288" dataCellStyle="Millares"/>
    <tableColumn id="26" name="Cant que Hub. Rec de no ser por pagos por Sep, Jub o Pens" totalsRowFunction="sum" dataDxfId="287" totalsRowDxfId="286" dataCellStyle="Millares"/>
    <tableColumn id="27" name="Monto pagado en una exhibición" totalsRowFunction="sum" dataDxfId="285" totalsRowDxfId="284" dataCellStyle="Millares"/>
    <tableColumn id="28" name="Número de días" totalsRowFunction="sum" dataDxfId="283" totalsRowDxfId="282" dataCellStyle="Millares"/>
    <tableColumn id="29" name="Ingresos exentos por Separación" totalsRowFunction="sum" dataDxfId="281" totalsRowDxfId="280" dataCellStyle="Millares">
      <calculatedColumnFormula>0</calculatedColumnFormula>
    </tableColumn>
    <tableColumn id="30" name="Ingresos gravables" totalsRowFunction="sum" dataDxfId="279" totalsRowDxfId="278" dataCellStyle="Millares">
      <calculatedColumnFormula>0</calculatedColumnFormula>
    </tableColumn>
    <tableColumn id="31" name="Ingresos acumulables" totalsRowFunction="sum" dataDxfId="277" totalsRowDxfId="276" dataCellStyle="Millares"/>
    <tableColumn id="32" name="Ingresos no acumulables" totalsRowFunction="sum" dataDxfId="275" totalsRowDxfId="274" dataCellStyle="Millares"/>
    <tableColumn id="33" name="Impuesto retenido por Separación" totalsRowFunction="sum" dataDxfId="273" totalsRowDxfId="272" dataCellStyle="Millares"/>
    <tableColumn id="34" name="Monto total pagado de otros pagos por separación" totalsRowFunction="sum" dataDxfId="271" totalsRowDxfId="270" dataCellStyle="Millares"/>
    <tableColumn id="35" name="Número de años de servicio del trabajador" totalsRowFunction="sum" dataDxfId="269" totalsRowDxfId="268" dataCellStyle="Millares"/>
    <tableColumn id="36" name="Ingresos exentos otros pagos por separación" totalsRowFunction="sum" dataDxfId="267" totalsRowDxfId="266" dataCellStyle="Millares"/>
    <tableColumn id="37" name="Ingresos gravados otros pagos por separación" totalsRowFunction="sum" dataDxfId="265" totalsRowDxfId="264" dataCellStyle="Millares">
      <calculatedColumnFormula>AH4-AJ4</calculatedColumnFormula>
    </tableColumn>
    <tableColumn id="38" name="Ingresos acumulables (último Sue Men Ord)" totalsRowFunction="sum" dataDxfId="263" totalsRowDxfId="262" dataCellStyle="Millares"/>
    <tableColumn id="39" name="Impuesto Corresp al último sueldo mensual Ord" totalsRowFunction="sum" dataDxfId="261" totalsRowDxfId="260" dataCellStyle="Millares"/>
    <tableColumn id="40" name="Ingresos no acumulables otros pagos por separación" totalsRowFunction="sum" dataDxfId="259" totalsRowDxfId="258" dataCellStyle="Millares">
      <calculatedColumnFormula>IF(AK4-AL4&lt;0,0,AK4-AL4)</calculatedColumnFormula>
    </tableColumn>
    <tableColumn id="41" name="Impuesto retenido otros pagos por separación" totalsRowFunction="sum" dataDxfId="257" totalsRowDxfId="256" dataCellStyle="Millares"/>
    <tableColumn id="42" name="Ingresos asimilados a salarios" totalsRowFunction="sum" dataDxfId="255" totalsRowDxfId="254" dataCellStyle="Millares"/>
    <tableColumn id="43" name="Impuesto retenido por pagos a asimilables " totalsRowFunction="sum" dataDxfId="253" totalsRowDxfId="252" dataCellStyle="Millares"/>
    <tableColumn id="44" name="¿Se Ejer la opción del Empl. para adquirir Acc. o títulos valor? (Oblig)" dataDxfId="251" totalsRowDxfId="250" dataCellStyle="Millares">
      <calculatedColumnFormula>0</calculatedColumnFormula>
    </tableColumn>
    <tableColumn id="45" name="Valor de mercado de las acciones o títulos valor al ejercer la opción" totalsRowFunction="sum" dataDxfId="249" totalsRowDxfId="248" dataCellStyle="Millares"/>
    <tableColumn id="46" name="Precio establecido al otorgarse la opción de Ing en Opc o Tít valor" totalsRowFunction="sum" dataDxfId="247" totalsRowDxfId="246" dataCellStyle="Millares"/>
    <tableColumn id="47" name="Ingreso acumulable Asimilables por pagos en acciones" totalsRowFunction="sum" dataDxfId="245" totalsRowDxfId="244" dataCellStyle="Millares"/>
    <tableColumn id="48" name="Impuesto retenido por pagos a asimilables por acciones" totalsRowFunction="sum" dataDxfId="243" totalsRowDxfId="242" dataCellStyle="Millares"/>
    <tableColumn id="49" name="Sueldos gravados" totalsRowFunction="sum" dataDxfId="241" totalsRowDxfId="240" dataCellStyle="Millares"/>
    <tableColumn id="50" name="Sueldos exentos" totalsRowFunction="sum" dataDxfId="239" totalsRowDxfId="238" dataCellStyle="Millares"/>
    <tableColumn id="51" name="Gratificación anual   gravada" totalsRowFunction="sum" dataDxfId="237" totalsRowDxfId="236" dataCellStyle="Millares"/>
    <tableColumn id="52" name="Gratificación anual   exenta" totalsRowFunction="sum" dataDxfId="235" totalsRowDxfId="234" dataCellStyle="Millares"/>
    <tableColumn id="53" name="Viáticos gravados" totalsRowFunction="sum" dataDxfId="233" totalsRowDxfId="232" dataCellStyle="Millares"/>
    <tableColumn id="54" name="Viáticos exentos" totalsRowFunction="sum" dataDxfId="231" totalsRowDxfId="230" dataCellStyle="Millares"/>
    <tableColumn id="55" name="Tiempo extra gravado" totalsRowFunction="sum" dataDxfId="229" totalsRowDxfId="228" dataCellStyle="Millares"/>
    <tableColumn id="56" name="Tiempo extra exento" totalsRowFunction="sum" dataDxfId="227" totalsRowDxfId="226" dataCellStyle="Millares"/>
    <tableColumn id="57" name="Prima vacacional gravada" totalsRowFunction="sum" dataDxfId="225" totalsRowDxfId="224" dataCellStyle="Millares"/>
    <tableColumn id="58" name="Prima vacacional exenta" totalsRowFunction="sum" dataDxfId="223" totalsRowDxfId="222" dataCellStyle="Millares"/>
    <tableColumn id="59" name="Prima dominical gravada" totalsRowFunction="sum" dataDxfId="221" totalsRowDxfId="220" dataCellStyle="Millares"/>
    <tableColumn id="60" name="Prima dominical exenta" totalsRowFunction="sum" dataDxfId="219" totalsRowDxfId="218" dataCellStyle="Millares"/>
    <tableColumn id="61" name="PTU     gravada" totalsRowFunction="sum" dataDxfId="217" totalsRowDxfId="216" dataCellStyle="Millares"/>
    <tableColumn id="62" name="PTU       exenta" totalsRowFunction="sum" dataDxfId="215" totalsRowDxfId="214" dataCellStyle="Millares"/>
    <tableColumn id="63" name="Reembolso gastos médicos gravados " totalsRowFunction="sum" dataDxfId="213" totalsRowDxfId="212" dataCellStyle="Millares"/>
    <tableColumn id="64" name="Reembolso gastos médicos exentos " totalsRowFunction="sum" dataDxfId="211" totalsRowDxfId="210" dataCellStyle="Millares"/>
    <tableColumn id="65" name="Fondo de ahorro gravado  " totalsRowFunction="sum" dataDxfId="209" totalsRowDxfId="208" dataCellStyle="Millares"/>
    <tableColumn id="66" name="Fondo de ahorro exento  " totalsRowFunction="sum" dataDxfId="207" totalsRowDxfId="206" dataCellStyle="Millares"/>
    <tableColumn id="67" name="Caja de ahorro gravada  " totalsRowFunction="sum" dataDxfId="205" totalsRowDxfId="204" dataCellStyle="Millares"/>
    <tableColumn id="68" name="Caja de ahorro exenta  " totalsRowFunction="sum" dataDxfId="203" totalsRowDxfId="202" dataCellStyle="Millares"/>
    <tableColumn id="69" name="Vales de despensa gravados  " totalsRowFunction="sum" dataDxfId="201" totalsRowDxfId="200" dataCellStyle="Millares"/>
    <tableColumn id="70" name="Vales de despensa exentos  " totalsRowFunction="sum" dataDxfId="199" totalsRowDxfId="198" dataCellStyle="Millares"/>
    <tableColumn id="71" name="Ayuda gastos funeral gravada  " totalsRowFunction="sum" dataDxfId="197" totalsRowDxfId="196" dataCellStyle="Millares"/>
    <tableColumn id="72" name="Ayuda gastos funeral exenta  " totalsRowFunction="sum" dataDxfId="195" totalsRowDxfId="194" dataCellStyle="Millares"/>
    <tableColumn id="73" name="Contribuciones pagadas por el patrón gravadas  " totalsRowFunction="sum" dataDxfId="193" totalsRowDxfId="192" dataCellStyle="Millares"/>
    <tableColumn id="74" name="Contribuciones pagadas por el patrón exentas  " totalsRowFunction="sum" dataDxfId="191" totalsRowDxfId="190" dataCellStyle="Millares"/>
    <tableColumn id="75" name="Premios por puntualidad gravados" totalsRowFunction="sum" dataDxfId="189" totalsRowDxfId="188" dataCellStyle="Millares"/>
    <tableColumn id="76" name="Premios por puntualidad exentos" totalsRowFunction="sum" dataDxfId="187" totalsRowDxfId="186" dataCellStyle="Millares"/>
    <tableColumn id="77" name="Prima seguro de vida gravada  " totalsRowFunction="sum" dataDxfId="185" totalsRowDxfId="184" dataCellStyle="Millares"/>
    <tableColumn id="78" name="Prima seguro de vida exenta  " totalsRowFunction="sum" dataDxfId="183" totalsRowDxfId="182" dataCellStyle="Millares"/>
    <tableColumn id="79" name="Gastos médicos mayores gravados  " totalsRowFunction="sum" dataDxfId="181" totalsRowDxfId="180" dataCellStyle="Millares"/>
    <tableColumn id="80" name="Gastos médicos mayores exentos  " totalsRowFunction="sum" dataDxfId="179" totalsRowDxfId="178" dataCellStyle="Millares"/>
    <tableColumn id="81" name="Vales para restaurante gravados  " totalsRowFunction="sum" dataDxfId="177" totalsRowDxfId="176" dataCellStyle="Millares"/>
    <tableColumn id="82" name="Vales para restaurante exentos " totalsRowFunction="sum" dataDxfId="175" totalsRowDxfId="174" dataCellStyle="Millares"/>
    <tableColumn id="83" name="Vales para gasolina gravados  " totalsRowFunction="sum" dataDxfId="173" totalsRowDxfId="172" dataCellStyle="Millares"/>
    <tableColumn id="84" name="Vales para gasolina exentos  " totalsRowFunction="sum" dataDxfId="171" totalsRowDxfId="170" dataCellStyle="Millares"/>
    <tableColumn id="85" name="Vales para ropa gravados  " totalsRowFunction="sum" dataDxfId="169" totalsRowDxfId="168" dataCellStyle="Millares"/>
    <tableColumn id="86" name="Vales para ropa    exentos  " totalsRowFunction="sum" dataDxfId="167" totalsRowDxfId="166" dataCellStyle="Millares"/>
    <tableColumn id="87" name="Ayuda para renta   gravada  " totalsRowFunction="sum" dataDxfId="165" totalsRowDxfId="164" dataCellStyle="Millares"/>
    <tableColumn id="88" name="Ayuda para renta exenta " totalsRowFunction="sum" dataDxfId="163" totalsRowDxfId="162" dataCellStyle="Millares"/>
    <tableColumn id="89" name="Ayuda para útiles escolares gravada  " totalsRowFunction="sum" dataDxfId="161" totalsRowDxfId="160" dataCellStyle="Millares"/>
    <tableColumn id="90" name="Ayuda para útiles escolares exenta  " totalsRowFunction="sum" dataDxfId="159" totalsRowDxfId="158" dataCellStyle="Millares"/>
    <tableColumn id="91" name="Ayuda para lentes gravada  " totalsRowFunction="sum" dataDxfId="157" totalsRowDxfId="156" dataCellStyle="Millares"/>
    <tableColumn id="92" name="Ayuda para lentes   exenta  " totalsRowFunction="sum" dataDxfId="155" totalsRowDxfId="154" dataCellStyle="Millares"/>
    <tableColumn id="93" name="Ayuda para transporte gravada " totalsRowFunction="sum" dataDxfId="153" totalsRowDxfId="152" dataCellStyle="Millares"/>
    <tableColumn id="94" name="Ayuda para transporte exenta " totalsRowFunction="sum" dataDxfId="151" totalsRowDxfId="150" dataCellStyle="Millares"/>
    <tableColumn id="95" name="Cuotas sindicales gravadas" totalsRowFunction="sum" dataDxfId="149" totalsRowDxfId="148" dataCellStyle="Millares"/>
    <tableColumn id="96" name="Cuotas sindicales exentas" totalsRowFunction="sum" dataDxfId="147" totalsRowDxfId="146" dataCellStyle="Millares"/>
    <tableColumn id="97" name="Subsidios por incapacidad gravados  " totalsRowFunction="sum" dataDxfId="145" totalsRowDxfId="144" dataCellStyle="Millares"/>
    <tableColumn id="98" name="Subsidios por incapacidad exentos  " totalsRowFunction="sum" dataDxfId="143" totalsRowDxfId="142" dataCellStyle="Millares"/>
    <tableColumn id="99" name="Becas para trabajador o hijos gravadas  " totalsRowFunction="sum" dataDxfId="141" totalsRowDxfId="140" dataCellStyle="Millares"/>
    <tableColumn id="100" name="Becas para trabajador o hijos   exentas  " totalsRowFunction="sum" dataDxfId="139" totalsRowDxfId="138" dataCellStyle="Millares"/>
    <tableColumn id="101" name="Pagos de otros patrones1 gravados" totalsRowFunction="sum" dataDxfId="137" totalsRowDxfId="136" dataCellStyle="Millares"/>
    <tableColumn id="102" name="Pagos de otros patrones1 exentos" totalsRowFunction="sum" dataDxfId="135" totalsRowDxfId="134" dataCellStyle="Millares"/>
    <tableColumn id="103" name="Otros pagos por salarios gravados" totalsRowFunction="sum" dataDxfId="133" totalsRowDxfId="132" dataCellStyle="Millares"/>
    <tableColumn id="104" name="Otros pagos por salarios exentos" totalsRowFunction="sum" dataDxfId="131" totalsRowDxfId="130" dataCellStyle="Millares"/>
    <tableColumn id="105" name="Suma de ingreso gravado" totalsRowFunction="sum" dataDxfId="129" totalsRowDxfId="128" dataCellStyle="Millares">
      <calculatedColumnFormula>AW4+AY4+BA4+BC4+BE4+BG4+BI4+BK4+BM4+BO4+BQ4+BS4+BU4+BW4+BY4+CA4+CC4+CE4+CG4+CI4+CK4+CM4+CO4+CQ4+CS4+CU4+CW4+CY4</calculatedColumnFormula>
    </tableColumn>
    <tableColumn id="106" name="Suma de ingreso exento" totalsRowFunction="sum" dataDxfId="127" totalsRowDxfId="126" dataCellStyle="Millares">
      <calculatedColumnFormula>AX4+AZ4+BB4+BD4+BF4+BH4+BJ4+BL4+BN4+BP4+BR4+BT4+BV4+BX4+BZ4+CB4+CD4+CF4+CH4+CJ4+CL4+CN4+CP4+CR4+CT4+CV4+CX4+CZ4</calculatedColumnFormula>
    </tableColumn>
    <tableColumn id="107" name="Impuesto retenido durante el ejercicio (Oblig)" totalsRowFunction="sum" dataDxfId="125" totalsRowDxfId="124" dataCellStyle="Millares"/>
    <tableColumn id="108" name="Impuesto retenido por otros patrones" totalsRowFunction="sum" dataDxfId="123" totalsRowDxfId="122" dataCellStyle="Millares"/>
    <tableColumn id="109" name="Saldo a favor Deter en el Ejerc que declara,  Q se compensará  o Sol Dev" totalsRowFunction="sum" dataDxfId="121" totalsRowDxfId="120" dataCellStyle="Millares"/>
    <tableColumn id="110" name="Saldo a favor del ejercicio anterior no compensado" totalsRowFunction="sum" dataDxfId="119" totalsRowDxfId="118" dataCellStyle="Millares"/>
    <tableColumn id="111" name="∑ de las Cant por concepto de Créd al Sal le Corresp al Trab" totalsRowFunction="sum" dataDxfId="117" totalsRowDxfId="116" dataCellStyle="Millares"/>
    <tableColumn id="112" name="Crédito al salario entregado en efectivo al trabajador" totalsRowFunction="sum" dataDxfId="115" totalsRowDxfId="114" dataCellStyle="Millares"/>
    <tableColumn id="113" name="Total de previsión social" totalsRowFunction="sum" dataDxfId="113" totalsRowDxfId="112" dataCellStyle="Millares">
      <calculatedColumnFormula>BK4+BM4+BO4+BQ4+BS4+BU4+BY4+CA4+CC4+CE4+CG4+CI4+CK4+CM4+CO4+CS4+CU4+DJ4</calculatedColumnFormula>
    </tableColumn>
    <tableColumn id="114" name="Suma de ingresos exentos de previsón social" totalsRowFunction="sum" dataDxfId="111" totalsRowDxfId="110" dataCellStyle="Millares">
      <calculatedColumnFormula>BL4+BN4+BP4+BR4+BT4+BV4+BZ4+CB4+CD4+CF4+CH4+CJ4+CL4+CN4+CP4+CT4+CV4</calculatedColumnFormula>
    </tableColumn>
    <tableColumn id="115" name="Suma de ingresos por sueldos y salarios" totalsRowFunction="sum" dataDxfId="109" totalsRowDxfId="108" dataCellStyle="Millares">
      <calculatedColumnFormula>DA4+DB4</calculatedColumnFormula>
    </tableColumn>
    <tableColumn id="116" name="Impuesto local sobre sueldos retenido" totalsRowFunction="sum" dataDxfId="107" totalsRowDxfId="106" dataCellStyle="Millares"/>
    <tableColumn id="117" name="Monto del subsidio para el empleo entregado en efectivo" totalsRowFunction="sum" dataDxfId="105" totalsRowDxfId="104" dataCellStyle="Millares"/>
    <tableColumn id="126" name="Ingresos por Sueldos Salarios y conceptos Asimilables" totalsRowFunction="sum" dataDxfId="103" totalsRowDxfId="102" dataCellStyle="Millares">
      <calculatedColumnFormula>X4+AH4+AP4+AU4+DA4+DB4</calculatedColumnFormula>
    </tableColumn>
    <tableColumn id="137" name="Ingresos Exentos de Salarios" totalsRowFunction="sum" dataDxfId="101" totalsRowDxfId="100" dataCellStyle="Millares">
      <calculatedColumnFormula>AC4+AJ4+DB4</calculatedColumnFormula>
    </tableColumn>
    <tableColumn id="118" name="Total de las aportaciones voluntarias deducibles" totalsRowFunction="sum" dataDxfId="99" totalsRowDxfId="98" dataCellStyle="Millares">
      <calculatedColumnFormula>T4</calculatedColumnFormula>
    </tableColumn>
    <tableColumn id="127" name="Ingresos Acumulables Totales" totalsRowFunction="sum" dataDxfId="97" totalsRowDxfId="96" dataCellStyle="Millares">
      <calculatedColumnFormula>AE4+AL4+AP4+AU4+DA4</calculatedColumnFormula>
    </tableColumn>
    <tableColumn id="128" name="Ingresos No Acumulables Totales" totalsRowFunction="sum" dataDxfId="95" totalsRowDxfId="94" dataCellStyle="Millares">
      <calculatedColumnFormula>AF4+AN4</calculatedColumnFormula>
    </tableColumn>
    <tableColumn id="119" name="ISR conforme a la tarifa anual" totalsRowFunction="sum" dataDxfId="93" totalsRowDxfId="92" dataCellStyle="Millares">
      <calculatedColumnFormula>EB4</calculatedColumnFormula>
    </tableColumn>
    <tableColumn id="120" name="Subsidio acreditable" totalsRowFunction="sum" dataDxfId="91" totalsRowDxfId="90" dataCellStyle="Millares"/>
    <tableColumn id="121" name="Subsidio no acreditable" totalsRowFunction="sum" dataDxfId="89" totalsRowDxfId="88" dataCellStyle="Millares"/>
    <tableColumn id="122" name="Impuesto sobre ingresos acumulables" totalsRowFunction="sum" dataDxfId="87" totalsRowDxfId="86" dataCellStyle="Millares">
      <calculatedColumnFormula>IF(DS4-EA4&lt;0,0,DS4-EA4)</calculatedColumnFormula>
    </tableColumn>
    <tableColumn id="123" name="Impuesto sobre ingresos no acumulables" totalsRowFunction="sum" dataDxfId="85" totalsRowDxfId="84" dataCellStyle="Millares"/>
    <tableColumn id="139" name="Impuesto  Sobre la Renta Causado en el ejercicio que declara" totalsRowFunction="sum" dataDxfId="83" totalsRowDxfId="82">
      <calculatedColumnFormula>DV4+DW4</calculatedColumnFormula>
    </tableColumn>
    <tableColumn id="130" name="Impuesto Retenido al Contribuyente" totalsRowFunction="sum" dataDxfId="81" totalsRowDxfId="80" dataCellStyle="Millares">
      <calculatedColumnFormula>AG4+AO4+AQ4+AV4+DC4+DD4</calculatedColumnFormula>
    </tableColumn>
    <tableColumn id="124" name="Impuesto local a los ingresos por sueldos y salarios" totalsRowFunction="sum" dataDxfId="79" totalsRowDxfId="78" dataCellStyle="Millares"/>
    <tableColumn id="125" name="Monto del Subs para el empleo que le Corresp al Trab en el Ejer" totalsRowFunction="sum" dataDxfId="77" totalsRowDxfId="76" dataCellStyle="Millares"/>
    <tableColumn id="129" name="ISR del Ejercicio" totalsRowFunction="sum" dataDxfId="75" totalsRowDxfId="74" dataCellStyle="Millares">
      <calculatedColumnFormula>ROUND(IF(K4=1,IF(DQ4=0,0,(DQ4-VLOOKUP(DQ4,TISR177,1))*VLOOKUP(DQ4,TISR177,4)+VLOOKUP(DQ4,TISR177,3)),0),)</calculatedColumnFormula>
    </tableColumn>
    <tableColumn id="138" name="Suma del Subsidio Calculado en cada nómina Campo 134" dataDxfId="73" totalsRowDxfId="72" dataCellStyle="Millares">
      <calculatedColumnFormula>IF(K4=1,EA4,0)</calculatedColumnFormula>
    </tableColumn>
    <tableColumn id="141" name="Diferencia ISR (-) Subsidio" dataDxfId="71" totalsRowDxfId="70" dataCellStyle="Millares">
      <calculatedColumnFormula>IF(EB4-EC4&lt;0,0,EB4-EC4)</calculatedColumnFormula>
    </tableColumn>
    <tableColumn id="140" name="Impuesto Retenido" dataDxfId="69" totalsRowDxfId="68" dataCellStyle="Millares">
      <calculatedColumnFormula>IF(K4=1,DY4,0)</calculatedColumnFormula>
    </tableColumn>
    <tableColumn id="131" name="Diferencia a cargo o             (a Favor)" totalsRowFunction="sum" dataDxfId="67" totalsRowDxfId="66">
      <calculatedColumnFormula>ED4-EE4</calculatedColumnFormula>
    </tableColumn>
    <tableColumn id="132" name="Sep" dataDxfId="65" totalsRowDxfId="64">
      <calculatedColumnFormula>IF(OR(B4=2,B4=3,B4=6),X4&amp;"|"&amp;Y4&amp;"|"&amp;Z4&amp;"|"&amp;AA4&amp;"|"&amp;AB4&amp;"|"&amp;AC4&amp;"|"&amp;AD4&amp;"|"&amp;AE4&amp;"|"&amp;AF4&amp;"|"&amp;AG4&amp;"|"&amp;AH4&amp;"|"&amp;AI4&amp;"|"&amp;AJ4&amp;"|"&amp;AK4&amp;"|"&amp;AL4&amp;"|"&amp;AM4&amp;"|"&amp;AN4&amp;"|"&amp;AO4&amp;"|"&amp;IF(B4=3,"|",""),"")</calculatedColumnFormula>
    </tableColumn>
    <tableColumn id="133" name="Asi" dataDxfId="63" totalsRowDxfId="62">
      <calculatedColumnFormula>IF(OR(B4=4,B4=5,B4=6),AP4&amp;"|"&amp;AQ4&amp;"|"&amp;AR4&amp;"|"&amp;AS4&amp;"|"&amp;AT4&amp;"|"&amp;AU4&amp;"|"&amp;AV4&amp;"|"&amp;IF(B4=5,"|",""),"")</calculatedColumnFormula>
    </tableColumn>
    <tableColumn id="134" name="Sal" dataDxfId="61" totalsRowDxfId="60">
      <calculatedColumnFormula>IF(OR(B4=1,B4=2,B4=4,B4=6),AW4&amp;"|"&amp;AX4&amp;"|"&amp;AY4&amp;"|"&amp;AZ4&amp;"|"&amp;BA4&amp;"|"&amp;BB4&amp;"|"&amp;BC4&amp;"|"&amp;BD4&amp;"|"&amp;BE4&amp;"|"&amp;BF4&amp;"|"&amp;BG4&amp;"|"&amp;BH4&amp;"|"&amp;BI4&amp;"|"&amp;BJ4&amp;"|"&amp;BK4&amp;"|"&amp;BL4&amp;"|"&amp;BM4&amp;"|"&amp;BN4&amp;"|"&amp;BO4&amp;"|"&amp;BP4&amp;"|"&amp;BQ4&amp;"|"&amp;BR4&amp;"|"&amp;BS4&amp;"|"&amp;BT4&amp;"|"&amp;BU4&amp;"|"&amp;BV4&amp;"|"&amp;BW4&amp;"|"&amp;BX4&amp;"|"&amp;BY4&amp;"|"&amp;BZ4&amp;"|"&amp;CA4&amp;"|"&amp;CB4&amp;"|"&amp;CC4&amp;"|"&amp;CD4&amp;"|"&amp;CE4&amp;"|"&amp;CF4&amp;"|"&amp;CG4&amp;"|"&amp;CH4&amp;"|"&amp;CI4&amp;"|"&amp;CJ4&amp;"|"&amp;CK4&amp;"|"&amp;CL4&amp;"|"&amp;CM4&amp;"|"&amp;CN4&amp;"|"&amp;CO4&amp;"|"&amp;CP4&amp;"|"&amp;CQ4&amp;"|"&amp;CR4&amp;"|"&amp;CS4&amp;"|"&amp;CT4&amp;"|"&amp;CU4&amp;"|"&amp;CV4&amp;"|"&amp;CW4&amp;"|"&amp;CX4&amp;"|"&amp;CY4&amp;"|"&amp;CZ4&amp;"|"&amp;DA4&amp;"|"&amp;DB4&amp;"|"&amp;DC4&amp;"|"&amp;DD4&amp;"|"&amp;DE4&amp;"|"&amp;DF4&amp;"|"&amp;DG4&amp;"|"&amp;DH4&amp;"|"&amp;DI4&amp;"|"&amp;DJ4&amp;"|"&amp;DK4&amp;"|"&amp;DL4&amp;"|"&amp;DM4&amp;"|"&amp;DP4&amp;"|","")</calculatedColumnFormula>
    </tableColumn>
    <tableColumn id="135" name="Carga Batch Salarios" dataDxfId="59" totalsRowDxfId="58">
      <calculatedColumnFormula>(IF(D4&gt;9,""&amp;D4,"0"&amp;D4)&amp;"|")&amp;(IF(E4&gt;9,""&amp;E4,"0"&amp;E4)&amp;"|")&amp;C4&amp;"|"&amp;F4&amp;"|"&amp;G4&amp;"|"&amp;H4&amp;"|"&amp;I4&amp;"|"&amp;"0"&amp;J4&amp;"|"&amp;K4&amp;"|"&amp;(IF(L4=0,"0|0|",IF(L4=1,"1|0|","0|1|")))&amp;(IF(OR(M4=0,M4=""),"|",IF(M4=1,"1.0000|",M4&amp;REPT("0",(6-LEN(M4)))&amp;"|")))&amp;N4&amp;"|"&amp;O4&amp;"|"&amp;IF(P4&lt;10,"0"&amp;P4&amp;"|",P4&amp;"|")&amp;Q4&amp;"|"&amp;R4&amp;"|||||||||"&amp;S4&amp;"|"&amp;T4&amp;"|"&amp;U4&amp;"|"&amp;V4&amp;"|"&amp;(IF(B4=0,"0|0|0|",IF(B4=1,"0|0|1|",IF(B4=2,"1|0|1|",IF(B4=3,"1|0|0|",IF(B4=4,"0|1|1|",IF(B4=5,"0|1|0|","1|1|1|")))))))&amp;EG4&amp;EH4&amp;EI4&amp;DS4&amp;"|"&amp;DT4&amp;"|"&amp;DU4&amp;"|"&amp;DV4&amp;"|"&amp;DW4&amp;"|"&amp;DZ4&amp;"|"&amp;EA4&amp;"|"</calculatedColumnFormula>
    </tableColumn>
    <tableColumn id="136" name="No." dataDxfId="57" totalsRowDxfId="56">
      <calculatedColumnFormula>BchSal[No. de Empleado]</calculatedColumnFormula>
    </tableColumn>
  </tableColumns>
  <tableStyleInfo showFirstColumn="0" showLastColumn="0" showRowStripes="1" showColumnStripes="0"/>
</table>
</file>

<file path=xl/tables/table2.xml><?xml version="1.0" encoding="utf-8"?>
<table xmlns="http://schemas.openxmlformats.org/spreadsheetml/2006/main" id="7" name="Retenciones" displayName="Retenciones" ref="A3:AG5" totalsRowCount="1" headerRowDxfId="54" dataDxfId="53" totalsRowDxfId="51" tableBorderDxfId="52" totalsRowBorderDxfId="50" dataCellStyle="Millares">
  <autoFilter ref="A3:AG4"/>
  <tableColumns count="33">
    <tableColumn id="1" name="No." totalsRowLabel="Total" totalsRowDxfId="49"/>
    <tableColumn id="2" name="RFC" totalsRowFunction="count" totalsRowDxfId="48"/>
    <tableColumn id="3" name="CURP" totalsRowDxfId="47"/>
    <tableColumn id="4" name="Mes Inicial" totalsRowDxfId="46"/>
    <tableColumn id="5" name="Mes Final" totalsRowDxfId="45"/>
    <tableColumn id="6" name="Apellido paterno, materno y nombre(s)                                              o denominación o razón social" dataDxfId="44" totalsRowDxfId="43"/>
    <tableColumn id="7" name="Dividendos o utilidades distribuídos 0=Sin Selec 1=SI   2=NO" dataDxfId="42" totalsRowDxfId="41" dataCellStyle="Millares"/>
    <tableColumn id="8" name="Remanente distribuíble   0=Sin Selec 1=SI   2=NO" dataDxfId="40" totalsRowDxfId="39" dataCellStyle="Millares"/>
    <tableColumn id="9" name="Otros pagos y retenciones 0=Sin Selec 1=SI   2=NO" dataDxfId="38" totalsRowDxfId="37" dataCellStyle="Millares"/>
    <tableColumn id="10" name="Tipo de dividendo o utilidad distribuído" dataDxfId="36" totalsRowDxfId="35" dataCellStyle="Millares"/>
    <tableColumn id="11" name="Monto del dividendo o utilidad distribuído" totalsRowFunction="sum" dataDxfId="34" totalsRowDxfId="33" dataCellStyle="Millares"/>
    <tableColumn id="12" name="Monto del dividendo o utilidad acumulable" totalsRowFunction="sum" dataDxfId="32" totalsRowDxfId="31" dataCellStyle="Millares"/>
    <tableColumn id="13" name="Monto del ISR acreditable" totalsRowFunction="sum" totalsRowDxfId="30" dataCellStyle="Millares"/>
    <tableColumn id="14" name="Domicilio del socio o accionista (calle, número, código postal, entidad federativa)" totalsRowDxfId="29" dataCellStyle="Millares"/>
    <tableColumn id="15" name="Porcentaje de participación" totalsRowDxfId="28" dataCellStyle="Millares"/>
    <tableColumn id="16" name="Monto del remanente que le corresponde" totalsRowFunction="sum" dataDxfId="27" totalsRowDxfId="26" dataCellStyle="Millares"/>
    <tableColumn id="17" name="Impuesto retenido (en su caso)" totalsRowFunction="sum" dataDxfId="25" totalsRowDxfId="24" dataCellStyle="Millares"/>
    <tableColumn id="18" name="Clave del pago" totalsRowDxfId="23" dataCellStyle="Millares"/>
    <tableColumn id="19" name="Monto del interés nominal, tratándose de intereses" totalsRowFunction="sum" totalsRowDxfId="22" dataCellStyle="Millares"/>
    <tableColumn id="20" name="Pagos Prov efectuados por la Fiduc., tratándose de Arrend en fideicomiso" totalsRowFunction="sum" totalsRowDxfId="21" dataCellStyle="Millares"/>
    <tableColumn id="21" name="Deducciones Corresp (tratándose de Arrend en fideicomiso)" totalsRowFunction="sum" totalsRowDxfId="20" dataCellStyle="Millares"/>
    <tableColumn id="22" name="Especifique: tipo de pago (sólo si selecciono la clave G1. 'otros')" totalsRowDxfId="19" dataCellStyle="Millares"/>
    <tableColumn id="23" name="Monto de la operación o actividad gravada para efectos del ISR" totalsRowFunction="sum" totalsRowDxfId="18" dataCellStyle="Millares"/>
    <tableColumn id="24" name="Monto de la operación o actividad gravada para efectos del IVA" totalsRowFunction="sum" totalsRowDxfId="17" dataCellStyle="Millares"/>
    <tableColumn id="25" name="Monto de la operación o actividad gravada para efectos del IEPS" totalsRowFunction="sum" totalsRowDxfId="16" dataCellStyle="Millares"/>
    <tableColumn id="26" name="Monto de la operación o actividad exenta para efectos del ISR" totalsRowFunction="sum" totalsRowDxfId="15" dataCellStyle="Millares"/>
    <tableColumn id="27" name="Monto de la operación o actividad exenta para efectos del IVA" totalsRowFunction="sum" totalsRowDxfId="14" dataCellStyle="Millares"/>
    <tableColumn id="28" name="Monto de la operación o actividad exenta para efectos del IEPS" totalsRowFunction="sum" totalsRowDxfId="13" dataCellStyle="Millares"/>
    <tableColumn id="29" name="ISR retenido" totalsRowFunction="sum" totalsRowDxfId="12" dataCellStyle="Millares"/>
    <tableColumn id="30" name="IVA retenido" totalsRowFunction="sum" totalsRowDxfId="11" dataCellStyle="Millares"/>
    <tableColumn id="31" name="IEPS retenido" totalsRowFunction="sum" totalsRowDxfId="10" dataCellStyle="Millares"/>
    <tableColumn id="32" name="Carga Batch Salarios" dataDxfId="9" totalsRowDxfId="8">
      <calculatedColumnFormula>B4&amp;"|"&amp;C4&amp;"|"&amp;IF(D4&gt;9,""&amp;D4,"0"&amp;D4)&amp;"|"&amp;IF(E4&gt;9,""&amp;E4,"0"&amp;E4)&amp;"|"&amp;F4&amp;"|"&amp;G4&amp;"|"&amp;H4&amp;"|"&amp;I4&amp;"|"&amp;LEFT(J4,1)&amp;"|"&amp;K4&amp;"|"&amp;L4&amp;"|"&amp;M4&amp;"|"&amp;N4&amp;"|"&amp;IF(LEN(FIXED(O4))&lt;5,"0"&amp;FIXED(O4),FIXED(O4))&amp;"|"&amp;P4&amp;"|"&amp;Q4&amp;"|"&amp;LEFT(R4,2)&amp;"|"&amp;S4&amp;"|"&amp;T4&amp;"|"&amp;U4&amp;"|"&amp;V4&amp;"|"&amp;W4&amp;"|"&amp;X4&amp;"|"&amp;Y4&amp;"|"&amp;Z4&amp;"|"&amp;AA4&amp;"|"&amp;AB4&amp;"|"&amp;AC4&amp;"|"&amp;AD4&amp;"|"&amp;AE4&amp;"|"</calculatedColumnFormula>
    </tableColumn>
    <tableColumn id="33" name="Num" dataDxfId="7" totalsRowDxfId="6">
      <calculatedColumnFormula>A4</calculatedColumnFormula>
    </tableColumn>
  </tableColumns>
  <tableStyleInfo showFirstColumn="0" showLastColumn="0" showRowStripes="1" showColumnStripes="0"/>
</table>
</file>

<file path=xl/tables/table3.xml><?xml version="1.0" encoding="utf-8"?>
<table xmlns="http://schemas.openxmlformats.org/spreadsheetml/2006/main" id="4" name="Estado" displayName="Estado" ref="G3:I36" totalsRowShown="0">
  <autoFilter ref="G3:I36"/>
  <tableColumns count="3">
    <tableColumn id="1" name="Valor" dataDxfId="5"/>
    <tableColumn id="2" name="Descripción"/>
    <tableColumn id="3" name="Columna1"/>
  </tableColumns>
  <tableStyleInfo name="TableStyleMedium9" showFirstColumn="0" showLastColumn="0" showRowStripes="1" showColumnStripes="0"/>
</table>
</file>

<file path=xl/tables/table4.xml><?xml version="1.0" encoding="utf-8"?>
<table xmlns="http://schemas.openxmlformats.org/spreadsheetml/2006/main" id="5" name="Asimilados" displayName="Asimilados" ref="G38:H46" totalsRowShown="0" headerRowDxfId="4">
  <autoFilter ref="G38:H46"/>
  <tableColumns count="2">
    <tableColumn id="1" name="Valor" dataDxfId="3"/>
    <tableColumn id="2" name="Descripción"/>
  </tableColumns>
  <tableStyleInfo name="TableStyleMedium9" showFirstColumn="0" showLastColumn="0" showRowStripes="1" showColumnStripes="0"/>
</table>
</file>

<file path=xl/tables/table5.xml><?xml version="1.0" encoding="utf-8"?>
<table xmlns="http://schemas.openxmlformats.org/spreadsheetml/2006/main" id="1" name="Temas" displayName="Temas" ref="G48:H54" totalsRowShown="0" headerRowDxfId="2" headerRowBorderDxfId="1">
  <autoFilter ref="G48:H54"/>
  <tableColumns count="2">
    <tableColumn id="1" name="Valor" dataDxfId="0"/>
    <tableColumn id="2" name="Descripció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2:F22"/>
  <sheetViews>
    <sheetView showGridLines="0" workbookViewId="0">
      <selection activeCell="B27" sqref="B27"/>
    </sheetView>
  </sheetViews>
  <sheetFormatPr baseColWidth="10" defaultColWidth="0" defaultRowHeight="15" x14ac:dyDescent="0.25"/>
  <cols>
    <col min="1" max="1" width="11.42578125" customWidth="1"/>
    <col min="2" max="2" width="16.7109375" customWidth="1"/>
    <col min="3" max="3" width="60.140625" customWidth="1"/>
    <col min="4" max="4" width="11.42578125" customWidth="1"/>
    <col min="5" max="6" width="0" hidden="1" customWidth="1"/>
    <col min="7" max="16384" width="11.42578125" hidden="1"/>
  </cols>
  <sheetData>
    <row r="2" spans="2:3" ht="18.75" x14ac:dyDescent="0.3">
      <c r="B2" s="192" t="s">
        <v>485</v>
      </c>
      <c r="C2" s="192"/>
    </row>
    <row r="4" spans="2:3" x14ac:dyDescent="0.25">
      <c r="B4" s="195" t="s">
        <v>113</v>
      </c>
      <c r="C4" s="196"/>
    </row>
    <row r="5" spans="2:3" x14ac:dyDescent="0.25">
      <c r="B5" s="45" t="s">
        <v>114</v>
      </c>
      <c r="C5" s="47" t="s">
        <v>118</v>
      </c>
    </row>
    <row r="6" spans="2:3" x14ac:dyDescent="0.25">
      <c r="B6" s="45" t="s">
        <v>0</v>
      </c>
      <c r="C6" s="47" t="s">
        <v>119</v>
      </c>
    </row>
    <row r="7" spans="2:3" x14ac:dyDescent="0.25">
      <c r="B7" s="45" t="s">
        <v>116</v>
      </c>
      <c r="C7" s="47"/>
    </row>
    <row r="8" spans="2:3" x14ac:dyDescent="0.25">
      <c r="B8" s="195" t="s">
        <v>115</v>
      </c>
      <c r="C8" s="196"/>
    </row>
    <row r="9" spans="2:3" x14ac:dyDescent="0.25">
      <c r="B9" s="45" t="s">
        <v>114</v>
      </c>
      <c r="C9" s="47" t="s">
        <v>120</v>
      </c>
    </row>
    <row r="10" spans="2:3" x14ac:dyDescent="0.25">
      <c r="B10" s="45" t="s">
        <v>0</v>
      </c>
      <c r="C10" s="47" t="s">
        <v>69</v>
      </c>
    </row>
    <row r="11" spans="2:3" x14ac:dyDescent="0.25">
      <c r="B11" s="45" t="s">
        <v>116</v>
      </c>
      <c r="C11" s="47" t="s">
        <v>70</v>
      </c>
    </row>
    <row r="13" spans="2:3" ht="69" customHeight="1" x14ac:dyDescent="0.25">
      <c r="B13" s="193" t="s">
        <v>410</v>
      </c>
      <c r="C13" s="194"/>
    </row>
    <row r="15" spans="2:3" x14ac:dyDescent="0.25">
      <c r="B15" s="46" t="s">
        <v>117</v>
      </c>
    </row>
    <row r="16" spans="2:3" s="48" customFormat="1" ht="32.1" customHeight="1" x14ac:dyDescent="0.25">
      <c r="B16" s="190" t="s">
        <v>121</v>
      </c>
      <c r="C16" s="191"/>
    </row>
    <row r="17" spans="2:3" s="48" customFormat="1" ht="32.1" customHeight="1" x14ac:dyDescent="0.25">
      <c r="B17" s="190" t="s">
        <v>216</v>
      </c>
      <c r="C17" s="191"/>
    </row>
    <row r="18" spans="2:3" s="48" customFormat="1" ht="32.1" customHeight="1" x14ac:dyDescent="0.25">
      <c r="B18" s="190" t="s">
        <v>219</v>
      </c>
      <c r="C18" s="191"/>
    </row>
    <row r="19" spans="2:3" s="48" customFormat="1" ht="32.1" customHeight="1" x14ac:dyDescent="0.25">
      <c r="B19" s="190" t="s">
        <v>217</v>
      </c>
      <c r="C19" s="191"/>
    </row>
    <row r="20" spans="2:3" s="48" customFormat="1" ht="45.95" customHeight="1" x14ac:dyDescent="0.25">
      <c r="B20" s="190" t="s">
        <v>218</v>
      </c>
      <c r="C20" s="191"/>
    </row>
    <row r="21" spans="2:3" ht="30.75" customHeight="1" x14ac:dyDescent="0.25">
      <c r="B21" s="190" t="s">
        <v>409</v>
      </c>
      <c r="C21" s="191"/>
    </row>
    <row r="22" spans="2:3" ht="45.95" customHeight="1" x14ac:dyDescent="0.25">
      <c r="B22" s="190" t="s">
        <v>481</v>
      </c>
      <c r="C22" s="191"/>
    </row>
  </sheetData>
  <sheetProtection password="CC8E" sheet="1" objects="1" scenarios="1"/>
  <mergeCells count="11">
    <mergeCell ref="B21:C21"/>
    <mergeCell ref="B22:C22"/>
    <mergeCell ref="B2:C2"/>
    <mergeCell ref="B13:C13"/>
    <mergeCell ref="B16:C16"/>
    <mergeCell ref="B19:C19"/>
    <mergeCell ref="B20:C20"/>
    <mergeCell ref="B8:C8"/>
    <mergeCell ref="B4:C4"/>
    <mergeCell ref="B17:C17"/>
    <mergeCell ref="B18:C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pageSetUpPr autoPageBreaks="0"/>
  </sheetPr>
  <dimension ref="A1:EM22"/>
  <sheetViews>
    <sheetView showGridLines="0" tabSelected="1" workbookViewId="0">
      <pane xSplit="3" ySplit="3" topLeftCell="EC4" activePane="bottomRight" state="frozen"/>
      <selection pane="topRight" activeCell="D1" sqref="D1"/>
      <selection pane="bottomLeft" activeCell="A5" sqref="A5"/>
      <selection pane="bottomRight" activeCell="EJ4" sqref="EJ4:EJ9"/>
    </sheetView>
  </sheetViews>
  <sheetFormatPr baseColWidth="10" defaultRowHeight="15" outlineLevelCol="1" x14ac:dyDescent="0.25"/>
  <cols>
    <col min="1" max="1" width="8.7109375" style="36" customWidth="1"/>
    <col min="2" max="2" width="9.7109375" style="36" customWidth="1"/>
    <col min="3" max="3" width="17.7109375" style="36" customWidth="1"/>
    <col min="4" max="5" width="5.7109375" style="36" customWidth="1"/>
    <col min="6" max="6" width="22.7109375" style="36" hidden="1" customWidth="1" outlineLevel="1"/>
    <col min="7" max="8" width="15.7109375" style="36" hidden="1" customWidth="1" outlineLevel="1"/>
    <col min="9" max="9" width="20.7109375" style="36" hidden="1" customWidth="1" outlineLevel="1"/>
    <col min="10" max="16" width="11.7109375" style="36" hidden="1" customWidth="1" outlineLevel="1"/>
    <col min="17" max="18" width="17.7109375" style="36" hidden="1" customWidth="1" outlineLevel="1"/>
    <col min="19" max="22" width="15.7109375" style="36" hidden="1" customWidth="1" outlineLevel="1"/>
    <col min="23" max="23" width="2.7109375" style="38" customWidth="1" collapsed="1"/>
    <col min="24" max="25" width="11.7109375" style="36" customWidth="1"/>
    <col min="26" max="32" width="11.7109375" style="36" hidden="1" customWidth="1" outlineLevel="1"/>
    <col min="33" max="33" width="11.7109375" style="36" customWidth="1" collapsed="1"/>
    <col min="34" max="35" width="11.7109375" style="36" customWidth="1"/>
    <col min="36" max="40" width="11.7109375" style="36" hidden="1" customWidth="1" outlineLevel="1"/>
    <col min="41" max="41" width="11.7109375" style="36" customWidth="1" collapsed="1"/>
    <col min="42" max="42" width="11.7109375" style="36" customWidth="1"/>
    <col min="43" max="47" width="11.7109375" style="36" hidden="1" customWidth="1" outlineLevel="1"/>
    <col min="48" max="48" width="11.7109375" style="36" customWidth="1" collapsed="1"/>
    <col min="49" max="49" width="11.7109375" style="36" customWidth="1"/>
    <col min="50" max="61" width="11.7109375" style="36" hidden="1" customWidth="1" outlineLevel="1"/>
    <col min="62" max="62" width="11.7109375" style="36" customWidth="1" collapsed="1"/>
    <col min="63" max="63" width="11.7109375" style="36" customWidth="1"/>
    <col min="64" max="103" width="11.7109375" style="36" hidden="1" customWidth="1" outlineLevel="1"/>
    <col min="104" max="104" width="11.7109375" style="36" customWidth="1" collapsed="1"/>
    <col min="105" max="106" width="11.7109375" style="36" customWidth="1"/>
    <col min="107" max="117" width="11.7109375" style="36" hidden="1" customWidth="1" outlineLevel="1"/>
    <col min="118" max="118" width="11.42578125" collapsed="1"/>
    <col min="119" max="121" width="11.7109375" style="36" customWidth="1"/>
    <col min="124" max="124" width="11.7109375" style="36" customWidth="1"/>
    <col min="125" max="128" width="11.7109375" style="36" hidden="1" customWidth="1" outlineLevel="1"/>
    <col min="129" max="129" width="12.85546875" style="36" hidden="1" customWidth="1" outlineLevel="1"/>
    <col min="130" max="130" width="12.5703125" style="36" hidden="1" customWidth="1" outlineLevel="1"/>
    <col min="131" max="131" width="11.7109375" style="36" customWidth="1" collapsed="1"/>
    <col min="132" max="132" width="11.7109375" style="36" customWidth="1"/>
    <col min="134" max="134" width="12.28515625" bestFit="1" customWidth="1"/>
    <col min="137" max="138" width="3.7109375" customWidth="1"/>
    <col min="139" max="139" width="3.7109375" style="36" customWidth="1"/>
    <col min="140" max="140" width="60.7109375" style="36" customWidth="1"/>
    <col min="141" max="142" width="5.7109375" style="36" customWidth="1"/>
    <col min="143" max="143" width="3.7109375" style="36" customWidth="1"/>
    <col min="144" max="16384" width="11.42578125" style="36"/>
  </cols>
  <sheetData>
    <row r="1" spans="1:143" s="41" customFormat="1" ht="12.75" x14ac:dyDescent="0.2">
      <c r="A1" s="37" t="s">
        <v>111</v>
      </c>
      <c r="B1" s="41" t="s">
        <v>77</v>
      </c>
      <c r="C1" s="43">
        <v>3</v>
      </c>
      <c r="D1" s="41">
        <v>1</v>
      </c>
      <c r="E1" s="41">
        <v>2</v>
      </c>
      <c r="F1" s="43">
        <v>4</v>
      </c>
      <c r="G1" s="41">
        <v>5</v>
      </c>
      <c r="H1" s="41">
        <v>6</v>
      </c>
      <c r="I1" s="41">
        <v>7</v>
      </c>
      <c r="J1" s="41">
        <v>8</v>
      </c>
      <c r="K1" s="41">
        <v>9</v>
      </c>
      <c r="L1" s="41" t="s">
        <v>52</v>
      </c>
      <c r="M1" s="41">
        <v>12</v>
      </c>
      <c r="N1" s="41">
        <v>13</v>
      </c>
      <c r="O1" s="41">
        <v>14</v>
      </c>
      <c r="P1" s="41">
        <v>15</v>
      </c>
      <c r="Q1" s="41">
        <v>16</v>
      </c>
      <c r="R1" s="41" t="s">
        <v>56</v>
      </c>
      <c r="S1" s="41">
        <v>26</v>
      </c>
      <c r="T1" s="41">
        <v>27</v>
      </c>
      <c r="U1" s="41">
        <v>28</v>
      </c>
      <c r="V1" s="41">
        <v>29</v>
      </c>
      <c r="W1" s="42"/>
      <c r="X1" s="41">
        <v>33</v>
      </c>
      <c r="Y1" s="41">
        <v>34</v>
      </c>
      <c r="Z1" s="41">
        <v>35</v>
      </c>
      <c r="AA1" s="41">
        <v>36</v>
      </c>
      <c r="AB1" s="41">
        <v>37</v>
      </c>
      <c r="AC1" s="41">
        <v>38</v>
      </c>
      <c r="AD1" s="41">
        <v>39</v>
      </c>
      <c r="AE1" s="41">
        <v>40</v>
      </c>
      <c r="AF1" s="41">
        <v>41</v>
      </c>
      <c r="AG1" s="41">
        <v>42</v>
      </c>
      <c r="AH1" s="41">
        <v>43</v>
      </c>
      <c r="AI1" s="41">
        <v>44</v>
      </c>
      <c r="AJ1" s="41">
        <v>45</v>
      </c>
      <c r="AK1" s="41">
        <v>46</v>
      </c>
      <c r="AL1" s="41">
        <v>47</v>
      </c>
      <c r="AM1" s="41">
        <v>48</v>
      </c>
      <c r="AN1" s="41">
        <v>49</v>
      </c>
      <c r="AO1" s="41">
        <v>50</v>
      </c>
      <c r="AP1" s="41">
        <v>51</v>
      </c>
      <c r="AQ1" s="41">
        <v>52</v>
      </c>
      <c r="AR1" s="41">
        <v>53</v>
      </c>
      <c r="AS1" s="41">
        <v>54</v>
      </c>
      <c r="AT1" s="41">
        <v>55</v>
      </c>
      <c r="AU1" s="41">
        <v>56</v>
      </c>
      <c r="AV1" s="41">
        <v>57</v>
      </c>
      <c r="AW1" s="41">
        <v>58</v>
      </c>
      <c r="AX1" s="41">
        <v>59</v>
      </c>
      <c r="AY1" s="41">
        <v>60</v>
      </c>
      <c r="AZ1" s="41">
        <v>61</v>
      </c>
      <c r="BA1" s="41">
        <v>62</v>
      </c>
      <c r="BB1" s="41">
        <v>63</v>
      </c>
      <c r="BC1" s="41">
        <v>64</v>
      </c>
      <c r="BD1" s="41">
        <v>65</v>
      </c>
      <c r="BE1" s="41">
        <v>66</v>
      </c>
      <c r="BF1" s="41">
        <v>67</v>
      </c>
      <c r="BG1" s="41">
        <v>68</v>
      </c>
      <c r="BH1" s="41">
        <v>69</v>
      </c>
      <c r="BI1" s="41">
        <v>70</v>
      </c>
      <c r="BJ1" s="41">
        <v>71</v>
      </c>
      <c r="BK1" s="41">
        <v>72</v>
      </c>
      <c r="BL1" s="41">
        <v>73</v>
      </c>
      <c r="BM1" s="41">
        <v>74</v>
      </c>
      <c r="BN1" s="41">
        <v>75</v>
      </c>
      <c r="BO1" s="41">
        <v>76</v>
      </c>
      <c r="BP1" s="41">
        <v>77</v>
      </c>
      <c r="BQ1" s="41">
        <v>78</v>
      </c>
      <c r="BR1" s="41">
        <v>79</v>
      </c>
      <c r="BS1" s="41">
        <v>80</v>
      </c>
      <c r="BT1" s="41">
        <v>81</v>
      </c>
      <c r="BU1" s="41">
        <v>82</v>
      </c>
      <c r="BV1" s="41">
        <v>83</v>
      </c>
      <c r="BW1" s="41">
        <v>84</v>
      </c>
      <c r="BX1" s="41">
        <v>85</v>
      </c>
      <c r="BY1" s="41">
        <v>86</v>
      </c>
      <c r="BZ1" s="41">
        <v>87</v>
      </c>
      <c r="CA1" s="41">
        <v>88</v>
      </c>
      <c r="CB1" s="41">
        <v>89</v>
      </c>
      <c r="CC1" s="41">
        <v>90</v>
      </c>
      <c r="CD1" s="41">
        <v>91</v>
      </c>
      <c r="CE1" s="41">
        <v>92</v>
      </c>
      <c r="CF1" s="41">
        <v>93</v>
      </c>
      <c r="CG1" s="41">
        <v>94</v>
      </c>
      <c r="CH1" s="41">
        <v>95</v>
      </c>
      <c r="CI1" s="41">
        <v>96</v>
      </c>
      <c r="CJ1" s="41">
        <v>97</v>
      </c>
      <c r="CK1" s="41">
        <v>98</v>
      </c>
      <c r="CL1" s="41">
        <v>99</v>
      </c>
      <c r="CM1" s="41">
        <v>100</v>
      </c>
      <c r="CN1" s="41">
        <v>101</v>
      </c>
      <c r="CO1" s="41">
        <v>102</v>
      </c>
      <c r="CP1" s="41">
        <v>103</v>
      </c>
      <c r="CQ1" s="41">
        <v>104</v>
      </c>
      <c r="CR1" s="41">
        <v>105</v>
      </c>
      <c r="CS1" s="41">
        <v>106</v>
      </c>
      <c r="CT1" s="41">
        <v>107</v>
      </c>
      <c r="CU1" s="41">
        <v>108</v>
      </c>
      <c r="CV1" s="41">
        <v>109</v>
      </c>
      <c r="CW1" s="41">
        <v>110</v>
      </c>
      <c r="CX1" s="41">
        <v>111</v>
      </c>
      <c r="CY1" s="41">
        <v>112</v>
      </c>
      <c r="CZ1" s="41">
        <v>113</v>
      </c>
      <c r="DA1" s="41">
        <v>114</v>
      </c>
      <c r="DB1" s="41">
        <v>115</v>
      </c>
      <c r="DC1" s="41">
        <v>116</v>
      </c>
      <c r="DD1" s="41">
        <v>117</v>
      </c>
      <c r="DE1" s="41">
        <v>118</v>
      </c>
      <c r="DF1" s="41">
        <v>119</v>
      </c>
      <c r="DG1" s="41">
        <v>120</v>
      </c>
      <c r="DH1" s="41">
        <v>121</v>
      </c>
      <c r="DI1" s="41">
        <v>122</v>
      </c>
      <c r="DJ1" s="41">
        <v>123</v>
      </c>
      <c r="DK1" s="41">
        <v>124</v>
      </c>
      <c r="DL1" s="41">
        <v>125</v>
      </c>
      <c r="DM1" s="41">
        <v>126</v>
      </c>
      <c r="DP1" s="41">
        <v>127</v>
      </c>
      <c r="DS1" s="41">
        <v>128</v>
      </c>
      <c r="DT1" s="41">
        <v>129</v>
      </c>
      <c r="DU1" s="41">
        <v>130</v>
      </c>
      <c r="DV1" s="41">
        <v>131</v>
      </c>
      <c r="DW1" s="41">
        <v>132</v>
      </c>
      <c r="DZ1" s="41">
        <v>133</v>
      </c>
      <c r="EA1" s="41">
        <v>134</v>
      </c>
    </row>
    <row r="2" spans="1:143" s="30" customFormat="1" ht="14.25" x14ac:dyDescent="0.2">
      <c r="A2" s="44"/>
      <c r="B2" s="7" t="s">
        <v>108</v>
      </c>
      <c r="C2" s="5" t="s">
        <v>29</v>
      </c>
      <c r="D2" s="5"/>
      <c r="E2" s="31"/>
      <c r="F2" s="31"/>
      <c r="G2" s="31"/>
      <c r="H2" s="5"/>
      <c r="I2" s="31"/>
      <c r="J2" s="31"/>
      <c r="K2" s="5"/>
      <c r="L2" s="31"/>
      <c r="M2" s="31"/>
      <c r="N2" s="31"/>
      <c r="O2" s="31"/>
      <c r="P2" s="5"/>
      <c r="Q2" s="31"/>
      <c r="R2" s="5"/>
      <c r="S2" s="5"/>
      <c r="T2" s="5"/>
      <c r="U2" s="5"/>
      <c r="V2" s="5"/>
      <c r="W2" s="2"/>
      <c r="X2" s="7" t="s">
        <v>412</v>
      </c>
      <c r="Y2" s="32"/>
      <c r="Z2" s="7"/>
      <c r="AA2" s="32"/>
      <c r="AB2" s="7"/>
      <c r="AC2" s="32"/>
      <c r="AD2" s="7"/>
      <c r="AE2" s="32"/>
      <c r="AF2" s="7"/>
      <c r="AG2" s="32"/>
      <c r="AH2" s="6" t="s">
        <v>413</v>
      </c>
      <c r="AI2" s="35"/>
      <c r="AJ2" s="6"/>
      <c r="AK2" s="35"/>
      <c r="AL2" s="6"/>
      <c r="AM2" s="35"/>
      <c r="AN2" s="6"/>
      <c r="AO2" s="35"/>
      <c r="AP2" s="8" t="s">
        <v>482</v>
      </c>
      <c r="AQ2" s="8"/>
      <c r="AR2" s="33"/>
      <c r="AS2" s="8"/>
      <c r="AT2" s="33"/>
      <c r="AU2" s="8"/>
      <c r="AV2" s="33"/>
      <c r="AW2" s="7" t="s">
        <v>103</v>
      </c>
      <c r="AX2" s="7"/>
      <c r="AY2" s="32"/>
      <c r="AZ2" s="7"/>
      <c r="BA2" s="32"/>
      <c r="BB2" s="7"/>
      <c r="BC2" s="32"/>
      <c r="BD2" s="7"/>
      <c r="BE2" s="32"/>
      <c r="BF2" s="7"/>
      <c r="BG2" s="32"/>
      <c r="BH2" s="7"/>
      <c r="BI2" s="32"/>
      <c r="BJ2" s="7"/>
      <c r="BK2" s="7" t="s">
        <v>102</v>
      </c>
      <c r="BL2" s="7"/>
      <c r="BM2" s="32"/>
      <c r="BN2" s="7"/>
      <c r="BO2" s="32"/>
      <c r="BP2" s="7"/>
      <c r="BQ2" s="32"/>
      <c r="BR2" s="7"/>
      <c r="BS2" s="32"/>
      <c r="BT2" s="7"/>
      <c r="BU2" s="32"/>
      <c r="BV2" s="7"/>
      <c r="BW2" s="32"/>
      <c r="BX2" s="7"/>
      <c r="BY2" s="32"/>
      <c r="BZ2" s="7"/>
      <c r="CA2" s="32"/>
      <c r="CB2" s="7"/>
      <c r="CC2" s="32"/>
      <c r="CD2" s="7"/>
      <c r="CE2" s="32"/>
      <c r="CF2" s="7"/>
      <c r="CG2" s="32"/>
      <c r="CH2" s="7"/>
      <c r="CI2" s="32"/>
      <c r="CJ2" s="7"/>
      <c r="CK2" s="32"/>
      <c r="CL2" s="7"/>
      <c r="CM2" s="32"/>
      <c r="CN2" s="7"/>
      <c r="CO2" s="32"/>
      <c r="CP2" s="7"/>
      <c r="CQ2" s="32"/>
      <c r="CR2" s="7"/>
      <c r="CS2" s="32"/>
      <c r="CT2" s="7"/>
      <c r="CU2" s="32"/>
      <c r="CV2" s="7"/>
      <c r="CW2" s="34" t="s">
        <v>110</v>
      </c>
      <c r="CX2" s="7"/>
      <c r="CY2" s="32"/>
      <c r="CZ2" s="7"/>
      <c r="DA2" s="9" t="s">
        <v>85</v>
      </c>
      <c r="DB2" s="9"/>
      <c r="DC2" s="9"/>
      <c r="DD2" s="35"/>
      <c r="DE2" s="35"/>
      <c r="DF2" s="35"/>
      <c r="DG2" s="35"/>
      <c r="DH2" s="35"/>
      <c r="DI2" s="6"/>
      <c r="DJ2" s="35"/>
      <c r="DK2" s="35"/>
      <c r="DL2" s="35"/>
      <c r="DM2" s="35"/>
      <c r="DN2" s="8" t="s">
        <v>425</v>
      </c>
      <c r="DO2" s="8"/>
      <c r="DP2" s="35"/>
      <c r="DQ2" s="8"/>
      <c r="DR2" s="8"/>
      <c r="DS2" s="6" t="s">
        <v>31</v>
      </c>
      <c r="DT2" s="6"/>
      <c r="DU2" s="35"/>
      <c r="DV2" s="6"/>
      <c r="DW2" s="35"/>
      <c r="DX2" s="8"/>
      <c r="DY2" s="8"/>
      <c r="DZ2" s="6"/>
      <c r="EA2" s="35"/>
      <c r="EB2" s="132" t="s">
        <v>440</v>
      </c>
      <c r="EC2" s="132"/>
      <c r="ED2" s="132"/>
      <c r="EE2" s="132"/>
      <c r="EF2" s="133"/>
      <c r="EJ2" s="49" t="s">
        <v>78</v>
      </c>
    </row>
    <row r="3" spans="1:143" s="144" customFormat="1" ht="73.5" customHeight="1" x14ac:dyDescent="0.25">
      <c r="A3" s="134" t="s">
        <v>112</v>
      </c>
      <c r="B3" s="135" t="s">
        <v>57</v>
      </c>
      <c r="C3" s="136" t="s">
        <v>0</v>
      </c>
      <c r="D3" s="136" t="s">
        <v>1</v>
      </c>
      <c r="E3" s="136" t="s">
        <v>2</v>
      </c>
      <c r="F3" s="136" t="s">
        <v>96</v>
      </c>
      <c r="G3" s="136" t="s">
        <v>3</v>
      </c>
      <c r="H3" s="136" t="s">
        <v>97</v>
      </c>
      <c r="I3" s="136" t="s">
        <v>4</v>
      </c>
      <c r="J3" s="136" t="s">
        <v>55</v>
      </c>
      <c r="K3" s="137" t="s">
        <v>215</v>
      </c>
      <c r="L3" s="136" t="s">
        <v>484</v>
      </c>
      <c r="M3" s="136" t="s">
        <v>98</v>
      </c>
      <c r="N3" s="136" t="s">
        <v>84</v>
      </c>
      <c r="O3" s="136" t="s">
        <v>99</v>
      </c>
      <c r="P3" s="136" t="s">
        <v>424</v>
      </c>
      <c r="Q3" s="136" t="s">
        <v>100</v>
      </c>
      <c r="R3" s="136" t="s">
        <v>101</v>
      </c>
      <c r="S3" s="136" t="s">
        <v>74</v>
      </c>
      <c r="T3" s="136" t="s">
        <v>79</v>
      </c>
      <c r="U3" s="136" t="s">
        <v>75</v>
      </c>
      <c r="V3" s="136" t="s">
        <v>76</v>
      </c>
      <c r="W3" s="138" t="s">
        <v>62</v>
      </c>
      <c r="X3" s="137" t="s">
        <v>32</v>
      </c>
      <c r="Y3" s="137" t="s">
        <v>54</v>
      </c>
      <c r="Z3" s="137" t="s">
        <v>53</v>
      </c>
      <c r="AA3" s="137" t="s">
        <v>33</v>
      </c>
      <c r="AB3" s="137" t="s">
        <v>34</v>
      </c>
      <c r="AC3" s="137" t="s">
        <v>221</v>
      </c>
      <c r="AD3" s="137" t="s">
        <v>36</v>
      </c>
      <c r="AE3" s="137" t="s">
        <v>37</v>
      </c>
      <c r="AF3" s="137" t="s">
        <v>38</v>
      </c>
      <c r="AG3" s="137" t="s">
        <v>222</v>
      </c>
      <c r="AH3" s="139" t="s">
        <v>39</v>
      </c>
      <c r="AI3" s="139" t="s">
        <v>40</v>
      </c>
      <c r="AJ3" s="139" t="s">
        <v>414</v>
      </c>
      <c r="AK3" s="139" t="s">
        <v>415</v>
      </c>
      <c r="AL3" s="139" t="s">
        <v>417</v>
      </c>
      <c r="AM3" s="139" t="s">
        <v>106</v>
      </c>
      <c r="AN3" s="139" t="s">
        <v>416</v>
      </c>
      <c r="AO3" s="139" t="s">
        <v>418</v>
      </c>
      <c r="AP3" s="135" t="s">
        <v>42</v>
      </c>
      <c r="AQ3" s="135" t="s">
        <v>230</v>
      </c>
      <c r="AR3" s="135" t="s">
        <v>94</v>
      </c>
      <c r="AS3" s="135" t="s">
        <v>44</v>
      </c>
      <c r="AT3" s="135" t="s">
        <v>92</v>
      </c>
      <c r="AU3" s="135" t="s">
        <v>228</v>
      </c>
      <c r="AV3" s="135" t="s">
        <v>229</v>
      </c>
      <c r="AW3" s="137" t="s">
        <v>5</v>
      </c>
      <c r="AX3" s="135" t="s">
        <v>6</v>
      </c>
      <c r="AY3" s="137" t="s">
        <v>58</v>
      </c>
      <c r="AZ3" s="135" t="s">
        <v>59</v>
      </c>
      <c r="BA3" s="137" t="s">
        <v>7</v>
      </c>
      <c r="BB3" s="135" t="s">
        <v>8</v>
      </c>
      <c r="BC3" s="137" t="s">
        <v>9</v>
      </c>
      <c r="BD3" s="135" t="s">
        <v>10</v>
      </c>
      <c r="BE3" s="137" t="s">
        <v>11</v>
      </c>
      <c r="BF3" s="135" t="s">
        <v>12</v>
      </c>
      <c r="BG3" s="137" t="s">
        <v>13</v>
      </c>
      <c r="BH3" s="135" t="s">
        <v>14</v>
      </c>
      <c r="BI3" s="137" t="s">
        <v>60</v>
      </c>
      <c r="BJ3" s="135" t="s">
        <v>61</v>
      </c>
      <c r="BK3" s="137" t="s">
        <v>448</v>
      </c>
      <c r="BL3" s="135" t="s">
        <v>449</v>
      </c>
      <c r="BM3" s="137" t="s">
        <v>450</v>
      </c>
      <c r="BN3" s="135" t="s">
        <v>451</v>
      </c>
      <c r="BO3" s="137" t="s">
        <v>452</v>
      </c>
      <c r="BP3" s="135" t="s">
        <v>453</v>
      </c>
      <c r="BQ3" s="137" t="s">
        <v>454</v>
      </c>
      <c r="BR3" s="135" t="s">
        <v>455</v>
      </c>
      <c r="BS3" s="137" t="s">
        <v>456</v>
      </c>
      <c r="BT3" s="135" t="s">
        <v>457</v>
      </c>
      <c r="BU3" s="137" t="s">
        <v>458</v>
      </c>
      <c r="BV3" s="135" t="s">
        <v>459</v>
      </c>
      <c r="BW3" s="137" t="s">
        <v>15</v>
      </c>
      <c r="BX3" s="135" t="s">
        <v>16</v>
      </c>
      <c r="BY3" s="137" t="s">
        <v>460</v>
      </c>
      <c r="BZ3" s="135" t="s">
        <v>461</v>
      </c>
      <c r="CA3" s="137" t="s">
        <v>462</v>
      </c>
      <c r="CB3" s="135" t="s">
        <v>463</v>
      </c>
      <c r="CC3" s="137" t="s">
        <v>464</v>
      </c>
      <c r="CD3" s="135" t="s">
        <v>465</v>
      </c>
      <c r="CE3" s="137" t="s">
        <v>466</v>
      </c>
      <c r="CF3" s="135" t="s">
        <v>467</v>
      </c>
      <c r="CG3" s="137" t="s">
        <v>468</v>
      </c>
      <c r="CH3" s="135" t="s">
        <v>469</v>
      </c>
      <c r="CI3" s="137" t="s">
        <v>447</v>
      </c>
      <c r="CJ3" s="135" t="s">
        <v>446</v>
      </c>
      <c r="CK3" s="137" t="s">
        <v>470</v>
      </c>
      <c r="CL3" s="135" t="s">
        <v>471</v>
      </c>
      <c r="CM3" s="137" t="s">
        <v>472</v>
      </c>
      <c r="CN3" s="135" t="s">
        <v>473</v>
      </c>
      <c r="CO3" s="137" t="s">
        <v>445</v>
      </c>
      <c r="CP3" s="135" t="s">
        <v>444</v>
      </c>
      <c r="CQ3" s="137" t="s">
        <v>17</v>
      </c>
      <c r="CR3" s="135" t="s">
        <v>18</v>
      </c>
      <c r="CS3" s="137" t="s">
        <v>474</v>
      </c>
      <c r="CT3" s="135" t="s">
        <v>475</v>
      </c>
      <c r="CU3" s="137" t="s">
        <v>476</v>
      </c>
      <c r="CV3" s="135" t="s">
        <v>477</v>
      </c>
      <c r="CW3" s="137" t="s">
        <v>19</v>
      </c>
      <c r="CX3" s="135" t="s">
        <v>20</v>
      </c>
      <c r="CY3" s="137" t="s">
        <v>21</v>
      </c>
      <c r="CZ3" s="135" t="s">
        <v>22</v>
      </c>
      <c r="DA3" s="139" t="s">
        <v>86</v>
      </c>
      <c r="DB3" s="139" t="s">
        <v>87</v>
      </c>
      <c r="DC3" s="139" t="s">
        <v>95</v>
      </c>
      <c r="DD3" s="139" t="s">
        <v>24</v>
      </c>
      <c r="DE3" s="137" t="s">
        <v>105</v>
      </c>
      <c r="DF3" s="139" t="s">
        <v>88</v>
      </c>
      <c r="DG3" s="139" t="s">
        <v>109</v>
      </c>
      <c r="DH3" s="139" t="s">
        <v>25</v>
      </c>
      <c r="DI3" s="139" t="s">
        <v>26</v>
      </c>
      <c r="DJ3" s="139" t="s">
        <v>89</v>
      </c>
      <c r="DK3" s="139" t="s">
        <v>90</v>
      </c>
      <c r="DL3" s="139" t="s">
        <v>27</v>
      </c>
      <c r="DM3" s="139" t="s">
        <v>28</v>
      </c>
      <c r="DN3" s="135" t="s">
        <v>123</v>
      </c>
      <c r="DO3" s="135" t="s">
        <v>419</v>
      </c>
      <c r="DP3" s="139" t="s">
        <v>91</v>
      </c>
      <c r="DQ3" s="135" t="s">
        <v>411</v>
      </c>
      <c r="DR3" s="135" t="s">
        <v>420</v>
      </c>
      <c r="DS3" s="139" t="s">
        <v>46</v>
      </c>
      <c r="DT3" s="139" t="s">
        <v>47</v>
      </c>
      <c r="DU3" s="139" t="s">
        <v>48</v>
      </c>
      <c r="DV3" s="139" t="s">
        <v>49</v>
      </c>
      <c r="DW3" s="139" t="s">
        <v>50</v>
      </c>
      <c r="DX3" s="135" t="s">
        <v>421</v>
      </c>
      <c r="DY3" s="135" t="s">
        <v>422</v>
      </c>
      <c r="DZ3" s="139" t="s">
        <v>93</v>
      </c>
      <c r="EA3" s="139" t="s">
        <v>107</v>
      </c>
      <c r="EB3" s="140" t="s">
        <v>441</v>
      </c>
      <c r="EC3" s="140" t="s">
        <v>437</v>
      </c>
      <c r="ED3" s="140" t="s">
        <v>442</v>
      </c>
      <c r="EE3" s="140" t="s">
        <v>208</v>
      </c>
      <c r="EF3" s="140" t="s">
        <v>443</v>
      </c>
      <c r="EG3" s="141" t="s">
        <v>80</v>
      </c>
      <c r="EH3" s="141" t="s">
        <v>81</v>
      </c>
      <c r="EI3" s="141" t="s">
        <v>82</v>
      </c>
      <c r="EJ3" s="142" t="s">
        <v>377</v>
      </c>
      <c r="EK3" s="143" t="s">
        <v>125</v>
      </c>
    </row>
    <row r="4" spans="1:143" s="164" customFormat="1" ht="12.75" x14ac:dyDescent="0.2">
      <c r="A4" s="145">
        <v>1</v>
      </c>
      <c r="B4" s="145">
        <v>1</v>
      </c>
      <c r="C4" s="146" t="s">
        <v>69</v>
      </c>
      <c r="D4" s="147">
        <v>1</v>
      </c>
      <c r="E4" s="147">
        <v>12</v>
      </c>
      <c r="F4" s="146" t="s">
        <v>70</v>
      </c>
      <c r="G4" s="146" t="s">
        <v>71</v>
      </c>
      <c r="H4" s="146" t="s">
        <v>72</v>
      </c>
      <c r="I4" s="146" t="s">
        <v>73</v>
      </c>
      <c r="J4" s="147">
        <v>1</v>
      </c>
      <c r="K4" s="148">
        <f>1</f>
        <v>1</v>
      </c>
      <c r="L4" s="148">
        <f>1</f>
        <v>1</v>
      </c>
      <c r="M4" s="188"/>
      <c r="N4" s="149">
        <f>2</f>
        <v>2</v>
      </c>
      <c r="O4" s="150">
        <f>0</f>
        <v>0</v>
      </c>
      <c r="P4" s="147">
        <f>13</f>
        <v>13</v>
      </c>
      <c r="Q4" s="146"/>
      <c r="R4" s="146"/>
      <c r="S4" s="151"/>
      <c r="T4" s="149">
        <f>0</f>
        <v>0</v>
      </c>
      <c r="U4" s="151"/>
      <c r="V4" s="151"/>
      <c r="W4" s="152"/>
      <c r="X4" s="153">
        <f>0</f>
        <v>0</v>
      </c>
      <c r="Y4" s="154"/>
      <c r="Z4" s="154"/>
      <c r="AA4" s="154"/>
      <c r="AB4" s="155"/>
      <c r="AC4" s="156">
        <f>0</f>
        <v>0</v>
      </c>
      <c r="AD4" s="156">
        <f>0</f>
        <v>0</v>
      </c>
      <c r="AE4" s="154"/>
      <c r="AF4" s="154"/>
      <c r="AG4" s="154"/>
      <c r="AH4" s="154"/>
      <c r="AI4" s="155"/>
      <c r="AJ4" s="154"/>
      <c r="AK4" s="156">
        <f t="shared" ref="AK4:AK9" si="0">AH4-AJ4</f>
        <v>0</v>
      </c>
      <c r="AL4" s="154"/>
      <c r="AM4" s="154"/>
      <c r="AN4" s="156">
        <f t="shared" ref="AN4:AN9" si="1">IF(AK4-AL4&lt;0,0,AK4-AL4)</f>
        <v>0</v>
      </c>
      <c r="AO4" s="154"/>
      <c r="AP4" s="154"/>
      <c r="AQ4" s="154"/>
      <c r="AR4" s="157">
        <f>0</f>
        <v>0</v>
      </c>
      <c r="AS4" s="154"/>
      <c r="AT4" s="154"/>
      <c r="AU4" s="154"/>
      <c r="AV4" s="154"/>
      <c r="AW4" s="154">
        <v>50000</v>
      </c>
      <c r="AX4" s="159"/>
      <c r="AY4" s="154">
        <v>5000</v>
      </c>
      <c r="AZ4" s="154">
        <v>1000</v>
      </c>
      <c r="BA4" s="154"/>
      <c r="BB4" s="154">
        <v>500</v>
      </c>
      <c r="BC4" s="154"/>
      <c r="BD4" s="154"/>
      <c r="BE4" s="154"/>
      <c r="BF4" s="154"/>
      <c r="BG4" s="154"/>
      <c r="BH4" s="154"/>
      <c r="BI4" s="154"/>
      <c r="BJ4" s="154"/>
      <c r="BK4" s="154"/>
      <c r="BL4" s="154"/>
      <c r="BM4" s="154"/>
      <c r="BN4" s="154"/>
      <c r="BO4" s="159"/>
      <c r="BP4" s="159"/>
      <c r="BQ4" s="154"/>
      <c r="BR4" s="154"/>
      <c r="BS4" s="154"/>
      <c r="BT4" s="154"/>
      <c r="BU4" s="154"/>
      <c r="BV4" s="154"/>
      <c r="BW4" s="154"/>
      <c r="BX4" s="159"/>
      <c r="BY4" s="154"/>
      <c r="BZ4" s="154"/>
      <c r="CA4" s="154"/>
      <c r="CB4" s="154"/>
      <c r="CC4" s="154"/>
      <c r="CD4" s="154"/>
      <c r="CE4" s="154"/>
      <c r="CF4" s="154"/>
      <c r="CG4" s="154"/>
      <c r="CH4" s="154"/>
      <c r="CI4" s="154"/>
      <c r="CJ4" s="159"/>
      <c r="CK4" s="154"/>
      <c r="CL4" s="154"/>
      <c r="CM4" s="154"/>
      <c r="CN4" s="154"/>
      <c r="CO4" s="154"/>
      <c r="CP4" s="154"/>
      <c r="CQ4" s="154"/>
      <c r="CR4" s="154"/>
      <c r="CS4" s="154"/>
      <c r="CT4" s="154"/>
      <c r="CU4" s="154"/>
      <c r="CV4" s="154"/>
      <c r="CW4" s="154"/>
      <c r="CX4" s="154"/>
      <c r="CY4" s="154"/>
      <c r="CZ4" s="154"/>
      <c r="DA4" s="158">
        <f t="shared" ref="DA4:DA9" si="2">AW4+AY4+BA4+BC4+BE4+BG4+BI4+BK4+BM4+BO4+BQ4+BS4+BU4+BW4+BY4+CA4+CC4+CE4+CG4+CI4+CK4+CM4+CO4+CQ4+CS4+CU4+CW4+CY4</f>
        <v>55000</v>
      </c>
      <c r="DB4" s="158">
        <f t="shared" ref="DB4" si="3">AX4+AZ4+BB4+BD4+BF4+BH4+BJ4+BL4+BN4+BP4+BR4+BT4+BV4+BX4+BZ4+CB4+CD4+CF4+CH4+CJ4+CL4+CN4+CP4+CR4+CT4+CV4+CX4+CZ4</f>
        <v>1500</v>
      </c>
      <c r="DC4" s="154">
        <v>0</v>
      </c>
      <c r="DD4" s="154"/>
      <c r="DE4" s="154"/>
      <c r="DF4" s="154"/>
      <c r="DG4" s="159"/>
      <c r="DH4" s="159"/>
      <c r="DI4" s="154"/>
      <c r="DJ4" s="154">
        <f t="shared" ref="DJ4" si="4">BL4+BN4+BP4+BR4+BT4+BV4+BZ4+CB4+CD4+CF4+CH4+CJ4+CL4+CN4+CP4+CT4+CV4</f>
        <v>0</v>
      </c>
      <c r="DK4" s="160">
        <f t="shared" ref="DK4:DK9" si="5">DA4+DB4</f>
        <v>56500</v>
      </c>
      <c r="DL4" s="154"/>
      <c r="DM4" s="154">
        <v>797</v>
      </c>
      <c r="DN4" s="158">
        <f t="shared" ref="DN4:DN9" si="6">X4+AH4+AP4+AU4+DA4+DB4</f>
        <v>56500</v>
      </c>
      <c r="DO4" s="158">
        <f t="shared" ref="DO4:DO9" si="7">AC4+AJ4+DB4</f>
        <v>1500</v>
      </c>
      <c r="DP4" s="158">
        <f t="shared" ref="DP4:DP9" si="8">T4</f>
        <v>0</v>
      </c>
      <c r="DQ4" s="158">
        <f t="shared" ref="DQ4:DQ9" si="9">AE4+AL4+AP4+AU4+DA4</f>
        <v>55000</v>
      </c>
      <c r="DR4" s="158">
        <f t="shared" ref="DR4:DR9" si="10">AF4+AN4</f>
        <v>0</v>
      </c>
      <c r="DS4" s="158">
        <f t="shared" ref="DS4:DS9" si="11">EB4</f>
        <v>3454</v>
      </c>
      <c r="DT4" s="159"/>
      <c r="DU4" s="159"/>
      <c r="DV4" s="160">
        <f t="shared" ref="DV4:DV9" si="12">IF(DS4-EA4&lt;0,0,DS4-EA4)</f>
        <v>0</v>
      </c>
      <c r="DW4" s="154"/>
      <c r="DX4" s="160">
        <f t="shared" ref="DX4" si="13">DV4+DW4</f>
        <v>0</v>
      </c>
      <c r="DY4" s="158">
        <f t="shared" ref="DY4:DY9" si="14">AG4+AO4+AQ4+AV4+DC4+DD4</f>
        <v>0</v>
      </c>
      <c r="DZ4" s="154"/>
      <c r="EA4" s="154">
        <v>4500</v>
      </c>
      <c r="EB4" s="158">
        <f t="shared" ref="EB4:EB9" si="15">ROUND(IF(K4=1,IF(DQ4=0,0,(DQ4-VLOOKUP(DQ4,TISR177,1))*VLOOKUP(DQ4,TISR177,4)+VLOOKUP(DQ4,TISR177,3)),0),)</f>
        <v>3454</v>
      </c>
      <c r="EC4" s="158">
        <f t="shared" ref="EC4:EC9" si="16">IF(K4=1,EA4,0)</f>
        <v>4500</v>
      </c>
      <c r="ED4" s="158">
        <f t="shared" ref="ED4:ED9" si="17">IF(EB4-EC4&lt;0,0,EB4-EC4)</f>
        <v>0</v>
      </c>
      <c r="EE4" s="158">
        <f t="shared" ref="EE4:EE9" si="18">IF(K4=1,DY4,0)</f>
        <v>0</v>
      </c>
      <c r="EF4" s="161">
        <f t="shared" ref="EF4:EF9" si="19">ED4-EE4</f>
        <v>0</v>
      </c>
      <c r="EG4" s="162" t="str">
        <f t="shared" ref="EG4:EG9" si="20">IF(OR(B4=2,B4=3,B4=6),X4&amp;"|"&amp;Y4&amp;"|"&amp;Z4&amp;"|"&amp;AA4&amp;"|"&amp;AB4&amp;"|"&amp;AC4&amp;"|"&amp;AD4&amp;"|"&amp;AE4&amp;"|"&amp;AF4&amp;"|"&amp;AG4&amp;"|"&amp;AH4&amp;"|"&amp;AI4&amp;"|"&amp;AJ4&amp;"|"&amp;AK4&amp;"|"&amp;AL4&amp;"|"&amp;AM4&amp;"|"&amp;AN4&amp;"|"&amp;AO4&amp;"|"&amp;IF(B4=3,"|",""),"")</f>
        <v/>
      </c>
      <c r="EH4" s="162" t="str">
        <f t="shared" ref="EH4:EH9" si="21">IF(OR(B4=4,B4=5,B4=6),AP4&amp;"|"&amp;AQ4&amp;"|"&amp;AR4&amp;"|"&amp;AS4&amp;"|"&amp;AT4&amp;"|"&amp;AU4&amp;"|"&amp;AV4&amp;"|"&amp;IF(B4=5,"|",""),"")</f>
        <v/>
      </c>
      <c r="EI4" s="162" t="str">
        <f t="shared" ref="EI4:EI9" si="22">IF(OR(B4=1,B4=2,B4=4,B4=6),AW4&amp;"|"&amp;AX4&amp;"|"&amp;AY4&amp;"|"&amp;AZ4&amp;"|"&amp;BA4&amp;"|"&amp;BB4&amp;"|"&amp;BC4&amp;"|"&amp;BD4&amp;"|"&amp;BE4&amp;"|"&amp;BF4&amp;"|"&amp;BG4&amp;"|"&amp;BH4&amp;"|"&amp;BI4&amp;"|"&amp;BJ4&amp;"|"&amp;BK4&amp;"|"&amp;BL4&amp;"|"&amp;BM4&amp;"|"&amp;BN4&amp;"|"&amp;BO4&amp;"|"&amp;BP4&amp;"|"&amp;BQ4&amp;"|"&amp;BR4&amp;"|"&amp;BS4&amp;"|"&amp;BT4&amp;"|"&amp;BU4&amp;"|"&amp;BV4&amp;"|"&amp;BW4&amp;"|"&amp;BX4&amp;"|"&amp;BY4&amp;"|"&amp;BZ4&amp;"|"&amp;CA4&amp;"|"&amp;CB4&amp;"|"&amp;CC4&amp;"|"&amp;CD4&amp;"|"&amp;CE4&amp;"|"&amp;CF4&amp;"|"&amp;CG4&amp;"|"&amp;CH4&amp;"|"&amp;CI4&amp;"|"&amp;CJ4&amp;"|"&amp;CK4&amp;"|"&amp;CL4&amp;"|"&amp;CM4&amp;"|"&amp;CN4&amp;"|"&amp;CO4&amp;"|"&amp;CP4&amp;"|"&amp;CQ4&amp;"|"&amp;CR4&amp;"|"&amp;CS4&amp;"|"&amp;CT4&amp;"|"&amp;CU4&amp;"|"&amp;CV4&amp;"|"&amp;CW4&amp;"|"&amp;CX4&amp;"|"&amp;CY4&amp;"|"&amp;CZ4&amp;"|"&amp;DA4&amp;"|"&amp;DB4&amp;"|"&amp;DC4&amp;"|"&amp;DD4&amp;"|"&amp;DE4&amp;"|"&amp;DF4&amp;"|"&amp;DG4&amp;"|"&amp;DH4&amp;"|"&amp;DI4&amp;"|"&amp;DJ4&amp;"|"&amp;DK4&amp;"|"&amp;DL4&amp;"|"&amp;DM4&amp;"|"&amp;DP4&amp;"|","")</f>
        <v>50000||5000|1000||500|||||||||||||||||||||||||||||||||||||||||||||||||||55000|1500|0|||||||0|56500||797|0|</v>
      </c>
      <c r="EJ4" s="162" t="str">
        <f>(IF(D4&gt;9,""&amp;D4,"0"&amp;D4)&amp;"|")&amp;(IF(E4&gt;9,""&amp;E4,"0"&amp;E4)&amp;"|")&amp;C4&amp;"|"&amp;F4&amp;"|"&amp;G4&amp;"|"&amp;H4&amp;"|"&amp;I4&amp;"|"&amp;"0"&amp;J4&amp;"|"&amp;K4&amp;"|"&amp;(IF(L4=0,"0|0|",IF(L4=1,"1|0|","0|1|")))&amp;(IF(OR(M4=0,M4=""),"|",IF(M4=1,"1.0000|",M4&amp;REPT("0",(6-LEN(M4)))&amp;"|")))&amp;N4&amp;"|"&amp;O4&amp;"|"&amp;IF(P4&lt;10,"0"&amp;P4&amp;"|",P4&amp;"|")&amp;Q4&amp;"|"&amp;R4&amp;"|||||||||"&amp;S4&amp;"|"&amp;T4&amp;"|"&amp;U4&amp;"|"&amp;V4&amp;"|"&amp;(IF(B4=0,"0|0|0|",IF(B4=1,"0|0|1|",IF(B4=2,"1|0|1|",IF(B4=3,"1|0|0|",IF(B4=4,"0|1|1|",IF(B4=5,"0|1|0|","1|1|1|")))))))&amp;EG4&amp;EH4&amp;EI4&amp;DS4&amp;"|"&amp;DT4&amp;"|"&amp;DU4&amp;"|"&amp;DV4&amp;"|"&amp;DW4&amp;"|"&amp;DZ4&amp;"|"&amp;EA4&amp;"|"</f>
        <v>01|12|MONO720101TW8|MONO720101HDFRVL04|MORALES|NAVARRO|OLAF|01|1|1|0||2|0|13||||||||||||0|||0|0|1|50000||5000|1000||500|||||||||||||||||||||||||||||||||||||||||||||||||||55000|1500|0|||||||0|56500||797|0|3454|||0|||4500|</v>
      </c>
      <c r="EK4" s="163">
        <f>BchSal[No. de Empleado]</f>
        <v>1</v>
      </c>
    </row>
    <row r="5" spans="1:143" s="164" customFormat="1" ht="12.75" x14ac:dyDescent="0.2">
      <c r="A5" s="145">
        <v>2</v>
      </c>
      <c r="B5" s="145">
        <v>2</v>
      </c>
      <c r="C5" s="146" t="s">
        <v>426</v>
      </c>
      <c r="D5" s="147">
        <v>1</v>
      </c>
      <c r="E5" s="147">
        <v>5</v>
      </c>
      <c r="F5" s="146" t="s">
        <v>332</v>
      </c>
      <c r="G5" s="146" t="s">
        <v>71</v>
      </c>
      <c r="H5" s="146" t="s">
        <v>72</v>
      </c>
      <c r="I5" s="146" t="s">
        <v>207</v>
      </c>
      <c r="J5" s="147">
        <v>1</v>
      </c>
      <c r="K5" s="148">
        <v>2</v>
      </c>
      <c r="L5" s="148">
        <f>1</f>
        <v>1</v>
      </c>
      <c r="M5" s="188"/>
      <c r="N5" s="149">
        <f>2</f>
        <v>2</v>
      </c>
      <c r="O5" s="150">
        <f>0</f>
        <v>0</v>
      </c>
      <c r="P5" s="147">
        <f>13</f>
        <v>13</v>
      </c>
      <c r="Q5" s="146"/>
      <c r="R5" s="146"/>
      <c r="S5" s="165"/>
      <c r="T5" s="149">
        <f>0</f>
        <v>0</v>
      </c>
      <c r="U5" s="165"/>
      <c r="V5" s="165"/>
      <c r="W5" s="152"/>
      <c r="X5" s="153">
        <f>0</f>
        <v>0</v>
      </c>
      <c r="Y5" s="154"/>
      <c r="Z5" s="154"/>
      <c r="AA5" s="154"/>
      <c r="AB5" s="155"/>
      <c r="AC5" s="156">
        <f>0</f>
        <v>0</v>
      </c>
      <c r="AD5" s="156">
        <f>0</f>
        <v>0</v>
      </c>
      <c r="AE5" s="154"/>
      <c r="AF5" s="154"/>
      <c r="AG5" s="154"/>
      <c r="AH5" s="154">
        <v>25763</v>
      </c>
      <c r="AI5" s="155">
        <v>12</v>
      </c>
      <c r="AJ5" s="154">
        <v>10000</v>
      </c>
      <c r="AK5" s="156">
        <f t="shared" si="0"/>
        <v>15763</v>
      </c>
      <c r="AL5" s="154">
        <v>5000</v>
      </c>
      <c r="AM5" s="154">
        <v>500</v>
      </c>
      <c r="AN5" s="156">
        <f t="shared" si="1"/>
        <v>10763</v>
      </c>
      <c r="AO5" s="154">
        <v>500</v>
      </c>
      <c r="AP5" s="154"/>
      <c r="AQ5" s="154"/>
      <c r="AR5" s="157">
        <f>0</f>
        <v>0</v>
      </c>
      <c r="AS5" s="154"/>
      <c r="AT5" s="154"/>
      <c r="AU5" s="154"/>
      <c r="AV5" s="154"/>
      <c r="AW5" s="154">
        <v>50000</v>
      </c>
      <c r="AX5" s="159"/>
      <c r="AY5" s="154">
        <v>5000</v>
      </c>
      <c r="AZ5" s="154"/>
      <c r="BA5" s="154"/>
      <c r="BB5" s="154"/>
      <c r="BC5" s="154"/>
      <c r="BD5" s="154"/>
      <c r="BE5" s="154"/>
      <c r="BF5" s="154"/>
      <c r="BG5" s="154"/>
      <c r="BH5" s="154"/>
      <c r="BI5" s="154"/>
      <c r="BJ5" s="154"/>
      <c r="BK5" s="154"/>
      <c r="BL5" s="154"/>
      <c r="BM5" s="154"/>
      <c r="BN5" s="154"/>
      <c r="BO5" s="159"/>
      <c r="BP5" s="159"/>
      <c r="BQ5" s="154"/>
      <c r="BR5" s="154"/>
      <c r="BS5" s="154"/>
      <c r="BT5" s="154"/>
      <c r="BU5" s="154"/>
      <c r="BV5" s="154"/>
      <c r="BW5" s="154"/>
      <c r="BX5" s="159"/>
      <c r="BY5" s="154"/>
      <c r="BZ5" s="154"/>
      <c r="CA5" s="154"/>
      <c r="CB5" s="154"/>
      <c r="CC5" s="154"/>
      <c r="CD5" s="154"/>
      <c r="CE5" s="154"/>
      <c r="CF5" s="154"/>
      <c r="CG5" s="154"/>
      <c r="CH5" s="154"/>
      <c r="CI5" s="154"/>
      <c r="CJ5" s="159"/>
      <c r="CK5" s="154"/>
      <c r="CL5" s="154"/>
      <c r="CM5" s="154"/>
      <c r="CN5" s="154"/>
      <c r="CO5" s="154"/>
      <c r="CP5" s="154"/>
      <c r="CQ5" s="154"/>
      <c r="CR5" s="154"/>
      <c r="CS5" s="154"/>
      <c r="CT5" s="154"/>
      <c r="CU5" s="154"/>
      <c r="CV5" s="154"/>
      <c r="CW5" s="154"/>
      <c r="CX5" s="154"/>
      <c r="CY5" s="154"/>
      <c r="CZ5" s="154"/>
      <c r="DA5" s="158">
        <f t="shared" si="2"/>
        <v>55000</v>
      </c>
      <c r="DB5" s="158">
        <f>AX5+AZ5+BB5+BD5+BF5+BH5+BJ5+BL5+BN5+BP5+BR5+BT5+BV5+BX5+BZ5+CB5+CD5+CF5+CH5+CJ5+CL5+CN5+CP5+CR5+CT5+CV5+CX5+CZ5</f>
        <v>0</v>
      </c>
      <c r="DC5" s="154">
        <v>3320</v>
      </c>
      <c r="DD5" s="154"/>
      <c r="DE5" s="154"/>
      <c r="DF5" s="154"/>
      <c r="DG5" s="159"/>
      <c r="DH5" s="159"/>
      <c r="DI5" s="154"/>
      <c r="DJ5" s="154">
        <f>BL5+BN5+BP5+BR5+BT5+BV5+BZ5+CB5+CD5+CF5+CH5+CJ5+CL5+CN5+CP5+CT5+CV5</f>
        <v>0</v>
      </c>
      <c r="DK5" s="160">
        <f t="shared" si="5"/>
        <v>55000</v>
      </c>
      <c r="DL5" s="154"/>
      <c r="DM5" s="154"/>
      <c r="DN5" s="158">
        <f t="shared" si="6"/>
        <v>80763</v>
      </c>
      <c r="DO5" s="158">
        <f t="shared" si="7"/>
        <v>10000</v>
      </c>
      <c r="DP5" s="158">
        <f t="shared" si="8"/>
        <v>0</v>
      </c>
      <c r="DQ5" s="158">
        <f t="shared" si="9"/>
        <v>60000</v>
      </c>
      <c r="DR5" s="158">
        <f t="shared" si="10"/>
        <v>10763</v>
      </c>
      <c r="DS5" s="158">
        <f t="shared" si="11"/>
        <v>0</v>
      </c>
      <c r="DT5" s="159"/>
      <c r="DU5" s="159"/>
      <c r="DV5" s="160">
        <f t="shared" si="12"/>
        <v>0</v>
      </c>
      <c r="DW5" s="154"/>
      <c r="DX5" s="160">
        <f>DV5+DW5</f>
        <v>0</v>
      </c>
      <c r="DY5" s="158">
        <f t="shared" si="14"/>
        <v>3820</v>
      </c>
      <c r="DZ5" s="154"/>
      <c r="EA5" s="154"/>
      <c r="EB5" s="158">
        <f t="shared" si="15"/>
        <v>0</v>
      </c>
      <c r="EC5" s="158">
        <f t="shared" si="16"/>
        <v>0</v>
      </c>
      <c r="ED5" s="158">
        <f t="shared" si="17"/>
        <v>0</v>
      </c>
      <c r="EE5" s="158">
        <f t="shared" si="18"/>
        <v>0</v>
      </c>
      <c r="EF5" s="161">
        <f t="shared" si="19"/>
        <v>0</v>
      </c>
      <c r="EG5" s="162" t="str">
        <f t="shared" si="20"/>
        <v>0|||||0|0||||25763|12|10000|15763|5000|500|10763|500|</v>
      </c>
      <c r="EH5" s="162" t="str">
        <f t="shared" si="21"/>
        <v/>
      </c>
      <c r="EI5" s="162" t="str">
        <f t="shared" si="22"/>
        <v>50000||5000||||||||||||||||||||||||||||||||||||||||||||||||||||||55000|0|3320|||||||0|55000|||0|</v>
      </c>
      <c r="EJ5" s="162" t="str">
        <f t="shared" ref="EJ5:EJ9" si="23">(IF(D5&gt;9,""&amp;D5,"0"&amp;D5)&amp;"|")&amp;(IF(E5&gt;9,""&amp;E5,"0"&amp;E5)&amp;"|")&amp;C5&amp;"|"&amp;F5&amp;"|"&amp;G5&amp;"|"&amp;H5&amp;"|"&amp;I5&amp;"|"&amp;"0"&amp;J5&amp;"|"&amp;K5&amp;"|"&amp;(IF(L5=0,"0|0|",IF(L5=1,"1|0|","0|1|")))&amp;(IF(OR(M5=0,M5=""),"|",IF(M5=1,"1.0000|",M5&amp;REPT("0",(6-LEN(M5)))&amp;"|")))&amp;N5&amp;"|"&amp;O5&amp;"|"&amp;IF(P5&lt;10,"0"&amp;P5&amp;"|",P5&amp;"|")&amp;Q5&amp;"|"&amp;R5&amp;"|||||||||"&amp;S5&amp;"|"&amp;T5&amp;"|"&amp;U5&amp;"|"&amp;V5&amp;"|"&amp;(IF(B5=0,"0|0|0|",IF(B5=1,"0|0|1|",IF(B5=2,"1|0|1|",IF(B5=3,"1|0|0|",IF(B5=4,"0|1|1|",IF(B5=5,"0|1|0|","1|1|1|")))))))&amp;EG5&amp;EH5&amp;EI5&amp;DS5&amp;"|"&amp;DT5&amp;"|"&amp;DU5&amp;"|"&amp;DV5&amp;"|"&amp;DW5&amp;"|"&amp;DZ5&amp;"|"&amp;EA5&amp;"|"</f>
        <v>01|05|MONA8201011A7|MONA820101MDFRVN09|MORALES|NAVARRO|ANA|01|2|1|0||2|0|13||||||||||||0|||1|0|1|0|||||0|0||||25763|12|10000|15763|5000|500|10763|500|50000||5000||||||||||||||||||||||||||||||||||||||||||||||||||||||55000|0|3320|||||||0|55000|||0|0|||0||||</v>
      </c>
      <c r="EK5" s="163">
        <f>BchSal[No. de Empleado]</f>
        <v>2</v>
      </c>
    </row>
    <row r="6" spans="1:143" s="164" customFormat="1" ht="12.75" x14ac:dyDescent="0.2">
      <c r="A6" s="145">
        <v>3</v>
      </c>
      <c r="B6" s="145">
        <v>3</v>
      </c>
      <c r="C6" s="146" t="s">
        <v>427</v>
      </c>
      <c r="D6" s="147">
        <v>1</v>
      </c>
      <c r="E6" s="147">
        <v>12</v>
      </c>
      <c r="F6" s="146" t="s">
        <v>428</v>
      </c>
      <c r="G6" s="146" t="s">
        <v>429</v>
      </c>
      <c r="H6" s="146" t="s">
        <v>430</v>
      </c>
      <c r="I6" s="146" t="s">
        <v>431</v>
      </c>
      <c r="J6" s="147">
        <v>1</v>
      </c>
      <c r="K6" s="148">
        <v>2</v>
      </c>
      <c r="L6" s="148">
        <f>1</f>
        <v>1</v>
      </c>
      <c r="M6" s="188"/>
      <c r="N6" s="149">
        <f>2</f>
        <v>2</v>
      </c>
      <c r="O6" s="150">
        <f>0</f>
        <v>0</v>
      </c>
      <c r="P6" s="147">
        <f>13</f>
        <v>13</v>
      </c>
      <c r="Q6" s="146"/>
      <c r="R6" s="146"/>
      <c r="S6" s="165"/>
      <c r="T6" s="149">
        <f>0</f>
        <v>0</v>
      </c>
      <c r="U6" s="165"/>
      <c r="V6" s="165"/>
      <c r="W6" s="152"/>
      <c r="X6" s="153">
        <f>0</f>
        <v>0</v>
      </c>
      <c r="Y6" s="154"/>
      <c r="Z6" s="154"/>
      <c r="AA6" s="154"/>
      <c r="AB6" s="155"/>
      <c r="AC6" s="156">
        <f>0</f>
        <v>0</v>
      </c>
      <c r="AD6" s="156">
        <f>0</f>
        <v>0</v>
      </c>
      <c r="AE6" s="154"/>
      <c r="AF6" s="154"/>
      <c r="AG6" s="154"/>
      <c r="AH6" s="154">
        <v>25000</v>
      </c>
      <c r="AI6" s="155">
        <v>12</v>
      </c>
      <c r="AJ6" s="154">
        <v>10000</v>
      </c>
      <c r="AK6" s="156">
        <f t="shared" si="0"/>
        <v>15000</v>
      </c>
      <c r="AL6" s="154">
        <v>5000</v>
      </c>
      <c r="AM6" s="154">
        <v>500</v>
      </c>
      <c r="AN6" s="156">
        <f t="shared" si="1"/>
        <v>10000</v>
      </c>
      <c r="AO6" s="154">
        <v>500</v>
      </c>
      <c r="AP6" s="154"/>
      <c r="AQ6" s="154"/>
      <c r="AR6" s="157">
        <f>0</f>
        <v>0</v>
      </c>
      <c r="AS6" s="154"/>
      <c r="AT6" s="154"/>
      <c r="AU6" s="154"/>
      <c r="AV6" s="154"/>
      <c r="AW6" s="154"/>
      <c r="AX6" s="159"/>
      <c r="AY6" s="154"/>
      <c r="AZ6" s="154"/>
      <c r="BA6" s="154"/>
      <c r="BB6" s="154"/>
      <c r="BC6" s="154"/>
      <c r="BD6" s="154"/>
      <c r="BE6" s="154"/>
      <c r="BF6" s="154"/>
      <c r="BG6" s="154"/>
      <c r="BH6" s="154"/>
      <c r="BI6" s="154"/>
      <c r="BJ6" s="154"/>
      <c r="BK6" s="154"/>
      <c r="BL6" s="154"/>
      <c r="BM6" s="154"/>
      <c r="BN6" s="154"/>
      <c r="BO6" s="159"/>
      <c r="BP6" s="159"/>
      <c r="BQ6" s="154"/>
      <c r="BR6" s="154"/>
      <c r="BS6" s="154"/>
      <c r="BT6" s="154"/>
      <c r="BU6" s="154"/>
      <c r="BV6" s="154"/>
      <c r="BW6" s="154"/>
      <c r="BX6" s="159"/>
      <c r="BY6" s="154"/>
      <c r="BZ6" s="154"/>
      <c r="CA6" s="154"/>
      <c r="CB6" s="154"/>
      <c r="CC6" s="154"/>
      <c r="CD6" s="154"/>
      <c r="CE6" s="154"/>
      <c r="CF6" s="154"/>
      <c r="CG6" s="154"/>
      <c r="CH6" s="154"/>
      <c r="CI6" s="154"/>
      <c r="CJ6" s="159"/>
      <c r="CK6" s="154"/>
      <c r="CL6" s="154"/>
      <c r="CM6" s="154"/>
      <c r="CN6" s="154"/>
      <c r="CO6" s="154"/>
      <c r="CP6" s="154"/>
      <c r="CQ6" s="154"/>
      <c r="CR6" s="154"/>
      <c r="CS6" s="154"/>
      <c r="CT6" s="154"/>
      <c r="CU6" s="154"/>
      <c r="CV6" s="154"/>
      <c r="CW6" s="154"/>
      <c r="CX6" s="154"/>
      <c r="CY6" s="154"/>
      <c r="CZ6" s="154"/>
      <c r="DA6" s="158">
        <f t="shared" si="2"/>
        <v>0</v>
      </c>
      <c r="DB6" s="158">
        <f>AX6+AZ6+BB6+BD6+BF6+BH6+BJ6+BL6+BN6+BP6+BR6+BT6+BV6+BX6+BZ6+CB6+CD6+CF6+CH6+CJ6+CL6+CN6+CP6+CR6+CT6+CV6+CX6+CZ6</f>
        <v>0</v>
      </c>
      <c r="DC6" s="154"/>
      <c r="DD6" s="154"/>
      <c r="DE6" s="154"/>
      <c r="DF6" s="154"/>
      <c r="DG6" s="159"/>
      <c r="DH6" s="159"/>
      <c r="DI6" s="154"/>
      <c r="DJ6" s="154">
        <f>BL6+BN6+BP6+BR6+BT6+BV6+BZ6+CB6+CD6+CF6+CH6+CJ6+CL6+CN6+CP6+CT6+CV6</f>
        <v>0</v>
      </c>
      <c r="DK6" s="160">
        <f t="shared" si="5"/>
        <v>0</v>
      </c>
      <c r="DL6" s="154"/>
      <c r="DM6" s="154"/>
      <c r="DN6" s="158">
        <f t="shared" si="6"/>
        <v>25000</v>
      </c>
      <c r="DO6" s="158">
        <f t="shared" si="7"/>
        <v>10000</v>
      </c>
      <c r="DP6" s="158">
        <f t="shared" si="8"/>
        <v>0</v>
      </c>
      <c r="DQ6" s="158">
        <f t="shared" si="9"/>
        <v>5000</v>
      </c>
      <c r="DR6" s="158">
        <f t="shared" si="10"/>
        <v>10000</v>
      </c>
      <c r="DS6" s="158">
        <f t="shared" si="11"/>
        <v>0</v>
      </c>
      <c r="DT6" s="159"/>
      <c r="DU6" s="159"/>
      <c r="DV6" s="160">
        <f t="shared" si="12"/>
        <v>0</v>
      </c>
      <c r="DW6" s="154"/>
      <c r="DX6" s="160">
        <f>DV6+DW6</f>
        <v>0</v>
      </c>
      <c r="DY6" s="158">
        <f t="shared" si="14"/>
        <v>500</v>
      </c>
      <c r="DZ6" s="154"/>
      <c r="EA6" s="154"/>
      <c r="EB6" s="158">
        <f t="shared" si="15"/>
        <v>0</v>
      </c>
      <c r="EC6" s="158">
        <f t="shared" si="16"/>
        <v>0</v>
      </c>
      <c r="ED6" s="158">
        <f t="shared" si="17"/>
        <v>0</v>
      </c>
      <c r="EE6" s="158">
        <f t="shared" si="18"/>
        <v>0</v>
      </c>
      <c r="EF6" s="161">
        <f t="shared" si="19"/>
        <v>0</v>
      </c>
      <c r="EG6" s="162" t="str">
        <f t="shared" si="20"/>
        <v>0|||||0|0||||25000|12|10000|15000|5000|500|10000|500||</v>
      </c>
      <c r="EH6" s="162" t="str">
        <f t="shared" si="21"/>
        <v/>
      </c>
      <c r="EI6" s="162" t="str">
        <f t="shared" si="22"/>
        <v/>
      </c>
      <c r="EJ6" s="162" t="str">
        <f t="shared" si="23"/>
        <v>01|12|MANO8506196M6|MANO850619HTCRRG09|MARES|NARVAEZ|OGCAR|01|2|1|0||2|0|13||||||||||||0|||1|0|0|0|||||0|0||||25000|12|10000|15000|5000|500|10000|500||0|||0||||</v>
      </c>
      <c r="EK6" s="163">
        <f>BchSal[No. de Empleado]</f>
        <v>3</v>
      </c>
    </row>
    <row r="7" spans="1:143" s="164" customFormat="1" ht="12.75" x14ac:dyDescent="0.2">
      <c r="A7" s="145">
        <v>4</v>
      </c>
      <c r="B7" s="145">
        <v>4</v>
      </c>
      <c r="C7" s="146" t="s">
        <v>432</v>
      </c>
      <c r="D7" s="147">
        <v>1</v>
      </c>
      <c r="E7" s="147">
        <v>12</v>
      </c>
      <c r="F7" s="146" t="s">
        <v>433</v>
      </c>
      <c r="G7" s="146" t="s">
        <v>434</v>
      </c>
      <c r="H7" s="146" t="s">
        <v>435</v>
      </c>
      <c r="I7" s="146" t="s">
        <v>436</v>
      </c>
      <c r="J7" s="147">
        <v>1</v>
      </c>
      <c r="K7" s="148">
        <v>2</v>
      </c>
      <c r="L7" s="148">
        <f>1</f>
        <v>1</v>
      </c>
      <c r="M7" s="188"/>
      <c r="N7" s="149">
        <f>2</f>
        <v>2</v>
      </c>
      <c r="O7" s="150" t="s">
        <v>164</v>
      </c>
      <c r="P7" s="147">
        <f>13</f>
        <v>13</v>
      </c>
      <c r="Q7" s="146"/>
      <c r="R7" s="146"/>
      <c r="S7" s="165"/>
      <c r="T7" s="149">
        <f>0</f>
        <v>0</v>
      </c>
      <c r="U7" s="165"/>
      <c r="V7" s="165"/>
      <c r="W7" s="152"/>
      <c r="X7" s="153">
        <f>0</f>
        <v>0</v>
      </c>
      <c r="Y7" s="154"/>
      <c r="Z7" s="154"/>
      <c r="AA7" s="154"/>
      <c r="AB7" s="155"/>
      <c r="AC7" s="156">
        <f>0</f>
        <v>0</v>
      </c>
      <c r="AD7" s="156">
        <f>0</f>
        <v>0</v>
      </c>
      <c r="AE7" s="154"/>
      <c r="AF7" s="154"/>
      <c r="AG7" s="154"/>
      <c r="AH7" s="154"/>
      <c r="AI7" s="155"/>
      <c r="AJ7" s="154"/>
      <c r="AK7" s="156">
        <f t="shared" si="0"/>
        <v>0</v>
      </c>
      <c r="AL7" s="154"/>
      <c r="AM7" s="154"/>
      <c r="AN7" s="156">
        <f t="shared" si="1"/>
        <v>0</v>
      </c>
      <c r="AO7" s="154"/>
      <c r="AP7" s="154">
        <v>30000</v>
      </c>
      <c r="AQ7" s="154">
        <v>4500</v>
      </c>
      <c r="AR7" s="157">
        <f>0</f>
        <v>0</v>
      </c>
      <c r="AS7" s="154"/>
      <c r="AT7" s="154"/>
      <c r="AU7" s="154"/>
      <c r="AV7" s="154"/>
      <c r="AW7" s="154">
        <v>50000</v>
      </c>
      <c r="AX7" s="159"/>
      <c r="AY7" s="154">
        <v>5000</v>
      </c>
      <c r="AZ7" s="154">
        <v>1000</v>
      </c>
      <c r="BA7" s="154"/>
      <c r="BB7" s="154"/>
      <c r="BC7" s="154"/>
      <c r="BD7" s="154"/>
      <c r="BE7" s="154"/>
      <c r="BF7" s="154"/>
      <c r="BG7" s="154"/>
      <c r="BH7" s="154"/>
      <c r="BI7" s="154"/>
      <c r="BJ7" s="154"/>
      <c r="BK7" s="154"/>
      <c r="BL7" s="154"/>
      <c r="BM7" s="154"/>
      <c r="BN7" s="154"/>
      <c r="BO7" s="159"/>
      <c r="BP7" s="159"/>
      <c r="BQ7" s="154"/>
      <c r="BR7" s="154"/>
      <c r="BS7" s="154"/>
      <c r="BT7" s="154"/>
      <c r="BU7" s="154"/>
      <c r="BV7" s="154"/>
      <c r="BW7" s="154"/>
      <c r="BX7" s="159"/>
      <c r="BY7" s="154"/>
      <c r="BZ7" s="154"/>
      <c r="CA7" s="154"/>
      <c r="CB7" s="154"/>
      <c r="CC7" s="154"/>
      <c r="CD7" s="154"/>
      <c r="CE7" s="154"/>
      <c r="CF7" s="154"/>
      <c r="CG7" s="154"/>
      <c r="CH7" s="154"/>
      <c r="CI7" s="154"/>
      <c r="CJ7" s="159"/>
      <c r="CK7" s="154"/>
      <c r="CL7" s="154"/>
      <c r="CM7" s="154"/>
      <c r="CN7" s="154"/>
      <c r="CO7" s="154"/>
      <c r="CP7" s="154"/>
      <c r="CQ7" s="154"/>
      <c r="CR7" s="154"/>
      <c r="CS7" s="154"/>
      <c r="CT7" s="154"/>
      <c r="CU7" s="154"/>
      <c r="CV7" s="154"/>
      <c r="CW7" s="154"/>
      <c r="CX7" s="154"/>
      <c r="CY7" s="154"/>
      <c r="CZ7" s="154"/>
      <c r="DA7" s="158">
        <f t="shared" si="2"/>
        <v>55000</v>
      </c>
      <c r="DB7" s="158">
        <f>AX7+AZ7+BB7+BD7+BF7+BH7+BJ7+BL7+BN7+BP7+BR7+BT7+BV7+BX7+BZ7+CB7+CD7+CF7+CH7+CJ7+CL7+CN7+CP7+CR7+CT7+CV7+CX7+CZ7</f>
        <v>1000</v>
      </c>
      <c r="DC7" s="154">
        <v>3320</v>
      </c>
      <c r="DD7" s="154"/>
      <c r="DE7" s="154"/>
      <c r="DF7" s="154"/>
      <c r="DG7" s="159"/>
      <c r="DH7" s="159"/>
      <c r="DI7" s="154"/>
      <c r="DJ7" s="154">
        <f>BL7+BN7+BP7+BR7+BT7+BV7+BZ7+CB7+CD7+CF7+CH7+CJ7+CL7+CN7+CP7+CT7+CV7</f>
        <v>0</v>
      </c>
      <c r="DK7" s="160">
        <f t="shared" si="5"/>
        <v>56000</v>
      </c>
      <c r="DL7" s="154"/>
      <c r="DM7" s="154"/>
      <c r="DN7" s="158">
        <f t="shared" si="6"/>
        <v>86000</v>
      </c>
      <c r="DO7" s="158">
        <f t="shared" si="7"/>
        <v>1000</v>
      </c>
      <c r="DP7" s="158">
        <f t="shared" si="8"/>
        <v>0</v>
      </c>
      <c r="DQ7" s="158">
        <f t="shared" si="9"/>
        <v>85000</v>
      </c>
      <c r="DR7" s="158">
        <f t="shared" si="10"/>
        <v>0</v>
      </c>
      <c r="DS7" s="158">
        <f t="shared" si="11"/>
        <v>0</v>
      </c>
      <c r="DT7" s="159"/>
      <c r="DU7" s="159"/>
      <c r="DV7" s="160">
        <f t="shared" si="12"/>
        <v>0</v>
      </c>
      <c r="DW7" s="154"/>
      <c r="DX7" s="160">
        <f>DV7+DW7</f>
        <v>0</v>
      </c>
      <c r="DY7" s="158">
        <f t="shared" si="14"/>
        <v>7820</v>
      </c>
      <c r="DZ7" s="154"/>
      <c r="EA7" s="154"/>
      <c r="EB7" s="158">
        <f t="shared" si="15"/>
        <v>0</v>
      </c>
      <c r="EC7" s="158">
        <f t="shared" si="16"/>
        <v>0</v>
      </c>
      <c r="ED7" s="158">
        <f t="shared" si="17"/>
        <v>0</v>
      </c>
      <c r="EE7" s="158">
        <f t="shared" si="18"/>
        <v>0</v>
      </c>
      <c r="EF7" s="161">
        <f t="shared" si="19"/>
        <v>0</v>
      </c>
      <c r="EG7" s="162" t="str">
        <f t="shared" si="20"/>
        <v/>
      </c>
      <c r="EH7" s="162" t="str">
        <f t="shared" si="21"/>
        <v>30000|4500|0|||||</v>
      </c>
      <c r="EI7" s="162" t="str">
        <f t="shared" si="22"/>
        <v>50000||5000|1000|||||||||||||||||||||||||||||||||||||||||||||||||||||55000|1000|3320|||||||0|56000|||0|</v>
      </c>
      <c r="EJ7" s="162" t="str">
        <f t="shared" si="23"/>
        <v>01|12|MANA7007215QA|MANA700721MYNRNL08|MARQUEZ|NONES|ALMA|01|2|1|0||2|B|13||||||||||||0|||0|1|1|30000|4500|0|||||50000||5000|1000|||||||||||||||||||||||||||||||||||||||||||||||||||||55000|1000|3320|||||||0|56000|||0|0|||0||||</v>
      </c>
      <c r="EK7" s="163">
        <f>BchSal[No. de Empleado]</f>
        <v>4</v>
      </c>
    </row>
    <row r="8" spans="1:143" s="164" customFormat="1" ht="12.75" x14ac:dyDescent="0.2">
      <c r="A8" s="145">
        <v>5</v>
      </c>
      <c r="B8" s="145">
        <v>5</v>
      </c>
      <c r="C8" s="146" t="s">
        <v>203</v>
      </c>
      <c r="D8" s="147">
        <v>1</v>
      </c>
      <c r="E8" s="147">
        <v>12</v>
      </c>
      <c r="F8" s="146" t="s">
        <v>204</v>
      </c>
      <c r="G8" s="146" t="s">
        <v>205</v>
      </c>
      <c r="H8" s="146" t="s">
        <v>206</v>
      </c>
      <c r="I8" s="146" t="s">
        <v>207</v>
      </c>
      <c r="J8" s="147">
        <v>1</v>
      </c>
      <c r="K8" s="148">
        <f>1</f>
        <v>1</v>
      </c>
      <c r="L8" s="148">
        <f>1</f>
        <v>1</v>
      </c>
      <c r="M8" s="188"/>
      <c r="N8" s="149">
        <f>2</f>
        <v>2</v>
      </c>
      <c r="O8" s="150" t="s">
        <v>164</v>
      </c>
      <c r="P8" s="147">
        <f>13</f>
        <v>13</v>
      </c>
      <c r="Q8" s="146"/>
      <c r="R8" s="146"/>
      <c r="S8" s="165"/>
      <c r="T8" s="149">
        <f>0</f>
        <v>0</v>
      </c>
      <c r="U8" s="165"/>
      <c r="V8" s="165"/>
      <c r="W8" s="152"/>
      <c r="X8" s="153">
        <f>0</f>
        <v>0</v>
      </c>
      <c r="Y8" s="154"/>
      <c r="Z8" s="154"/>
      <c r="AA8" s="154"/>
      <c r="AB8" s="155"/>
      <c r="AC8" s="156">
        <f>0</f>
        <v>0</v>
      </c>
      <c r="AD8" s="156">
        <f>0</f>
        <v>0</v>
      </c>
      <c r="AE8" s="154"/>
      <c r="AF8" s="154"/>
      <c r="AG8" s="154"/>
      <c r="AH8" s="154"/>
      <c r="AI8" s="155"/>
      <c r="AJ8" s="154"/>
      <c r="AK8" s="156">
        <f t="shared" si="0"/>
        <v>0</v>
      </c>
      <c r="AL8" s="154"/>
      <c r="AM8" s="154"/>
      <c r="AN8" s="156">
        <f t="shared" si="1"/>
        <v>0</v>
      </c>
      <c r="AO8" s="154"/>
      <c r="AP8" s="154">
        <v>30000</v>
      </c>
      <c r="AQ8" s="154">
        <v>4500</v>
      </c>
      <c r="AR8" s="157">
        <f>0</f>
        <v>0</v>
      </c>
      <c r="AS8" s="154"/>
      <c r="AT8" s="154"/>
      <c r="AU8" s="154"/>
      <c r="AV8" s="154"/>
      <c r="AW8" s="154"/>
      <c r="AX8" s="159"/>
      <c r="AY8" s="154"/>
      <c r="AZ8" s="154"/>
      <c r="BA8" s="154"/>
      <c r="BB8" s="154"/>
      <c r="BC8" s="154"/>
      <c r="BD8" s="154"/>
      <c r="BE8" s="154"/>
      <c r="BF8" s="154"/>
      <c r="BG8" s="154"/>
      <c r="BH8" s="154"/>
      <c r="BI8" s="154"/>
      <c r="BJ8" s="154"/>
      <c r="BK8" s="154"/>
      <c r="BL8" s="154"/>
      <c r="BM8" s="154"/>
      <c r="BN8" s="154"/>
      <c r="BO8" s="159"/>
      <c r="BP8" s="159"/>
      <c r="BQ8" s="154"/>
      <c r="BR8" s="154"/>
      <c r="BS8" s="154"/>
      <c r="BT8" s="154"/>
      <c r="BU8" s="154"/>
      <c r="BV8" s="154"/>
      <c r="BW8" s="154"/>
      <c r="BX8" s="159"/>
      <c r="BY8" s="154"/>
      <c r="BZ8" s="154"/>
      <c r="CA8" s="154"/>
      <c r="CB8" s="154"/>
      <c r="CC8" s="154"/>
      <c r="CD8" s="154"/>
      <c r="CE8" s="154"/>
      <c r="CF8" s="154"/>
      <c r="CG8" s="154"/>
      <c r="CH8" s="154"/>
      <c r="CI8" s="154"/>
      <c r="CJ8" s="159"/>
      <c r="CK8" s="154"/>
      <c r="CL8" s="154"/>
      <c r="CM8" s="154"/>
      <c r="CN8" s="154"/>
      <c r="CO8" s="154"/>
      <c r="CP8" s="154"/>
      <c r="CQ8" s="154"/>
      <c r="CR8" s="154"/>
      <c r="CS8" s="154"/>
      <c r="CT8" s="154"/>
      <c r="CU8" s="154"/>
      <c r="CV8" s="154"/>
      <c r="CW8" s="154"/>
      <c r="CX8" s="154"/>
      <c r="CY8" s="154"/>
      <c r="CZ8" s="154"/>
      <c r="DA8" s="158">
        <f t="shared" si="2"/>
        <v>0</v>
      </c>
      <c r="DB8" s="158">
        <f>AX8+AZ8+BB8+BD8+BF8+BH8+BJ8+BL8+BN8+BP8+BR8+BT8+BV8+BX8+BZ8+CB8+CD8+CF8+CH8+CJ8+CL8+CN8+CP8+CR8+CT8+CV8+CX8+CZ8</f>
        <v>0</v>
      </c>
      <c r="DC8" s="154"/>
      <c r="DD8" s="154"/>
      <c r="DE8" s="154"/>
      <c r="DF8" s="154"/>
      <c r="DG8" s="159"/>
      <c r="DH8" s="159"/>
      <c r="DI8" s="154"/>
      <c r="DJ8" s="154">
        <f>BL8+BN8+BP8+BR8+BT8+BV8+BZ8+CB8+CD8+CF8+CH8+CJ8+CL8+CN8+CP8+CT8+CV8</f>
        <v>0</v>
      </c>
      <c r="DK8" s="160">
        <f t="shared" si="5"/>
        <v>0</v>
      </c>
      <c r="DL8" s="154"/>
      <c r="DM8" s="154"/>
      <c r="DN8" s="158">
        <f t="shared" si="6"/>
        <v>30000</v>
      </c>
      <c r="DO8" s="158">
        <f t="shared" si="7"/>
        <v>0</v>
      </c>
      <c r="DP8" s="158">
        <f t="shared" si="8"/>
        <v>0</v>
      </c>
      <c r="DQ8" s="158">
        <f t="shared" si="9"/>
        <v>30000</v>
      </c>
      <c r="DR8" s="158">
        <f t="shared" si="10"/>
        <v>0</v>
      </c>
      <c r="DS8" s="158">
        <f t="shared" si="11"/>
        <v>1653</v>
      </c>
      <c r="DT8" s="159"/>
      <c r="DU8" s="159"/>
      <c r="DV8" s="160">
        <f t="shared" si="12"/>
        <v>1653</v>
      </c>
      <c r="DW8" s="154"/>
      <c r="DX8" s="160">
        <f>DV8+DW8</f>
        <v>1653</v>
      </c>
      <c r="DY8" s="158">
        <f t="shared" si="14"/>
        <v>4500</v>
      </c>
      <c r="DZ8" s="154"/>
      <c r="EA8" s="154"/>
      <c r="EB8" s="158">
        <f t="shared" si="15"/>
        <v>1653</v>
      </c>
      <c r="EC8" s="158">
        <f t="shared" si="16"/>
        <v>0</v>
      </c>
      <c r="ED8" s="158">
        <f t="shared" si="17"/>
        <v>1653</v>
      </c>
      <c r="EE8" s="158">
        <f t="shared" si="18"/>
        <v>4500</v>
      </c>
      <c r="EF8" s="161">
        <f t="shared" si="19"/>
        <v>-2847</v>
      </c>
      <c r="EG8" s="162" t="str">
        <f t="shared" si="20"/>
        <v/>
      </c>
      <c r="EH8" s="162" t="str">
        <f t="shared" si="21"/>
        <v>30000|4500|0||||||</v>
      </c>
      <c r="EI8" s="162" t="str">
        <f t="shared" si="22"/>
        <v/>
      </c>
      <c r="EJ8" s="162" t="str">
        <f t="shared" si="23"/>
        <v>01|12|VACA8006158C8|VACA800615MASRRN08|VARGAS|CERON|ANA|01|1|1|0||2|B|13||||||||||||0|||0|1|0|30000|4500|0||||||1653|||1653||||</v>
      </c>
      <c r="EK8" s="163">
        <f>BchSal[No. de Empleado]</f>
        <v>5</v>
      </c>
    </row>
    <row r="9" spans="1:143" s="164" customFormat="1" ht="12.75" x14ac:dyDescent="0.2">
      <c r="A9" s="145">
        <v>6</v>
      </c>
      <c r="B9" s="145">
        <v>6</v>
      </c>
      <c r="C9" s="146" t="s">
        <v>223</v>
      </c>
      <c r="D9" s="147">
        <v>1</v>
      </c>
      <c r="E9" s="147">
        <v>5</v>
      </c>
      <c r="F9" s="146" t="s">
        <v>224</v>
      </c>
      <c r="G9" s="146" t="s">
        <v>225</v>
      </c>
      <c r="H9" s="146" t="s">
        <v>226</v>
      </c>
      <c r="I9" s="146" t="s">
        <v>227</v>
      </c>
      <c r="J9" s="147">
        <v>1</v>
      </c>
      <c r="K9" s="148">
        <v>2</v>
      </c>
      <c r="L9" s="148">
        <f>1</f>
        <v>1</v>
      </c>
      <c r="M9" s="188"/>
      <c r="N9" s="149">
        <f>2</f>
        <v>2</v>
      </c>
      <c r="O9" s="150" t="s">
        <v>164</v>
      </c>
      <c r="P9" s="147">
        <f>13</f>
        <v>13</v>
      </c>
      <c r="Q9" s="146"/>
      <c r="R9" s="146"/>
      <c r="S9" s="165"/>
      <c r="T9" s="149">
        <f>0</f>
        <v>0</v>
      </c>
      <c r="U9" s="165"/>
      <c r="V9" s="165"/>
      <c r="W9" s="152"/>
      <c r="X9" s="153">
        <f>0</f>
        <v>0</v>
      </c>
      <c r="Y9" s="154"/>
      <c r="Z9" s="154"/>
      <c r="AA9" s="154"/>
      <c r="AB9" s="155"/>
      <c r="AC9" s="156">
        <f>0</f>
        <v>0</v>
      </c>
      <c r="AD9" s="156">
        <f>0</f>
        <v>0</v>
      </c>
      <c r="AE9" s="154"/>
      <c r="AF9" s="154"/>
      <c r="AG9" s="154"/>
      <c r="AH9" s="154">
        <v>25000</v>
      </c>
      <c r="AI9" s="155">
        <v>12</v>
      </c>
      <c r="AJ9" s="154">
        <v>10000</v>
      </c>
      <c r="AK9" s="156">
        <f t="shared" si="0"/>
        <v>15000</v>
      </c>
      <c r="AL9" s="154">
        <v>5000</v>
      </c>
      <c r="AM9" s="154">
        <v>500</v>
      </c>
      <c r="AN9" s="156">
        <f t="shared" si="1"/>
        <v>10000</v>
      </c>
      <c r="AO9" s="154"/>
      <c r="AP9" s="154">
        <v>30000</v>
      </c>
      <c r="AQ9" s="154">
        <v>4500</v>
      </c>
      <c r="AR9" s="157">
        <f>0</f>
        <v>0</v>
      </c>
      <c r="AS9" s="154"/>
      <c r="AT9" s="154"/>
      <c r="AU9" s="154"/>
      <c r="AV9" s="154"/>
      <c r="AW9" s="154">
        <v>50000</v>
      </c>
      <c r="AX9" s="159"/>
      <c r="AY9" s="154">
        <v>5000</v>
      </c>
      <c r="AZ9" s="154">
        <v>1000</v>
      </c>
      <c r="BA9" s="154"/>
      <c r="BB9" s="154">
        <v>500</v>
      </c>
      <c r="BC9" s="154"/>
      <c r="BD9" s="154"/>
      <c r="BE9" s="154"/>
      <c r="BF9" s="154"/>
      <c r="BG9" s="154"/>
      <c r="BH9" s="154"/>
      <c r="BI9" s="154"/>
      <c r="BJ9" s="154"/>
      <c r="BK9" s="154"/>
      <c r="BL9" s="154"/>
      <c r="BM9" s="154"/>
      <c r="BN9" s="154"/>
      <c r="BO9" s="159"/>
      <c r="BP9" s="159"/>
      <c r="BQ9" s="154"/>
      <c r="BR9" s="154"/>
      <c r="BS9" s="154"/>
      <c r="BT9" s="154"/>
      <c r="BU9" s="154"/>
      <c r="BV9" s="154"/>
      <c r="BW9" s="154"/>
      <c r="BX9" s="159"/>
      <c r="BY9" s="154"/>
      <c r="BZ9" s="154"/>
      <c r="CA9" s="154"/>
      <c r="CB9" s="154"/>
      <c r="CC9" s="154"/>
      <c r="CD9" s="154"/>
      <c r="CE9" s="154"/>
      <c r="CF9" s="154"/>
      <c r="CG9" s="154"/>
      <c r="CH9" s="154"/>
      <c r="CI9" s="154"/>
      <c r="CJ9" s="159"/>
      <c r="CK9" s="154"/>
      <c r="CL9" s="154"/>
      <c r="CM9" s="154"/>
      <c r="CN9" s="154"/>
      <c r="CO9" s="154"/>
      <c r="CP9" s="154"/>
      <c r="CQ9" s="154"/>
      <c r="CR9" s="154"/>
      <c r="CS9" s="154"/>
      <c r="CT9" s="154"/>
      <c r="CU9" s="154"/>
      <c r="CV9" s="154"/>
      <c r="CW9" s="154"/>
      <c r="CX9" s="154"/>
      <c r="CY9" s="154"/>
      <c r="CZ9" s="154"/>
      <c r="DA9" s="158">
        <f t="shared" si="2"/>
        <v>55000</v>
      </c>
      <c r="DB9" s="158">
        <f>AX9+AZ9+BB9+BD9+BF9+BH9+BJ9+BL9+BN9+BP9+BR9+BT9+BV9+BX9+BZ9+CB9+CD9+CF9+CH9+CJ9+CL9+CN9+CP9+CR9+CT9+CV9+CX9+CZ9</f>
        <v>1500</v>
      </c>
      <c r="DC9" s="154">
        <v>3320</v>
      </c>
      <c r="DD9" s="154"/>
      <c r="DE9" s="154"/>
      <c r="DF9" s="154"/>
      <c r="DG9" s="159"/>
      <c r="DH9" s="159"/>
      <c r="DI9" s="154"/>
      <c r="DJ9" s="154">
        <f>BL9+BN9+BP9+BR9+BT9+BV9+BZ9+CB9+CD9+CF9+CH9+CJ9+CL9+CN9+CP9+CT9+CV9</f>
        <v>0</v>
      </c>
      <c r="DK9" s="160">
        <f t="shared" si="5"/>
        <v>56500</v>
      </c>
      <c r="DL9" s="154"/>
      <c r="DM9" s="154"/>
      <c r="DN9" s="158">
        <f t="shared" si="6"/>
        <v>111500</v>
      </c>
      <c r="DO9" s="158">
        <f t="shared" si="7"/>
        <v>11500</v>
      </c>
      <c r="DP9" s="158">
        <f t="shared" si="8"/>
        <v>0</v>
      </c>
      <c r="DQ9" s="158">
        <f t="shared" si="9"/>
        <v>90000</v>
      </c>
      <c r="DR9" s="158">
        <f t="shared" si="10"/>
        <v>10000</v>
      </c>
      <c r="DS9" s="158">
        <f t="shared" si="11"/>
        <v>0</v>
      </c>
      <c r="DT9" s="159"/>
      <c r="DU9" s="159"/>
      <c r="DV9" s="160">
        <f t="shared" si="12"/>
        <v>0</v>
      </c>
      <c r="DW9" s="154"/>
      <c r="DX9" s="160">
        <f>DV9+DW9</f>
        <v>0</v>
      </c>
      <c r="DY9" s="158">
        <f t="shared" si="14"/>
        <v>7820</v>
      </c>
      <c r="DZ9" s="154"/>
      <c r="EA9" s="154"/>
      <c r="EB9" s="158">
        <f t="shared" si="15"/>
        <v>0</v>
      </c>
      <c r="EC9" s="158">
        <f t="shared" si="16"/>
        <v>0</v>
      </c>
      <c r="ED9" s="158">
        <f t="shared" si="17"/>
        <v>0</v>
      </c>
      <c r="EE9" s="158">
        <f t="shared" si="18"/>
        <v>0</v>
      </c>
      <c r="EF9" s="161">
        <f t="shared" si="19"/>
        <v>0</v>
      </c>
      <c r="EG9" s="162" t="str">
        <f t="shared" si="20"/>
        <v>0|||||0|0||||25000|12|10000|15000|5000|500|10000||</v>
      </c>
      <c r="EH9" s="162" t="str">
        <f t="shared" si="21"/>
        <v>30000|4500|0|||||</v>
      </c>
      <c r="EI9" s="162" t="str">
        <f t="shared" si="22"/>
        <v>50000||5000|1000||500|||||||||||||||||||||||||||||||||||||||||||||||||||55000|1500|3320|||||||0|56500|||0|</v>
      </c>
      <c r="EJ9" s="162" t="str">
        <f t="shared" si="23"/>
        <v>01|05|BETA800615DQ1|BETA800615HCHLRR08|BELTRAN|TORRES|ARTUDITO|01|2|1|0||2|B|13||||||||||||0|||1|1|1|0|||||0|0||||25000|12|10000|15000|5000|500|10000||30000|4500|0|||||50000||5000|1000||500|||||||||||||||||||||||||||||||||||||||||||||||||||55000|1500|3320|||||||0|56500|||0|0|||0||||</v>
      </c>
      <c r="EK9" s="163">
        <f>BchSal[No. de Empleado]</f>
        <v>6</v>
      </c>
    </row>
    <row r="10" spans="1:143" s="164" customFormat="1" ht="12.75" x14ac:dyDescent="0.2">
      <c r="A10" s="166" t="s">
        <v>220</v>
      </c>
      <c r="B10" s="166">
        <f>SUBTOTAL(103,BchSal[Tipo de Operación a Registrar])</f>
        <v>6</v>
      </c>
      <c r="C10" s="167"/>
      <c r="D10" s="166"/>
      <c r="E10" s="166"/>
      <c r="F10" s="167"/>
      <c r="G10" s="167"/>
      <c r="H10" s="167"/>
      <c r="I10" s="167"/>
      <c r="J10" s="166"/>
      <c r="K10" s="166"/>
      <c r="L10" s="166"/>
      <c r="M10" s="166"/>
      <c r="N10" s="166"/>
      <c r="O10" s="166"/>
      <c r="P10" s="166"/>
      <c r="Q10" s="167"/>
      <c r="R10" s="167"/>
      <c r="S10" s="168">
        <f>SUBTOTAL(109,BchSal[Monto de las Aportaciones Voluntarias Efectuadas])</f>
        <v>0</v>
      </c>
      <c r="T10" s="166"/>
      <c r="U10" s="168">
        <f>SUBTOTAL(109,BchSal[Monto de las Aport. voluntarias deducibles para Trab. que realizarán su Decl.])</f>
        <v>0</v>
      </c>
      <c r="V10" s="168">
        <f>SUBTOTAL(109,BchSal[Monto de las aportaciones voluntarias deducibles aplicadas por el patrón])</f>
        <v>0</v>
      </c>
      <c r="W10" s="167"/>
      <c r="X10" s="169">
        <f>SUBTOTAL(109,BchSal[Ingresos totales por pago en parcialidades])</f>
        <v>0</v>
      </c>
      <c r="Y10" s="170">
        <f>SUBTOTAL(109,BchSal[Monto diario Perc por Jub, Pens o Hab de retiro en Parc])</f>
        <v>0</v>
      </c>
      <c r="Z10" s="170">
        <f>SUBTOTAL(109,BchSal[Cant que Hub. Rec de no ser por pagos por Sep, Jub o Pens])</f>
        <v>0</v>
      </c>
      <c r="AA10" s="170">
        <f>SUBTOTAL(109,BchSal[Monto pagado en una exhibición])</f>
        <v>0</v>
      </c>
      <c r="AB10" s="171">
        <f>SUBTOTAL(109,BchSal[Número de días])</f>
        <v>0</v>
      </c>
      <c r="AC10" s="170">
        <f>SUBTOTAL(109,BchSal[Ingresos exentos por Separación])</f>
        <v>0</v>
      </c>
      <c r="AD10" s="170">
        <f>SUBTOTAL(109,BchSal[Ingresos gravables])</f>
        <v>0</v>
      </c>
      <c r="AE10" s="170">
        <f>SUBTOTAL(109,BchSal[Ingresos acumulables])</f>
        <v>0</v>
      </c>
      <c r="AF10" s="170">
        <f>SUBTOTAL(109,BchSal[Ingresos no acumulables])</f>
        <v>0</v>
      </c>
      <c r="AG10" s="170">
        <f>SUBTOTAL(109,BchSal[Impuesto retenido por Separación])</f>
        <v>0</v>
      </c>
      <c r="AH10" s="170">
        <f>SUBTOTAL(109,BchSal[Monto total pagado de otros pagos por separación])</f>
        <v>75763</v>
      </c>
      <c r="AI10" s="171">
        <f>SUBTOTAL(109,BchSal[Número de años de servicio del trabajador])</f>
        <v>36</v>
      </c>
      <c r="AJ10" s="170">
        <f>SUBTOTAL(109,BchSal[Ingresos exentos otros pagos por separación])</f>
        <v>30000</v>
      </c>
      <c r="AK10" s="170">
        <f>SUBTOTAL(109,BchSal[Ingresos gravados otros pagos por separación])</f>
        <v>45763</v>
      </c>
      <c r="AL10" s="170">
        <f>SUBTOTAL(109,BchSal[Ingresos acumulables (último Sue Men Ord)])</f>
        <v>15000</v>
      </c>
      <c r="AM10" s="170">
        <f>SUBTOTAL(109,BchSal[Impuesto Corresp al último sueldo mensual Ord])</f>
        <v>1500</v>
      </c>
      <c r="AN10" s="170">
        <f>SUBTOTAL(109,BchSal[Ingresos no acumulables otros pagos por separación])</f>
        <v>30763</v>
      </c>
      <c r="AO10" s="170">
        <f>SUBTOTAL(109,BchSal[Impuesto retenido otros pagos por separación])</f>
        <v>1000</v>
      </c>
      <c r="AP10" s="170">
        <f>SUBTOTAL(109,BchSal[Ingresos asimilados a salarios])</f>
        <v>90000</v>
      </c>
      <c r="AQ10" s="170">
        <f>SUBTOTAL(109,BchSal[[Impuesto retenido por pagos a asimilables ]])</f>
        <v>13500</v>
      </c>
      <c r="AR10" s="172"/>
      <c r="AS10" s="170">
        <f>SUBTOTAL(109,BchSal[Valor de mercado de las acciones o títulos valor al ejercer la opción])</f>
        <v>0</v>
      </c>
      <c r="AT10" s="170">
        <f>SUBTOTAL(109,BchSal[Precio establecido al otorgarse la opción de Ing en Opc o Tít valor])</f>
        <v>0</v>
      </c>
      <c r="AU10" s="170">
        <f>SUBTOTAL(109,BchSal[Ingreso acumulable Asimilables por pagos en acciones])</f>
        <v>0</v>
      </c>
      <c r="AV10" s="170">
        <f>SUBTOTAL(109,BchSal[Impuesto retenido por pagos a asimilables por acciones])</f>
        <v>0</v>
      </c>
      <c r="AW10" s="170">
        <f>SUBTOTAL(109,BchSal[Sueldos gravados])</f>
        <v>200000</v>
      </c>
      <c r="AX10" s="170">
        <f>SUBTOTAL(109,BchSal[Sueldos exentos])</f>
        <v>0</v>
      </c>
      <c r="AY10" s="170">
        <f>SUBTOTAL(109,BchSal[Gratificación anual   gravada])</f>
        <v>20000</v>
      </c>
      <c r="AZ10" s="170">
        <f>SUBTOTAL(109,BchSal[Gratificación anual   exenta])</f>
        <v>3000</v>
      </c>
      <c r="BA10" s="170">
        <f>SUBTOTAL(109,BchSal[Viáticos gravados])</f>
        <v>0</v>
      </c>
      <c r="BB10" s="170">
        <f>SUBTOTAL(109,BchSal[Viáticos exentos])</f>
        <v>1000</v>
      </c>
      <c r="BC10" s="170">
        <f>SUBTOTAL(109,BchSal[Tiempo extra gravado])</f>
        <v>0</v>
      </c>
      <c r="BD10" s="170">
        <f>SUBTOTAL(109,BchSal[Tiempo extra exento])</f>
        <v>0</v>
      </c>
      <c r="BE10" s="170">
        <f>SUBTOTAL(109,BchSal[Prima vacacional gravada])</f>
        <v>0</v>
      </c>
      <c r="BF10" s="170">
        <f>SUBTOTAL(109,BchSal[Prima vacacional exenta])</f>
        <v>0</v>
      </c>
      <c r="BG10" s="170">
        <f>SUBTOTAL(109,BchSal[Prima dominical gravada])</f>
        <v>0</v>
      </c>
      <c r="BH10" s="170">
        <f>SUBTOTAL(109,BchSal[Prima dominical exenta])</f>
        <v>0</v>
      </c>
      <c r="BI10" s="170">
        <f>SUBTOTAL(109,BchSal[PTU     gravada])</f>
        <v>0</v>
      </c>
      <c r="BJ10" s="170">
        <f>SUBTOTAL(109,BchSal[PTU       exenta])</f>
        <v>0</v>
      </c>
      <c r="BK10" s="170">
        <f>SUBTOTAL(109,BchSal[[Reembolso gastos médicos gravados ]])</f>
        <v>0</v>
      </c>
      <c r="BL10" s="170">
        <f>SUBTOTAL(109,BchSal[[Reembolso gastos médicos exentos ]])</f>
        <v>0</v>
      </c>
      <c r="BM10" s="170">
        <f>SUBTOTAL(109,BchSal[[Fondo de ahorro gravado  ]])</f>
        <v>0</v>
      </c>
      <c r="BN10" s="170">
        <f>SUBTOTAL(109,BchSal[[Fondo de ahorro exento  ]])</f>
        <v>0</v>
      </c>
      <c r="BO10" s="170">
        <f>SUBTOTAL(109,BchSal[[Caja de ahorro gravada  ]])</f>
        <v>0</v>
      </c>
      <c r="BP10" s="170">
        <f>SUBTOTAL(109,BchSal[[Caja de ahorro exenta  ]])</f>
        <v>0</v>
      </c>
      <c r="BQ10" s="170">
        <f>SUBTOTAL(109,BchSal[[Vales de despensa gravados  ]])</f>
        <v>0</v>
      </c>
      <c r="BR10" s="170">
        <f>SUBTOTAL(109,BchSal[[Vales de despensa exentos  ]])</f>
        <v>0</v>
      </c>
      <c r="BS10" s="170">
        <f>SUBTOTAL(109,BchSal[[Ayuda gastos funeral gravada  ]])</f>
        <v>0</v>
      </c>
      <c r="BT10" s="170">
        <f>SUBTOTAL(109,BchSal[[Ayuda gastos funeral exenta  ]])</f>
        <v>0</v>
      </c>
      <c r="BU10" s="170">
        <f>SUBTOTAL(109,BchSal[[Contribuciones pagadas por el patrón gravadas  ]])</f>
        <v>0</v>
      </c>
      <c r="BV10" s="170">
        <f>SUBTOTAL(109,BchSal[[Contribuciones pagadas por el patrón exentas  ]])</f>
        <v>0</v>
      </c>
      <c r="BW10" s="170">
        <f>SUBTOTAL(109,BchSal[Premios por puntualidad gravados])</f>
        <v>0</v>
      </c>
      <c r="BX10" s="170">
        <f>SUBTOTAL(109,BchSal[Premios por puntualidad exentos])</f>
        <v>0</v>
      </c>
      <c r="BY10" s="170">
        <f>SUBTOTAL(109,BchSal[[Prima seguro de vida gravada  ]])</f>
        <v>0</v>
      </c>
      <c r="BZ10" s="170">
        <f>SUBTOTAL(109,BchSal[[Prima seguro de vida exenta  ]])</f>
        <v>0</v>
      </c>
      <c r="CA10" s="170">
        <f>SUBTOTAL(109,BchSal[[Gastos médicos mayores gravados  ]])</f>
        <v>0</v>
      </c>
      <c r="CB10" s="170">
        <f>SUBTOTAL(109,BchSal[[Gastos médicos mayores exentos  ]])</f>
        <v>0</v>
      </c>
      <c r="CC10" s="170">
        <f>SUBTOTAL(109,BchSal[[Vales para restaurante gravados  ]])</f>
        <v>0</v>
      </c>
      <c r="CD10" s="170">
        <f>SUBTOTAL(109,BchSal[[Vales para restaurante exentos ]])</f>
        <v>0</v>
      </c>
      <c r="CE10" s="170">
        <f>SUBTOTAL(109,BchSal[[Vales para gasolina gravados  ]])</f>
        <v>0</v>
      </c>
      <c r="CF10" s="170">
        <f>SUBTOTAL(109,BchSal[[Vales para gasolina exentos  ]])</f>
        <v>0</v>
      </c>
      <c r="CG10" s="170">
        <f>SUBTOTAL(109,BchSal[[Vales para ropa gravados  ]])</f>
        <v>0</v>
      </c>
      <c r="CH10" s="170">
        <f>SUBTOTAL(109,BchSal[[Vales para ropa    exentos  ]])</f>
        <v>0</v>
      </c>
      <c r="CI10" s="170">
        <f>SUBTOTAL(109,BchSal[[Ayuda para renta   gravada  ]])</f>
        <v>0</v>
      </c>
      <c r="CJ10" s="170">
        <f>SUBTOTAL(109,BchSal[[Ayuda para renta exenta ]])</f>
        <v>0</v>
      </c>
      <c r="CK10" s="170">
        <f>SUBTOTAL(109,BchSal[[Ayuda para útiles escolares gravada  ]])</f>
        <v>0</v>
      </c>
      <c r="CL10" s="170">
        <f>SUBTOTAL(109,BchSal[[Ayuda para útiles escolares exenta  ]])</f>
        <v>0</v>
      </c>
      <c r="CM10" s="170">
        <f>SUBTOTAL(109,BchSal[[Ayuda para lentes gravada  ]])</f>
        <v>0</v>
      </c>
      <c r="CN10" s="170">
        <f>SUBTOTAL(109,BchSal[[Ayuda para lentes   exenta  ]])</f>
        <v>0</v>
      </c>
      <c r="CO10" s="170">
        <f>SUBTOTAL(109,BchSal[[Ayuda para transporte gravada ]])</f>
        <v>0</v>
      </c>
      <c r="CP10" s="170">
        <f>SUBTOTAL(109,BchSal[[Ayuda para transporte exenta ]])</f>
        <v>0</v>
      </c>
      <c r="CQ10" s="170">
        <f>SUBTOTAL(109,BchSal[Cuotas sindicales gravadas])</f>
        <v>0</v>
      </c>
      <c r="CR10" s="170">
        <f>SUBTOTAL(109,BchSal[Cuotas sindicales exentas])</f>
        <v>0</v>
      </c>
      <c r="CS10" s="170">
        <f>SUBTOTAL(109,BchSal[[Subsidios por incapacidad gravados  ]])</f>
        <v>0</v>
      </c>
      <c r="CT10" s="170">
        <f>SUBTOTAL(109,BchSal[[Subsidios por incapacidad exentos  ]])</f>
        <v>0</v>
      </c>
      <c r="CU10" s="170">
        <f>SUBTOTAL(109,BchSal[[Becas para trabajador o hijos gravadas  ]])</f>
        <v>0</v>
      </c>
      <c r="CV10" s="170">
        <f>SUBTOTAL(109,BchSal[[Becas para trabajador o hijos   exentas  ]])</f>
        <v>0</v>
      </c>
      <c r="CW10" s="170">
        <f>SUBTOTAL(109,BchSal[Pagos de otros patrones1 gravados])</f>
        <v>0</v>
      </c>
      <c r="CX10" s="170">
        <f>SUBTOTAL(109,BchSal[Pagos de otros patrones1 exentos])</f>
        <v>0</v>
      </c>
      <c r="CY10" s="170">
        <f>SUBTOTAL(109,BchSal[Otros pagos por salarios gravados])</f>
        <v>0</v>
      </c>
      <c r="CZ10" s="170">
        <f>SUBTOTAL(109,BchSal[Otros pagos por salarios exentos])</f>
        <v>0</v>
      </c>
      <c r="DA10" s="170">
        <f>SUBTOTAL(109,BchSal[Suma de ingreso gravado])</f>
        <v>220000</v>
      </c>
      <c r="DB10" s="170">
        <f>SUBTOTAL(109,BchSal[Suma de ingreso exento])</f>
        <v>4000</v>
      </c>
      <c r="DC10" s="170">
        <f>SUBTOTAL(109,BchSal[Impuesto retenido durante el ejercicio (Oblig)])</f>
        <v>9960</v>
      </c>
      <c r="DD10" s="170">
        <f>SUBTOTAL(109,BchSal[Impuesto retenido por otros patrones])</f>
        <v>0</v>
      </c>
      <c r="DE10" s="170">
        <f>SUBTOTAL(109,BchSal[Saldo a favor Deter en el Ejerc que declara,  Q se compensará  o Sol Dev])</f>
        <v>0</v>
      </c>
      <c r="DF10" s="170">
        <f>SUBTOTAL(109,BchSal[Saldo a favor del ejercicio anterior no compensado])</f>
        <v>0</v>
      </c>
      <c r="DG10" s="170">
        <f>SUBTOTAL(109,BchSal[∑ de las Cant por concepto de Créd al Sal le Corresp al Trab])</f>
        <v>0</v>
      </c>
      <c r="DH10" s="170">
        <f>SUBTOTAL(109,BchSal[Crédito al salario entregado en efectivo al trabajador])</f>
        <v>0</v>
      </c>
      <c r="DI10" s="170">
        <f>SUBTOTAL(109,BchSal[Total de previsión social])</f>
        <v>0</v>
      </c>
      <c r="DJ10" s="170">
        <f>SUBTOTAL(109,BchSal[Suma de ingresos exentos de previsón social])</f>
        <v>0</v>
      </c>
      <c r="DK10" s="170">
        <f>SUBTOTAL(109,BchSal[Suma de ingresos por sueldos y salarios])</f>
        <v>224000</v>
      </c>
      <c r="DL10" s="170">
        <f>SUBTOTAL(109,BchSal[Impuesto local sobre sueldos retenido])</f>
        <v>0</v>
      </c>
      <c r="DM10" s="170">
        <f>SUBTOTAL(109,BchSal[Monto del subsidio para el empleo entregado en efectivo])</f>
        <v>797</v>
      </c>
      <c r="DN10" s="170">
        <f>SUBTOTAL(109,BchSal[Ingresos por Sueldos Salarios y conceptos Asimilables])</f>
        <v>389763</v>
      </c>
      <c r="DO10" s="170">
        <f>SUBTOTAL(109,BchSal[Ingresos Exentos de Salarios])</f>
        <v>34000</v>
      </c>
      <c r="DP10" s="170">
        <f>SUBTOTAL(109,BchSal[Total de las aportaciones voluntarias deducibles])</f>
        <v>0</v>
      </c>
      <c r="DQ10" s="170">
        <f>SUBTOTAL(109,BchSal[Ingresos Acumulables Totales])</f>
        <v>325000</v>
      </c>
      <c r="DR10" s="170">
        <f>SUBTOTAL(109,BchSal[Ingresos No Acumulables Totales])</f>
        <v>30763</v>
      </c>
      <c r="DS10" s="170">
        <f>SUBTOTAL(109,BchSal[ISR conforme a la tarifa anual])</f>
        <v>5107</v>
      </c>
      <c r="DT10" s="170">
        <f>SUBTOTAL(109,BchSal[Subsidio acreditable])</f>
        <v>0</v>
      </c>
      <c r="DU10" s="170">
        <f>SUBTOTAL(109,BchSal[Subsidio no acreditable])</f>
        <v>0</v>
      </c>
      <c r="DV10" s="170">
        <f>SUBTOTAL(109,BchSal[Impuesto sobre ingresos acumulables])</f>
        <v>1653</v>
      </c>
      <c r="DW10" s="170">
        <f>SUBTOTAL(109,BchSal[Impuesto sobre ingresos no acumulables])</f>
        <v>0</v>
      </c>
      <c r="DX10" s="170">
        <f>SUBTOTAL(109,BchSal[Impuesto  Sobre la Renta Causado en el ejercicio que declara])</f>
        <v>1653</v>
      </c>
      <c r="DY10" s="170">
        <f>SUBTOTAL(109,BchSal[Impuesto Retenido al Contribuyente])</f>
        <v>24460</v>
      </c>
      <c r="DZ10" s="170">
        <f>SUBTOTAL(109,BchSal[Impuesto local a los ingresos por sueldos y salarios])</f>
        <v>0</v>
      </c>
      <c r="EA10" s="170">
        <f>SUBTOTAL(109,BchSal[Monto del Subs para el empleo que le Corresp al Trab en el Ejer])</f>
        <v>4500</v>
      </c>
      <c r="EB10" s="170">
        <f>SUBTOTAL(109,BchSal[ISR del Ejercicio])</f>
        <v>5107</v>
      </c>
      <c r="EC10" s="170"/>
      <c r="ED10" s="170"/>
      <c r="EE10" s="170"/>
      <c r="EF10" s="170">
        <f>SUBTOTAL(109,BchSal[Diferencia a cargo o             (a Favor)])</f>
        <v>-2847</v>
      </c>
      <c r="EG10" s="173"/>
      <c r="EH10" s="173"/>
      <c r="EI10" s="173"/>
      <c r="EJ10" s="173"/>
      <c r="EK10" s="189"/>
      <c r="EL10" s="174"/>
    </row>
    <row r="11" spans="1:143" s="93" customFormat="1" ht="12.75" x14ac:dyDescent="0.2">
      <c r="A11" s="85"/>
      <c r="B11" s="85"/>
      <c r="C11" s="39"/>
      <c r="D11" s="86"/>
      <c r="E11" s="86"/>
      <c r="F11" s="39"/>
      <c r="G11" s="39"/>
      <c r="H11" s="39"/>
      <c r="I11" s="39"/>
      <c r="J11" s="86"/>
      <c r="K11" s="87"/>
      <c r="L11" s="87"/>
      <c r="M11" s="88"/>
      <c r="N11" s="85"/>
      <c r="O11" s="87"/>
      <c r="P11" s="86"/>
      <c r="Q11" s="39"/>
      <c r="R11" s="39"/>
      <c r="S11" s="89"/>
      <c r="T11" s="85"/>
      <c r="U11" s="89"/>
      <c r="V11" s="89"/>
      <c r="W11" s="39"/>
      <c r="X11" s="89"/>
      <c r="Y11" s="89"/>
      <c r="Z11" s="89"/>
      <c r="AA11" s="89"/>
      <c r="AB11" s="90"/>
      <c r="AC11" s="89"/>
      <c r="AD11" s="89"/>
      <c r="AE11" s="89"/>
      <c r="AF11" s="89"/>
      <c r="AG11" s="89"/>
      <c r="AH11" s="89"/>
      <c r="AI11" s="90"/>
      <c r="AJ11" s="89"/>
      <c r="AK11" s="89"/>
      <c r="AL11" s="89"/>
      <c r="AM11" s="89"/>
      <c r="AN11" s="89"/>
      <c r="AO11" s="89"/>
      <c r="AP11" s="89"/>
      <c r="AQ11" s="89"/>
      <c r="AR11" s="90"/>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79"/>
      <c r="DB11" s="79"/>
      <c r="DC11" s="89"/>
      <c r="DD11" s="89"/>
      <c r="DE11" s="89"/>
      <c r="DF11" s="89"/>
      <c r="DG11" s="89"/>
      <c r="DH11" s="89"/>
      <c r="DI11" s="89"/>
      <c r="DJ11" s="89"/>
      <c r="DK11" s="79"/>
      <c r="DL11" s="89"/>
      <c r="DM11" s="89"/>
      <c r="DN11" s="30"/>
      <c r="DO11" s="80"/>
      <c r="DP11" s="80"/>
      <c r="DQ11" s="89"/>
      <c r="DR11" s="30"/>
      <c r="DS11" s="30"/>
      <c r="DT11" s="79"/>
      <c r="DU11" s="89"/>
      <c r="DV11" s="89"/>
      <c r="DW11" s="89"/>
      <c r="DX11" s="89"/>
      <c r="DY11" s="89"/>
      <c r="DZ11" s="80"/>
      <c r="EA11" s="89"/>
      <c r="EB11" s="89"/>
      <c r="EC11" s="30"/>
      <c r="ED11" s="30"/>
      <c r="EE11" s="30"/>
      <c r="EF11" s="30"/>
      <c r="EG11" s="30"/>
      <c r="EH11" s="30"/>
      <c r="EI11" s="80"/>
      <c r="EJ11" s="80"/>
      <c r="EK11" s="80"/>
      <c r="EL11" s="91"/>
      <c r="EM11" s="92"/>
    </row>
    <row r="12" spans="1:143" s="94" customFormat="1" ht="12.75" x14ac:dyDescent="0.2">
      <c r="A12" s="85"/>
      <c r="B12" s="85"/>
      <c r="C12" s="39"/>
      <c r="D12" s="86"/>
      <c r="E12" s="86"/>
      <c r="F12" s="39"/>
      <c r="G12" s="39"/>
      <c r="H12" s="39"/>
      <c r="I12" s="39"/>
      <c r="J12" s="86"/>
      <c r="K12" s="87"/>
      <c r="L12" s="87"/>
      <c r="M12" s="88"/>
      <c r="N12" s="85"/>
      <c r="O12" s="87"/>
      <c r="P12" s="86"/>
      <c r="Q12" s="39"/>
      <c r="R12" s="39"/>
      <c r="S12" s="89"/>
      <c r="T12" s="85"/>
      <c r="U12" s="89"/>
      <c r="V12" s="89"/>
      <c r="W12" s="39"/>
      <c r="X12" s="89"/>
      <c r="Y12" s="89"/>
      <c r="Z12" s="89"/>
      <c r="AA12" s="89"/>
      <c r="AB12" s="90"/>
      <c r="AC12" s="89"/>
      <c r="AD12" s="89"/>
      <c r="AE12" s="89"/>
      <c r="AF12" s="89"/>
      <c r="AG12" s="89"/>
      <c r="AH12" s="89"/>
      <c r="AI12" s="90"/>
      <c r="AJ12" s="89"/>
      <c r="AK12" s="89"/>
      <c r="AL12" s="89"/>
      <c r="AM12" s="89"/>
      <c r="AN12" s="89"/>
      <c r="AO12" s="89"/>
      <c r="AP12" s="89"/>
      <c r="AQ12" s="89"/>
      <c r="AR12" s="90"/>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79"/>
      <c r="DB12" s="79"/>
      <c r="DC12" s="89"/>
      <c r="DD12" s="89"/>
      <c r="DE12" s="89"/>
      <c r="DF12" s="89"/>
      <c r="DG12" s="89"/>
      <c r="DH12" s="89"/>
      <c r="DI12" s="89"/>
      <c r="DJ12" s="89"/>
      <c r="DK12" s="79"/>
      <c r="DL12" s="89"/>
      <c r="DM12" s="89"/>
      <c r="DN12" s="93"/>
      <c r="DO12" s="80"/>
      <c r="DP12" s="80"/>
      <c r="DQ12" s="89"/>
      <c r="DR12" s="93"/>
      <c r="DS12" s="93"/>
      <c r="DT12" s="79"/>
      <c r="DU12" s="89"/>
      <c r="DV12" s="89"/>
      <c r="DW12" s="89"/>
      <c r="DX12" s="89"/>
      <c r="DY12" s="89"/>
      <c r="DZ12" s="80"/>
      <c r="EA12" s="89"/>
      <c r="EB12" s="89"/>
      <c r="EC12" s="93"/>
      <c r="ED12" s="93"/>
      <c r="EE12" s="93"/>
      <c r="EF12" s="93"/>
      <c r="EG12" s="93"/>
      <c r="EH12" s="93"/>
      <c r="EI12" s="80"/>
      <c r="EJ12" s="80"/>
      <c r="EK12" s="80"/>
      <c r="EL12" s="91"/>
      <c r="EM12" s="40"/>
    </row>
    <row r="13" spans="1:143" ht="11.25" x14ac:dyDescent="0.2">
      <c r="DN13" s="36"/>
      <c r="DR13" s="36"/>
      <c r="DS13" s="36"/>
      <c r="EC13" s="36"/>
      <c r="ED13" s="36"/>
      <c r="EE13" s="36"/>
      <c r="EF13" s="36"/>
      <c r="EG13" s="36"/>
      <c r="EH13" s="36"/>
    </row>
    <row r="14" spans="1:143" ht="11.25" x14ac:dyDescent="0.2">
      <c r="DN14" s="36"/>
      <c r="DR14" s="36"/>
      <c r="DS14" s="36"/>
      <c r="EC14" s="36"/>
      <c r="ED14" s="36"/>
      <c r="EE14" s="36"/>
      <c r="EF14" s="36"/>
      <c r="EG14" s="36"/>
      <c r="EH14" s="36"/>
    </row>
    <row r="15" spans="1:143" ht="11.25" x14ac:dyDescent="0.2">
      <c r="DN15" s="36"/>
      <c r="DR15" s="36"/>
      <c r="DS15" s="36"/>
      <c r="EC15" s="36"/>
      <c r="ED15" s="36"/>
      <c r="EE15" s="36"/>
      <c r="EF15" s="36"/>
      <c r="EG15" s="36"/>
      <c r="EH15" s="36"/>
    </row>
    <row r="16" spans="1:143" ht="11.25" x14ac:dyDescent="0.2">
      <c r="DN16" s="36"/>
      <c r="DR16" s="36"/>
      <c r="DS16" s="36"/>
      <c r="EC16" s="36"/>
      <c r="ED16" s="36"/>
      <c r="EE16" s="36"/>
      <c r="EF16" s="36"/>
      <c r="EG16" s="36"/>
      <c r="EH16" s="36"/>
    </row>
    <row r="17" spans="118:138" ht="11.25" x14ac:dyDescent="0.2">
      <c r="DN17" s="36"/>
      <c r="DR17" s="36"/>
      <c r="DS17" s="36"/>
      <c r="EC17" s="36"/>
      <c r="ED17" s="36"/>
      <c r="EE17" s="36"/>
      <c r="EF17" s="36"/>
      <c r="EG17" s="36"/>
      <c r="EH17" s="36"/>
    </row>
    <row r="18" spans="118:138" ht="11.25" x14ac:dyDescent="0.2">
      <c r="DN18" s="36"/>
      <c r="DR18" s="36"/>
      <c r="DS18" s="36"/>
      <c r="EC18" s="36"/>
      <c r="ED18" s="36"/>
      <c r="EE18" s="36"/>
      <c r="EF18" s="36"/>
      <c r="EG18" s="36"/>
      <c r="EH18" s="36"/>
    </row>
    <row r="19" spans="118:138" ht="11.25" x14ac:dyDescent="0.2">
      <c r="DN19" s="36"/>
      <c r="DR19" s="36"/>
      <c r="DS19" s="36"/>
      <c r="EC19" s="36"/>
      <c r="ED19" s="36"/>
      <c r="EE19" s="36"/>
      <c r="EF19" s="36"/>
      <c r="EG19" s="36"/>
      <c r="EH19" s="36"/>
    </row>
    <row r="20" spans="118:138" ht="11.25" x14ac:dyDescent="0.2">
      <c r="DN20" s="36"/>
      <c r="DR20" s="36"/>
      <c r="DS20" s="36"/>
      <c r="EC20" s="36"/>
      <c r="ED20" s="36"/>
      <c r="EE20" s="36"/>
      <c r="EF20" s="36"/>
      <c r="EG20" s="36"/>
      <c r="EH20" s="36"/>
    </row>
    <row r="21" spans="118:138" x14ac:dyDescent="0.25">
      <c r="DN21" s="36"/>
      <c r="EH21" s="36"/>
    </row>
    <row r="22" spans="118:138" x14ac:dyDescent="0.25">
      <c r="DN22" s="36"/>
      <c r="EH22" s="36"/>
    </row>
  </sheetData>
  <sheetProtection formatCells="0" formatColumns="0" formatRows="0" insertRows="0" deleteRows="0" sort="0" autoFilter="0"/>
  <conditionalFormatting sqref="X11:AO12 X4:AO9">
    <cfRule type="expression" dxfId="346" priority="4">
      <formula>OR($B4=1,$B4=4,$B4=5)</formula>
    </cfRule>
  </conditionalFormatting>
  <conditionalFormatting sqref="AP11:AV12 AP4:AV9">
    <cfRule type="expression" dxfId="345" priority="3">
      <formula>OR($B4=1,$B4=2,$B4=3)</formula>
    </cfRule>
  </conditionalFormatting>
  <conditionalFormatting sqref="AW11:CZ12 AW4:CZ9">
    <cfRule type="expression" dxfId="344" priority="2">
      <formula>OR($B4=3,$B4=5)</formula>
    </cfRule>
  </conditionalFormatting>
  <conditionalFormatting sqref="O4:O9">
    <cfRule type="expression" dxfId="343" priority="1">
      <formula>OR($B4=4,$B4=5,$B4=6)</formula>
    </cfRule>
  </conditionalFormatting>
  <dataValidations xWindow="119" yWindow="434" count="26">
    <dataValidation type="textLength" operator="lessThan" allowBlank="1" showInputMessage="1" showErrorMessage="1" error="No mayor a 13 caracteres" sqref="W11:W12 W4:W9">
      <formula1>13</formula1>
    </dataValidation>
    <dataValidation type="whole" allowBlank="1" showInputMessage="1" showErrorMessage="1" error="Solo Cantidades sin centavos_x000a_" sqref="AC11:AH12 U11:V12 S11:S12 X11:AA12 AS11:CZ12 AJ11:AQ12 AJ4:AQ9 AS4:CZ9 X4:AA9 S4:S9 U4:V9 AC4:AH9">
      <formula1>0</formula1>
      <formula2>9999999</formula2>
    </dataValidation>
    <dataValidation type="whole" allowBlank="1" showInputMessage="1" showErrorMessage="1" error="Solo 0, 1 ó 2_x000a_" sqref="AR11:AR12 AR4:AR9">
      <formula1>0</formula1>
      <formula2>2</formula2>
    </dataValidation>
    <dataValidation type="whole" allowBlank="1" showInputMessage="1" showErrorMessage="1" sqref="J11:J12 J4:J9">
      <formula1>0</formula1>
      <formula2>3</formula2>
    </dataValidation>
    <dataValidation type="whole" allowBlank="1" showInputMessage="1" showErrorMessage="1" sqref="K11:L12 K4:L9">
      <formula1>0</formula1>
      <formula2>2</formula2>
    </dataValidation>
    <dataValidation type="textLength" operator="lessThan" allowBlank="1" showInputMessage="1" showErrorMessage="1" error="No mayor a 18 caracteres" sqref="F11:F12 F4:F9">
      <formula1>19</formula1>
    </dataValidation>
    <dataValidation type="textLength" operator="lessThan" allowBlank="1" showInputMessage="1" showErrorMessage="1" error="No mayor a 43 caracteres" sqref="G11:I12 G4:I9">
      <formula1>43</formula1>
    </dataValidation>
    <dataValidation type="decimal" allowBlank="1" showInputMessage="1" showErrorMessage="1" sqref="M11:M12 M4:M9">
      <formula1>0</formula1>
      <formula2>1</formula2>
    </dataValidation>
    <dataValidation type="whole" allowBlank="1" showInputMessage="1" showErrorMessage="1" error="Solo 0,1 o 2" sqref="N11:N12 N4:N9">
      <formula1>0</formula1>
      <formula2>2</formula2>
    </dataValidation>
    <dataValidation type="whole" allowBlank="1" showInputMessage="1" showErrorMessage="1" error="Solo Valores entre 1 y 12" sqref="D11:E12 D4:E9">
      <formula1>1</formula1>
      <formula2>12</formula2>
    </dataValidation>
    <dataValidation type="textLength" operator="lessThan" allowBlank="1" showInputMessage="1" showErrorMessage="1" error="No mayor a 13 caracteres" sqref="Q11:R12 T11:T12 C11:C12 C4:C9 T4:T9 Q4:R9">
      <formula1>14</formula1>
    </dataValidation>
    <dataValidation type="whole" allowBlank="1" showInputMessage="1" showErrorMessage="1" error="De 1 a 366_x000a_" sqref="AB11:AB12 AB4:AB9">
      <formula1>0</formula1>
      <formula2>366</formula2>
    </dataValidation>
    <dataValidation type="whole" allowBlank="1" showInputMessage="1" showErrorMessage="1" error="De 1 a 99_x000a_" sqref="AI11:AI12 AI4:AI9">
      <formula1>0</formula1>
      <formula2>99</formula2>
    </dataValidation>
    <dataValidation type="whole" allowBlank="1" showInputMessage="1" showErrorMessage="1" error="Solo de 1 a 32" sqref="P11:P12 P4:P9">
      <formula1>1</formula1>
      <formula2>32</formula2>
    </dataValidation>
    <dataValidation type="whole" allowBlank="1" showInputMessage="1" showErrorMessage="1" errorTitle="Tema" error="Verificar codigo, solo de 1 a 6" sqref="B11:B12 B4:B9">
      <formula1>0</formula1>
      <formula2>6</formula2>
    </dataValidation>
    <dataValidation allowBlank="1" showInputMessage="1" showErrorMessage="1" promptTitle="CURP" prompt="Dato Opcional" sqref="F3"/>
    <dataValidation allowBlank="1" showInputMessage="1" showErrorMessage="1" promptTitle="Apellido Paterno" prompt="No utilizar Caracteres Especiales:_x000a_Ññ@%#!.$&amp;¡¿?'" sqref="G3"/>
    <dataValidation allowBlank="1" showInputMessage="1" showErrorMessage="1" promptTitle="Apellido Materno" prompt="No utilizar Caracteres Especiales:_x000a_Ññ@%#!.$&amp;¡¿?'" sqref="H3"/>
    <dataValidation allowBlank="1" showInputMessage="1" showErrorMessage="1" promptTitle="Nombre (s)" prompt="No utilizar Caracteres Especiales:_x000a_Ññ@%#!.$&amp;¡¿?'" sqref="I3"/>
    <dataValidation allowBlank="1" showInputMessage="1" showErrorMessage="1" promptTitle="Proporción del Subsidio" prompt="Anotar Con el formato:_x000a_#.####" sqref="M3"/>
    <dataValidation allowBlank="1" showInputMessage="1" showErrorMessage="1" promptTitle="RFC otro Patron" prompt="Homoclave Requerida" sqref="Q3:R3"/>
    <dataValidation allowBlank="1" showInputMessage="1" showErrorMessage="1" promptTitle="RFC" prompt="Homoclave no Requerida" sqref="C3"/>
    <dataValidation allowBlank="1" showInputMessage="1" showErrorMessage="1" promptTitle="Mes Inicial" prompt="1 al 12" sqref="D3"/>
    <dataValidation allowBlank="1" showInputMessage="1" showErrorMessage="1" promptTitle="Mes Final" prompt="1 al 12" sqref="E3"/>
    <dataValidation allowBlank="1" showInputMessage="1" showErrorMessage="1" promptTitle="No. de Años" prompt="de 1 a 99" sqref="AI3"/>
    <dataValidation allowBlank="1" showErrorMessage="1" prompt="  " sqref="B3"/>
  </dataValidations>
  <pageMargins left="0.7" right="0.7" top="0.75" bottom="0.75" header="0.3" footer="0.3"/>
  <pageSetup paperSize="175"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F0"/>
    <pageSetUpPr autoPageBreaks="0"/>
  </sheetPr>
  <dimension ref="A1:I131"/>
  <sheetViews>
    <sheetView showGridLines="0" workbookViewId="0">
      <pane ySplit="4" topLeftCell="A5" activePane="bottomLeft" state="frozen"/>
      <selection activeCell="C1" sqref="C1"/>
      <selection pane="bottomLeft" activeCell="E131" sqref="E131:F131"/>
    </sheetView>
  </sheetViews>
  <sheetFormatPr baseColWidth="10" defaultRowHeight="15" outlineLevelRow="1" x14ac:dyDescent="0.25"/>
  <cols>
    <col min="1" max="1" width="4" style="29" hidden="1" customWidth="1"/>
    <col min="2" max="2" width="11.42578125" style="96" customWidth="1"/>
    <col min="3" max="4" width="35.7109375" style="29" customWidth="1"/>
    <col min="5" max="6" width="18.28515625" style="29" customWidth="1"/>
    <col min="7" max="7" width="3.7109375" style="29" customWidth="1"/>
    <col min="8" max="8" width="16.28515625" style="29" customWidth="1"/>
    <col min="9" max="16384" width="11.42578125" style="29"/>
  </cols>
  <sheetData>
    <row r="1" spans="2:9" x14ac:dyDescent="0.25">
      <c r="B1" s="96" t="s">
        <v>282</v>
      </c>
      <c r="C1" s="212" t="s">
        <v>163</v>
      </c>
      <c r="D1" s="212"/>
      <c r="E1" s="212"/>
      <c r="F1" s="212"/>
      <c r="G1" s="61"/>
      <c r="H1" s="76" t="s">
        <v>112</v>
      </c>
      <c r="I1" s="78">
        <v>1</v>
      </c>
    </row>
    <row r="2" spans="2:9" x14ac:dyDescent="0.25">
      <c r="B2" s="96" t="s">
        <v>313</v>
      </c>
      <c r="C2" s="203" t="s">
        <v>126</v>
      </c>
      <c r="D2" s="204"/>
      <c r="E2" s="55">
        <f>VLOOKUP($I$1,BchSal[],4,FALSE)</f>
        <v>1</v>
      </c>
      <c r="F2" s="55">
        <f>VLOOKUP($I$1,BchSal[],5,FALSE)</f>
        <v>12</v>
      </c>
      <c r="H2" s="76" t="s">
        <v>108</v>
      </c>
      <c r="I2" s="77">
        <f>VLOOKUP($I$1,BchSal[],2,FALSE)</f>
        <v>1</v>
      </c>
    </row>
    <row r="3" spans="2:9" x14ac:dyDescent="0.25">
      <c r="B3" s="96" t="s">
        <v>314</v>
      </c>
      <c r="C3" s="215" t="str">
        <f>VLOOKUP($I$1,BchSal[],7,FALSE)&amp;" "&amp;VLOOKUP($I$1,BchSal[],8,FALSE)&amp;" "&amp;VLOOKUP($I$1,BchSal[],9,FALSE)</f>
        <v>MORALES NAVARRO OLAF</v>
      </c>
      <c r="D3" s="216"/>
      <c r="E3" s="216"/>
      <c r="F3" s="217"/>
      <c r="H3" s="230" t="str">
        <f>VLOOKUP(I2,Temas[],2,FALSE)</f>
        <v>Sólo Salarios</v>
      </c>
      <c r="I3" s="231"/>
    </row>
    <row r="4" spans="2:9" x14ac:dyDescent="0.25">
      <c r="B4" s="96" t="s">
        <v>312</v>
      </c>
      <c r="C4" s="59" t="str">
        <f>"RFC:  "&amp;VLOOKUP($I$1,BchSal[],3,FALSE)&amp;"    CURP:  "&amp;VLOOKUP($I$1,BchSal[],6,FALSE)</f>
        <v>RFC:  MONO720101TW8    CURP:  MONO720101HDFRVL04</v>
      </c>
      <c r="D4" s="60"/>
      <c r="E4" s="56"/>
      <c r="F4" s="57"/>
      <c r="G4" s="58"/>
      <c r="H4" s="58"/>
    </row>
    <row r="5" spans="2:9" x14ac:dyDescent="0.25">
      <c r="B5" s="96">
        <v>8</v>
      </c>
      <c r="C5" s="203" t="s">
        <v>55</v>
      </c>
      <c r="D5" s="204"/>
      <c r="E5" s="213" t="str">
        <f>IF(VLOOKUP($I$1,BchSal[],10,FALSE)=1,"Área A",IF(VLOOKUP($I$1,BchSal[],10,FALSE)=2,"Área B","Área C"))</f>
        <v>Área A</v>
      </c>
      <c r="F5" s="214"/>
      <c r="H5" s="98" t="s">
        <v>486</v>
      </c>
    </row>
    <row r="6" spans="2:9" x14ac:dyDescent="0.25">
      <c r="B6" s="96">
        <v>9</v>
      </c>
      <c r="C6" s="203" t="s">
        <v>231</v>
      </c>
      <c r="D6" s="204"/>
      <c r="E6" s="213" t="str">
        <f>IF(VLOOKUP($I$1,BchSal[],11,FALSE)=1,"SI","NO")</f>
        <v>SI</v>
      </c>
      <c r="F6" s="214"/>
      <c r="H6" s="101" t="s">
        <v>325</v>
      </c>
      <c r="I6" s="101"/>
    </row>
    <row r="7" spans="2:9" x14ac:dyDescent="0.25">
      <c r="B7" s="96" t="s">
        <v>52</v>
      </c>
      <c r="C7" s="203" t="s">
        <v>63</v>
      </c>
      <c r="D7" s="204"/>
      <c r="E7" s="213">
        <f>IF(VLOOKUP($I$1,BchSal[],12,FALSE)=1,2011,1991)</f>
        <v>2011</v>
      </c>
      <c r="F7" s="214"/>
    </row>
    <row r="8" spans="2:9" x14ac:dyDescent="0.25">
      <c r="C8" s="218" t="s">
        <v>174</v>
      </c>
      <c r="D8" s="218"/>
      <c r="E8" s="218"/>
      <c r="F8" s="218"/>
      <c r="G8" s="61"/>
      <c r="H8" s="61"/>
    </row>
    <row r="9" spans="2:9" x14ac:dyDescent="0.25">
      <c r="C9" s="203" t="s">
        <v>232</v>
      </c>
      <c r="D9" s="204"/>
      <c r="E9" s="205"/>
      <c r="F9" s="206"/>
    </row>
    <row r="10" spans="2:9" x14ac:dyDescent="0.25">
      <c r="C10" s="203" t="s">
        <v>233</v>
      </c>
      <c r="D10" s="204"/>
      <c r="E10" s="205"/>
      <c r="F10" s="206"/>
    </row>
    <row r="11" spans="2:9" x14ac:dyDescent="0.25">
      <c r="B11" s="96">
        <v>12</v>
      </c>
      <c r="C11" s="203" t="s">
        <v>127</v>
      </c>
      <c r="D11" s="204"/>
      <c r="E11" s="205" t="str">
        <f>IF(VLOOKUP($I$1,BchSal[],13,FALSE)=0,"",VLOOKUP($I$1,BchSal[],13,FALSE))</f>
        <v/>
      </c>
      <c r="F11" s="206"/>
    </row>
    <row r="12" spans="2:9" x14ac:dyDescent="0.25">
      <c r="B12" s="96">
        <v>13</v>
      </c>
      <c r="C12" s="203" t="s">
        <v>234</v>
      </c>
      <c r="D12" s="204"/>
      <c r="E12" s="205" t="str">
        <f>IF(VLOOKUP($I$1,BchSal[],14,FALSE)=1,"SI","NO")</f>
        <v>NO</v>
      </c>
      <c r="F12" s="206"/>
      <c r="H12" s="98" t="s">
        <v>326</v>
      </c>
    </row>
    <row r="13" spans="2:9" x14ac:dyDescent="0.25">
      <c r="B13" s="96">
        <v>14</v>
      </c>
      <c r="C13" s="203" t="s">
        <v>235</v>
      </c>
      <c r="D13" s="204"/>
      <c r="E13" s="205" t="str">
        <f>VLOOKUP((VLOOKUP($I$1,BchSal[],15,FALSE)),Asimilados[],2,FALSE)</f>
        <v>&lt;Sin Selección&gt;</v>
      </c>
      <c r="F13" s="206"/>
      <c r="H13" s="100" t="s">
        <v>323</v>
      </c>
    </row>
    <row r="14" spans="2:9" ht="15" customHeight="1" x14ac:dyDescent="0.25">
      <c r="B14" s="96">
        <v>15</v>
      </c>
      <c r="C14" s="203" t="s">
        <v>239</v>
      </c>
      <c r="D14" s="204"/>
      <c r="E14" s="205" t="str">
        <f>VLOOKUP((VLOOKUP($I$1,BchSal[],16,FALSE)),Estado[],2,FALSE)</f>
        <v>13 - Hidalgo</v>
      </c>
      <c r="F14" s="206"/>
      <c r="H14" s="100" t="s">
        <v>327</v>
      </c>
    </row>
    <row r="15" spans="2:9" ht="15" customHeight="1" x14ac:dyDescent="0.25">
      <c r="B15" s="96">
        <v>16</v>
      </c>
      <c r="C15" s="207" t="s">
        <v>240</v>
      </c>
      <c r="D15" s="208"/>
      <c r="E15" s="205" t="str">
        <f>IF(VLOOKUP($I$1,BchSal[],17,FALSE)=0,"",VLOOKUP($I$1,BchSal[],17,FALSE))</f>
        <v/>
      </c>
      <c r="F15" s="206"/>
    </row>
    <row r="16" spans="2:9" ht="15" customHeight="1" x14ac:dyDescent="0.25">
      <c r="B16" s="96">
        <v>17</v>
      </c>
      <c r="C16" s="207" t="s">
        <v>241</v>
      </c>
      <c r="D16" s="208"/>
      <c r="E16" s="205" t="str">
        <f>IF(VLOOKUP($I$1,BchSal[],18,FALSE)=0,"",VLOOKUP($I$1,BchSal[],18,FALSE))</f>
        <v/>
      </c>
      <c r="F16" s="206"/>
    </row>
    <row r="17" spans="2:8" ht="15" hidden="1" customHeight="1" outlineLevel="1" x14ac:dyDescent="0.25">
      <c r="B17" s="96">
        <v>18</v>
      </c>
      <c r="C17" s="207" t="s">
        <v>315</v>
      </c>
      <c r="D17" s="208"/>
      <c r="E17" s="205"/>
      <c r="F17" s="206"/>
    </row>
    <row r="18" spans="2:8" ht="15" hidden="1" customHeight="1" outlineLevel="1" x14ac:dyDescent="0.25">
      <c r="B18" s="96">
        <v>19</v>
      </c>
      <c r="C18" s="207" t="s">
        <v>316</v>
      </c>
      <c r="D18" s="208"/>
      <c r="E18" s="205"/>
      <c r="F18" s="206"/>
    </row>
    <row r="19" spans="2:8" ht="15" hidden="1" customHeight="1" outlineLevel="1" x14ac:dyDescent="0.25">
      <c r="B19" s="96">
        <v>20</v>
      </c>
      <c r="C19" s="207" t="s">
        <v>317</v>
      </c>
      <c r="D19" s="208"/>
      <c r="E19" s="205"/>
      <c r="F19" s="206"/>
    </row>
    <row r="20" spans="2:8" ht="15" hidden="1" customHeight="1" outlineLevel="1" x14ac:dyDescent="0.25">
      <c r="B20" s="96">
        <v>21</v>
      </c>
      <c r="C20" s="207" t="s">
        <v>318</v>
      </c>
      <c r="D20" s="208"/>
      <c r="E20" s="205"/>
      <c r="F20" s="206"/>
    </row>
    <row r="21" spans="2:8" ht="15" hidden="1" customHeight="1" outlineLevel="1" x14ac:dyDescent="0.25">
      <c r="B21" s="96">
        <v>22</v>
      </c>
      <c r="C21" s="207" t="s">
        <v>319</v>
      </c>
      <c r="D21" s="208"/>
      <c r="E21" s="205"/>
      <c r="F21" s="206"/>
    </row>
    <row r="22" spans="2:8" ht="15" hidden="1" customHeight="1" outlineLevel="1" x14ac:dyDescent="0.25">
      <c r="B22" s="96">
        <v>23</v>
      </c>
      <c r="C22" s="207" t="s">
        <v>320</v>
      </c>
      <c r="D22" s="208"/>
      <c r="E22" s="205"/>
      <c r="F22" s="206"/>
    </row>
    <row r="23" spans="2:8" ht="15" hidden="1" customHeight="1" outlineLevel="1" x14ac:dyDescent="0.25">
      <c r="B23" s="96">
        <v>24</v>
      </c>
      <c r="C23" s="207" t="s">
        <v>321</v>
      </c>
      <c r="D23" s="208"/>
      <c r="E23" s="205"/>
      <c r="F23" s="206"/>
    </row>
    <row r="24" spans="2:8" ht="15" hidden="1" customHeight="1" outlineLevel="1" x14ac:dyDescent="0.25">
      <c r="B24" s="96">
        <v>25</v>
      </c>
      <c r="C24" s="207" t="s">
        <v>322</v>
      </c>
      <c r="D24" s="208"/>
      <c r="E24" s="205"/>
      <c r="F24" s="206"/>
    </row>
    <row r="25" spans="2:8" ht="15" customHeight="1" collapsed="1" x14ac:dyDescent="0.25">
      <c r="B25" s="96">
        <v>26</v>
      </c>
      <c r="C25" s="203" t="s">
        <v>242</v>
      </c>
      <c r="D25" s="204"/>
      <c r="E25" s="197">
        <f>VLOOKUP($I$1,BchSal[],19,FALSE)</f>
        <v>0</v>
      </c>
      <c r="F25" s="198"/>
      <c r="H25" s="98" t="s">
        <v>478</v>
      </c>
    </row>
    <row r="26" spans="2:8" x14ac:dyDescent="0.25">
      <c r="B26" s="96">
        <v>27</v>
      </c>
      <c r="C26" s="203" t="s">
        <v>243</v>
      </c>
      <c r="D26" s="204"/>
      <c r="E26" s="205" t="str">
        <f>IF(VLOOKUP($I$1,BchSal[],20,FALSE)=0,"&lt;Sin Selección&gt;",IF(VLOOKUP($I$1,BchSal[],20,FALSE)=1,"SI","NO"))</f>
        <v>&lt;Sin Selección&gt;</v>
      </c>
      <c r="F26" s="206"/>
      <c r="H26" s="98" t="s">
        <v>478</v>
      </c>
    </row>
    <row r="27" spans="2:8" x14ac:dyDescent="0.25">
      <c r="B27" s="96">
        <v>28</v>
      </c>
      <c r="C27" s="203" t="s">
        <v>244</v>
      </c>
      <c r="D27" s="204"/>
      <c r="E27" s="197">
        <f>VLOOKUP($I$1,BchSal[],21,FALSE)</f>
        <v>0</v>
      </c>
      <c r="F27" s="198"/>
      <c r="H27" s="98" t="s">
        <v>478</v>
      </c>
    </row>
    <row r="28" spans="2:8" ht="15" customHeight="1" x14ac:dyDescent="0.25">
      <c r="B28" s="96">
        <v>29</v>
      </c>
      <c r="C28" s="203" t="s">
        <v>76</v>
      </c>
      <c r="D28" s="204"/>
      <c r="E28" s="197">
        <f>VLOOKUP($I$1,BchSal[],22,FALSE)</f>
        <v>0</v>
      </c>
      <c r="F28" s="198"/>
      <c r="H28" s="98" t="s">
        <v>478</v>
      </c>
    </row>
    <row r="29" spans="2:8" x14ac:dyDescent="0.25">
      <c r="C29" s="199" t="s">
        <v>175</v>
      </c>
      <c r="D29" s="199"/>
      <c r="E29" s="200"/>
      <c r="F29" s="201"/>
      <c r="G29" s="61"/>
      <c r="H29" s="61"/>
    </row>
    <row r="30" spans="2:8" x14ac:dyDescent="0.25">
      <c r="C30" s="209" t="s">
        <v>176</v>
      </c>
      <c r="D30" s="209"/>
      <c r="E30" s="210"/>
      <c r="F30" s="211"/>
      <c r="G30" s="61"/>
      <c r="H30" s="61"/>
    </row>
    <row r="31" spans="2:8" ht="15" customHeight="1" x14ac:dyDescent="0.25">
      <c r="B31" s="96">
        <v>33</v>
      </c>
      <c r="C31" s="203" t="s">
        <v>32</v>
      </c>
      <c r="D31" s="204"/>
      <c r="E31" s="197">
        <f>VLOOKUP($I$1,BchSal[],24,FALSE)</f>
        <v>0</v>
      </c>
      <c r="F31" s="198"/>
    </row>
    <row r="32" spans="2:8" ht="15" customHeight="1" x14ac:dyDescent="0.25">
      <c r="B32" s="96">
        <v>34</v>
      </c>
      <c r="C32" s="203" t="s">
        <v>245</v>
      </c>
      <c r="D32" s="204"/>
      <c r="E32" s="197">
        <f>VLOOKUP($I$1,BchSal[],25,FALSE)</f>
        <v>0</v>
      </c>
      <c r="F32" s="198"/>
    </row>
    <row r="33" spans="2:8" ht="15" customHeight="1" x14ac:dyDescent="0.25">
      <c r="B33" s="96">
        <v>35</v>
      </c>
      <c r="C33" s="203" t="s">
        <v>246</v>
      </c>
      <c r="D33" s="204"/>
      <c r="E33" s="197">
        <f>VLOOKUP($I$1,BchSal[],26,FALSE)</f>
        <v>0</v>
      </c>
      <c r="F33" s="198"/>
    </row>
    <row r="34" spans="2:8" ht="15" customHeight="1" x14ac:dyDescent="0.25">
      <c r="B34" s="96">
        <v>36</v>
      </c>
      <c r="C34" s="203" t="s">
        <v>247</v>
      </c>
      <c r="D34" s="204"/>
      <c r="E34" s="197">
        <f>VLOOKUP($I$1,BchSal[],27,FALSE)</f>
        <v>0</v>
      </c>
      <c r="F34" s="198"/>
    </row>
    <row r="35" spans="2:8" ht="15" customHeight="1" x14ac:dyDescent="0.25">
      <c r="B35" s="96">
        <v>37</v>
      </c>
      <c r="C35" s="203" t="s">
        <v>34</v>
      </c>
      <c r="D35" s="204"/>
      <c r="E35" s="197">
        <f>VLOOKUP($I$1,BchSal[],28,FALSE)</f>
        <v>0</v>
      </c>
      <c r="F35" s="198"/>
    </row>
    <row r="36" spans="2:8" ht="15" customHeight="1" x14ac:dyDescent="0.25">
      <c r="B36" s="96">
        <v>38</v>
      </c>
      <c r="C36" s="203" t="s">
        <v>35</v>
      </c>
      <c r="D36" s="204"/>
      <c r="E36" s="197">
        <f>VLOOKUP($I$1,BchSal[],29,FALSE)</f>
        <v>0</v>
      </c>
      <c r="F36" s="198"/>
    </row>
    <row r="37" spans="2:8" ht="15" customHeight="1" x14ac:dyDescent="0.25">
      <c r="B37" s="96">
        <v>39</v>
      </c>
      <c r="C37" s="203" t="s">
        <v>36</v>
      </c>
      <c r="D37" s="204"/>
      <c r="E37" s="197">
        <f>VLOOKUP($I$1,BchSal[],30,FALSE)</f>
        <v>0</v>
      </c>
      <c r="F37" s="198"/>
    </row>
    <row r="38" spans="2:8" ht="15" customHeight="1" x14ac:dyDescent="0.25">
      <c r="B38" s="96">
        <v>40</v>
      </c>
      <c r="C38" s="203" t="s">
        <v>37</v>
      </c>
      <c r="D38" s="204"/>
      <c r="E38" s="197">
        <f>VLOOKUP($I$1,BchSal[],31,FALSE)</f>
        <v>0</v>
      </c>
      <c r="F38" s="198"/>
    </row>
    <row r="39" spans="2:8" ht="15" customHeight="1" x14ac:dyDescent="0.25">
      <c r="B39" s="96">
        <v>41</v>
      </c>
      <c r="C39" s="203" t="s">
        <v>38</v>
      </c>
      <c r="D39" s="204"/>
      <c r="E39" s="197">
        <f>VLOOKUP($I$1,BchSal[],32,FALSE)</f>
        <v>0</v>
      </c>
      <c r="F39" s="198"/>
    </row>
    <row r="40" spans="2:8" ht="15" customHeight="1" x14ac:dyDescent="0.25">
      <c r="B40" s="96">
        <v>42</v>
      </c>
      <c r="C40" s="203" t="s">
        <v>23</v>
      </c>
      <c r="D40" s="204"/>
      <c r="E40" s="197">
        <f>VLOOKUP($I$1,BchSal[],33,FALSE)</f>
        <v>0</v>
      </c>
      <c r="F40" s="198"/>
    </row>
    <row r="41" spans="2:8" x14ac:dyDescent="0.25">
      <c r="C41" s="209" t="s">
        <v>177</v>
      </c>
      <c r="D41" s="209"/>
      <c r="E41" s="210"/>
      <c r="F41" s="211"/>
      <c r="G41" s="61"/>
      <c r="H41" s="61"/>
    </row>
    <row r="42" spans="2:8" ht="15" customHeight="1" x14ac:dyDescent="0.25">
      <c r="B42" s="96">
        <v>43</v>
      </c>
      <c r="C42" s="203" t="s">
        <v>39</v>
      </c>
      <c r="D42" s="204"/>
      <c r="E42" s="197">
        <f>VLOOKUP($I$1,BchSal[],34,FALSE)</f>
        <v>0</v>
      </c>
      <c r="F42" s="198"/>
    </row>
    <row r="43" spans="2:8" ht="15" customHeight="1" x14ac:dyDescent="0.25">
      <c r="B43" s="96">
        <v>44</v>
      </c>
      <c r="C43" s="203" t="s">
        <v>40</v>
      </c>
      <c r="D43" s="204"/>
      <c r="E43" s="197">
        <f>VLOOKUP($I$1,BchSal[],35,FALSE)</f>
        <v>0</v>
      </c>
      <c r="F43" s="198"/>
    </row>
    <row r="44" spans="2:8" ht="15" customHeight="1" x14ac:dyDescent="0.25">
      <c r="B44" s="96">
        <v>45</v>
      </c>
      <c r="C44" s="203" t="s">
        <v>35</v>
      </c>
      <c r="D44" s="204"/>
      <c r="E44" s="197">
        <f>VLOOKUP($I$1,BchSal[],36,FALSE)</f>
        <v>0</v>
      </c>
      <c r="F44" s="198"/>
    </row>
    <row r="45" spans="2:8" ht="15" customHeight="1" x14ac:dyDescent="0.25">
      <c r="B45" s="96">
        <v>46</v>
      </c>
      <c r="C45" s="203" t="s">
        <v>41</v>
      </c>
      <c r="D45" s="204"/>
      <c r="E45" s="197">
        <f>VLOOKUP($I$1,BchSal[],37,FALSE)</f>
        <v>0</v>
      </c>
      <c r="F45" s="198"/>
    </row>
    <row r="46" spans="2:8" ht="15" customHeight="1" x14ac:dyDescent="0.25">
      <c r="B46" s="96">
        <v>47</v>
      </c>
      <c r="C46" s="203" t="s">
        <v>248</v>
      </c>
      <c r="D46" s="204"/>
      <c r="E46" s="197">
        <f>VLOOKUP($I$1,BchSal[],38,FALSE)</f>
        <v>0</v>
      </c>
      <c r="F46" s="198"/>
    </row>
    <row r="47" spans="2:8" ht="15" customHeight="1" x14ac:dyDescent="0.25">
      <c r="B47" s="96">
        <v>48</v>
      </c>
      <c r="C47" s="203" t="s">
        <v>249</v>
      </c>
      <c r="D47" s="204"/>
      <c r="E47" s="197">
        <f>VLOOKUP($I$1,BchSal[],39,FALSE)</f>
        <v>0</v>
      </c>
      <c r="F47" s="198"/>
    </row>
    <row r="48" spans="2:8" ht="15" customHeight="1" x14ac:dyDescent="0.25">
      <c r="B48" s="96">
        <v>49</v>
      </c>
      <c r="C48" s="203" t="s">
        <v>38</v>
      </c>
      <c r="D48" s="204"/>
      <c r="E48" s="197">
        <f>VLOOKUP($I$1,BchSal[],40,FALSE)</f>
        <v>0</v>
      </c>
      <c r="F48" s="198"/>
    </row>
    <row r="49" spans="2:8" ht="15" customHeight="1" x14ac:dyDescent="0.25">
      <c r="B49" s="96">
        <v>50</v>
      </c>
      <c r="C49" s="203" t="s">
        <v>23</v>
      </c>
      <c r="D49" s="204"/>
      <c r="E49" s="197">
        <f>VLOOKUP($I$1,BchSal[],41,FALSE)</f>
        <v>0</v>
      </c>
      <c r="F49" s="198"/>
    </row>
    <row r="50" spans="2:8" x14ac:dyDescent="0.25">
      <c r="C50" s="199" t="s">
        <v>178</v>
      </c>
      <c r="D50" s="199"/>
      <c r="E50" s="200"/>
      <c r="F50" s="201"/>
      <c r="G50" s="61"/>
      <c r="H50" s="61"/>
    </row>
    <row r="51" spans="2:8" ht="15" customHeight="1" x14ac:dyDescent="0.25">
      <c r="B51" s="96">
        <v>51</v>
      </c>
      <c r="C51" s="203" t="s">
        <v>42</v>
      </c>
      <c r="D51" s="204"/>
      <c r="E51" s="197">
        <f>VLOOKUP($I$1,BchSal[],42,FALSE)</f>
        <v>0</v>
      </c>
      <c r="F51" s="198"/>
    </row>
    <row r="52" spans="2:8" ht="15" customHeight="1" x14ac:dyDescent="0.25">
      <c r="B52" s="96">
        <v>52</v>
      </c>
      <c r="C52" s="203" t="s">
        <v>43</v>
      </c>
      <c r="D52" s="204"/>
      <c r="E52" s="197">
        <f>VLOOKUP($I$1,BchSal[],43,FALSE)</f>
        <v>0</v>
      </c>
      <c r="F52" s="198"/>
    </row>
    <row r="53" spans="2:8" ht="15" customHeight="1" x14ac:dyDescent="0.25">
      <c r="B53" s="96">
        <v>53</v>
      </c>
      <c r="C53" s="203" t="s">
        <v>94</v>
      </c>
      <c r="D53" s="204"/>
      <c r="E53" s="197" t="str">
        <f>IF(VLOOKUP($I$1,BchSal[],44,FALSE)=0,"&lt;Sin Selección&gt;",IF(VLOOKUP($I$1,BchSal[],44,FALSE)=1,"SI","NO"))</f>
        <v>&lt;Sin Selección&gt;</v>
      </c>
      <c r="F53" s="198"/>
    </row>
    <row r="54" spans="2:8" ht="15" customHeight="1" x14ac:dyDescent="0.25">
      <c r="B54" s="96">
        <v>54</v>
      </c>
      <c r="C54" s="203" t="s">
        <v>44</v>
      </c>
      <c r="D54" s="204"/>
      <c r="E54" s="197">
        <f>VLOOKUP($I$1,BchSal[],45,FALSE)</f>
        <v>0</v>
      </c>
      <c r="F54" s="198"/>
    </row>
    <row r="55" spans="2:8" ht="15" customHeight="1" x14ac:dyDescent="0.25">
      <c r="B55" s="96">
        <v>55</v>
      </c>
      <c r="C55" s="203" t="s">
        <v>92</v>
      </c>
      <c r="D55" s="204"/>
      <c r="E55" s="197">
        <f>VLOOKUP($I$1,BchSal[],46,FALSE)</f>
        <v>0</v>
      </c>
      <c r="F55" s="198"/>
    </row>
    <row r="56" spans="2:8" ht="15" customHeight="1" x14ac:dyDescent="0.25">
      <c r="B56" s="96">
        <v>56</v>
      </c>
      <c r="C56" s="203" t="s">
        <v>45</v>
      </c>
      <c r="D56" s="204"/>
      <c r="E56" s="197">
        <f>VLOOKUP($I$1,BchSal[],47,FALSE)</f>
        <v>0</v>
      </c>
      <c r="F56" s="198"/>
    </row>
    <row r="57" spans="2:8" ht="15" customHeight="1" x14ac:dyDescent="0.25">
      <c r="B57" s="96">
        <v>57</v>
      </c>
      <c r="C57" s="203" t="s">
        <v>124</v>
      </c>
      <c r="D57" s="204"/>
      <c r="E57" s="197">
        <f>VLOOKUP($I$1,BchSal[],48,FALSE)</f>
        <v>0</v>
      </c>
      <c r="F57" s="198"/>
    </row>
    <row r="58" spans="2:8" x14ac:dyDescent="0.25">
      <c r="C58" s="199" t="s">
        <v>250</v>
      </c>
      <c r="D58" s="199"/>
      <c r="E58" s="200"/>
      <c r="F58" s="201"/>
      <c r="G58" s="61"/>
      <c r="H58" s="61"/>
    </row>
    <row r="59" spans="2:8" x14ac:dyDescent="0.25">
      <c r="C59" s="66" t="s">
        <v>103</v>
      </c>
      <c r="D59" s="66"/>
      <c r="E59" s="65" t="s">
        <v>179</v>
      </c>
      <c r="F59" s="65" t="s">
        <v>180</v>
      </c>
      <c r="G59" s="61"/>
      <c r="H59" s="61"/>
    </row>
    <row r="60" spans="2:8" x14ac:dyDescent="0.25">
      <c r="B60" s="96" t="s">
        <v>283</v>
      </c>
      <c r="C60" s="203" t="s">
        <v>251</v>
      </c>
      <c r="D60" s="204"/>
      <c r="E60" s="64">
        <f>VLOOKUP($I$1,BchSal[],49,FALSE)</f>
        <v>50000</v>
      </c>
      <c r="F60" s="64">
        <f>VLOOKUP($I$1,BchSal[],50,FALSE)</f>
        <v>0</v>
      </c>
    </row>
    <row r="61" spans="2:8" x14ac:dyDescent="0.25">
      <c r="B61" s="96" t="s">
        <v>284</v>
      </c>
      <c r="C61" s="203" t="s">
        <v>181</v>
      </c>
      <c r="D61" s="204"/>
      <c r="E61" s="64">
        <f>VLOOKUP($I$1,BchSal[],51,FALSE)</f>
        <v>5000</v>
      </c>
      <c r="F61" s="64">
        <f>VLOOKUP($I$1,BchSal[],52,FALSE)</f>
        <v>1000</v>
      </c>
      <c r="H61" s="98" t="s">
        <v>328</v>
      </c>
    </row>
    <row r="62" spans="2:8" x14ac:dyDescent="0.25">
      <c r="B62" s="96" t="s">
        <v>285</v>
      </c>
      <c r="C62" s="203" t="s">
        <v>255</v>
      </c>
      <c r="D62" s="204"/>
      <c r="E62" s="64">
        <f>VLOOKUP($I$1,BchSal[],53,FALSE)</f>
        <v>0</v>
      </c>
      <c r="F62" s="64">
        <f>VLOOKUP($I$1,BchSal[],54,FALSE)</f>
        <v>500</v>
      </c>
      <c r="H62" s="98" t="s">
        <v>329</v>
      </c>
    </row>
    <row r="63" spans="2:8" x14ac:dyDescent="0.25">
      <c r="B63" s="96" t="s">
        <v>286</v>
      </c>
      <c r="C63" s="203" t="s">
        <v>256</v>
      </c>
      <c r="D63" s="204"/>
      <c r="E63" s="64">
        <f>VLOOKUP($I$1,BchSal[],55,FALSE)</f>
        <v>0</v>
      </c>
      <c r="F63" s="64">
        <f>VLOOKUP($I$1,BchSal[],56,FALSE)</f>
        <v>0</v>
      </c>
      <c r="H63" s="98" t="s">
        <v>330</v>
      </c>
    </row>
    <row r="64" spans="2:8" x14ac:dyDescent="0.25">
      <c r="B64" s="96" t="s">
        <v>287</v>
      </c>
      <c r="C64" s="203" t="s">
        <v>182</v>
      </c>
      <c r="D64" s="204"/>
      <c r="E64" s="64">
        <f>VLOOKUP($I$1,BchSal[],57,FALSE)</f>
        <v>0</v>
      </c>
      <c r="F64" s="64">
        <f>VLOOKUP($I$1,BchSal[],58,FALSE)</f>
        <v>0</v>
      </c>
      <c r="H64" s="98" t="s">
        <v>328</v>
      </c>
    </row>
    <row r="65" spans="2:8" x14ac:dyDescent="0.25">
      <c r="B65" s="96" t="s">
        <v>288</v>
      </c>
      <c r="C65" s="203" t="s">
        <v>183</v>
      </c>
      <c r="D65" s="204"/>
      <c r="E65" s="64">
        <f>VLOOKUP($I$1,BchSal[],59,FALSE)</f>
        <v>0</v>
      </c>
      <c r="F65" s="64">
        <f>VLOOKUP($I$1,BchSal[],60,FALSE)</f>
        <v>0</v>
      </c>
    </row>
    <row r="66" spans="2:8" x14ac:dyDescent="0.25">
      <c r="B66" s="96" t="s">
        <v>289</v>
      </c>
      <c r="C66" s="203" t="s">
        <v>252</v>
      </c>
      <c r="D66" s="204"/>
      <c r="E66" s="64">
        <f>VLOOKUP($I$1,BchSal[],61,FALSE)</f>
        <v>0</v>
      </c>
      <c r="F66" s="64">
        <f>VLOOKUP($I$1,BchSal[],62,FALSE)</f>
        <v>0</v>
      </c>
    </row>
    <row r="67" spans="2:8" x14ac:dyDescent="0.25">
      <c r="C67" s="66" t="s">
        <v>195</v>
      </c>
      <c r="D67" s="66"/>
      <c r="E67" s="65" t="s">
        <v>179</v>
      </c>
      <c r="F67" s="65" t="s">
        <v>180</v>
      </c>
      <c r="G67" s="61"/>
      <c r="H67" s="61"/>
    </row>
    <row r="68" spans="2:8" x14ac:dyDescent="0.25">
      <c r="B68" s="96" t="s">
        <v>290</v>
      </c>
      <c r="C68" s="203" t="s">
        <v>253</v>
      </c>
      <c r="D68" s="204"/>
      <c r="E68" s="64">
        <f>VLOOKUP($I$1,BchSal[],63,FALSE)</f>
        <v>0</v>
      </c>
      <c r="F68" s="64">
        <f>VLOOKUP($I$1,BchSal[],64,FALSE)</f>
        <v>0</v>
      </c>
      <c r="H68" s="98"/>
    </row>
    <row r="69" spans="2:8" x14ac:dyDescent="0.25">
      <c r="B69" s="96" t="s">
        <v>291</v>
      </c>
      <c r="C69" s="203" t="s">
        <v>185</v>
      </c>
      <c r="D69" s="204"/>
      <c r="E69" s="64">
        <f>VLOOKUP($I$1,BchSal[],65,FALSE)</f>
        <v>0</v>
      </c>
      <c r="F69" s="64">
        <f>VLOOKUP($I$1,BchSal[],66,FALSE)</f>
        <v>0</v>
      </c>
      <c r="H69" s="98"/>
    </row>
    <row r="70" spans="2:8" x14ac:dyDescent="0.25">
      <c r="B70" s="96" t="s">
        <v>292</v>
      </c>
      <c r="C70" s="203" t="s">
        <v>184</v>
      </c>
      <c r="D70" s="204"/>
      <c r="E70" s="64">
        <f>VLOOKUP($I$1,BchSal[],67,FALSE)</f>
        <v>0</v>
      </c>
      <c r="F70" s="64">
        <f>VLOOKUP($I$1,BchSal[],68,FALSE)</f>
        <v>0</v>
      </c>
      <c r="H70" s="98"/>
    </row>
    <row r="71" spans="2:8" x14ac:dyDescent="0.25">
      <c r="B71" s="96" t="s">
        <v>293</v>
      </c>
      <c r="C71" s="203" t="s">
        <v>186</v>
      </c>
      <c r="D71" s="204"/>
      <c r="E71" s="64">
        <f>VLOOKUP($I$1,BchSal[],69,FALSE)</f>
        <v>0</v>
      </c>
      <c r="F71" s="64">
        <f>VLOOKUP($I$1,BchSal[],70,FALSE)</f>
        <v>0</v>
      </c>
      <c r="H71" s="98"/>
    </row>
    <row r="72" spans="2:8" x14ac:dyDescent="0.25">
      <c r="B72" s="96" t="s">
        <v>294</v>
      </c>
      <c r="C72" s="203" t="s">
        <v>254</v>
      </c>
      <c r="D72" s="204"/>
      <c r="E72" s="64">
        <f>VLOOKUP($I$1,BchSal[],71,FALSE)</f>
        <v>0</v>
      </c>
      <c r="F72" s="64">
        <f>VLOOKUP($I$1,BchSal[],72,FALSE)</f>
        <v>0</v>
      </c>
      <c r="H72" s="98"/>
    </row>
    <row r="73" spans="2:8" x14ac:dyDescent="0.25">
      <c r="B73" s="96" t="s">
        <v>295</v>
      </c>
      <c r="C73" s="203" t="s">
        <v>257</v>
      </c>
      <c r="D73" s="204"/>
      <c r="E73" s="64">
        <f>VLOOKUP($I$1,BchSal[],73,FALSE)</f>
        <v>0</v>
      </c>
      <c r="F73" s="64">
        <f>VLOOKUP($I$1,BchSal[],74,FALSE)</f>
        <v>0</v>
      </c>
      <c r="H73" s="98"/>
    </row>
    <row r="74" spans="2:8" x14ac:dyDescent="0.25">
      <c r="B74" s="96" t="s">
        <v>296</v>
      </c>
      <c r="C74" s="203" t="s">
        <v>187</v>
      </c>
      <c r="D74" s="204"/>
      <c r="E74" s="64">
        <f>VLOOKUP($I$1,BchSal[],75,FALSE)</f>
        <v>0</v>
      </c>
      <c r="F74" s="64">
        <f>VLOOKUP($I$1,BchSal[],76,FALSE)</f>
        <v>0</v>
      </c>
      <c r="H74" s="98"/>
    </row>
    <row r="75" spans="2:8" x14ac:dyDescent="0.25">
      <c r="B75" s="96" t="s">
        <v>297</v>
      </c>
      <c r="C75" s="203" t="s">
        <v>188</v>
      </c>
      <c r="D75" s="204"/>
      <c r="E75" s="64">
        <f>VLOOKUP($I$1,BchSal[],77,FALSE)</f>
        <v>0</v>
      </c>
      <c r="F75" s="64">
        <f>VLOOKUP($I$1,BchSal[],78,FALSE)</f>
        <v>0</v>
      </c>
      <c r="H75" s="98"/>
    </row>
    <row r="76" spans="2:8" x14ac:dyDescent="0.25">
      <c r="B76" s="96" t="s">
        <v>298</v>
      </c>
      <c r="C76" s="203" t="s">
        <v>258</v>
      </c>
      <c r="D76" s="204"/>
      <c r="E76" s="64">
        <f>VLOOKUP($I$1,BchSal[],79,FALSE)</f>
        <v>0</v>
      </c>
      <c r="F76" s="64">
        <f>VLOOKUP($I$1,BchSal[],80,FALSE)</f>
        <v>0</v>
      </c>
      <c r="H76" s="98"/>
    </row>
    <row r="77" spans="2:8" x14ac:dyDescent="0.25">
      <c r="B77" s="96" t="s">
        <v>299</v>
      </c>
      <c r="C77" s="203" t="s">
        <v>189</v>
      </c>
      <c r="D77" s="204"/>
      <c r="E77" s="64">
        <f>VLOOKUP($I$1,BchSal[],81,FALSE)</f>
        <v>0</v>
      </c>
      <c r="F77" s="64">
        <f>VLOOKUP($I$1,BchSal[],82,FALSE)</f>
        <v>0</v>
      </c>
      <c r="H77" s="98"/>
    </row>
    <row r="78" spans="2:8" x14ac:dyDescent="0.25">
      <c r="B78" s="96" t="s">
        <v>300</v>
      </c>
      <c r="C78" s="203" t="s">
        <v>190</v>
      </c>
      <c r="D78" s="204"/>
      <c r="E78" s="64">
        <f>VLOOKUP($I$1,BchSal[],83,FALSE)</f>
        <v>0</v>
      </c>
      <c r="F78" s="64">
        <f>VLOOKUP($I$1,BchSal[],84,FALSE)</f>
        <v>0</v>
      </c>
      <c r="H78" s="98"/>
    </row>
    <row r="79" spans="2:8" x14ac:dyDescent="0.25">
      <c r="B79" s="96" t="s">
        <v>301</v>
      </c>
      <c r="C79" s="203" t="s">
        <v>191</v>
      </c>
      <c r="D79" s="204"/>
      <c r="E79" s="64">
        <f>VLOOKUP($I$1,BchSal[],85,FALSE)</f>
        <v>0</v>
      </c>
      <c r="F79" s="64">
        <f>VLOOKUP($I$1,BchSal[],86,FALSE)</f>
        <v>0</v>
      </c>
      <c r="H79" s="98"/>
    </row>
    <row r="80" spans="2:8" x14ac:dyDescent="0.25">
      <c r="B80" s="96" t="s">
        <v>302</v>
      </c>
      <c r="C80" s="203" t="s">
        <v>192</v>
      </c>
      <c r="D80" s="204"/>
      <c r="E80" s="64">
        <f>VLOOKUP($I$1,BchSal[],87,FALSE)</f>
        <v>0</v>
      </c>
      <c r="F80" s="64">
        <f>VLOOKUP($I$1,BchSal[],88,FALSE)</f>
        <v>0</v>
      </c>
      <c r="H80" s="98"/>
    </row>
    <row r="81" spans="2:8" x14ac:dyDescent="0.25">
      <c r="B81" s="96" t="s">
        <v>303</v>
      </c>
      <c r="C81" s="203" t="s">
        <v>259</v>
      </c>
      <c r="D81" s="204"/>
      <c r="E81" s="64">
        <f>VLOOKUP($I$1,BchSal[],89,FALSE)</f>
        <v>0</v>
      </c>
      <c r="F81" s="64">
        <f>VLOOKUP($I$1,BchSal[],90,FALSE)</f>
        <v>0</v>
      </c>
      <c r="H81" s="98"/>
    </row>
    <row r="82" spans="2:8" x14ac:dyDescent="0.25">
      <c r="B82" s="96" t="s">
        <v>304</v>
      </c>
      <c r="C82" s="203" t="s">
        <v>260</v>
      </c>
      <c r="D82" s="204"/>
      <c r="E82" s="64">
        <f>VLOOKUP($I$1,BchSal[],91,FALSE)</f>
        <v>0</v>
      </c>
      <c r="F82" s="64">
        <f>VLOOKUP($I$1,BchSal[],92,FALSE)</f>
        <v>0</v>
      </c>
      <c r="H82" s="98"/>
    </row>
    <row r="83" spans="2:8" x14ac:dyDescent="0.25">
      <c r="B83" s="96" t="s">
        <v>305</v>
      </c>
      <c r="C83" s="203" t="s">
        <v>193</v>
      </c>
      <c r="D83" s="204"/>
      <c r="E83" s="64">
        <f>VLOOKUP($I$1,BchSal[],93,FALSE)</f>
        <v>0</v>
      </c>
      <c r="F83" s="64">
        <f>VLOOKUP($I$1,BchSal[],94,FALSE)</f>
        <v>0</v>
      </c>
      <c r="H83" s="98"/>
    </row>
    <row r="84" spans="2:8" x14ac:dyDescent="0.25">
      <c r="B84" s="96" t="s">
        <v>306</v>
      </c>
      <c r="C84" s="203" t="s">
        <v>261</v>
      </c>
      <c r="D84" s="204"/>
      <c r="E84" s="64">
        <f>VLOOKUP($I$1,BchSal[],95,FALSE)</f>
        <v>0</v>
      </c>
      <c r="F84" s="64">
        <f>VLOOKUP($I$1,BchSal[],96,FALSE)</f>
        <v>0</v>
      </c>
      <c r="H84" s="98"/>
    </row>
    <row r="85" spans="2:8" x14ac:dyDescent="0.25">
      <c r="B85" s="96" t="s">
        <v>307</v>
      </c>
      <c r="C85" s="203" t="s">
        <v>194</v>
      </c>
      <c r="D85" s="204"/>
      <c r="E85" s="64">
        <f>VLOOKUP($I$1,BchSal[],97,FALSE)</f>
        <v>0</v>
      </c>
      <c r="F85" s="64">
        <f>VLOOKUP($I$1,BchSal[],98,FALSE)</f>
        <v>0</v>
      </c>
      <c r="H85" s="98"/>
    </row>
    <row r="86" spans="2:8" x14ac:dyDescent="0.25">
      <c r="B86" s="96" t="s">
        <v>308</v>
      </c>
      <c r="C86" s="203" t="s">
        <v>262</v>
      </c>
      <c r="D86" s="204"/>
      <c r="E86" s="64">
        <f>VLOOKUP($I$1,BchSal[],99,FALSE)</f>
        <v>0</v>
      </c>
      <c r="F86" s="64">
        <f>VLOOKUP($I$1,BchSal[],100,FALSE)</f>
        <v>0</v>
      </c>
      <c r="H86" s="98"/>
    </row>
    <row r="87" spans="2:8" x14ac:dyDescent="0.25">
      <c r="B87" s="96" t="s">
        <v>309</v>
      </c>
      <c r="C87" s="203" t="s">
        <v>263</v>
      </c>
      <c r="D87" s="204"/>
      <c r="E87" s="64">
        <f>VLOOKUP($I$1,BchSal[],101,FALSE)</f>
        <v>0</v>
      </c>
      <c r="F87" s="64">
        <f>VLOOKUP($I$1,BchSal[],102,FALSE)</f>
        <v>0</v>
      </c>
      <c r="H87" s="98"/>
    </row>
    <row r="88" spans="2:8" x14ac:dyDescent="0.25">
      <c r="B88" s="96" t="s">
        <v>310</v>
      </c>
      <c r="C88" s="203" t="s">
        <v>264</v>
      </c>
      <c r="D88" s="204"/>
      <c r="E88" s="64">
        <f>VLOOKUP($I$1,BchSal[],103,FALSE)</f>
        <v>0</v>
      </c>
      <c r="F88" s="64">
        <f>VLOOKUP($I$1,BchSal[],104,FALSE)</f>
        <v>0</v>
      </c>
      <c r="H88" s="98"/>
    </row>
    <row r="89" spans="2:8" x14ac:dyDescent="0.25">
      <c r="C89" s="219" t="s">
        <v>265</v>
      </c>
      <c r="D89" s="219"/>
      <c r="E89" s="219"/>
      <c r="F89" s="219"/>
      <c r="G89" s="61"/>
      <c r="H89" s="61"/>
    </row>
    <row r="90" spans="2:8" x14ac:dyDescent="0.25">
      <c r="B90" s="96" t="s">
        <v>311</v>
      </c>
      <c r="C90" s="203" t="s">
        <v>266</v>
      </c>
      <c r="D90" s="204"/>
      <c r="E90" s="67">
        <f>VLOOKUP($I$1,BchSal[],105,FALSE)</f>
        <v>55000</v>
      </c>
      <c r="F90" s="67">
        <f>VLOOKUP($I$1,BchSal[],106,FALSE)</f>
        <v>1500</v>
      </c>
    </row>
    <row r="91" spans="2:8" x14ac:dyDescent="0.25">
      <c r="B91" s="96">
        <v>116</v>
      </c>
      <c r="C91" s="203" t="s">
        <v>267</v>
      </c>
      <c r="D91" s="204"/>
      <c r="E91" s="202">
        <f>VLOOKUP($I$1,BchSal[],107,FALSE)</f>
        <v>0</v>
      </c>
      <c r="F91" s="202"/>
    </row>
    <row r="92" spans="2:8" x14ac:dyDescent="0.25">
      <c r="B92" s="96">
        <v>117</v>
      </c>
      <c r="C92" s="203" t="s">
        <v>268</v>
      </c>
      <c r="D92" s="204"/>
      <c r="E92" s="202">
        <f>VLOOKUP($I$1,BchSal[],108,FALSE)</f>
        <v>0</v>
      </c>
      <c r="F92" s="202"/>
    </row>
    <row r="93" spans="2:8" x14ac:dyDescent="0.25">
      <c r="B93" s="96">
        <v>118</v>
      </c>
      <c r="C93" s="203" t="s">
        <v>269</v>
      </c>
      <c r="D93" s="204"/>
      <c r="E93" s="202">
        <f>VLOOKUP($I$1,BchSal[],109,FALSE)</f>
        <v>0</v>
      </c>
      <c r="F93" s="202"/>
    </row>
    <row r="94" spans="2:8" x14ac:dyDescent="0.25">
      <c r="B94" s="96">
        <v>119</v>
      </c>
      <c r="C94" s="203" t="s">
        <v>270</v>
      </c>
      <c r="D94" s="204"/>
      <c r="E94" s="202">
        <f>VLOOKUP($I$1,BchSal[],110,FALSE)</f>
        <v>0</v>
      </c>
      <c r="F94" s="202"/>
    </row>
    <row r="95" spans="2:8" x14ac:dyDescent="0.25">
      <c r="B95" s="96">
        <v>120</v>
      </c>
      <c r="C95" s="203" t="s">
        <v>271</v>
      </c>
      <c r="D95" s="204"/>
      <c r="E95" s="220"/>
      <c r="F95" s="220"/>
    </row>
    <row r="96" spans="2:8" x14ac:dyDescent="0.25">
      <c r="B96" s="96">
        <v>121</v>
      </c>
      <c r="C96" s="203" t="s">
        <v>272</v>
      </c>
      <c r="D96" s="204"/>
      <c r="E96" s="220"/>
      <c r="F96" s="220"/>
    </row>
    <row r="97" spans="1:8" x14ac:dyDescent="0.25">
      <c r="B97" s="96">
        <v>122</v>
      </c>
      <c r="C97" s="203" t="s">
        <v>273</v>
      </c>
      <c r="D97" s="204"/>
      <c r="E97" s="202">
        <f>VLOOKUP($I$1,BchSal[],113,FALSE)</f>
        <v>0</v>
      </c>
      <c r="F97" s="202"/>
    </row>
    <row r="98" spans="1:8" x14ac:dyDescent="0.25">
      <c r="B98" s="96">
        <v>123</v>
      </c>
      <c r="C98" s="203" t="s">
        <v>274</v>
      </c>
      <c r="D98" s="204"/>
      <c r="E98" s="202">
        <f>VLOOKUP($I$1,BchSal[],114,FALSE)</f>
        <v>0</v>
      </c>
      <c r="F98" s="202"/>
    </row>
    <row r="99" spans="1:8" x14ac:dyDescent="0.25">
      <c r="B99" s="96">
        <v>124</v>
      </c>
      <c r="C99" s="203" t="s">
        <v>90</v>
      </c>
      <c r="D99" s="204"/>
      <c r="E99" s="202">
        <f>VLOOKUP($I$1,BchSal[],115,FALSE)</f>
        <v>56500</v>
      </c>
      <c r="F99" s="202"/>
    </row>
    <row r="100" spans="1:8" x14ac:dyDescent="0.25">
      <c r="B100" s="96">
        <v>125</v>
      </c>
      <c r="C100" s="203" t="s">
        <v>275</v>
      </c>
      <c r="D100" s="204"/>
      <c r="E100" s="202">
        <f>VLOOKUP($I$1,BchSal[],116,FALSE)</f>
        <v>0</v>
      </c>
      <c r="F100" s="202"/>
    </row>
    <row r="101" spans="1:8" x14ac:dyDescent="0.25">
      <c r="B101" s="96">
        <v>126</v>
      </c>
      <c r="C101" s="203" t="s">
        <v>276</v>
      </c>
      <c r="D101" s="204"/>
      <c r="E101" s="202">
        <f>VLOOKUP($I$1,BchSal[],117,FALSE)</f>
        <v>797</v>
      </c>
      <c r="F101" s="202"/>
    </row>
    <row r="102" spans="1:8" x14ac:dyDescent="0.25">
      <c r="C102" s="62" t="s">
        <v>196</v>
      </c>
      <c r="D102" s="62"/>
      <c r="E102" s="63"/>
      <c r="F102" s="63"/>
      <c r="G102" s="61"/>
      <c r="H102" s="61"/>
    </row>
    <row r="103" spans="1:8" x14ac:dyDescent="0.25">
      <c r="A103" s="29">
        <v>118</v>
      </c>
      <c r="C103" s="203" t="s">
        <v>197</v>
      </c>
      <c r="D103" s="204"/>
      <c r="E103" s="202">
        <f>VLOOKUP($I$1,BchSal[],A103,FALSE)</f>
        <v>56500</v>
      </c>
      <c r="F103" s="202"/>
    </row>
    <row r="104" spans="1:8" x14ac:dyDescent="0.25">
      <c r="A104" s="29">
        <v>119</v>
      </c>
      <c r="C104" s="203" t="s">
        <v>35</v>
      </c>
      <c r="D104" s="204"/>
      <c r="E104" s="202">
        <f>VLOOKUP($I$1,BchSal[],A104,FALSE)</f>
        <v>1500</v>
      </c>
      <c r="F104" s="202"/>
    </row>
    <row r="105" spans="1:8" x14ac:dyDescent="0.25">
      <c r="A105" s="29">
        <v>120</v>
      </c>
      <c r="B105" s="96">
        <v>127</v>
      </c>
      <c r="C105" s="203" t="s">
        <v>91</v>
      </c>
      <c r="D105" s="204"/>
      <c r="E105" s="202">
        <f>VLOOKUP($I$1,BchSal[],A105,FALSE)</f>
        <v>0</v>
      </c>
      <c r="F105" s="202"/>
    </row>
    <row r="106" spans="1:8" x14ac:dyDescent="0.25">
      <c r="A106" s="29">
        <v>121</v>
      </c>
      <c r="C106" s="203" t="s">
        <v>37</v>
      </c>
      <c r="D106" s="204"/>
      <c r="E106" s="202">
        <f>VLOOKUP($I$1,BchSal[],A106,FALSE)</f>
        <v>55000</v>
      </c>
      <c r="F106" s="202"/>
    </row>
    <row r="107" spans="1:8" x14ac:dyDescent="0.25">
      <c r="A107" s="29">
        <v>122</v>
      </c>
      <c r="C107" s="203" t="s">
        <v>38</v>
      </c>
      <c r="D107" s="204"/>
      <c r="E107" s="202">
        <f>VLOOKUP($I$1,BchSal[],A107,FALSE)</f>
        <v>0</v>
      </c>
      <c r="F107" s="202"/>
    </row>
    <row r="108" spans="1:8" x14ac:dyDescent="0.25">
      <c r="A108" s="29">
        <v>123</v>
      </c>
      <c r="B108" s="96">
        <v>128</v>
      </c>
      <c r="C108" s="203" t="s">
        <v>46</v>
      </c>
      <c r="D108" s="204"/>
      <c r="E108" s="202">
        <f>VLOOKUP($I$1,BchSal[],A108,FALSE)</f>
        <v>3454</v>
      </c>
      <c r="F108" s="202"/>
      <c r="H108" s="98" t="s">
        <v>439</v>
      </c>
    </row>
    <row r="109" spans="1:8" x14ac:dyDescent="0.25">
      <c r="A109" s="29">
        <v>124</v>
      </c>
      <c r="B109" s="96">
        <v>129</v>
      </c>
      <c r="C109" s="203" t="s">
        <v>47</v>
      </c>
      <c r="D109" s="204"/>
      <c r="E109" s="202">
        <f>VLOOKUP($I$1,BchSal[],A109,FALSE)</f>
        <v>0</v>
      </c>
      <c r="F109" s="202"/>
    </row>
    <row r="110" spans="1:8" x14ac:dyDescent="0.25">
      <c r="A110" s="29">
        <v>125</v>
      </c>
      <c r="B110" s="96">
        <v>130</v>
      </c>
      <c r="C110" s="203" t="s">
        <v>48</v>
      </c>
      <c r="D110" s="204"/>
      <c r="E110" s="202">
        <f>VLOOKUP($I$1,BchSal[],A110,FALSE)</f>
        <v>0</v>
      </c>
      <c r="F110" s="202"/>
    </row>
    <row r="111" spans="1:8" x14ac:dyDescent="0.25">
      <c r="C111" s="203" t="s">
        <v>277</v>
      </c>
      <c r="D111" s="204"/>
      <c r="E111" s="220"/>
      <c r="F111" s="220"/>
    </row>
    <row r="112" spans="1:8" x14ac:dyDescent="0.25">
      <c r="C112" s="203" t="s">
        <v>278</v>
      </c>
      <c r="D112" s="204"/>
      <c r="E112" s="220"/>
      <c r="F112" s="220"/>
    </row>
    <row r="113" spans="1:9" x14ac:dyDescent="0.25">
      <c r="A113" s="29">
        <v>126</v>
      </c>
      <c r="B113" s="96">
        <v>131</v>
      </c>
      <c r="C113" s="203" t="s">
        <v>49</v>
      </c>
      <c r="D113" s="204"/>
      <c r="E113" s="202">
        <f>VLOOKUP($I$1,BchSal[],A113,FALSE)</f>
        <v>0</v>
      </c>
      <c r="F113" s="202"/>
    </row>
    <row r="114" spans="1:9" x14ac:dyDescent="0.25">
      <c r="A114" s="29">
        <v>127</v>
      </c>
      <c r="B114" s="96">
        <v>132</v>
      </c>
      <c r="C114" s="203" t="s">
        <v>50</v>
      </c>
      <c r="D114" s="204"/>
      <c r="E114" s="202">
        <f>VLOOKUP($I$1,BchSal[],A114,FALSE)</f>
        <v>0</v>
      </c>
      <c r="F114" s="202"/>
    </row>
    <row r="115" spans="1:9" x14ac:dyDescent="0.25">
      <c r="A115" s="29">
        <v>128</v>
      </c>
      <c r="C115" s="72" t="s">
        <v>279</v>
      </c>
      <c r="D115" s="95"/>
      <c r="E115" s="202">
        <f>VLOOKUP($I$1,BchSal[],A115,FALSE)</f>
        <v>0</v>
      </c>
      <c r="F115" s="202"/>
      <c r="H115" s="232" t="s">
        <v>438</v>
      </c>
      <c r="I115" s="233"/>
    </row>
    <row r="116" spans="1:9" x14ac:dyDescent="0.25">
      <c r="A116" s="29">
        <v>129</v>
      </c>
      <c r="C116" s="72" t="s">
        <v>280</v>
      </c>
      <c r="D116" s="95"/>
      <c r="E116" s="202">
        <f>VLOOKUP($I$1,BchSal[],A116,FALSE)</f>
        <v>0</v>
      </c>
      <c r="F116" s="202"/>
      <c r="H116" s="234">
        <f>E115-E116-E117</f>
        <v>0</v>
      </c>
      <c r="I116" s="235"/>
    </row>
    <row r="117" spans="1:9" x14ac:dyDescent="0.25">
      <c r="A117" s="29">
        <v>130</v>
      </c>
      <c r="B117" s="96">
        <v>133</v>
      </c>
      <c r="C117" s="203" t="s">
        <v>93</v>
      </c>
      <c r="D117" s="204"/>
      <c r="E117" s="202">
        <f>VLOOKUP($I$1,BchSal[],A117,FALSE)</f>
        <v>0</v>
      </c>
      <c r="F117" s="202"/>
    </row>
    <row r="118" spans="1:9" ht="15" customHeight="1" x14ac:dyDescent="0.25">
      <c r="A118" s="29">
        <v>131</v>
      </c>
      <c r="B118" s="96">
        <v>134</v>
      </c>
      <c r="C118" s="203" t="s">
        <v>281</v>
      </c>
      <c r="D118" s="204"/>
      <c r="E118" s="202">
        <f>VLOOKUP($I$1,BchSal[],A118,FALSE)</f>
        <v>4500</v>
      </c>
      <c r="F118" s="202"/>
    </row>
    <row r="119" spans="1:9" x14ac:dyDescent="0.25">
      <c r="C119" s="229" t="s">
        <v>201</v>
      </c>
      <c r="D119" s="229"/>
      <c r="E119" s="229"/>
      <c r="F119" s="229"/>
      <c r="G119" s="61"/>
      <c r="H119" s="61"/>
    </row>
    <row r="120" spans="1:9" x14ac:dyDescent="0.25">
      <c r="C120" s="59" t="str">
        <f>"RFC:  "&amp;Instrucciones!C6&amp;"              CURP:  "&amp;Instrucciones!C7</f>
        <v xml:space="preserve">RFC:  HIJ010101IJ5              CURP:  </v>
      </c>
      <c r="D120" s="60"/>
      <c r="E120" s="56"/>
      <c r="F120" s="57"/>
      <c r="G120" s="58"/>
      <c r="H120" s="58"/>
    </row>
    <row r="121" spans="1:9" x14ac:dyDescent="0.25">
      <c r="C121" s="226" t="str">
        <f>Instrucciones!C5</f>
        <v>HIJOLE SA DE CV</v>
      </c>
      <c r="D121" s="216"/>
      <c r="E121" s="216"/>
      <c r="F121" s="217"/>
    </row>
    <row r="122" spans="1:9" x14ac:dyDescent="0.25">
      <c r="C122" s="229" t="s">
        <v>202</v>
      </c>
      <c r="D122" s="229"/>
      <c r="E122" s="229"/>
      <c r="F122" s="229"/>
      <c r="G122" s="61"/>
      <c r="H122" s="61"/>
    </row>
    <row r="123" spans="1:9" x14ac:dyDescent="0.25">
      <c r="C123" s="59" t="str">
        <f>"RFC:  "&amp;Instrucciones!C10&amp;"              CURP:  "&amp;Instrucciones!C11</f>
        <v>RFC:  MONO720101TW8              CURP:  MONO720101HDFRVL04</v>
      </c>
      <c r="D123" s="60"/>
      <c r="E123" s="56"/>
      <c r="F123" s="57"/>
      <c r="G123" s="58"/>
      <c r="H123" s="58"/>
    </row>
    <row r="124" spans="1:9" x14ac:dyDescent="0.25">
      <c r="C124" s="226" t="str">
        <f>Instrucciones!C9</f>
        <v>MORALES NAVARRO OLAF</v>
      </c>
      <c r="D124" s="227"/>
      <c r="E124" s="227"/>
      <c r="F124" s="228"/>
    </row>
    <row r="125" spans="1:9" s="68" customFormat="1" x14ac:dyDescent="0.25">
      <c r="B125" s="97"/>
      <c r="C125" s="69"/>
      <c r="D125" s="69"/>
      <c r="E125" s="70"/>
      <c r="F125" s="70"/>
    </row>
    <row r="126" spans="1:9" s="68" customFormat="1" ht="80.099999999999994" customHeight="1" x14ac:dyDescent="0.25">
      <c r="B126" s="97"/>
      <c r="C126" s="71" t="s">
        <v>198</v>
      </c>
      <c r="D126" s="71" t="s">
        <v>199</v>
      </c>
      <c r="E126" s="224" t="s">
        <v>200</v>
      </c>
      <c r="F126" s="225"/>
    </row>
    <row r="127" spans="1:9" s="68" customFormat="1" x14ac:dyDescent="0.25">
      <c r="B127" s="97"/>
      <c r="C127" s="69"/>
      <c r="D127" s="69"/>
      <c r="E127" s="70"/>
      <c r="F127" s="70"/>
    </row>
    <row r="128" spans="1:9" x14ac:dyDescent="0.25">
      <c r="C128" s="223" t="s">
        <v>423</v>
      </c>
      <c r="D128" s="223"/>
      <c r="E128" s="223"/>
      <c r="F128" s="223"/>
      <c r="G128" s="61"/>
      <c r="H128" s="61"/>
    </row>
    <row r="129" spans="1:6" x14ac:dyDescent="0.25">
      <c r="A129" s="29">
        <v>132</v>
      </c>
      <c r="C129" s="221" t="s">
        <v>104</v>
      </c>
      <c r="D129" s="222"/>
      <c r="E129" s="202">
        <f>VLOOKUP($I$1,BchSal[],A129,FALSE)</f>
        <v>3454</v>
      </c>
      <c r="F129" s="202"/>
    </row>
    <row r="130" spans="1:6" x14ac:dyDescent="0.25">
      <c r="A130" s="29">
        <v>133</v>
      </c>
      <c r="B130" s="96">
        <v>116</v>
      </c>
      <c r="C130" s="221" t="s">
        <v>208</v>
      </c>
      <c r="D130" s="222"/>
      <c r="E130" s="202">
        <f>VLOOKUP($I$1,BchSal[],A130,FALSE)</f>
        <v>4500</v>
      </c>
      <c r="F130" s="202"/>
    </row>
    <row r="131" spans="1:6" x14ac:dyDescent="0.25">
      <c r="A131" s="29">
        <v>134</v>
      </c>
      <c r="C131" s="221" t="s">
        <v>51</v>
      </c>
      <c r="D131" s="222"/>
      <c r="E131" s="202">
        <f>VLOOKUP($I$1,BchSal[],A131,FALSE)</f>
        <v>0</v>
      </c>
      <c r="F131" s="202"/>
    </row>
  </sheetData>
  <mergeCells count="202">
    <mergeCell ref="H115:I115"/>
    <mergeCell ref="H116:I116"/>
    <mergeCell ref="C108:D108"/>
    <mergeCell ref="E108:F108"/>
    <mergeCell ref="C103:D103"/>
    <mergeCell ref="C106:D106"/>
    <mergeCell ref="C109:D109"/>
    <mergeCell ref="C110:D110"/>
    <mergeCell ref="C113:D113"/>
    <mergeCell ref="C111:D111"/>
    <mergeCell ref="C112:D112"/>
    <mergeCell ref="E106:F106"/>
    <mergeCell ref="E109:F109"/>
    <mergeCell ref="E113:F113"/>
    <mergeCell ref="E110:F110"/>
    <mergeCell ref="E111:F111"/>
    <mergeCell ref="E112:F112"/>
    <mergeCell ref="H3:I3"/>
    <mergeCell ref="C9:D9"/>
    <mergeCell ref="E9:F9"/>
    <mergeCell ref="C10:D10"/>
    <mergeCell ref="E10:F10"/>
    <mergeCell ref="C104:D104"/>
    <mergeCell ref="E104:F104"/>
    <mergeCell ref="C107:D107"/>
    <mergeCell ref="E107:F107"/>
    <mergeCell ref="C98:D98"/>
    <mergeCell ref="C99:D99"/>
    <mergeCell ref="C100:D100"/>
    <mergeCell ref="C22:D22"/>
    <mergeCell ref="C23:D23"/>
    <mergeCell ref="C24:D24"/>
    <mergeCell ref="E17:F17"/>
    <mergeCell ref="E18:F18"/>
    <mergeCell ref="E19:F19"/>
    <mergeCell ref="E20:F20"/>
    <mergeCell ref="E21:F21"/>
    <mergeCell ref="E22:F22"/>
    <mergeCell ref="E23:F23"/>
    <mergeCell ref="E24:F24"/>
    <mergeCell ref="C17:D17"/>
    <mergeCell ref="C129:D129"/>
    <mergeCell ref="C130:D130"/>
    <mergeCell ref="C131:D131"/>
    <mergeCell ref="C114:D114"/>
    <mergeCell ref="C117:D117"/>
    <mergeCell ref="C118:D118"/>
    <mergeCell ref="C128:F128"/>
    <mergeCell ref="E126:F126"/>
    <mergeCell ref="C124:F124"/>
    <mergeCell ref="E115:F115"/>
    <mergeCell ref="E116:F116"/>
    <mergeCell ref="C121:F121"/>
    <mergeCell ref="C119:F119"/>
    <mergeCell ref="C122:F122"/>
    <mergeCell ref="E131:F131"/>
    <mergeCell ref="E129:F129"/>
    <mergeCell ref="E130:F130"/>
    <mergeCell ref="E114:F114"/>
    <mergeCell ref="E117:F117"/>
    <mergeCell ref="E118:F118"/>
    <mergeCell ref="C101:D101"/>
    <mergeCell ref="C105:D105"/>
    <mergeCell ref="C93:D93"/>
    <mergeCell ref="C94:D94"/>
    <mergeCell ref="C95:D95"/>
    <mergeCell ref="C96:D96"/>
    <mergeCell ref="C97:D97"/>
    <mergeCell ref="C87:D87"/>
    <mergeCell ref="C88:D88"/>
    <mergeCell ref="C90:D90"/>
    <mergeCell ref="C91:D91"/>
    <mergeCell ref="C92:D92"/>
    <mergeCell ref="C89:F89"/>
    <mergeCell ref="E99:F99"/>
    <mergeCell ref="E94:F94"/>
    <mergeCell ref="E95:F95"/>
    <mergeCell ref="E96:F96"/>
    <mergeCell ref="E97:F97"/>
    <mergeCell ref="E98:F98"/>
    <mergeCell ref="E100:F100"/>
    <mergeCell ref="E101:F101"/>
    <mergeCell ref="E105:F105"/>
    <mergeCell ref="E103:F103"/>
    <mergeCell ref="C82:D82"/>
    <mergeCell ref="C83:D83"/>
    <mergeCell ref="C84:D84"/>
    <mergeCell ref="C85:D85"/>
    <mergeCell ref="C86:D86"/>
    <mergeCell ref="C77:D77"/>
    <mergeCell ref="C78:D78"/>
    <mergeCell ref="C79:D79"/>
    <mergeCell ref="C80:D80"/>
    <mergeCell ref="C81:D81"/>
    <mergeCell ref="C31:D31"/>
    <mergeCell ref="C32:D32"/>
    <mergeCell ref="C33:D33"/>
    <mergeCell ref="C34:D34"/>
    <mergeCell ref="C46:D46"/>
    <mergeCell ref="C47:D47"/>
    <mergeCell ref="C48:D48"/>
    <mergeCell ref="C49:D49"/>
    <mergeCell ref="C51:D51"/>
    <mergeCell ref="C40:D40"/>
    <mergeCell ref="C42:D42"/>
    <mergeCell ref="C43:D43"/>
    <mergeCell ref="C44:D44"/>
    <mergeCell ref="C45:D45"/>
    <mergeCell ref="C6:D6"/>
    <mergeCell ref="C7:D7"/>
    <mergeCell ref="C11:D11"/>
    <mergeCell ref="C12:D12"/>
    <mergeCell ref="C13:D13"/>
    <mergeCell ref="C1:F1"/>
    <mergeCell ref="E32:F32"/>
    <mergeCell ref="E12:F12"/>
    <mergeCell ref="E13:F13"/>
    <mergeCell ref="E14:F14"/>
    <mergeCell ref="E15:F15"/>
    <mergeCell ref="E16:F16"/>
    <mergeCell ref="E25:F25"/>
    <mergeCell ref="E5:F5"/>
    <mergeCell ref="E6:F6"/>
    <mergeCell ref="E7:F7"/>
    <mergeCell ref="E11:F11"/>
    <mergeCell ref="C3:F3"/>
    <mergeCell ref="C2:D2"/>
    <mergeCell ref="C5:D5"/>
    <mergeCell ref="C8:F8"/>
    <mergeCell ref="C29:F29"/>
    <mergeCell ref="E31:F31"/>
    <mergeCell ref="C30:F30"/>
    <mergeCell ref="E42:F42"/>
    <mergeCell ref="E43:F43"/>
    <mergeCell ref="E44:F44"/>
    <mergeCell ref="E45:F45"/>
    <mergeCell ref="E33:F33"/>
    <mergeCell ref="E34:F34"/>
    <mergeCell ref="E35:F35"/>
    <mergeCell ref="E36:F36"/>
    <mergeCell ref="E37:F37"/>
    <mergeCell ref="E38:F38"/>
    <mergeCell ref="C41:F41"/>
    <mergeCell ref="E39:F39"/>
    <mergeCell ref="E40:F40"/>
    <mergeCell ref="C35:D35"/>
    <mergeCell ref="C36:D36"/>
    <mergeCell ref="C37:D37"/>
    <mergeCell ref="C38:D38"/>
    <mergeCell ref="C39:D39"/>
    <mergeCell ref="E26:F26"/>
    <mergeCell ref="E27:F27"/>
    <mergeCell ref="E28:F28"/>
    <mergeCell ref="C14:D14"/>
    <mergeCell ref="C15:D15"/>
    <mergeCell ref="C16:D16"/>
    <mergeCell ref="C25:D25"/>
    <mergeCell ref="C26:D26"/>
    <mergeCell ref="C27:D27"/>
    <mergeCell ref="C28:D28"/>
    <mergeCell ref="C18:D18"/>
    <mergeCell ref="C19:D19"/>
    <mergeCell ref="C20:D20"/>
    <mergeCell ref="C21:D21"/>
    <mergeCell ref="E55:F55"/>
    <mergeCell ref="E46:F46"/>
    <mergeCell ref="E47:F47"/>
    <mergeCell ref="E48:F48"/>
    <mergeCell ref="E49:F49"/>
    <mergeCell ref="C50:F50"/>
    <mergeCell ref="E51:F51"/>
    <mergeCell ref="E52:F52"/>
    <mergeCell ref="E53:F53"/>
    <mergeCell ref="E54:F54"/>
    <mergeCell ref="C52:D52"/>
    <mergeCell ref="C53:D53"/>
    <mergeCell ref="C54:D54"/>
    <mergeCell ref="C55:D55"/>
    <mergeCell ref="E56:F56"/>
    <mergeCell ref="E57:F57"/>
    <mergeCell ref="C58:F58"/>
    <mergeCell ref="E91:F91"/>
    <mergeCell ref="E92:F92"/>
    <mergeCell ref="E93:F93"/>
    <mergeCell ref="C62:D62"/>
    <mergeCell ref="C63:D63"/>
    <mergeCell ref="C64:D64"/>
    <mergeCell ref="C65:D65"/>
    <mergeCell ref="C66:D66"/>
    <mergeCell ref="C68:D68"/>
    <mergeCell ref="C69:D69"/>
    <mergeCell ref="C70:D70"/>
    <mergeCell ref="C71:D71"/>
    <mergeCell ref="C72:D72"/>
    <mergeCell ref="C73:D73"/>
    <mergeCell ref="C74:D74"/>
    <mergeCell ref="C75:D75"/>
    <mergeCell ref="C76:D76"/>
    <mergeCell ref="C56:D56"/>
    <mergeCell ref="C57:D57"/>
    <mergeCell ref="C60:D60"/>
    <mergeCell ref="C61:D61"/>
  </mergeCells>
  <conditionalFormatting sqref="H116:I116">
    <cfRule type="cellIs" dxfId="55" priority="1" operator="notEqual">
      <formula>0</formula>
    </cfRule>
  </conditionalFormatting>
  <hyperlinks>
    <hyperlink ref="H13" location="Tablas!F39" tooltip="Ver Claves" display="Ver Claves"/>
    <hyperlink ref="H14" location="Tablas!I26" tooltip="Ver Entidades" display="Ver Entidades"/>
  </hyperlinks>
  <pageMargins left="0.70866141732283472" right="0.70866141732283472" top="0.78" bottom="0.35433070866141736" header="0.31496062992125984" footer="0.31496062992125984"/>
  <pageSetup scale="72" orientation="portrait" r:id="rId1"/>
  <headerFooter>
    <oddHeader>&amp;C&amp;"Arial,Negrita"&amp;12CONSTANCIA DE SUELDOS, SALARIOS, CONCEPTOS ASIMILADOS, CRÉDITO AL SALARIO Y SUBSIDIO PARA EL EMPLEO (INCLUYE INGRESOS POR ACCIONES)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pageSetUpPr autoPageBreaks="0"/>
  </sheetPr>
  <dimension ref="A1:AG16"/>
  <sheetViews>
    <sheetView showGridLines="0" topLeftCell="K1" workbookViewId="0">
      <selection activeCell="R4" sqref="R4"/>
    </sheetView>
  </sheetViews>
  <sheetFormatPr baseColWidth="10" defaultRowHeight="14.25" outlineLevelCol="1" x14ac:dyDescent="0.2"/>
  <cols>
    <col min="1" max="1" width="8.7109375" style="73" customWidth="1"/>
    <col min="2" max="2" width="21.7109375" style="73" customWidth="1"/>
    <col min="3" max="3" width="22.7109375" style="73" customWidth="1" outlineLevel="1"/>
    <col min="4" max="5" width="5.7109375" style="73" customWidth="1" outlineLevel="1"/>
    <col min="6" max="6" width="50.7109375" style="73" customWidth="1" outlineLevel="1"/>
    <col min="7" max="9" width="11.7109375" style="73" customWidth="1"/>
    <col min="10" max="10" width="33.7109375" style="73" customWidth="1"/>
    <col min="11" max="12" width="11.7109375" style="73" customWidth="1"/>
    <col min="13" max="13" width="11.7109375" style="73" customWidth="1" outlineLevel="1"/>
    <col min="14" max="14" width="50.7109375" style="73" customWidth="1" outlineLevel="1"/>
    <col min="15" max="17" width="11.7109375" style="73" customWidth="1"/>
    <col min="18" max="18" width="30.7109375" style="73" customWidth="1"/>
    <col min="19" max="21" width="11.7109375" style="73" customWidth="1" outlineLevel="1"/>
    <col min="22" max="22" width="30.7109375" style="73" customWidth="1" outlineLevel="1"/>
    <col min="23" max="28" width="11.7109375" style="73" customWidth="1" outlineLevel="1"/>
    <col min="29" max="31" width="11.7109375" style="73" customWidth="1"/>
    <col min="32" max="32" width="60.7109375" style="73" customWidth="1"/>
    <col min="33" max="33" width="8.7109375" style="73" customWidth="1"/>
    <col min="34" max="16384" width="11.42578125" style="73"/>
  </cols>
  <sheetData>
    <row r="1" spans="1:33" x14ac:dyDescent="0.2">
      <c r="A1" s="37" t="s">
        <v>111</v>
      </c>
      <c r="B1" s="41">
        <v>1</v>
      </c>
      <c r="C1" s="41">
        <v>2</v>
      </c>
      <c r="D1" s="41">
        <v>3</v>
      </c>
      <c r="E1" s="41">
        <v>4</v>
      </c>
      <c r="F1" s="41">
        <v>5</v>
      </c>
      <c r="G1" s="41">
        <v>6</v>
      </c>
      <c r="H1" s="41">
        <v>7</v>
      </c>
      <c r="I1" s="41">
        <v>8</v>
      </c>
      <c r="J1" s="41">
        <v>9</v>
      </c>
      <c r="K1" s="41">
        <v>10</v>
      </c>
      <c r="L1" s="41">
        <v>11</v>
      </c>
      <c r="M1" s="41">
        <v>12</v>
      </c>
      <c r="N1" s="41">
        <v>13</v>
      </c>
      <c r="O1" s="41">
        <v>14</v>
      </c>
      <c r="P1" s="41">
        <v>15</v>
      </c>
      <c r="Q1" s="41">
        <v>16</v>
      </c>
      <c r="R1" s="41">
        <v>17</v>
      </c>
      <c r="S1" s="41">
        <v>18</v>
      </c>
      <c r="T1" s="41">
        <v>19</v>
      </c>
      <c r="U1" s="41">
        <v>20</v>
      </c>
      <c r="V1" s="41">
        <v>21</v>
      </c>
      <c r="W1" s="41">
        <v>22</v>
      </c>
      <c r="X1" s="41">
        <v>23</v>
      </c>
      <c r="Y1" s="41">
        <v>24</v>
      </c>
      <c r="Z1" s="41">
        <v>25</v>
      </c>
      <c r="AA1" s="41">
        <v>26</v>
      </c>
      <c r="AB1" s="41">
        <v>27</v>
      </c>
      <c r="AC1" s="41">
        <v>28</v>
      </c>
      <c r="AD1" s="41">
        <v>29</v>
      </c>
      <c r="AE1" s="41">
        <v>30</v>
      </c>
    </row>
    <row r="2" spans="1:33" x14ac:dyDescent="0.2">
      <c r="A2" s="113"/>
      <c r="B2" s="5" t="s">
        <v>29</v>
      </c>
      <c r="C2" s="102"/>
      <c r="D2" s="102"/>
      <c r="E2" s="102"/>
      <c r="F2" s="102"/>
      <c r="G2" s="6" t="s">
        <v>378</v>
      </c>
      <c r="H2" s="109"/>
      <c r="I2" s="109"/>
      <c r="J2" s="7" t="s">
        <v>380</v>
      </c>
      <c r="K2" s="110"/>
      <c r="L2" s="110"/>
      <c r="M2" s="110"/>
      <c r="N2" s="110"/>
      <c r="O2" s="6" t="s">
        <v>381</v>
      </c>
      <c r="P2" s="109"/>
      <c r="Q2" s="109"/>
      <c r="R2" s="7" t="s">
        <v>382</v>
      </c>
      <c r="S2" s="110"/>
      <c r="T2" s="110"/>
      <c r="U2" s="110"/>
      <c r="V2" s="110"/>
      <c r="W2" s="110"/>
      <c r="X2" s="110"/>
      <c r="Y2" s="110"/>
      <c r="Z2" s="110"/>
      <c r="AA2" s="110"/>
      <c r="AB2" s="110"/>
      <c r="AC2" s="110"/>
      <c r="AD2" s="110"/>
      <c r="AE2" s="110"/>
      <c r="AF2" s="49" t="s">
        <v>78</v>
      </c>
      <c r="AG2" s="111"/>
    </row>
    <row r="3" spans="1:33" s="36" customFormat="1" ht="75" customHeight="1" x14ac:dyDescent="0.2">
      <c r="A3" s="103" t="s">
        <v>125</v>
      </c>
      <c r="B3" s="26" t="s">
        <v>0</v>
      </c>
      <c r="C3" s="26" t="s">
        <v>116</v>
      </c>
      <c r="D3" s="26" t="s">
        <v>1</v>
      </c>
      <c r="E3" s="26" t="s">
        <v>2</v>
      </c>
      <c r="F3" s="26" t="s">
        <v>391</v>
      </c>
      <c r="G3" s="28" t="s">
        <v>359</v>
      </c>
      <c r="H3" s="28" t="s">
        <v>358</v>
      </c>
      <c r="I3" s="28" t="s">
        <v>360</v>
      </c>
      <c r="J3" s="27" t="s">
        <v>335</v>
      </c>
      <c r="K3" s="27" t="s">
        <v>336</v>
      </c>
      <c r="L3" s="27" t="s">
        <v>337</v>
      </c>
      <c r="M3" s="27" t="s">
        <v>338</v>
      </c>
      <c r="N3" s="27" t="s">
        <v>339</v>
      </c>
      <c r="O3" s="28" t="s">
        <v>340</v>
      </c>
      <c r="P3" s="28" t="s">
        <v>341</v>
      </c>
      <c r="Q3" s="28" t="s">
        <v>342</v>
      </c>
      <c r="R3" s="27" t="s">
        <v>343</v>
      </c>
      <c r="S3" s="27" t="s">
        <v>344</v>
      </c>
      <c r="T3" s="27" t="s">
        <v>355</v>
      </c>
      <c r="U3" s="27" t="s">
        <v>356</v>
      </c>
      <c r="V3" s="27" t="s">
        <v>345</v>
      </c>
      <c r="W3" s="27" t="s">
        <v>346</v>
      </c>
      <c r="X3" s="27" t="s">
        <v>347</v>
      </c>
      <c r="Y3" s="27" t="s">
        <v>348</v>
      </c>
      <c r="Z3" s="27" t="s">
        <v>349</v>
      </c>
      <c r="AA3" s="27" t="s">
        <v>350</v>
      </c>
      <c r="AB3" s="27" t="s">
        <v>351</v>
      </c>
      <c r="AC3" s="27" t="s">
        <v>352</v>
      </c>
      <c r="AD3" s="27" t="s">
        <v>353</v>
      </c>
      <c r="AE3" s="27" t="s">
        <v>354</v>
      </c>
      <c r="AF3" s="50" t="s">
        <v>377</v>
      </c>
      <c r="AG3" s="116" t="s">
        <v>479</v>
      </c>
    </row>
    <row r="4" spans="1:33" s="30" customFormat="1" ht="12.75" x14ac:dyDescent="0.2">
      <c r="A4" s="51">
        <v>1</v>
      </c>
      <c r="B4" s="52" t="s">
        <v>331</v>
      </c>
      <c r="C4" s="52" t="s">
        <v>332</v>
      </c>
      <c r="D4" s="53">
        <v>1</v>
      </c>
      <c r="E4" s="53">
        <v>12</v>
      </c>
      <c r="F4" s="52" t="s">
        <v>334</v>
      </c>
      <c r="G4" s="177">
        <v>1</v>
      </c>
      <c r="H4" s="177">
        <v>1</v>
      </c>
      <c r="I4" s="177">
        <v>1</v>
      </c>
      <c r="J4" s="54" t="s">
        <v>384</v>
      </c>
      <c r="K4" s="175">
        <v>10000</v>
      </c>
      <c r="L4" s="175">
        <v>13889</v>
      </c>
      <c r="M4" s="54">
        <v>3889</v>
      </c>
      <c r="N4" s="54" t="s">
        <v>357</v>
      </c>
      <c r="O4" s="115">
        <v>33.33</v>
      </c>
      <c r="P4" s="175">
        <v>1000</v>
      </c>
      <c r="Q4" s="175">
        <v>1000</v>
      </c>
      <c r="R4" s="54" t="s">
        <v>375</v>
      </c>
      <c r="S4" s="54">
        <v>1000</v>
      </c>
      <c r="T4" s="54">
        <v>1000</v>
      </c>
      <c r="U4" s="54">
        <v>1000</v>
      </c>
      <c r="V4" s="54" t="s">
        <v>480</v>
      </c>
      <c r="W4" s="54">
        <v>1000</v>
      </c>
      <c r="X4" s="54">
        <v>1000</v>
      </c>
      <c r="Y4" s="54">
        <v>1000</v>
      </c>
      <c r="Z4" s="54">
        <v>1000</v>
      </c>
      <c r="AA4" s="54">
        <v>1000</v>
      </c>
      <c r="AB4" s="54">
        <v>1000</v>
      </c>
      <c r="AC4" s="54">
        <v>1000</v>
      </c>
      <c r="AD4" s="54">
        <v>160</v>
      </c>
      <c r="AE4" s="54">
        <v>0</v>
      </c>
      <c r="AF4" s="52" t="str">
        <f>B4&amp;"|"&amp;C4&amp;"|"&amp;IF(D4&gt;9,""&amp;D4,"0"&amp;D4)&amp;"|"&amp;IF(E4&gt;9,""&amp;E4,"0"&amp;E4)&amp;"|"&amp;F4&amp;"|"&amp;G4&amp;"|"&amp;H4&amp;"|"&amp;I4&amp;"|"&amp;LEFT(J4,1)&amp;"|"&amp;K4&amp;"|"&amp;L4&amp;"|"&amp;M4&amp;"|"&amp;N4&amp;"|"&amp;IF(LEN(FIXED(O4))&lt;5,"0"&amp;FIXED(O4),FIXED(O4))&amp;"|"&amp;P4&amp;"|"&amp;Q4&amp;"|"&amp;LEFT(R4,2)&amp;"|"&amp;S4&amp;"|"&amp;T4&amp;"|"&amp;U4&amp;"|"&amp;V4&amp;"|"&amp;W4&amp;"|"&amp;X4&amp;"|"&amp;Y4&amp;"|"&amp;Z4&amp;"|"&amp;AA4&amp;"|"&amp;AB4&amp;"|"&amp;AC4&amp;"|"&amp;AD4&amp;"|"&amp;AE4&amp;"|"</f>
        <v>MANO9902146M9|MONA820101MDFRVN09|01|12|MARES NARVAEZ OGCAR|1|1|1|B|10000|13889|3889|AV DE LOS PINOS 125 CENTRO CP 42087 HIDALGO|33.33|1000|1000|G1|1000|1000|1000|OTRO|1000|1000|1000|1000|1000|1000|1000|160|0|</v>
      </c>
      <c r="AG4" s="179">
        <f>A4</f>
        <v>1</v>
      </c>
    </row>
    <row r="5" spans="1:33" s="126" customFormat="1" ht="15" x14ac:dyDescent="0.25">
      <c r="A5" s="81" t="s">
        <v>220</v>
      </c>
      <c r="B5" s="81">
        <f>SUBTOTAL(103,Retenciones[RFC])</f>
        <v>1</v>
      </c>
      <c r="C5" s="82"/>
      <c r="D5" s="81"/>
      <c r="E5" s="81"/>
      <c r="F5" s="82"/>
      <c r="G5" s="178"/>
      <c r="H5" s="178"/>
      <c r="I5" s="178"/>
      <c r="J5" s="84"/>
      <c r="K5" s="176">
        <f>SUBTOTAL(109,Retenciones[Monto del dividendo o utilidad distribuído])</f>
        <v>10000</v>
      </c>
      <c r="L5" s="176">
        <f>SUBTOTAL(109,Retenciones[Monto del dividendo o utilidad acumulable])</f>
        <v>13889</v>
      </c>
      <c r="M5" s="83">
        <f>SUBTOTAL(109,Retenciones[Monto del ISR acreditable])</f>
        <v>3889</v>
      </c>
      <c r="N5" s="84"/>
      <c r="O5" s="84"/>
      <c r="P5" s="176">
        <f>SUBTOTAL(109,Retenciones[Monto del remanente que le corresponde])</f>
        <v>1000</v>
      </c>
      <c r="Q5" s="176">
        <f>SUBTOTAL(109,Retenciones[Impuesto retenido (en su caso)])</f>
        <v>1000</v>
      </c>
      <c r="R5" s="84"/>
      <c r="S5" s="83">
        <f>SUBTOTAL(109,Retenciones[Monto del interés nominal, tratándose de intereses])</f>
        <v>1000</v>
      </c>
      <c r="T5" s="83">
        <f>SUBTOTAL(109,Retenciones[Pagos Prov efectuados por la Fiduc., tratándose de Arrend en fideicomiso])</f>
        <v>1000</v>
      </c>
      <c r="U5" s="83">
        <f>SUBTOTAL(109,Retenciones[Deducciones Corresp (tratándose de Arrend en fideicomiso)])</f>
        <v>1000</v>
      </c>
      <c r="V5" s="84"/>
      <c r="W5" s="83">
        <f>SUBTOTAL(109,Retenciones[Monto de la operación o actividad gravada para efectos del ISR])</f>
        <v>1000</v>
      </c>
      <c r="X5" s="83">
        <f>SUBTOTAL(109,Retenciones[Monto de la operación o actividad gravada para efectos del IVA])</f>
        <v>1000</v>
      </c>
      <c r="Y5" s="83">
        <f>SUBTOTAL(109,Retenciones[Monto de la operación o actividad gravada para efectos del IEPS])</f>
        <v>1000</v>
      </c>
      <c r="Z5" s="83">
        <f>SUBTOTAL(109,Retenciones[Monto de la operación o actividad exenta para efectos del ISR])</f>
        <v>1000</v>
      </c>
      <c r="AA5" s="83">
        <f>SUBTOTAL(109,Retenciones[Monto de la operación o actividad exenta para efectos del IVA])</f>
        <v>1000</v>
      </c>
      <c r="AB5" s="83">
        <f>SUBTOTAL(109,Retenciones[Monto de la operación o actividad exenta para efectos del IEPS])</f>
        <v>1000</v>
      </c>
      <c r="AC5" s="83">
        <f>SUBTOTAL(109,Retenciones[ISR retenido])</f>
        <v>1000</v>
      </c>
      <c r="AD5" s="83">
        <f>SUBTOTAL(109,Retenciones[IVA retenido])</f>
        <v>160</v>
      </c>
      <c r="AE5" s="83">
        <f>SUBTOTAL(109,Retenciones[IEPS retenido])</f>
        <v>0</v>
      </c>
      <c r="AF5" s="82"/>
      <c r="AG5" s="82"/>
    </row>
    <row r="7" spans="1:33" s="30" customForma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row>
    <row r="12" spans="1:33" x14ac:dyDescent="0.2">
      <c r="G12" s="108"/>
    </row>
    <row r="13" spans="1:33" x14ac:dyDescent="0.2">
      <c r="G13" s="108"/>
    </row>
    <row r="14" spans="1:33" x14ac:dyDescent="0.2">
      <c r="G14" s="108"/>
    </row>
    <row r="15" spans="1:33" x14ac:dyDescent="0.2">
      <c r="G15" s="108"/>
    </row>
    <row r="16" spans="1:33" x14ac:dyDescent="0.2">
      <c r="G16" s="108"/>
    </row>
  </sheetData>
  <dataValidations count="11">
    <dataValidation allowBlank="1" showInputMessage="1" showErrorMessage="1" promptTitle="Mes Final" prompt="1 al 12" sqref="E3"/>
    <dataValidation allowBlank="1" showInputMessage="1" showErrorMessage="1" promptTitle="Mes Inicial" prompt="1 al 12" sqref="D3"/>
    <dataValidation type="textLength" operator="lessThan" allowBlank="1" showInputMessage="1" showErrorMessage="1" error="No mayor a 13 caracteres" sqref="B4">
      <formula1>14</formula1>
    </dataValidation>
    <dataValidation type="textLength" operator="lessThan" allowBlank="1" showInputMessage="1" showErrorMessage="1" error="No mayor a 18 caracteres" sqref="C4">
      <formula1>19</formula1>
    </dataValidation>
    <dataValidation type="whole" allowBlank="1" showInputMessage="1" showErrorMessage="1" error="Solo Valores entre 1 y 12" sqref="D4:E4">
      <formula1>1</formula1>
      <formula2>12</formula2>
    </dataValidation>
    <dataValidation type="whole" allowBlank="1" showInputMessage="1" showErrorMessage="1" sqref="G4:I4">
      <formula1>0</formula1>
      <formula2>2</formula2>
    </dataValidation>
    <dataValidation type="whole" allowBlank="1" showInputMessage="1" showErrorMessage="1" sqref="K4:M4 P4:Q4 S4:U4 W4:AE4">
      <formula1>0</formula1>
      <formula2>9999999999</formula2>
    </dataValidation>
    <dataValidation type="decimal" allowBlank="1" showInputMessage="1" showErrorMessage="1" sqref="O4">
      <formula1>0</formula1>
      <formula2>99.99</formula2>
    </dataValidation>
    <dataValidation type="list" allowBlank="1" showInputMessage="1" showErrorMessage="1" sqref="R4">
      <formula1>CVPAGO</formula1>
    </dataValidation>
    <dataValidation type="textLength" allowBlank="1" showInputMessage="1" showErrorMessage="1" sqref="V4">
      <formula1>0</formula1>
      <formula2>60</formula2>
    </dataValidation>
    <dataValidation type="list" allowBlank="1" showInputMessage="1" showErrorMessage="1" sqref="J4">
      <formula1>CVEDIV</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pageSetUpPr autoPageBreaks="0"/>
  </sheetPr>
  <dimension ref="A1:H42"/>
  <sheetViews>
    <sheetView showGridLines="0" workbookViewId="0">
      <pane ySplit="7" topLeftCell="A8" activePane="bottomLeft" state="frozen"/>
      <selection activeCell="B1" sqref="B1"/>
      <selection pane="bottomLeft" activeCell="B1" sqref="B1"/>
    </sheetView>
  </sheetViews>
  <sheetFormatPr baseColWidth="10" defaultRowHeight="15" x14ac:dyDescent="0.25"/>
  <cols>
    <col min="1" max="1" width="4" hidden="1" customWidth="1"/>
    <col min="2" max="2" width="8.7109375" style="96" customWidth="1"/>
    <col min="3" max="5" width="35.7109375" customWidth="1"/>
    <col min="8" max="8" width="11.5703125" bestFit="1" customWidth="1"/>
  </cols>
  <sheetData>
    <row r="1" spans="1:8" s="1" customFormat="1" ht="18.75" x14ac:dyDescent="0.3">
      <c r="B1" s="96" t="s">
        <v>389</v>
      </c>
      <c r="C1" s="236" t="s">
        <v>392</v>
      </c>
      <c r="D1" s="236"/>
      <c r="E1" s="236"/>
      <c r="G1" s="76" t="s">
        <v>390</v>
      </c>
      <c r="H1" s="78">
        <v>1</v>
      </c>
    </row>
    <row r="2" spans="1:8" x14ac:dyDescent="0.25">
      <c r="A2">
        <v>2</v>
      </c>
      <c r="B2" s="96">
        <v>1</v>
      </c>
      <c r="C2" s="203" t="s">
        <v>398</v>
      </c>
      <c r="D2" s="204"/>
      <c r="E2" s="121" t="str">
        <f>VLOOKUP($H$1,Retenciones[],A2,FALSE)</f>
        <v>MANO9902146M9</v>
      </c>
    </row>
    <row r="3" spans="1:8" x14ac:dyDescent="0.25">
      <c r="A3">
        <v>3</v>
      </c>
      <c r="B3" s="96">
        <v>2</v>
      </c>
      <c r="C3" s="203" t="s">
        <v>399</v>
      </c>
      <c r="D3" s="204"/>
      <c r="E3" s="121" t="str">
        <f>VLOOKUP($H$1,Retenciones[],A3,FALSE)</f>
        <v>MONA820101MDFRVN09</v>
      </c>
    </row>
    <row r="4" spans="1:8" x14ac:dyDescent="0.25">
      <c r="A4">
        <v>4</v>
      </c>
      <c r="B4" s="96">
        <v>3</v>
      </c>
      <c r="C4" s="203" t="s">
        <v>1</v>
      </c>
      <c r="D4" s="204"/>
      <c r="E4" s="122">
        <f>VLOOKUP($H$1,Retenciones[],A4,FALSE)</f>
        <v>1</v>
      </c>
      <c r="F4" s="96">
        <v>6</v>
      </c>
      <c r="G4" s="118" t="s">
        <v>379</v>
      </c>
      <c r="H4" s="114" t="str">
        <f>IF(VLOOKUP($H$1,Retenciones[],7,FALSE)=1,"SI","NO")</f>
        <v>SI</v>
      </c>
    </row>
    <row r="5" spans="1:8" x14ac:dyDescent="0.25">
      <c r="A5">
        <v>5</v>
      </c>
      <c r="B5" s="96">
        <v>4</v>
      </c>
      <c r="C5" s="203" t="s">
        <v>2</v>
      </c>
      <c r="D5" s="204"/>
      <c r="E5" s="122">
        <f>VLOOKUP($H$1,Retenciones[],A5,FALSE)</f>
        <v>12</v>
      </c>
      <c r="F5" s="96">
        <v>7</v>
      </c>
      <c r="G5" s="118" t="s">
        <v>393</v>
      </c>
      <c r="H5" s="114" t="str">
        <f>IF(VLOOKUP($H$1,Retenciones[],8,FALSE)=1,"SI","NO")</f>
        <v>SI</v>
      </c>
    </row>
    <row r="6" spans="1:8" x14ac:dyDescent="0.25">
      <c r="C6" s="72" t="s">
        <v>400</v>
      </c>
      <c r="D6" s="95"/>
      <c r="E6" s="122">
        <v>2011</v>
      </c>
      <c r="F6" s="96">
        <v>8</v>
      </c>
      <c r="G6" s="118" t="s">
        <v>394</v>
      </c>
      <c r="H6" s="114" t="str">
        <f>IF(VLOOKUP($H$1,Retenciones[],9,FALSE)=1,"SI","NO")</f>
        <v>SI</v>
      </c>
    </row>
    <row r="7" spans="1:8" x14ac:dyDescent="0.25">
      <c r="A7">
        <v>6</v>
      </c>
      <c r="B7" s="96">
        <v>5</v>
      </c>
      <c r="C7" s="203" t="s">
        <v>333</v>
      </c>
      <c r="D7" s="204"/>
      <c r="E7" s="121" t="str">
        <f>VLOOKUP($H$1,Retenciones[],A7,FALSE)</f>
        <v>MARES NARVAEZ OGCAR</v>
      </c>
      <c r="F7" s="1"/>
      <c r="G7" s="1"/>
      <c r="H7" s="1"/>
    </row>
    <row r="8" spans="1:8" s="1" customFormat="1" x14ac:dyDescent="0.25">
      <c r="B8" s="117"/>
      <c r="C8" s="219" t="s">
        <v>395</v>
      </c>
      <c r="D8" s="219"/>
      <c r="E8" s="219"/>
      <c r="F8"/>
      <c r="G8"/>
      <c r="H8"/>
    </row>
    <row r="9" spans="1:8" x14ac:dyDescent="0.25">
      <c r="A9">
        <v>10</v>
      </c>
      <c r="B9" s="96">
        <v>9</v>
      </c>
      <c r="C9" s="203" t="s">
        <v>335</v>
      </c>
      <c r="D9" s="204"/>
      <c r="E9" s="121" t="str">
        <f>VLOOKUP($H$1,Retenciones[],A9,FALSE)</f>
        <v>B - NO PROVIENE DE CUFIN</v>
      </c>
    </row>
    <row r="10" spans="1:8" x14ac:dyDescent="0.25">
      <c r="A10">
        <v>11</v>
      </c>
      <c r="B10" s="96">
        <v>10</v>
      </c>
      <c r="C10" s="203" t="s">
        <v>336</v>
      </c>
      <c r="D10" s="204"/>
      <c r="E10" s="119">
        <f>VLOOKUP($H$1,Retenciones[],A10,FALSE)</f>
        <v>10000</v>
      </c>
    </row>
    <row r="11" spans="1:8" x14ac:dyDescent="0.25">
      <c r="A11">
        <v>12</v>
      </c>
      <c r="B11" s="96">
        <v>11</v>
      </c>
      <c r="C11" s="203" t="s">
        <v>337</v>
      </c>
      <c r="D11" s="204"/>
      <c r="E11" s="119">
        <f>VLOOKUP($H$1,Retenciones[],A11,FALSE)</f>
        <v>13889</v>
      </c>
    </row>
    <row r="12" spans="1:8" x14ac:dyDescent="0.25">
      <c r="A12">
        <v>13</v>
      </c>
      <c r="B12" s="96">
        <v>12</v>
      </c>
      <c r="C12" s="203" t="s">
        <v>338</v>
      </c>
      <c r="D12" s="204"/>
      <c r="E12" s="119">
        <f>VLOOKUP($H$1,Retenciones[],A12,FALSE)</f>
        <v>3889</v>
      </c>
    </row>
    <row r="13" spans="1:8" ht="24" x14ac:dyDescent="0.25">
      <c r="A13">
        <v>14</v>
      </c>
      <c r="B13" s="96">
        <v>13</v>
      </c>
      <c r="C13" s="207" t="s">
        <v>339</v>
      </c>
      <c r="D13" s="208"/>
      <c r="E13" s="123" t="str">
        <f>VLOOKUP($H$1,Retenciones[],A13,FALSE)</f>
        <v>AV DE LOS PINOS 125 CENTRO CP 42087 HIDALGO</v>
      </c>
      <c r="F13" s="1"/>
      <c r="G13" s="1"/>
      <c r="H13" s="1"/>
    </row>
    <row r="14" spans="1:8" s="1" customFormat="1" x14ac:dyDescent="0.25">
      <c r="B14" s="117"/>
      <c r="C14" s="219" t="s">
        <v>396</v>
      </c>
      <c r="D14" s="219"/>
      <c r="E14" s="219"/>
      <c r="F14"/>
      <c r="G14"/>
      <c r="H14"/>
    </row>
    <row r="15" spans="1:8" x14ac:dyDescent="0.25">
      <c r="A15">
        <v>15</v>
      </c>
      <c r="B15" s="96">
        <v>14</v>
      </c>
      <c r="C15" s="203" t="s">
        <v>340</v>
      </c>
      <c r="D15" s="204"/>
      <c r="E15" s="121">
        <f>VLOOKUP($H$1,Retenciones[],A15,FALSE)</f>
        <v>33.33</v>
      </c>
    </row>
    <row r="16" spans="1:8" x14ac:dyDescent="0.25">
      <c r="A16">
        <v>16</v>
      </c>
      <c r="B16" s="96">
        <v>15</v>
      </c>
      <c r="C16" s="203" t="s">
        <v>341</v>
      </c>
      <c r="D16" s="204"/>
      <c r="E16" s="119">
        <f>VLOOKUP($H$1,Retenciones[],A16,FALSE)</f>
        <v>1000</v>
      </c>
    </row>
    <row r="17" spans="1:8" x14ac:dyDescent="0.25">
      <c r="A17">
        <v>17</v>
      </c>
      <c r="B17" s="96">
        <v>16</v>
      </c>
      <c r="C17" s="203" t="s">
        <v>342</v>
      </c>
      <c r="D17" s="204"/>
      <c r="E17" s="119">
        <f>VLOOKUP($H$1,Retenciones[],A17,FALSE)</f>
        <v>1000</v>
      </c>
      <c r="F17" s="1"/>
      <c r="G17" s="119"/>
      <c r="H17" s="1"/>
    </row>
    <row r="18" spans="1:8" s="1" customFormat="1" x14ac:dyDescent="0.25">
      <c r="B18" s="117"/>
      <c r="C18" s="219" t="s">
        <v>397</v>
      </c>
      <c r="D18" s="219"/>
      <c r="E18" s="219"/>
      <c r="F18"/>
      <c r="G18"/>
      <c r="H18"/>
    </row>
    <row r="19" spans="1:8" x14ac:dyDescent="0.25">
      <c r="A19">
        <v>18</v>
      </c>
      <c r="B19" s="96">
        <v>17</v>
      </c>
      <c r="C19" s="203" t="s">
        <v>343</v>
      </c>
      <c r="D19" s="204"/>
      <c r="E19" s="114" t="str">
        <f>VLOOKUP($H$1,Retenciones[],A19,FALSE)</f>
        <v>G1 - OTROS</v>
      </c>
    </row>
    <row r="20" spans="1:8" x14ac:dyDescent="0.25">
      <c r="A20">
        <v>19</v>
      </c>
      <c r="B20" s="96">
        <v>18</v>
      </c>
      <c r="C20" s="203" t="s">
        <v>344</v>
      </c>
      <c r="D20" s="204"/>
      <c r="E20" s="119">
        <f>VLOOKUP($H$1,Retenciones[],A20,FALSE)</f>
        <v>1000</v>
      </c>
    </row>
    <row r="21" spans="1:8" x14ac:dyDescent="0.25">
      <c r="A21">
        <v>20</v>
      </c>
      <c r="B21" s="96">
        <v>19</v>
      </c>
      <c r="C21" s="203" t="s">
        <v>355</v>
      </c>
      <c r="D21" s="204"/>
      <c r="E21" s="119">
        <f>VLOOKUP($H$1,Retenciones[],A21,FALSE)</f>
        <v>1000</v>
      </c>
    </row>
    <row r="22" spans="1:8" x14ac:dyDescent="0.25">
      <c r="A22">
        <v>21</v>
      </c>
      <c r="B22" s="96">
        <v>20</v>
      </c>
      <c r="C22" s="203" t="s">
        <v>356</v>
      </c>
      <c r="D22" s="204"/>
      <c r="E22" s="119">
        <f>VLOOKUP($H$1,Retenciones[],A22,FALSE)</f>
        <v>1000</v>
      </c>
    </row>
    <row r="23" spans="1:8" x14ac:dyDescent="0.25">
      <c r="A23">
        <v>22</v>
      </c>
      <c r="B23" s="96">
        <v>21</v>
      </c>
      <c r="C23" s="203" t="s">
        <v>345</v>
      </c>
      <c r="D23" s="204"/>
      <c r="E23" s="114" t="str">
        <f>VLOOKUP($H$1,Retenciones[],A23,FALSE)</f>
        <v>OTRO</v>
      </c>
    </row>
    <row r="24" spans="1:8" x14ac:dyDescent="0.25">
      <c r="A24">
        <v>23</v>
      </c>
      <c r="B24" s="96">
        <v>22</v>
      </c>
      <c r="C24" s="203" t="s">
        <v>346</v>
      </c>
      <c r="D24" s="204"/>
      <c r="E24" s="119">
        <f>VLOOKUP($H$1,Retenciones[],A24,FALSE)</f>
        <v>1000</v>
      </c>
    </row>
    <row r="25" spans="1:8" x14ac:dyDescent="0.25">
      <c r="A25">
        <v>24</v>
      </c>
      <c r="B25" s="96">
        <v>23</v>
      </c>
      <c r="C25" s="203" t="s">
        <v>347</v>
      </c>
      <c r="D25" s="204"/>
      <c r="E25" s="119">
        <f>VLOOKUP($H$1,Retenciones[],A25,FALSE)</f>
        <v>1000</v>
      </c>
    </row>
    <row r="26" spans="1:8" x14ac:dyDescent="0.25">
      <c r="A26">
        <v>25</v>
      </c>
      <c r="B26" s="96">
        <v>24</v>
      </c>
      <c r="C26" s="203" t="s">
        <v>348</v>
      </c>
      <c r="D26" s="204"/>
      <c r="E26" s="119">
        <f>VLOOKUP($H$1,Retenciones[],A26,FALSE)</f>
        <v>1000</v>
      </c>
    </row>
    <row r="27" spans="1:8" x14ac:dyDescent="0.25">
      <c r="A27">
        <v>26</v>
      </c>
      <c r="B27" s="96">
        <v>25</v>
      </c>
      <c r="C27" s="203" t="s">
        <v>349</v>
      </c>
      <c r="D27" s="204"/>
      <c r="E27" s="119">
        <f>VLOOKUP($H$1,Retenciones[],A27,FALSE)</f>
        <v>1000</v>
      </c>
    </row>
    <row r="28" spans="1:8" x14ac:dyDescent="0.25">
      <c r="A28">
        <v>27</v>
      </c>
      <c r="B28" s="96">
        <v>26</v>
      </c>
      <c r="C28" s="203" t="s">
        <v>350</v>
      </c>
      <c r="D28" s="204"/>
      <c r="E28" s="119">
        <f>VLOOKUP($H$1,Retenciones[],A28,FALSE)</f>
        <v>1000</v>
      </c>
    </row>
    <row r="29" spans="1:8" x14ac:dyDescent="0.25">
      <c r="A29">
        <v>28</v>
      </c>
      <c r="B29" s="96">
        <v>27</v>
      </c>
      <c r="C29" s="203" t="s">
        <v>351</v>
      </c>
      <c r="D29" s="204"/>
      <c r="E29" s="119">
        <f>VLOOKUP($H$1,Retenciones[],A29,FALSE)</f>
        <v>1000</v>
      </c>
    </row>
    <row r="30" spans="1:8" x14ac:dyDescent="0.25">
      <c r="A30">
        <v>29</v>
      </c>
      <c r="B30" s="96">
        <v>28</v>
      </c>
      <c r="C30" s="203" t="s">
        <v>352</v>
      </c>
      <c r="D30" s="204"/>
      <c r="E30" s="119">
        <f>VLOOKUP($H$1,Retenciones[],A30,FALSE)</f>
        <v>1000</v>
      </c>
    </row>
    <row r="31" spans="1:8" x14ac:dyDescent="0.25">
      <c r="A31">
        <v>30</v>
      </c>
      <c r="B31" s="96">
        <v>29</v>
      </c>
      <c r="C31" s="203" t="s">
        <v>353</v>
      </c>
      <c r="D31" s="204"/>
      <c r="E31" s="119">
        <f>VLOOKUP($H$1,Retenciones[],A31,FALSE)</f>
        <v>160</v>
      </c>
    </row>
    <row r="32" spans="1:8" x14ac:dyDescent="0.25">
      <c r="A32">
        <v>31</v>
      </c>
      <c r="B32" s="96">
        <v>30</v>
      </c>
      <c r="C32" s="203" t="s">
        <v>354</v>
      </c>
      <c r="D32" s="204"/>
      <c r="E32" s="119">
        <f>VLOOKUP($H$1,Retenciones[],A32,FALSE)</f>
        <v>0</v>
      </c>
    </row>
    <row r="33" spans="3:5" x14ac:dyDescent="0.25">
      <c r="C33" s="229" t="s">
        <v>201</v>
      </c>
      <c r="D33" s="229"/>
      <c r="E33" s="229"/>
    </row>
    <row r="34" spans="3:5" x14ac:dyDescent="0.25">
      <c r="C34" s="203" t="s">
        <v>398</v>
      </c>
      <c r="D34" s="204"/>
      <c r="E34" s="124" t="str">
        <f>Instrucciones!C6</f>
        <v>HIJ010101IJ5</v>
      </c>
    </row>
    <row r="35" spans="3:5" x14ac:dyDescent="0.25">
      <c r="C35" s="203" t="s">
        <v>401</v>
      </c>
      <c r="D35" s="204"/>
      <c r="E35" s="124">
        <f>Instrucciones!C7</f>
        <v>0</v>
      </c>
    </row>
    <row r="36" spans="3:5" x14ac:dyDescent="0.25">
      <c r="C36" s="203" t="s">
        <v>333</v>
      </c>
      <c r="D36" s="204"/>
      <c r="E36" s="124" t="str">
        <f>Instrucciones!C5</f>
        <v>HIJOLE SA DE CV</v>
      </c>
    </row>
    <row r="37" spans="3:5" x14ac:dyDescent="0.25">
      <c r="C37" s="229" t="s">
        <v>202</v>
      </c>
      <c r="D37" s="229"/>
      <c r="E37" s="229"/>
    </row>
    <row r="38" spans="3:5" x14ac:dyDescent="0.25">
      <c r="C38" s="203" t="s">
        <v>398</v>
      </c>
      <c r="D38" s="204"/>
      <c r="E38" s="125" t="str">
        <f>Instrucciones!C10</f>
        <v>MONO720101TW8</v>
      </c>
    </row>
    <row r="39" spans="3:5" x14ac:dyDescent="0.25">
      <c r="C39" s="203" t="s">
        <v>401</v>
      </c>
      <c r="D39" s="204"/>
      <c r="E39" s="125" t="str">
        <f>Instrucciones!C11</f>
        <v>MONO720101HDFRVL04</v>
      </c>
    </row>
    <row r="40" spans="3:5" x14ac:dyDescent="0.25">
      <c r="C40" s="203" t="s">
        <v>402</v>
      </c>
      <c r="D40" s="204"/>
      <c r="E40" s="125" t="str">
        <f>Instrucciones!C9</f>
        <v>MORALES NAVARRO OLAF</v>
      </c>
    </row>
    <row r="42" spans="3:5" ht="80.099999999999994" customHeight="1" x14ac:dyDescent="0.25">
      <c r="C42" s="71" t="s">
        <v>198</v>
      </c>
      <c r="D42" s="71" t="s">
        <v>199</v>
      </c>
      <c r="E42" s="120" t="s">
        <v>200</v>
      </c>
    </row>
  </sheetData>
  <mergeCells count="39">
    <mergeCell ref="C34:D34"/>
    <mergeCell ref="C35:D35"/>
    <mergeCell ref="C36:D36"/>
    <mergeCell ref="C38:D38"/>
    <mergeCell ref="C39:D39"/>
    <mergeCell ref="C40:D40"/>
    <mergeCell ref="C33:E33"/>
    <mergeCell ref="C37:E37"/>
    <mergeCell ref="C32:D32"/>
    <mergeCell ref="C1:E1"/>
    <mergeCell ref="C8:E8"/>
    <mergeCell ref="C14:E14"/>
    <mergeCell ref="C18:E18"/>
    <mergeCell ref="C26:D26"/>
    <mergeCell ref="C27:D27"/>
    <mergeCell ref="C28:D28"/>
    <mergeCell ref="C29:D29"/>
    <mergeCell ref="C30:D30"/>
    <mergeCell ref="C31:D31"/>
    <mergeCell ref="C20:D20"/>
    <mergeCell ref="C21:D21"/>
    <mergeCell ref="C22:D22"/>
    <mergeCell ref="C23:D23"/>
    <mergeCell ref="C24:D24"/>
    <mergeCell ref="C25:D25"/>
    <mergeCell ref="C12:D12"/>
    <mergeCell ref="C13:D13"/>
    <mergeCell ref="C15:D15"/>
    <mergeCell ref="C16:D16"/>
    <mergeCell ref="C17:D17"/>
    <mergeCell ref="C19:D19"/>
    <mergeCell ref="C9:D9"/>
    <mergeCell ref="C10:D10"/>
    <mergeCell ref="C11:D11"/>
    <mergeCell ref="C3:D3"/>
    <mergeCell ref="C2:D2"/>
    <mergeCell ref="C4:D4"/>
    <mergeCell ref="C5:D5"/>
    <mergeCell ref="C7:D7"/>
  </mergeCells>
  <pageMargins left="0.70866141732283472" right="0.70866141732283472" top="0.6" bottom="0.74803149606299213" header="0.31496062992125984" footer="0.31496062992125984"/>
  <pageSetup paperSize="175" scale="84" orientation="portrait" r:id="rId1"/>
  <headerFooter>
    <oddHeader>&amp;C&amp;"Arial,Negrita"&amp;14CONSTANCIA DE PAGOS Y RETENCIONES DEL ISR, IVA E IEPS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sheetPr>
  <dimension ref="B2:J64"/>
  <sheetViews>
    <sheetView showGridLines="0" workbookViewId="0">
      <selection activeCell="B1" sqref="B1"/>
    </sheetView>
  </sheetViews>
  <sheetFormatPr baseColWidth="10" defaultRowHeight="15" x14ac:dyDescent="0.25"/>
  <cols>
    <col min="3" max="3" width="13.42578125" customWidth="1"/>
    <col min="8" max="8" width="34.85546875" bestFit="1" customWidth="1"/>
    <col min="10" max="10" width="45.5703125" customWidth="1"/>
  </cols>
  <sheetData>
    <row r="2" spans="2:10" x14ac:dyDescent="0.25">
      <c r="B2" s="10" t="s">
        <v>83</v>
      </c>
      <c r="C2" s="11"/>
      <c r="D2" s="1"/>
      <c r="E2" s="11"/>
    </row>
    <row r="3" spans="2:10" ht="24.75" thickBot="1" x14ac:dyDescent="0.3">
      <c r="B3" s="12" t="s">
        <v>65</v>
      </c>
      <c r="C3" s="12" t="s">
        <v>66</v>
      </c>
      <c r="D3" s="12" t="s">
        <v>67</v>
      </c>
      <c r="E3" s="13" t="s">
        <v>68</v>
      </c>
      <c r="G3" s="3" t="s">
        <v>161</v>
      </c>
      <c r="H3" t="s">
        <v>162</v>
      </c>
      <c r="I3" t="s">
        <v>483</v>
      </c>
      <c r="J3" s="104" t="s">
        <v>162</v>
      </c>
    </row>
    <row r="4" spans="2:10" ht="15.75" thickTop="1" x14ac:dyDescent="0.25">
      <c r="B4" s="23">
        <v>0.01</v>
      </c>
      <c r="C4" s="24">
        <f>B5-0.01</f>
        <v>5952.84</v>
      </c>
      <c r="D4" s="24">
        <v>0</v>
      </c>
      <c r="E4" s="25">
        <v>1.9199999999999998E-2</v>
      </c>
      <c r="G4" s="3">
        <v>0</v>
      </c>
      <c r="H4" t="s">
        <v>128</v>
      </c>
      <c r="J4" s="112" t="s">
        <v>388</v>
      </c>
    </row>
    <row r="5" spans="2:10" x14ac:dyDescent="0.25">
      <c r="B5" s="17">
        <v>5952.85</v>
      </c>
      <c r="C5" s="18">
        <f t="shared" ref="C5:C10" si="0">B6-0.01</f>
        <v>50524.92</v>
      </c>
      <c r="D5" s="18">
        <v>114.24</v>
      </c>
      <c r="E5" s="19">
        <v>6.4000000000000001E-2</v>
      </c>
      <c r="G5" s="3">
        <v>1</v>
      </c>
      <c r="H5" t="s">
        <v>129</v>
      </c>
      <c r="J5" s="106" t="s">
        <v>383</v>
      </c>
    </row>
    <row r="6" spans="2:10" x14ac:dyDescent="0.25">
      <c r="B6" s="14">
        <v>50524.93</v>
      </c>
      <c r="C6" s="15">
        <f t="shared" si="0"/>
        <v>88793.04</v>
      </c>
      <c r="D6" s="15">
        <v>2966.76</v>
      </c>
      <c r="E6" s="16">
        <v>0.10879999999999999</v>
      </c>
      <c r="G6" s="3">
        <v>2</v>
      </c>
      <c r="H6" t="s">
        <v>130</v>
      </c>
      <c r="J6" s="105" t="s">
        <v>384</v>
      </c>
    </row>
    <row r="7" spans="2:10" x14ac:dyDescent="0.25">
      <c r="B7" s="17">
        <v>88793.05</v>
      </c>
      <c r="C7" s="18">
        <f t="shared" si="0"/>
        <v>103218</v>
      </c>
      <c r="D7" s="18">
        <v>7130.88</v>
      </c>
      <c r="E7" s="19">
        <v>0.16</v>
      </c>
      <c r="G7" s="3">
        <v>3</v>
      </c>
      <c r="H7" t="s">
        <v>131</v>
      </c>
      <c r="J7" s="106" t="s">
        <v>385</v>
      </c>
    </row>
    <row r="8" spans="2:10" x14ac:dyDescent="0.25">
      <c r="B8" s="14">
        <v>103218.01</v>
      </c>
      <c r="C8" s="15">
        <f t="shared" si="0"/>
        <v>123580.2</v>
      </c>
      <c r="D8" s="15">
        <v>9438.6</v>
      </c>
      <c r="E8" s="16">
        <v>0.1792</v>
      </c>
      <c r="G8" s="3">
        <v>4</v>
      </c>
      <c r="H8" t="s">
        <v>132</v>
      </c>
      <c r="J8" s="105" t="s">
        <v>386</v>
      </c>
    </row>
    <row r="9" spans="2:10" x14ac:dyDescent="0.25">
      <c r="B9" s="17">
        <v>123580.21</v>
      </c>
      <c r="C9" s="18">
        <f t="shared" si="0"/>
        <v>249243.48</v>
      </c>
      <c r="D9" s="18">
        <v>13087.44</v>
      </c>
      <c r="E9" s="19">
        <v>0.21360000000000001</v>
      </c>
      <c r="G9" s="3">
        <v>5</v>
      </c>
      <c r="H9" t="s">
        <v>133</v>
      </c>
      <c r="J9" s="106" t="s">
        <v>387</v>
      </c>
    </row>
    <row r="10" spans="2:10" x14ac:dyDescent="0.25">
      <c r="B10" s="14">
        <v>249243.49</v>
      </c>
      <c r="C10" s="15">
        <f t="shared" si="0"/>
        <v>392841.96</v>
      </c>
      <c r="D10" s="15">
        <v>39929.040000000001</v>
      </c>
      <c r="E10" s="16">
        <v>0.23519999999999999</v>
      </c>
      <c r="G10" s="3">
        <v>6</v>
      </c>
      <c r="H10" t="s">
        <v>134</v>
      </c>
    </row>
    <row r="11" spans="2:10" ht="15.75" thickBot="1" x14ac:dyDescent="0.3">
      <c r="B11" s="20">
        <v>392841.97</v>
      </c>
      <c r="C11" s="21" t="s">
        <v>64</v>
      </c>
      <c r="D11" s="21">
        <v>73703.399999999994</v>
      </c>
      <c r="E11" s="22">
        <v>0.3</v>
      </c>
      <c r="G11" s="3">
        <v>7</v>
      </c>
      <c r="H11" t="s">
        <v>135</v>
      </c>
      <c r="J11" s="104" t="s">
        <v>162</v>
      </c>
    </row>
    <row r="12" spans="2:10" ht="15.75" thickTop="1" x14ac:dyDescent="0.25">
      <c r="G12" s="3">
        <v>8</v>
      </c>
      <c r="H12" t="s">
        <v>136</v>
      </c>
      <c r="J12" s="105" t="s">
        <v>376</v>
      </c>
    </row>
    <row r="13" spans="2:10" x14ac:dyDescent="0.25">
      <c r="B13" s="180"/>
      <c r="C13" s="180"/>
      <c r="D13" s="180"/>
      <c r="E13" s="180"/>
      <c r="F13" s="181"/>
      <c r="G13" s="3">
        <v>9</v>
      </c>
      <c r="H13" t="s">
        <v>137</v>
      </c>
      <c r="J13" s="106" t="s">
        <v>361</v>
      </c>
    </row>
    <row r="14" spans="2:10" x14ac:dyDescent="0.25">
      <c r="B14" s="182"/>
      <c r="C14" s="182"/>
      <c r="D14" s="182"/>
      <c r="E14" s="183"/>
      <c r="F14" s="181"/>
      <c r="G14" s="3">
        <v>10</v>
      </c>
      <c r="H14" t="s">
        <v>138</v>
      </c>
      <c r="J14" s="105" t="s">
        <v>362</v>
      </c>
    </row>
    <row r="15" spans="2:10" ht="15" customHeight="1" x14ac:dyDescent="0.25">
      <c r="B15" s="184"/>
      <c r="C15" s="184"/>
      <c r="D15" s="184"/>
      <c r="E15" s="185"/>
      <c r="F15" s="180"/>
      <c r="G15" s="3">
        <v>11</v>
      </c>
      <c r="H15" t="s">
        <v>139</v>
      </c>
      <c r="J15" s="106" t="s">
        <v>363</v>
      </c>
    </row>
    <row r="16" spans="2:10" x14ac:dyDescent="0.25">
      <c r="B16" s="184"/>
      <c r="C16" s="184"/>
      <c r="D16" s="184"/>
      <c r="E16" s="185"/>
      <c r="F16" s="181"/>
      <c r="G16" s="3">
        <v>12</v>
      </c>
      <c r="H16" t="s">
        <v>140</v>
      </c>
      <c r="J16" s="105" t="s">
        <v>364</v>
      </c>
    </row>
    <row r="17" spans="2:10" x14ac:dyDescent="0.25">
      <c r="B17" s="184"/>
      <c r="C17" s="184"/>
      <c r="D17" s="184"/>
      <c r="E17" s="185"/>
      <c r="F17" s="181"/>
      <c r="G17" s="3">
        <v>13</v>
      </c>
      <c r="H17" t="s">
        <v>141</v>
      </c>
      <c r="J17" s="106" t="s">
        <v>365</v>
      </c>
    </row>
    <row r="18" spans="2:10" x14ac:dyDescent="0.25">
      <c r="B18" s="184"/>
      <c r="C18" s="184"/>
      <c r="D18" s="184"/>
      <c r="E18" s="185"/>
      <c r="F18" s="181"/>
      <c r="G18" s="3">
        <v>14</v>
      </c>
      <c r="H18" t="s">
        <v>142</v>
      </c>
      <c r="J18" s="105" t="s">
        <v>366</v>
      </c>
    </row>
    <row r="19" spans="2:10" x14ac:dyDescent="0.25">
      <c r="B19" s="184"/>
      <c r="C19" s="184"/>
      <c r="D19" s="184"/>
      <c r="E19" s="185"/>
      <c r="F19" s="181"/>
      <c r="G19" s="3">
        <v>15</v>
      </c>
      <c r="H19" t="s">
        <v>143</v>
      </c>
      <c r="J19" s="106" t="s">
        <v>367</v>
      </c>
    </row>
    <row r="20" spans="2:10" x14ac:dyDescent="0.25">
      <c r="B20" s="181"/>
      <c r="C20" s="181"/>
      <c r="D20" s="181"/>
      <c r="E20" s="181"/>
      <c r="F20" s="181"/>
      <c r="G20" s="3">
        <v>16</v>
      </c>
      <c r="H20" t="s">
        <v>144</v>
      </c>
      <c r="J20" s="105" t="s">
        <v>368</v>
      </c>
    </row>
    <row r="21" spans="2:10" x14ac:dyDescent="0.25">
      <c r="B21" s="180"/>
      <c r="C21" s="180"/>
      <c r="D21" s="180"/>
      <c r="E21" s="180"/>
      <c r="F21" s="181"/>
      <c r="G21" s="3">
        <v>17</v>
      </c>
      <c r="H21" t="s">
        <v>145</v>
      </c>
      <c r="J21" s="106" t="s">
        <v>369</v>
      </c>
    </row>
    <row r="22" spans="2:10" ht="15" customHeight="1" x14ac:dyDescent="0.25">
      <c r="B22" s="182"/>
      <c r="C22" s="182"/>
      <c r="D22" s="182"/>
      <c r="E22" s="186"/>
      <c r="F22" s="180"/>
      <c r="G22" s="3">
        <v>18</v>
      </c>
      <c r="H22" t="s">
        <v>146</v>
      </c>
      <c r="J22" s="105" t="s">
        <v>370</v>
      </c>
    </row>
    <row r="23" spans="2:10" ht="15" customHeight="1" x14ac:dyDescent="0.25">
      <c r="B23" s="184"/>
      <c r="C23" s="184"/>
      <c r="D23" s="187"/>
      <c r="E23" s="185"/>
      <c r="F23" s="180"/>
      <c r="G23" s="3">
        <v>19</v>
      </c>
      <c r="H23" t="s">
        <v>147</v>
      </c>
      <c r="J23" s="106" t="s">
        <v>371</v>
      </c>
    </row>
    <row r="24" spans="2:10" x14ac:dyDescent="0.25">
      <c r="B24" s="184"/>
      <c r="C24" s="184"/>
      <c r="D24" s="187"/>
      <c r="E24" s="185"/>
      <c r="F24" s="181"/>
      <c r="G24" s="3">
        <v>20</v>
      </c>
      <c r="H24" t="s">
        <v>148</v>
      </c>
      <c r="J24" s="105" t="s">
        <v>372</v>
      </c>
    </row>
    <row r="25" spans="2:10" x14ac:dyDescent="0.25">
      <c r="B25" s="184"/>
      <c r="C25" s="184"/>
      <c r="D25" s="187"/>
      <c r="E25" s="185"/>
      <c r="F25" s="181"/>
      <c r="G25" s="3">
        <v>21</v>
      </c>
      <c r="H25" t="s">
        <v>149</v>
      </c>
      <c r="J25" s="106" t="s">
        <v>373</v>
      </c>
    </row>
    <row r="26" spans="2:10" x14ac:dyDescent="0.25">
      <c r="B26" s="184"/>
      <c r="C26" s="184"/>
      <c r="D26" s="187"/>
      <c r="E26" s="185"/>
      <c r="F26" s="181"/>
      <c r="G26" s="3">
        <v>22</v>
      </c>
      <c r="H26" t="s">
        <v>150</v>
      </c>
      <c r="I26" s="99" t="s">
        <v>324</v>
      </c>
      <c r="J26" s="105" t="s">
        <v>374</v>
      </c>
    </row>
    <row r="27" spans="2:10" x14ac:dyDescent="0.25">
      <c r="B27" s="184"/>
      <c r="C27" s="184"/>
      <c r="D27" s="187"/>
      <c r="E27" s="185"/>
      <c r="F27" s="181"/>
      <c r="G27" s="3">
        <v>23</v>
      </c>
      <c r="H27" t="s">
        <v>151</v>
      </c>
      <c r="J27" s="107" t="s">
        <v>375</v>
      </c>
    </row>
    <row r="28" spans="2:10" x14ac:dyDescent="0.25">
      <c r="B28" s="184"/>
      <c r="C28" s="184"/>
      <c r="D28" s="187"/>
      <c r="E28" s="185"/>
      <c r="F28" s="181"/>
      <c r="G28" s="3">
        <v>24</v>
      </c>
      <c r="H28" t="s">
        <v>152</v>
      </c>
    </row>
    <row r="29" spans="2:10" x14ac:dyDescent="0.25">
      <c r="B29" s="184"/>
      <c r="C29" s="184"/>
      <c r="D29" s="187"/>
      <c r="E29" s="185"/>
      <c r="F29" s="181"/>
      <c r="G29" s="3">
        <v>25</v>
      </c>
      <c r="H29" t="s">
        <v>153</v>
      </c>
    </row>
    <row r="30" spans="2:10" x14ac:dyDescent="0.25">
      <c r="B30" s="181"/>
      <c r="C30" s="181"/>
      <c r="D30" s="181"/>
      <c r="E30" s="181"/>
      <c r="F30" s="181"/>
      <c r="G30" s="3">
        <v>26</v>
      </c>
      <c r="H30" t="s">
        <v>154</v>
      </c>
    </row>
    <row r="31" spans="2:10" x14ac:dyDescent="0.25">
      <c r="G31" s="3">
        <v>27</v>
      </c>
      <c r="H31" t="s">
        <v>155</v>
      </c>
    </row>
    <row r="32" spans="2:10" x14ac:dyDescent="0.25">
      <c r="G32" s="3">
        <v>28</v>
      </c>
      <c r="H32" t="s">
        <v>156</v>
      </c>
    </row>
    <row r="33" spans="6:8" x14ac:dyDescent="0.25">
      <c r="G33" s="3">
        <v>29</v>
      </c>
      <c r="H33" t="s">
        <v>157</v>
      </c>
    </row>
    <row r="34" spans="6:8" x14ac:dyDescent="0.25">
      <c r="G34" s="3">
        <v>30</v>
      </c>
      <c r="H34" t="s">
        <v>158</v>
      </c>
    </row>
    <row r="35" spans="6:8" x14ac:dyDescent="0.25">
      <c r="G35" s="3">
        <v>31</v>
      </c>
      <c r="H35" t="s">
        <v>159</v>
      </c>
    </row>
    <row r="36" spans="6:8" x14ac:dyDescent="0.25">
      <c r="G36" s="3">
        <v>32</v>
      </c>
      <c r="H36" t="s">
        <v>160</v>
      </c>
    </row>
    <row r="38" spans="6:8" x14ac:dyDescent="0.25">
      <c r="G38" s="3" t="s">
        <v>161</v>
      </c>
      <c r="H38" s="3" t="s">
        <v>162</v>
      </c>
    </row>
    <row r="39" spans="6:8" x14ac:dyDescent="0.25">
      <c r="F39" s="99" t="s">
        <v>324</v>
      </c>
      <c r="G39" s="3">
        <v>0</v>
      </c>
      <c r="H39" t="s">
        <v>128</v>
      </c>
    </row>
    <row r="40" spans="6:8" x14ac:dyDescent="0.25">
      <c r="G40" s="3" t="s">
        <v>122</v>
      </c>
      <c r="H40" t="s">
        <v>236</v>
      </c>
    </row>
    <row r="41" spans="6:8" x14ac:dyDescent="0.25">
      <c r="G41" s="3" t="s">
        <v>164</v>
      </c>
      <c r="H41" t="s">
        <v>237</v>
      </c>
    </row>
    <row r="42" spans="6:8" x14ac:dyDescent="0.25">
      <c r="G42" s="3" t="s">
        <v>165</v>
      </c>
      <c r="H42" t="s">
        <v>171</v>
      </c>
    </row>
    <row r="43" spans="6:8" x14ac:dyDescent="0.25">
      <c r="G43" s="3" t="s">
        <v>166</v>
      </c>
      <c r="H43" t="s">
        <v>238</v>
      </c>
    </row>
    <row r="44" spans="6:8" x14ac:dyDescent="0.25">
      <c r="G44" s="3" t="s">
        <v>167</v>
      </c>
      <c r="H44" t="s">
        <v>172</v>
      </c>
    </row>
    <row r="45" spans="6:8" x14ac:dyDescent="0.25">
      <c r="G45" s="3" t="s">
        <v>168</v>
      </c>
      <c r="H45" t="s">
        <v>169</v>
      </c>
    </row>
    <row r="46" spans="6:8" x14ac:dyDescent="0.25">
      <c r="G46" s="3" t="s">
        <v>170</v>
      </c>
      <c r="H46" t="s">
        <v>173</v>
      </c>
    </row>
    <row r="48" spans="6:8" ht="15.75" thickBot="1" x14ac:dyDescent="0.3">
      <c r="G48" s="74" t="s">
        <v>161</v>
      </c>
      <c r="H48" s="75" t="s">
        <v>162</v>
      </c>
    </row>
    <row r="49" spans="7:8" ht="15.75" thickTop="1" x14ac:dyDescent="0.25">
      <c r="G49" s="3">
        <v>1</v>
      </c>
      <c r="H49" t="s">
        <v>209</v>
      </c>
    </row>
    <row r="50" spans="7:8" x14ac:dyDescent="0.25">
      <c r="G50" s="3">
        <v>2</v>
      </c>
      <c r="H50" t="s">
        <v>210</v>
      </c>
    </row>
    <row r="51" spans="7:8" x14ac:dyDescent="0.25">
      <c r="G51" s="3">
        <v>3</v>
      </c>
      <c r="H51" t="s">
        <v>211</v>
      </c>
    </row>
    <row r="52" spans="7:8" x14ac:dyDescent="0.25">
      <c r="G52" s="3">
        <v>4</v>
      </c>
      <c r="H52" t="s">
        <v>212</v>
      </c>
    </row>
    <row r="53" spans="7:8" x14ac:dyDescent="0.25">
      <c r="G53" s="3">
        <v>5</v>
      </c>
      <c r="H53" t="s">
        <v>213</v>
      </c>
    </row>
    <row r="54" spans="7:8" x14ac:dyDescent="0.25">
      <c r="G54" s="3">
        <v>6</v>
      </c>
      <c r="H54" t="s">
        <v>214</v>
      </c>
    </row>
    <row r="56" spans="7:8" x14ac:dyDescent="0.25">
      <c r="G56" s="4" t="s">
        <v>408</v>
      </c>
    </row>
    <row r="57" spans="7:8" ht="15.75" thickBot="1" x14ac:dyDescent="0.3">
      <c r="G57" s="74" t="s">
        <v>282</v>
      </c>
      <c r="H57" s="75" t="s">
        <v>403</v>
      </c>
    </row>
    <row r="58" spans="7:8" ht="15.75" thickTop="1" x14ac:dyDescent="0.25">
      <c r="G58" s="127">
        <v>32</v>
      </c>
      <c r="H58" s="105" t="s">
        <v>404</v>
      </c>
    </row>
    <row r="59" spans="7:8" x14ac:dyDescent="0.25">
      <c r="G59" s="128">
        <v>7</v>
      </c>
      <c r="H59" s="106" t="s">
        <v>405</v>
      </c>
    </row>
    <row r="60" spans="7:8" x14ac:dyDescent="0.25">
      <c r="G60" s="129">
        <f>G58+G59</f>
        <v>39</v>
      </c>
      <c r="H60" s="130" t="s">
        <v>406</v>
      </c>
    </row>
    <row r="61" spans="7:8" x14ac:dyDescent="0.25">
      <c r="G61" s="128">
        <v>18</v>
      </c>
      <c r="H61" s="131" t="s">
        <v>407</v>
      </c>
    </row>
    <row r="62" spans="7:8" x14ac:dyDescent="0.25">
      <c r="G62" s="127">
        <v>7</v>
      </c>
      <c r="H62" s="105" t="s">
        <v>30</v>
      </c>
    </row>
    <row r="63" spans="7:8" x14ac:dyDescent="0.25">
      <c r="G63" s="128">
        <v>70</v>
      </c>
      <c r="H63" s="106" t="s">
        <v>103</v>
      </c>
    </row>
    <row r="64" spans="7:8" x14ac:dyDescent="0.25">
      <c r="G64" s="129">
        <f>G60+G61+G62+G63</f>
        <v>134</v>
      </c>
      <c r="H64" s="130" t="s">
        <v>220</v>
      </c>
    </row>
  </sheetData>
  <hyperlinks>
    <hyperlink ref="F39" location="'Detalle Sueldos'!G13" tooltip="Ir a Detalle de sueldos" display="Regresar"/>
    <hyperlink ref="I26" location="'Detalle Sueldos'!G14" tooltip="Regresar a Detalle" display="Regresar"/>
  </hyperlinks>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Instrucciones</vt:lpstr>
      <vt:lpstr>Batch Sueldos</vt:lpstr>
      <vt:lpstr>Detalle Sueldos</vt:lpstr>
      <vt:lpstr>Batch Retenciones</vt:lpstr>
      <vt:lpstr>Detalle Retenciones</vt:lpstr>
      <vt:lpstr>Tablas</vt:lpstr>
      <vt:lpstr>'Detalle Retenciones'!Área_de_impresión</vt:lpstr>
      <vt:lpstr>'Detalle Sueldos'!Área_de_impresión</vt:lpstr>
      <vt:lpstr>CVEDIV</vt:lpstr>
      <vt:lpstr>CVPAGO</vt:lpstr>
      <vt:lpstr>TISR177</vt:lpstr>
      <vt:lpstr>TISR1991</vt:lpstr>
      <vt:lpstr>TSUB1991</vt:lpstr>
    </vt:vector>
  </TitlesOfParts>
  <Company>JDC CONSULTORES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Reyes</dc:creator>
  <cp:lastModifiedBy>Daniel Reyes</cp:lastModifiedBy>
  <cp:lastPrinted>2012-01-05T15:13:15Z</cp:lastPrinted>
  <dcterms:created xsi:type="dcterms:W3CDTF">2009-12-21T22:06:33Z</dcterms:created>
  <dcterms:modified xsi:type="dcterms:W3CDTF">2013-01-11T22:40:49Z</dcterms:modified>
</cp:coreProperties>
</file>