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720" windowWidth="15300" windowHeight="7245" tabRatio="776"/>
  </bookViews>
  <sheets>
    <sheet name="sept 2015 - GF" sheetId="41" r:id="rId1"/>
    <sheet name="sept 2015 - SEF" sheetId="42" r:id="rId2"/>
  </sheets>
  <definedNames>
    <definedName name="_xlnm.Print_Area" localSheetId="0">'sept 2015 - GF'!$A$1:$J$252</definedName>
  </definedNames>
  <calcPr calcId="124519"/>
</workbook>
</file>

<file path=xl/calcChain.xml><?xml version="1.0" encoding="utf-8"?>
<calcChain xmlns="http://schemas.openxmlformats.org/spreadsheetml/2006/main">
  <c r="J24" i="42"/>
  <c r="E23"/>
  <c r="D23"/>
  <c r="G21"/>
  <c r="F21"/>
  <c r="G20"/>
  <c r="F20"/>
  <c r="G19"/>
  <c r="G23" s="1"/>
  <c r="F19"/>
  <c r="F23" s="1"/>
  <c r="D15"/>
  <c r="D26" s="1"/>
  <c r="G13"/>
  <c r="F13"/>
  <c r="G12"/>
  <c r="F12"/>
  <c r="E11"/>
  <c r="G11" s="1"/>
  <c r="G15" s="1"/>
  <c r="G26" l="1"/>
  <c r="E15"/>
  <c r="E26" s="1"/>
  <c r="J26" s="1"/>
  <c r="J28" s="1"/>
  <c r="F11"/>
  <c r="F15" s="1"/>
  <c r="F26" s="1"/>
  <c r="I254" i="41" l="1"/>
  <c r="K243"/>
  <c r="D237"/>
  <c r="D238" s="1"/>
  <c r="I236"/>
  <c r="F236"/>
  <c r="E236"/>
  <c r="I235"/>
  <c r="F235"/>
  <c r="E235"/>
  <c r="I234"/>
  <c r="C234"/>
  <c r="E234" s="1"/>
  <c r="H233"/>
  <c r="I233" s="1"/>
  <c r="I237" s="1"/>
  <c r="F233"/>
  <c r="E233"/>
  <c r="E237" s="1"/>
  <c r="D231"/>
  <c r="I230"/>
  <c r="F230"/>
  <c r="E230"/>
  <c r="I229"/>
  <c r="F229"/>
  <c r="E229"/>
  <c r="I228"/>
  <c r="F228"/>
  <c r="E228"/>
  <c r="I227"/>
  <c r="F227"/>
  <c r="E227"/>
  <c r="I226"/>
  <c r="F226"/>
  <c r="E226"/>
  <c r="I225"/>
  <c r="F225"/>
  <c r="E225"/>
  <c r="I224"/>
  <c r="F224"/>
  <c r="E224"/>
  <c r="I223"/>
  <c r="F223"/>
  <c r="E223"/>
  <c r="I222"/>
  <c r="C222"/>
  <c r="E222" s="1"/>
  <c r="I221"/>
  <c r="F221"/>
  <c r="E221"/>
  <c r="I220"/>
  <c r="F220"/>
  <c r="E220"/>
  <c r="I219"/>
  <c r="F219"/>
  <c r="E219"/>
  <c r="I218"/>
  <c r="F218"/>
  <c r="E218"/>
  <c r="H217"/>
  <c r="I217" s="1"/>
  <c r="F217"/>
  <c r="E217"/>
  <c r="I216"/>
  <c r="F216"/>
  <c r="E216"/>
  <c r="I215"/>
  <c r="F215"/>
  <c r="E215"/>
  <c r="I214"/>
  <c r="F214"/>
  <c r="E214"/>
  <c r="I213"/>
  <c r="F213"/>
  <c r="E213"/>
  <c r="E231" s="1"/>
  <c r="I212"/>
  <c r="F212"/>
  <c r="E212"/>
  <c r="D209"/>
  <c r="C209"/>
  <c r="J208"/>
  <c r="I208"/>
  <c r="F208"/>
  <c r="E208"/>
  <c r="J207"/>
  <c r="I207"/>
  <c r="F207"/>
  <c r="E207"/>
  <c r="J206"/>
  <c r="I206"/>
  <c r="F206"/>
  <c r="E206"/>
  <c r="J205"/>
  <c r="I205"/>
  <c r="F205"/>
  <c r="E205"/>
  <c r="J204"/>
  <c r="I204"/>
  <c r="F204"/>
  <c r="E204"/>
  <c r="I203"/>
  <c r="F203"/>
  <c r="E203"/>
  <c r="H202"/>
  <c r="H209" s="1"/>
  <c r="F202"/>
  <c r="E202"/>
  <c r="I201"/>
  <c r="F201"/>
  <c r="E201"/>
  <c r="I200"/>
  <c r="F200"/>
  <c r="E200"/>
  <c r="I199"/>
  <c r="F199"/>
  <c r="E199"/>
  <c r="I198"/>
  <c r="F198"/>
  <c r="E198"/>
  <c r="I197"/>
  <c r="F197"/>
  <c r="F209" s="1"/>
  <c r="E197"/>
  <c r="I196"/>
  <c r="F196"/>
  <c r="E196"/>
  <c r="E209" s="1"/>
  <c r="H194"/>
  <c r="D194"/>
  <c r="I193"/>
  <c r="F193"/>
  <c r="E193"/>
  <c r="I192"/>
  <c r="F192"/>
  <c r="E192"/>
  <c r="I191"/>
  <c r="F191"/>
  <c r="E191"/>
  <c r="I190"/>
  <c r="F190"/>
  <c r="E190"/>
  <c r="I189"/>
  <c r="F189"/>
  <c r="E189"/>
  <c r="I188"/>
  <c r="E188"/>
  <c r="C188"/>
  <c r="F188" s="1"/>
  <c r="I187"/>
  <c r="F187"/>
  <c r="E187"/>
  <c r="I186"/>
  <c r="C186"/>
  <c r="E186" s="1"/>
  <c r="I185"/>
  <c r="C185"/>
  <c r="E185" s="1"/>
  <c r="I184"/>
  <c r="F184"/>
  <c r="E184"/>
  <c r="I183"/>
  <c r="H183"/>
  <c r="F183"/>
  <c r="E183"/>
  <c r="I182"/>
  <c r="F182"/>
  <c r="E182"/>
  <c r="I181"/>
  <c r="F181"/>
  <c r="E181"/>
  <c r="I180"/>
  <c r="F180"/>
  <c r="E180"/>
  <c r="E194" s="1"/>
  <c r="I179"/>
  <c r="I194" s="1"/>
  <c r="F179"/>
  <c r="E179"/>
  <c r="D177"/>
  <c r="I176"/>
  <c r="F176"/>
  <c r="E176"/>
  <c r="I175"/>
  <c r="F175"/>
  <c r="E175"/>
  <c r="I174"/>
  <c r="F174"/>
  <c r="E174"/>
  <c r="I173"/>
  <c r="F173"/>
  <c r="E173"/>
  <c r="I172"/>
  <c r="F172"/>
  <c r="E172"/>
  <c r="I171"/>
  <c r="F171"/>
  <c r="E171"/>
  <c r="I170"/>
  <c r="F170"/>
  <c r="E170"/>
  <c r="I169"/>
  <c r="C169"/>
  <c r="E169" s="1"/>
  <c r="I168"/>
  <c r="F168"/>
  <c r="E168"/>
  <c r="I167"/>
  <c r="F167"/>
  <c r="E167"/>
  <c r="H166"/>
  <c r="H177" s="1"/>
  <c r="E166"/>
  <c r="C166"/>
  <c r="C177" s="1"/>
  <c r="I165"/>
  <c r="F165"/>
  <c r="E165"/>
  <c r="I164"/>
  <c r="F164"/>
  <c r="E164"/>
  <c r="E177" s="1"/>
  <c r="D162"/>
  <c r="I161"/>
  <c r="F161"/>
  <c r="E161"/>
  <c r="I160"/>
  <c r="F160"/>
  <c r="E160"/>
  <c r="I159"/>
  <c r="F159"/>
  <c r="E159"/>
  <c r="I158"/>
  <c r="F158"/>
  <c r="E158"/>
  <c r="I157"/>
  <c r="F157"/>
  <c r="E157"/>
  <c r="I156"/>
  <c r="F156"/>
  <c r="E156"/>
  <c r="I155"/>
  <c r="F155"/>
  <c r="E155"/>
  <c r="I154"/>
  <c r="C154"/>
  <c r="E154" s="1"/>
  <c r="I153"/>
  <c r="F153"/>
  <c r="E153"/>
  <c r="I152"/>
  <c r="E152"/>
  <c r="C152"/>
  <c r="C162" s="1"/>
  <c r="I151"/>
  <c r="F151"/>
  <c r="E151"/>
  <c r="H150"/>
  <c r="H162" s="1"/>
  <c r="F150"/>
  <c r="E150"/>
  <c r="I149"/>
  <c r="F149"/>
  <c r="E149"/>
  <c r="I148"/>
  <c r="F148"/>
  <c r="E148"/>
  <c r="I147"/>
  <c r="F147"/>
  <c r="E147"/>
  <c r="I146"/>
  <c r="F146"/>
  <c r="E146"/>
  <c r="E162" s="1"/>
  <c r="I143"/>
  <c r="F143"/>
  <c r="C143"/>
  <c r="D138"/>
  <c r="E137"/>
  <c r="I136"/>
  <c r="C136"/>
  <c r="C138" s="1"/>
  <c r="D133"/>
  <c r="F133" s="1"/>
  <c r="C133"/>
  <c r="C134" s="1"/>
  <c r="C135" s="1"/>
  <c r="I132"/>
  <c r="F132"/>
  <c r="E132"/>
  <c r="I131"/>
  <c r="F131"/>
  <c r="E131"/>
  <c r="I130"/>
  <c r="F130"/>
  <c r="E130"/>
  <c r="I129"/>
  <c r="E129"/>
  <c r="C129"/>
  <c r="F129" s="1"/>
  <c r="I128"/>
  <c r="F128"/>
  <c r="E128"/>
  <c r="I127"/>
  <c r="F127"/>
  <c r="E127"/>
  <c r="I126"/>
  <c r="F126"/>
  <c r="E126"/>
  <c r="I125"/>
  <c r="F125"/>
  <c r="E125"/>
  <c r="F124"/>
  <c r="E124"/>
  <c r="I123"/>
  <c r="F123"/>
  <c r="E123"/>
  <c r="I122"/>
  <c r="F122"/>
  <c r="E122"/>
  <c r="I121"/>
  <c r="F121"/>
  <c r="E121"/>
  <c r="I120"/>
  <c r="F120"/>
  <c r="E120"/>
  <c r="F119"/>
  <c r="E119"/>
  <c r="I118"/>
  <c r="F118"/>
  <c r="E118"/>
  <c r="D117"/>
  <c r="D134" s="1"/>
  <c r="D135" s="1"/>
  <c r="I115"/>
  <c r="F115"/>
  <c r="E115"/>
  <c r="I114"/>
  <c r="F114"/>
  <c r="E114"/>
  <c r="H111"/>
  <c r="D111"/>
  <c r="C111"/>
  <c r="I110"/>
  <c r="F110"/>
  <c r="E110"/>
  <c r="I109"/>
  <c r="F109"/>
  <c r="E109"/>
  <c r="I108"/>
  <c r="F108"/>
  <c r="E108"/>
  <c r="I107"/>
  <c r="F107"/>
  <c r="E107"/>
  <c r="I106"/>
  <c r="F106"/>
  <c r="E106"/>
  <c r="I105"/>
  <c r="F105"/>
  <c r="E105"/>
  <c r="I104"/>
  <c r="F104"/>
  <c r="E104"/>
  <c r="I103"/>
  <c r="F103"/>
  <c r="E103"/>
  <c r="I102"/>
  <c r="F102"/>
  <c r="E102"/>
  <c r="I101"/>
  <c r="F101"/>
  <c r="E101"/>
  <c r="I100"/>
  <c r="F100"/>
  <c r="E100"/>
  <c r="I99"/>
  <c r="F99"/>
  <c r="E99"/>
  <c r="I98"/>
  <c r="F98"/>
  <c r="E98"/>
  <c r="I97"/>
  <c r="F97"/>
  <c r="E97"/>
  <c r="I96"/>
  <c r="F96"/>
  <c r="E96"/>
  <c r="F95"/>
  <c r="E95"/>
  <c r="I94"/>
  <c r="F94"/>
  <c r="E94"/>
  <c r="I93"/>
  <c r="F93"/>
  <c r="E93"/>
  <c r="I92"/>
  <c r="F92"/>
  <c r="E92"/>
  <c r="I91"/>
  <c r="F91"/>
  <c r="E91"/>
  <c r="F90"/>
  <c r="E90"/>
  <c r="I89"/>
  <c r="F89"/>
  <c r="E89"/>
  <c r="I88"/>
  <c r="F88"/>
  <c r="E88"/>
  <c r="I87"/>
  <c r="F87"/>
  <c r="E87"/>
  <c r="I86"/>
  <c r="F86"/>
  <c r="E86"/>
  <c r="F85"/>
  <c r="E85"/>
  <c r="I84"/>
  <c r="E84"/>
  <c r="C84"/>
  <c r="F84" s="1"/>
  <c r="I83"/>
  <c r="F83"/>
  <c r="E83"/>
  <c r="I82"/>
  <c r="F82"/>
  <c r="E82"/>
  <c r="I81"/>
  <c r="F81"/>
  <c r="E81"/>
  <c r="I80"/>
  <c r="F80"/>
  <c r="E80"/>
  <c r="I79"/>
  <c r="F79"/>
  <c r="E79"/>
  <c r="I78"/>
  <c r="F78"/>
  <c r="E78"/>
  <c r="I77"/>
  <c r="F77"/>
  <c r="E77"/>
  <c r="I76"/>
  <c r="F76"/>
  <c r="E76"/>
  <c r="I75"/>
  <c r="F75"/>
  <c r="E75"/>
  <c r="I74"/>
  <c r="F74"/>
  <c r="E74"/>
  <c r="I73"/>
  <c r="E73"/>
  <c r="C73"/>
  <c r="F73" s="1"/>
  <c r="I72"/>
  <c r="F72"/>
  <c r="E72"/>
  <c r="I71"/>
  <c r="F71"/>
  <c r="E71"/>
  <c r="I70"/>
  <c r="F70"/>
  <c r="E70"/>
  <c r="I69"/>
  <c r="F69"/>
  <c r="E69"/>
  <c r="I68"/>
  <c r="F68"/>
  <c r="E68"/>
  <c r="I67"/>
  <c r="F67"/>
  <c r="E67"/>
  <c r="F66"/>
  <c r="E66"/>
  <c r="I65"/>
  <c r="F65"/>
  <c r="E65"/>
  <c r="I64"/>
  <c r="F64"/>
  <c r="E64"/>
  <c r="I63"/>
  <c r="F63"/>
  <c r="E63"/>
  <c r="I62"/>
  <c r="F62"/>
  <c r="E62"/>
  <c r="I61"/>
  <c r="I111" s="1"/>
  <c r="F61"/>
  <c r="E61"/>
  <c r="E111" s="1"/>
  <c r="H59"/>
  <c r="D59"/>
  <c r="C59"/>
  <c r="I58"/>
  <c r="F58"/>
  <c r="E58"/>
  <c r="I57"/>
  <c r="F57"/>
  <c r="E57"/>
  <c r="I56"/>
  <c r="F56"/>
  <c r="E56"/>
  <c r="I55"/>
  <c r="F55"/>
  <c r="E55"/>
  <c r="I54"/>
  <c r="F54"/>
  <c r="E54"/>
  <c r="I53"/>
  <c r="F53"/>
  <c r="E53"/>
  <c r="I52"/>
  <c r="F52"/>
  <c r="E52"/>
  <c r="I50"/>
  <c r="I49"/>
  <c r="F49"/>
  <c r="E49"/>
  <c r="I48"/>
  <c r="F48"/>
  <c r="E48"/>
  <c r="I47"/>
  <c r="F47"/>
  <c r="E47"/>
  <c r="I45"/>
  <c r="E45"/>
  <c r="C45"/>
  <c r="F45" s="1"/>
  <c r="I44"/>
  <c r="F44"/>
  <c r="E44"/>
  <c r="I43"/>
  <c r="F43"/>
  <c r="E43"/>
  <c r="I41"/>
  <c r="E41"/>
  <c r="C41"/>
  <c r="F41" s="1"/>
  <c r="I40"/>
  <c r="F40"/>
  <c r="E40"/>
  <c r="I39"/>
  <c r="F39"/>
  <c r="E39"/>
  <c r="I37"/>
  <c r="E37"/>
  <c r="C37"/>
  <c r="F37" s="1"/>
  <c r="I36"/>
  <c r="F36"/>
  <c r="E36"/>
  <c r="I35"/>
  <c r="F35"/>
  <c r="E35"/>
  <c r="I34"/>
  <c r="I59" s="1"/>
  <c r="F34"/>
  <c r="E34"/>
  <c r="E59" s="1"/>
  <c r="H31"/>
  <c r="I30"/>
  <c r="F30"/>
  <c r="E30"/>
  <c r="I29"/>
  <c r="F29"/>
  <c r="E29"/>
  <c r="I27"/>
  <c r="F27"/>
  <c r="E27"/>
  <c r="I26"/>
  <c r="F26"/>
  <c r="E26"/>
  <c r="I25"/>
  <c r="F25"/>
  <c r="E25"/>
  <c r="I24"/>
  <c r="F24"/>
  <c r="E24"/>
  <c r="D23"/>
  <c r="D31" s="1"/>
  <c r="I21"/>
  <c r="F21"/>
  <c r="E21"/>
  <c r="I20"/>
  <c r="F20"/>
  <c r="E20"/>
  <c r="I19"/>
  <c r="C19"/>
  <c r="E19" s="1"/>
  <c r="I18"/>
  <c r="F18"/>
  <c r="E18"/>
  <c r="I17"/>
  <c r="F17"/>
  <c r="E17"/>
  <c r="I16"/>
  <c r="F16"/>
  <c r="E16"/>
  <c r="I14"/>
  <c r="F14"/>
  <c r="E14"/>
  <c r="I13"/>
  <c r="C13"/>
  <c r="E13" s="1"/>
  <c r="I11"/>
  <c r="C11"/>
  <c r="E11" s="1"/>
  <c r="F59" l="1"/>
  <c r="F111"/>
  <c r="I231"/>
  <c r="H241"/>
  <c r="D139"/>
  <c r="D239" s="1"/>
  <c r="I257" s="1"/>
  <c r="I258" s="1"/>
  <c r="E238"/>
  <c r="F13"/>
  <c r="F23"/>
  <c r="F117"/>
  <c r="F134" s="1"/>
  <c r="F135" s="1"/>
  <c r="F136"/>
  <c r="F138" s="1"/>
  <c r="F11"/>
  <c r="F31" s="1"/>
  <c r="F19"/>
  <c r="C31"/>
  <c r="C139" s="1"/>
  <c r="E133"/>
  <c r="F154"/>
  <c r="F169"/>
  <c r="F185"/>
  <c r="F194" s="1"/>
  <c r="F186"/>
  <c r="C194"/>
  <c r="F222"/>
  <c r="F231" s="1"/>
  <c r="C231"/>
  <c r="H231"/>
  <c r="F234"/>
  <c r="F237" s="1"/>
  <c r="C237"/>
  <c r="H237"/>
  <c r="E23"/>
  <c r="E31" s="1"/>
  <c r="I23"/>
  <c r="I31" s="1"/>
  <c r="E117"/>
  <c r="E134" s="1"/>
  <c r="E135" s="1"/>
  <c r="I117"/>
  <c r="E136"/>
  <c r="E138" s="1"/>
  <c r="I150"/>
  <c r="I162" s="1"/>
  <c r="F152"/>
  <c r="F162" s="1"/>
  <c r="F166"/>
  <c r="F177" s="1"/>
  <c r="I166"/>
  <c r="I177" s="1"/>
  <c r="I202"/>
  <c r="I209" s="1"/>
  <c r="F238" l="1"/>
  <c r="E139"/>
  <c r="F139"/>
  <c r="C238"/>
  <c r="C239" s="1"/>
  <c r="E239"/>
  <c r="F239" l="1"/>
</calcChain>
</file>

<file path=xl/comments1.xml><?xml version="1.0" encoding="utf-8"?>
<comments xmlns="http://schemas.openxmlformats.org/spreadsheetml/2006/main">
  <authors>
    <author>user</author>
    <author>Jay-R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deduct discount</t>
        </r>
      </text>
    </comment>
    <comment ref="D117" authorId="1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deduct ts int. inc.
</t>
        </r>
      </text>
    </comment>
    <comment ref="D121" authorId="1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BREAK DOWN IN NXT SHEET</t>
        </r>
      </text>
    </comment>
    <comment ref="D133" authorId="1">
      <text>
        <r>
          <rPr>
            <b/>
            <sz val="8"/>
            <color indexed="81"/>
            <rFont val="Tahoma"/>
            <family val="2"/>
          </rPr>
          <t>Jay-R:</t>
        </r>
        <r>
          <rPr>
            <sz val="8"/>
            <color indexed="81"/>
            <rFont val="Tahoma"/>
            <family val="2"/>
          </rPr>
          <t xml:space="preserve">
deduct ts liq. Damages
</t>
        </r>
      </text>
    </comment>
  </commentList>
</comments>
</file>

<file path=xl/sharedStrings.xml><?xml version="1.0" encoding="utf-8"?>
<sst xmlns="http://schemas.openxmlformats.org/spreadsheetml/2006/main" count="459" uniqueCount="384">
  <si>
    <t>Prov'l. Form No. 215(A)</t>
  </si>
  <si>
    <t>REVENUE SOURCE</t>
  </si>
  <si>
    <t xml:space="preserve">   Miscellaneous Income</t>
  </si>
  <si>
    <t xml:space="preserve">   Weighing Fee</t>
  </si>
  <si>
    <t xml:space="preserve">   Stall Rental</t>
  </si>
  <si>
    <t xml:space="preserve">   Cash Tickets</t>
  </si>
  <si>
    <t xml:space="preserve"> </t>
  </si>
  <si>
    <t>638-6</t>
  </si>
  <si>
    <t xml:space="preserve">   Poultry Inspection Fee</t>
  </si>
  <si>
    <t xml:space="preserve">   Hog Inspection Fee</t>
  </si>
  <si>
    <t xml:space="preserve">   Corral Hog Fee</t>
  </si>
  <si>
    <t xml:space="preserve">   Corral Poultry Fee</t>
  </si>
  <si>
    <t xml:space="preserve">   Lechon Fee</t>
  </si>
  <si>
    <t>FUND: GENERAL FUND</t>
  </si>
  <si>
    <t xml:space="preserve">   Receipts from Cemeteries</t>
  </si>
  <si>
    <t xml:space="preserve">   Corral Fee- goat</t>
  </si>
  <si>
    <t xml:space="preserve">   TLAC  Rental</t>
  </si>
  <si>
    <t xml:space="preserve">   Clearance - TLAC</t>
  </si>
  <si>
    <t>638-9</t>
  </si>
  <si>
    <t xml:space="preserve">      Total</t>
  </si>
  <si>
    <t>628-8</t>
  </si>
  <si>
    <t xml:space="preserve">   Chevon</t>
  </si>
  <si>
    <t>628-12</t>
  </si>
  <si>
    <t>628-13</t>
  </si>
  <si>
    <t xml:space="preserve">   Security fee</t>
  </si>
  <si>
    <t xml:space="preserve">   Drainage Maintenance Fee (DMF)</t>
  </si>
  <si>
    <t xml:space="preserve">   Sanitary Service Fee (SSF)</t>
  </si>
  <si>
    <t>ESTIMATED</t>
  </si>
  <si>
    <t>REVENUE</t>
  </si>
  <si>
    <t>OVER</t>
  </si>
  <si>
    <t>UNDER</t>
  </si>
  <si>
    <t>REPORT OF REVENUES AND RECEIPTS</t>
  </si>
  <si>
    <t>1.0 INCOME</t>
  </si>
  <si>
    <t>1.1  Local Taxes</t>
  </si>
  <si>
    <t>1.2 GENERAL INCOME ACCOUNTS</t>
  </si>
  <si>
    <t xml:space="preserve">  1.2.1 Permits &amp; Licenses</t>
  </si>
  <si>
    <t>1.2.2 Service Income</t>
  </si>
  <si>
    <t xml:space="preserve">      License Inspection Fee</t>
  </si>
  <si>
    <t xml:space="preserve">      Fire Safety Inspection Fee</t>
  </si>
  <si>
    <t xml:space="preserve">      Annual Building Inspection Fee</t>
  </si>
  <si>
    <t xml:space="preserve">      Local Fire Inspection Fee</t>
  </si>
  <si>
    <t xml:space="preserve">     Towing Fee</t>
  </si>
  <si>
    <t>1.2.3 Other Income</t>
  </si>
  <si>
    <t>2.0 Income from Economic Enterprise</t>
  </si>
  <si>
    <t xml:space="preserve"> 2.1 Income from Asphalt</t>
  </si>
  <si>
    <t xml:space="preserve"> 2.2  Income from Market</t>
  </si>
  <si>
    <t xml:space="preserve"> 2.3 Income from Trade Center</t>
  </si>
  <si>
    <t xml:space="preserve"> 2.4 Income from Terminal</t>
  </si>
  <si>
    <t xml:space="preserve"> 2.5 Income from Slaughterhouse</t>
  </si>
  <si>
    <t xml:space="preserve"> 2.6 Income from TLAC</t>
  </si>
  <si>
    <t xml:space="preserve">ACTUAL </t>
  </si>
  <si>
    <t>COLLECTION</t>
  </si>
  <si>
    <t>CODE</t>
  </si>
  <si>
    <t xml:space="preserve">   RCEP</t>
  </si>
  <si>
    <t>Prepared by:</t>
  </si>
  <si>
    <t>Certified Correct:</t>
  </si>
  <si>
    <t>RAMIL Y. TIU, CPA</t>
  </si>
  <si>
    <t>City Accountant</t>
  </si>
  <si>
    <t>Note : * RPT Current is net of Discount</t>
  </si>
  <si>
    <t xml:space="preserve"> 2.7 Income from Cemetery</t>
  </si>
  <si>
    <t xml:space="preserve">   Transfer/occupancy Fee</t>
  </si>
  <si>
    <t xml:space="preserve">  Total Economic Enterprises</t>
  </si>
  <si>
    <t xml:space="preserve">   Educational Support Program Fee(ESPF)</t>
  </si>
  <si>
    <t>628-15</t>
  </si>
  <si>
    <t xml:space="preserve">     Impounding Fee (Motor Vehicles)</t>
  </si>
  <si>
    <t xml:space="preserve">     Impounding Fee (Astray Animals)</t>
  </si>
  <si>
    <t>Rent Income</t>
  </si>
  <si>
    <t>Canteen Rental</t>
  </si>
  <si>
    <t>Equipment Rental</t>
  </si>
  <si>
    <t>642-001</t>
  </si>
  <si>
    <t>642-002</t>
  </si>
  <si>
    <t>Special Education Fund</t>
  </si>
  <si>
    <t>ACCOUNT CODE</t>
  </si>
  <si>
    <t>COLLECTIONS</t>
  </si>
  <si>
    <t>ADDITIONAL REALIZED</t>
  </si>
  <si>
    <t>UNREALIZED</t>
  </si>
  <si>
    <t>TAX REVENUE</t>
  </si>
  <si>
    <t>Real Property Tax - Current Year*</t>
  </si>
  <si>
    <t>591-01</t>
  </si>
  <si>
    <t>Real Property Tax - Prior Years</t>
  </si>
  <si>
    <t>591-02</t>
  </si>
  <si>
    <t>Real Property Tax - Penalty</t>
  </si>
  <si>
    <t>TOTAL TAX REVENUE</t>
  </si>
  <si>
    <t>OPERATING &amp; MISC. INCOME</t>
  </si>
  <si>
    <t>Interest Income - LBP</t>
  </si>
  <si>
    <t>Miscellaneous Income</t>
  </si>
  <si>
    <t>Liquidated Damages</t>
  </si>
  <si>
    <t>679-02</t>
  </si>
  <si>
    <t>TOTAL OPERATING &amp; MISC. INCOME</t>
  </si>
  <si>
    <t>GRAND TOTAL</t>
  </si>
  <si>
    <t>* RPT Current is net of Discount</t>
  </si>
  <si>
    <t>Prepared by :</t>
  </si>
  <si>
    <t>Accounting Staff</t>
  </si>
  <si>
    <t>Certified Correct :</t>
  </si>
  <si>
    <t>Ramil Y. Tiu, CPA</t>
  </si>
  <si>
    <t>Amusement Tax</t>
  </si>
  <si>
    <t>Business Tax</t>
  </si>
  <si>
    <t>Current Taxes</t>
  </si>
  <si>
    <t>582-001</t>
  </si>
  <si>
    <t>Prior Years Taxes</t>
  </si>
  <si>
    <t>582-002</t>
  </si>
  <si>
    <t>Community Tax</t>
  </si>
  <si>
    <t>Individual</t>
  </si>
  <si>
    <t>583-001</t>
  </si>
  <si>
    <t>Corporate</t>
  </si>
  <si>
    <t>583-002</t>
  </si>
  <si>
    <t>Franchise Tax - Electricity</t>
  </si>
  <si>
    <t>584-001</t>
  </si>
  <si>
    <t>Occupational Tax</t>
  </si>
  <si>
    <t>585-001</t>
  </si>
  <si>
    <t>Professional Tax</t>
  </si>
  <si>
    <t>585-002</t>
  </si>
  <si>
    <t>Property Tax Transfer</t>
  </si>
  <si>
    <t>Real Property Tax</t>
  </si>
  <si>
    <t>588-001</t>
  </si>
  <si>
    <t>Prior years</t>
  </si>
  <si>
    <t>588-002</t>
  </si>
  <si>
    <t>Tax on Idle Land</t>
  </si>
  <si>
    <t>Tax on Delivery Trucks &amp; Vans</t>
  </si>
  <si>
    <t>Tax on Sand, Gravel &amp; Other Quarry</t>
  </si>
  <si>
    <t>Fines &amp;Penalties</t>
  </si>
  <si>
    <t>Real Property</t>
  </si>
  <si>
    <t>599-001</t>
  </si>
  <si>
    <t>599-002</t>
  </si>
  <si>
    <t>Fees on Weight and Measures</t>
  </si>
  <si>
    <t>601-001</t>
  </si>
  <si>
    <t>Fees on Stickers</t>
  </si>
  <si>
    <t>601-002</t>
  </si>
  <si>
    <t xml:space="preserve">Fees on Tag Seal </t>
  </si>
  <si>
    <t>601-003</t>
  </si>
  <si>
    <t>Fees on Business License Plate</t>
  </si>
  <si>
    <t>601-004</t>
  </si>
  <si>
    <t xml:space="preserve">Franchising &amp; Licensing Fees </t>
  </si>
  <si>
    <t>MTOP-MCH</t>
  </si>
  <si>
    <t>603-001</t>
  </si>
  <si>
    <t xml:space="preserve">Annual Renewal Fees </t>
  </si>
  <si>
    <t>603-003</t>
  </si>
  <si>
    <t>Transfer Fee (MTOP)</t>
  </si>
  <si>
    <t>603-004</t>
  </si>
  <si>
    <t>Permit Fees</t>
  </si>
  <si>
    <t>Business</t>
  </si>
  <si>
    <t>605-001</t>
  </si>
  <si>
    <t>Fishery</t>
  </si>
  <si>
    <t>605-002</t>
  </si>
  <si>
    <t>Flammables Storage</t>
  </si>
  <si>
    <t>605-003</t>
  </si>
  <si>
    <t>Registration Fees</t>
  </si>
  <si>
    <t>Large Cattle</t>
  </si>
  <si>
    <t>606-001</t>
  </si>
  <si>
    <t>Bicycle</t>
  </si>
  <si>
    <t>606-002</t>
  </si>
  <si>
    <t>Birth, Marriage &amp; Death</t>
  </si>
  <si>
    <t>606-003</t>
  </si>
  <si>
    <t>Other Permits and Licenses</t>
  </si>
  <si>
    <t>Occupancy Permit Fee</t>
  </si>
  <si>
    <t>608-001</t>
  </si>
  <si>
    <t xml:space="preserve">Building Permit Fee </t>
  </si>
  <si>
    <t>608-002</t>
  </si>
  <si>
    <t>Electrical Permit Fee</t>
  </si>
  <si>
    <t>608-003</t>
  </si>
  <si>
    <t>Subdivision Permit Fee</t>
  </si>
  <si>
    <t>608-004</t>
  </si>
  <si>
    <t>Zoning/Locational Permit Fee</t>
  </si>
  <si>
    <t>608-005</t>
  </si>
  <si>
    <t>Mayor"s Special Permit</t>
  </si>
  <si>
    <t>608-006</t>
  </si>
  <si>
    <t>Application for Marriage &amp; License</t>
  </si>
  <si>
    <t>608-007</t>
  </si>
  <si>
    <t>Police Clearance</t>
  </si>
  <si>
    <t>613-001</t>
  </si>
  <si>
    <t>Land Tax Clearance</t>
  </si>
  <si>
    <t>613-002</t>
  </si>
  <si>
    <t>Engineers Clearance</t>
  </si>
  <si>
    <t>613-003</t>
  </si>
  <si>
    <t>Mayor's Clearance</t>
  </si>
  <si>
    <t>613-004</t>
  </si>
  <si>
    <t>Certification of Birth, Death&amp;Marriage</t>
  </si>
  <si>
    <t>613-005</t>
  </si>
  <si>
    <t>Certification and Clearance Fee</t>
  </si>
  <si>
    <t>Accounting Office</t>
  </si>
  <si>
    <t>613-006</t>
  </si>
  <si>
    <t>City Agriculture's Office</t>
  </si>
  <si>
    <t>613-007</t>
  </si>
  <si>
    <t xml:space="preserve">City Assessor's Office </t>
  </si>
  <si>
    <t>613-008</t>
  </si>
  <si>
    <t>CENRO</t>
  </si>
  <si>
    <t>613-009</t>
  </si>
  <si>
    <t>City General Service Office</t>
  </si>
  <si>
    <t>613-010</t>
  </si>
  <si>
    <t>LIBRARY</t>
  </si>
  <si>
    <t>613-011</t>
  </si>
  <si>
    <t>MO LICENSE</t>
  </si>
  <si>
    <t>613-012</t>
  </si>
  <si>
    <t>Human Resource Management Office</t>
  </si>
  <si>
    <t>613-013</t>
  </si>
  <si>
    <t>TOURISM</t>
  </si>
  <si>
    <t>613-014</t>
  </si>
  <si>
    <t>Public Employment Services Office</t>
  </si>
  <si>
    <t>613-015</t>
  </si>
  <si>
    <t>City Planning &amp; Development Office</t>
  </si>
  <si>
    <t>613-016</t>
  </si>
  <si>
    <t>City Prosecutor Office</t>
  </si>
  <si>
    <t>613-017</t>
  </si>
  <si>
    <t>SP/Legislative and Secretariat Office</t>
  </si>
  <si>
    <t>613-018</t>
  </si>
  <si>
    <t>City Social Welfare&amp;Development</t>
  </si>
  <si>
    <t>613-019</t>
  </si>
  <si>
    <t>City Treasurer's Office</t>
  </si>
  <si>
    <t>613-020</t>
  </si>
  <si>
    <t>PLEB</t>
  </si>
  <si>
    <t>613-021</t>
  </si>
  <si>
    <t>City Veterenary Office</t>
  </si>
  <si>
    <t>613-022</t>
  </si>
  <si>
    <t>Garbage Fee</t>
  </si>
  <si>
    <t xml:space="preserve">Inspection Fee </t>
  </si>
  <si>
    <t>617-001</t>
  </si>
  <si>
    <t>617-002</t>
  </si>
  <si>
    <t>617-003</t>
  </si>
  <si>
    <t>617-004</t>
  </si>
  <si>
    <t>Medical,Dental &amp; Laboratory Fee</t>
  </si>
  <si>
    <t>Medical,Dental&amp;Laboratory Fee - CHO</t>
  </si>
  <si>
    <t>619-001</t>
  </si>
  <si>
    <t>Medical Fee - License</t>
  </si>
  <si>
    <t>619-002</t>
  </si>
  <si>
    <t>619-003</t>
  </si>
  <si>
    <t>Sanitary Fee</t>
  </si>
  <si>
    <t>619-004</t>
  </si>
  <si>
    <t>Other Service Income</t>
  </si>
  <si>
    <t>Legal Instrument/Court Orders</t>
  </si>
  <si>
    <t>628-002</t>
  </si>
  <si>
    <t>Petition &amp; Correction of Entry</t>
  </si>
  <si>
    <t>628-003</t>
  </si>
  <si>
    <t>Legal Service  Fee</t>
  </si>
  <si>
    <t>628-005</t>
  </si>
  <si>
    <t>Educational Support Program Fee (ESPF)</t>
  </si>
  <si>
    <t>628-006</t>
  </si>
  <si>
    <t>Sanitary Service Fee (SSF)</t>
  </si>
  <si>
    <t>628-007</t>
  </si>
  <si>
    <t>Road Maintenance Fee (RMF)</t>
  </si>
  <si>
    <t>628-008</t>
  </si>
  <si>
    <t>Drainage Maintenance Fee (DMF)</t>
  </si>
  <si>
    <t>628-009</t>
  </si>
  <si>
    <t>Archival Fee (AF)</t>
  </si>
  <si>
    <t>628-010</t>
  </si>
  <si>
    <t>Security Fee (SF)</t>
  </si>
  <si>
    <t>628-011</t>
  </si>
  <si>
    <t>RCEPF</t>
  </si>
  <si>
    <t>628-014</t>
  </si>
  <si>
    <t>Income From Birthing Facilty</t>
  </si>
  <si>
    <t>Services 50% (PAANAKAN)</t>
  </si>
  <si>
    <t>628-016</t>
  </si>
  <si>
    <t>Interest Income</t>
  </si>
  <si>
    <t>Bank Deposit</t>
  </si>
  <si>
    <t>664-001</t>
  </si>
  <si>
    <t>Soft loan-Taceco</t>
  </si>
  <si>
    <t>664-002</t>
  </si>
  <si>
    <t>Share from National Wealth</t>
  </si>
  <si>
    <t>Share from LOTTO</t>
  </si>
  <si>
    <t>ID Cards</t>
  </si>
  <si>
    <t>678-005</t>
  </si>
  <si>
    <t>PMC</t>
  </si>
  <si>
    <t>678-006</t>
  </si>
  <si>
    <t xml:space="preserve">Sale of Accountable Forms </t>
  </si>
  <si>
    <t>AF# 51&amp;55</t>
  </si>
  <si>
    <t>678-008</t>
  </si>
  <si>
    <t>BIR Form #0016</t>
  </si>
  <si>
    <t>678-009</t>
  </si>
  <si>
    <t>Sale of Scrap</t>
  </si>
  <si>
    <t>678-015</t>
  </si>
  <si>
    <t>BREQIS - LCR</t>
  </si>
  <si>
    <t>678-019</t>
  </si>
  <si>
    <t>Kalakalan</t>
  </si>
  <si>
    <t>678-025</t>
  </si>
  <si>
    <t>Employees village</t>
  </si>
  <si>
    <t>678-026</t>
  </si>
  <si>
    <t>Tax Incentive Registration</t>
  </si>
  <si>
    <t>678-031</t>
  </si>
  <si>
    <t>Citation Tickets</t>
  </si>
  <si>
    <t>679-001</t>
  </si>
  <si>
    <t>Liquidated damages</t>
  </si>
  <si>
    <t>679-002</t>
  </si>
  <si>
    <t>Total General Income</t>
  </si>
  <si>
    <t>Share from Internal Revenue Allotment</t>
  </si>
  <si>
    <t>665-001</t>
  </si>
  <si>
    <t>Monetization of IRA</t>
  </si>
  <si>
    <t>General Fund Proper Total Income</t>
  </si>
  <si>
    <t>648-001</t>
  </si>
  <si>
    <t>Fees on Weighing Scale</t>
  </si>
  <si>
    <t>636-001</t>
  </si>
  <si>
    <t>Stall Rental</t>
  </si>
  <si>
    <t>636-002</t>
  </si>
  <si>
    <t>Cash Tickets</t>
  </si>
  <si>
    <t>636-003</t>
  </si>
  <si>
    <t>Stall Rental -Arrears</t>
  </si>
  <si>
    <t>636-004</t>
  </si>
  <si>
    <t>636-005</t>
  </si>
  <si>
    <t>Fees on Fish Landing</t>
  </si>
  <si>
    <t>636-006</t>
  </si>
  <si>
    <t>Stall Rental -Surcharge &amp; Penalties</t>
  </si>
  <si>
    <t>636-007</t>
  </si>
  <si>
    <t>Occupancy/Transfer Fee</t>
  </si>
  <si>
    <t>636-012</t>
  </si>
  <si>
    <t>Annual Registration Fee- Market</t>
  </si>
  <si>
    <t>636-014</t>
  </si>
  <si>
    <t>CR Rental</t>
  </si>
  <si>
    <t>636-016</t>
  </si>
  <si>
    <t>Security Fee</t>
  </si>
  <si>
    <t>636-008</t>
  </si>
  <si>
    <t>636-009</t>
  </si>
  <si>
    <t>636-010</t>
  </si>
  <si>
    <t>Occupancy Fee</t>
  </si>
  <si>
    <t>636-011</t>
  </si>
  <si>
    <t>Cash Tickets Trade</t>
  </si>
  <si>
    <t>636-013</t>
  </si>
  <si>
    <t>Cash Ticket-Night Market</t>
  </si>
  <si>
    <t>636-015</t>
  </si>
  <si>
    <t>ESPF- Night Market</t>
  </si>
  <si>
    <t>Terminal &amp; Toll Fee</t>
  </si>
  <si>
    <t>638-001</t>
  </si>
  <si>
    <t>Cash Tickets-Ambulant Vendors</t>
  </si>
  <si>
    <t>638-002</t>
  </si>
  <si>
    <t>638-003</t>
  </si>
  <si>
    <t>Cash Ticket-Toll fee</t>
  </si>
  <si>
    <t>638-004</t>
  </si>
  <si>
    <t>638-005</t>
  </si>
  <si>
    <t xml:space="preserve">Occupancy </t>
  </si>
  <si>
    <t>638-007</t>
  </si>
  <si>
    <t>638-008</t>
  </si>
  <si>
    <t>CR  Rental</t>
  </si>
  <si>
    <t>Annual Registration-Bus &amp; Jeeps</t>
  </si>
  <si>
    <t>638-010</t>
  </si>
  <si>
    <t>Slaughter Permit Fee</t>
  </si>
  <si>
    <t>637-001</t>
  </si>
  <si>
    <t>Stockyard  Fee</t>
  </si>
  <si>
    <t>637-002</t>
  </si>
  <si>
    <t>Holding  Pen Fee</t>
  </si>
  <si>
    <t>637-003</t>
  </si>
  <si>
    <t>Inspection Fee</t>
  </si>
  <si>
    <t>637-004</t>
  </si>
  <si>
    <t>Ante Mortem</t>
  </si>
  <si>
    <t>637-005</t>
  </si>
  <si>
    <t>637-013</t>
  </si>
  <si>
    <t>637-015</t>
  </si>
  <si>
    <t>Meat inspection Fee</t>
  </si>
  <si>
    <t>637-022</t>
  </si>
  <si>
    <t>RCEP</t>
  </si>
  <si>
    <t>637-006</t>
  </si>
  <si>
    <t>637-007</t>
  </si>
  <si>
    <t>637-008</t>
  </si>
  <si>
    <t>637-009</t>
  </si>
  <si>
    <t>637-010</t>
  </si>
  <si>
    <t>637-011</t>
  </si>
  <si>
    <t>637-012</t>
  </si>
  <si>
    <t>637-014</t>
  </si>
  <si>
    <t>637-016</t>
  </si>
  <si>
    <t>637-017</t>
  </si>
  <si>
    <t>637-018</t>
  </si>
  <si>
    <t>637-019</t>
  </si>
  <si>
    <t>637-021</t>
  </si>
  <si>
    <t>637-023</t>
  </si>
  <si>
    <t>633-001</t>
  </si>
  <si>
    <t xml:space="preserve">  GRAND TOTAL</t>
  </si>
  <si>
    <t xml:space="preserve">         ** Total Income excluding of non-cash transaction ( Income from Grants &amp; Donations)</t>
  </si>
  <si>
    <t xml:space="preserve">         ***Excluding all Trade School Income (e.g. Tuition Fees)</t>
  </si>
  <si>
    <t>FOR THE MONTH ENDED SEPTEMBER 30, 2015</t>
  </si>
  <si>
    <t>TREASURY</t>
  </si>
  <si>
    <t>VARIANCE</t>
  </si>
  <si>
    <t>Registration Fee for Tax Incentive ( Local Incentive Code)</t>
  </si>
  <si>
    <t>606-004</t>
  </si>
  <si>
    <t>Laboratory Fee-License</t>
  </si>
  <si>
    <t>ECONOMIC RRR's</t>
  </si>
  <si>
    <t>ANTHONY MARK A. LONZAGA, CPA</t>
  </si>
  <si>
    <t>Bookkeeper I</t>
  </si>
  <si>
    <t>GROSS INCOME</t>
  </si>
  <si>
    <t>GRANTS AND DONATIONS</t>
  </si>
  <si>
    <t>TUITION FEE-TS</t>
  </si>
  <si>
    <t>ts-income &amp; Liq Damages</t>
  </si>
  <si>
    <t>DISCOUNT - RPT</t>
  </si>
  <si>
    <t>TOTAL INCOME</t>
  </si>
  <si>
    <t>For the Month Ended  September 30, 2015</t>
  </si>
  <si>
    <t>DISCOUNT</t>
  </si>
  <si>
    <t>TOTAL</t>
  </si>
  <si>
    <t>RRR</t>
  </si>
  <si>
    <t>Anthony Mark A. Lonzaga, CPA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</si>
</sst>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1.05"/>
      <color indexed="8"/>
      <name val="Arial"/>
      <family val="2"/>
    </font>
    <font>
      <sz val="10"/>
      <color indexed="8"/>
      <name val="MS Sans Serif"/>
      <family val="2"/>
    </font>
    <font>
      <b/>
      <sz val="8.9"/>
      <color indexed="8"/>
      <name val="Bookman Old Style"/>
      <family val="1"/>
    </font>
    <font>
      <b/>
      <sz val="8.9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.05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sz val="9"/>
      <color theme="9" tint="-0.249977111117893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12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2" fillId="0" borderId="0"/>
    <xf numFmtId="0" fontId="14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218">
    <xf numFmtId="0" fontId="0" fillId="0" borderId="0" xfId="0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8" xfId="0" applyFont="1" applyFill="1" applyBorder="1"/>
    <xf numFmtId="43" fontId="3" fillId="2" borderId="1" xfId="1" applyFont="1" applyFill="1" applyBorder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43" fontId="3" fillId="2" borderId="0" xfId="1" applyFont="1" applyFill="1" applyBorder="1"/>
    <xf numFmtId="0" fontId="7" fillId="2" borderId="0" xfId="0" applyFont="1" applyFill="1" applyBorder="1" applyAlignment="1">
      <alignment horizontal="left"/>
    </xf>
    <xf numFmtId="0" fontId="7" fillId="2" borderId="19" xfId="0" applyFont="1" applyFill="1" applyBorder="1"/>
    <xf numFmtId="0" fontId="7" fillId="0" borderId="48" xfId="0" applyFont="1" applyBorder="1" applyAlignment="1">
      <alignment horizontal="center" vertical="center" wrapText="1"/>
    </xf>
    <xf numFmtId="43" fontId="7" fillId="0" borderId="49" xfId="1" applyFont="1" applyBorder="1" applyAlignment="1">
      <alignment horizontal="center" vertical="center" wrapText="1"/>
    </xf>
    <xf numFmtId="43" fontId="7" fillId="0" borderId="50" xfId="1" applyFont="1" applyBorder="1" applyAlignment="1">
      <alignment horizontal="center" vertical="center" wrapText="1"/>
    </xf>
    <xf numFmtId="43" fontId="7" fillId="0" borderId="51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0" xfId="0" applyFont="1" applyBorder="1"/>
    <xf numFmtId="39" fontId="1" fillId="0" borderId="1" xfId="0" applyNumberFormat="1" applyFont="1" applyBorder="1"/>
    <xf numFmtId="0" fontId="7" fillId="0" borderId="7" xfId="0" applyFont="1" applyBorder="1"/>
    <xf numFmtId="0" fontId="7" fillId="0" borderId="40" xfId="0" applyFont="1" applyBorder="1" applyAlignment="1">
      <alignment horizontal="center"/>
    </xf>
    <xf numFmtId="43" fontId="7" fillId="0" borderId="9" xfId="1" applyFont="1" applyBorder="1"/>
    <xf numFmtId="43" fontId="7" fillId="0" borderId="10" xfId="1" applyFont="1" applyBorder="1"/>
    <xf numFmtId="43" fontId="7" fillId="0" borderId="7" xfId="1" applyFont="1" applyBorder="1"/>
    <xf numFmtId="43" fontId="7" fillId="0" borderId="25" xfId="1" applyFont="1" applyBorder="1"/>
    <xf numFmtId="0" fontId="7" fillId="0" borderId="39" xfId="0" applyFont="1" applyBorder="1"/>
    <xf numFmtId="0" fontId="7" fillId="0" borderId="8" xfId="0" applyFont="1" applyBorder="1" applyAlignment="1">
      <alignment horizontal="center"/>
    </xf>
    <xf numFmtId="43" fontId="7" fillId="0" borderId="6" xfId="1" applyFont="1" applyBorder="1"/>
    <xf numFmtId="43" fontId="7" fillId="0" borderId="5" xfId="1" applyFont="1" applyBorder="1"/>
    <xf numFmtId="43" fontId="7" fillId="0" borderId="39" xfId="1" applyFont="1" applyBorder="1"/>
    <xf numFmtId="43" fontId="7" fillId="0" borderId="24" xfId="1" applyFont="1" applyBorder="1"/>
    <xf numFmtId="43" fontId="1" fillId="0" borderId="0" xfId="1" applyFont="1" applyBorder="1"/>
    <xf numFmtId="0" fontId="8" fillId="2" borderId="18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1" xfId="0" applyFont="1" applyFill="1" applyBorder="1"/>
    <xf numFmtId="0" fontId="3" fillId="2" borderId="27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9" xfId="0" applyFont="1" applyFill="1" applyBorder="1"/>
    <xf numFmtId="0" fontId="8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/>
    <xf numFmtId="43" fontId="1" fillId="2" borderId="0" xfId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3" fillId="2" borderId="0" xfId="1" applyFont="1" applyFill="1" applyAlignment="1">
      <alignment horizontal="right"/>
    </xf>
    <xf numFmtId="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3" fontId="1" fillId="2" borderId="0" xfId="1" applyFont="1" applyFill="1"/>
    <xf numFmtId="0" fontId="3" fillId="2" borderId="18" xfId="0" applyFont="1" applyFill="1" applyBorder="1"/>
    <xf numFmtId="0" fontId="8" fillId="2" borderId="44" xfId="0" applyFont="1" applyFill="1" applyBorder="1"/>
    <xf numFmtId="0" fontId="8" fillId="2" borderId="32" xfId="0" applyFont="1" applyFill="1" applyBorder="1" applyAlignment="1">
      <alignment horizontal="center"/>
    </xf>
    <xf numFmtId="0" fontId="23" fillId="2" borderId="3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30" xfId="0" applyFont="1" applyFill="1" applyBorder="1"/>
    <xf numFmtId="0" fontId="3" fillId="2" borderId="1" xfId="0" applyFont="1" applyFill="1" applyBorder="1"/>
    <xf numFmtId="0" fontId="3" fillId="2" borderId="28" xfId="0" applyFont="1" applyFill="1" applyBorder="1"/>
    <xf numFmtId="0" fontId="3" fillId="2" borderId="30" xfId="0" applyFont="1" applyFill="1" applyBorder="1" applyAlignment="1">
      <alignment horizontal="left" indent="1"/>
    </xf>
    <xf numFmtId="43" fontId="3" fillId="2" borderId="3" xfId="1" applyFont="1" applyFill="1" applyBorder="1"/>
    <xf numFmtId="43" fontId="3" fillId="2" borderId="19" xfId="1" applyFont="1" applyFill="1" applyBorder="1"/>
    <xf numFmtId="43" fontId="3" fillId="2" borderId="19" xfId="0" applyNumberFormat="1" applyFont="1" applyFill="1" applyBorder="1"/>
    <xf numFmtId="0" fontId="3" fillId="2" borderId="30" xfId="0" applyFont="1" applyFill="1" applyBorder="1" applyAlignment="1">
      <alignment horizontal="left" indent="2"/>
    </xf>
    <xf numFmtId="43" fontId="24" fillId="2" borderId="0" xfId="0" applyNumberFormat="1" applyFont="1" applyFill="1"/>
    <xf numFmtId="0" fontId="25" fillId="2" borderId="0" xfId="0" applyFont="1" applyFill="1"/>
    <xf numFmtId="16" fontId="25" fillId="2" borderId="0" xfId="0" applyNumberFormat="1" applyFont="1" applyFill="1"/>
    <xf numFmtId="16" fontId="3" fillId="2" borderId="0" xfId="0" applyNumberFormat="1" applyFont="1" applyFill="1"/>
    <xf numFmtId="43" fontId="3" fillId="0" borderId="3" xfId="1" applyFont="1" applyFill="1" applyBorder="1"/>
    <xf numFmtId="43" fontId="3" fillId="2" borderId="2" xfId="1" applyFont="1" applyFill="1" applyBorder="1"/>
    <xf numFmtId="0" fontId="3" fillId="2" borderId="30" xfId="0" applyFont="1" applyFill="1" applyBorder="1"/>
    <xf numFmtId="43" fontId="3" fillId="2" borderId="16" xfId="0" applyNumberFormat="1" applyFont="1" applyFill="1" applyBorder="1"/>
    <xf numFmtId="43" fontId="3" fillId="2" borderId="5" xfId="0" applyNumberFormat="1" applyFont="1" applyFill="1" applyBorder="1"/>
    <xf numFmtId="43" fontId="3" fillId="2" borderId="38" xfId="0" applyNumberFormat="1" applyFont="1" applyFill="1" applyBorder="1"/>
    <xf numFmtId="43" fontId="3" fillId="2" borderId="39" xfId="0" applyNumberFormat="1" applyFont="1" applyFill="1" applyBorder="1"/>
    <xf numFmtId="0" fontId="3" fillId="2" borderId="3" xfId="0" applyFont="1" applyFill="1" applyBorder="1"/>
    <xf numFmtId="43" fontId="3" fillId="3" borderId="0" xfId="0" applyNumberFormat="1" applyFont="1" applyFill="1"/>
    <xf numFmtId="0" fontId="3" fillId="3" borderId="0" xfId="0" applyFont="1" applyFill="1"/>
    <xf numFmtId="43" fontId="3" fillId="2" borderId="6" xfId="1" applyFont="1" applyFill="1" applyBorder="1"/>
    <xf numFmtId="43" fontId="3" fillId="2" borderId="24" xfId="1" applyFont="1" applyFill="1" applyBorder="1"/>
    <xf numFmtId="43" fontId="3" fillId="2" borderId="39" xfId="1" applyFont="1" applyFill="1" applyBorder="1"/>
    <xf numFmtId="43" fontId="3" fillId="2" borderId="1" xfId="1" quotePrefix="1" applyFont="1" applyFill="1" applyBorder="1" applyAlignment="1">
      <alignment horizontal="center"/>
    </xf>
    <xf numFmtId="43" fontId="3" fillId="2" borderId="28" xfId="1" applyFont="1" applyFill="1" applyBorder="1"/>
    <xf numFmtId="43" fontId="24" fillId="4" borderId="0" xfId="0" applyNumberFormat="1" applyFont="1" applyFill="1"/>
    <xf numFmtId="0" fontId="3" fillId="2" borderId="34" xfId="0" applyFont="1" applyFill="1" applyBorder="1" applyAlignment="1">
      <alignment horizontal="left" indent="2"/>
    </xf>
    <xf numFmtId="43" fontId="3" fillId="2" borderId="21" xfId="1" quotePrefix="1" applyFont="1" applyFill="1" applyBorder="1" applyAlignment="1">
      <alignment horizontal="center"/>
    </xf>
    <xf numFmtId="43" fontId="3" fillId="2" borderId="41" xfId="1" applyFont="1" applyFill="1" applyBorder="1"/>
    <xf numFmtId="43" fontId="3" fillId="2" borderId="21" xfId="1" applyFont="1" applyFill="1" applyBorder="1"/>
    <xf numFmtId="43" fontId="3" fillId="2" borderId="43" xfId="1" applyFont="1" applyFill="1" applyBorder="1"/>
    <xf numFmtId="43" fontId="3" fillId="2" borderId="1" xfId="0" applyNumberFormat="1" applyFont="1" applyFill="1" applyBorder="1"/>
    <xf numFmtId="43" fontId="3" fillId="2" borderId="11" xfId="1" applyFont="1" applyFill="1" applyBorder="1"/>
    <xf numFmtId="0" fontId="3" fillId="2" borderId="30" xfId="0" applyFont="1" applyFill="1" applyBorder="1" applyAlignment="1">
      <alignment horizontal="left" indent="3"/>
    </xf>
    <xf numFmtId="9" fontId="25" fillId="2" borderId="0" xfId="0" applyNumberFormat="1" applyFont="1" applyFill="1"/>
    <xf numFmtId="43" fontId="3" fillId="2" borderId="8" xfId="1" applyFont="1" applyFill="1" applyBorder="1"/>
    <xf numFmtId="43" fontId="3" fillId="2" borderId="0" xfId="39" applyFont="1" applyFill="1" applyBorder="1"/>
    <xf numFmtId="43" fontId="3" fillId="0" borderId="1" xfId="1" applyFont="1" applyFill="1" applyBorder="1"/>
    <xf numFmtId="0" fontId="24" fillId="2" borderId="0" xfId="0" applyFont="1" applyFill="1"/>
    <xf numFmtId="14" fontId="24" fillId="2" borderId="0" xfId="0" applyNumberFormat="1" applyFont="1" applyFill="1"/>
    <xf numFmtId="43" fontId="3" fillId="2" borderId="17" xfId="1" applyFont="1" applyFill="1" applyBorder="1"/>
    <xf numFmtId="0" fontId="8" fillId="2" borderId="30" xfId="0" applyFont="1" applyFill="1" applyBorder="1" applyAlignment="1">
      <alignment horizontal="left" indent="1"/>
    </xf>
    <xf numFmtId="43" fontId="3" fillId="2" borderId="40" xfId="1" applyFont="1" applyFill="1" applyBorder="1"/>
    <xf numFmtId="43" fontId="3" fillId="2" borderId="9" xfId="1" applyFont="1" applyFill="1" applyBorder="1"/>
    <xf numFmtId="43" fontId="3" fillId="2" borderId="25" xfId="1" applyFont="1" applyFill="1" applyBorder="1"/>
    <xf numFmtId="0" fontId="3" fillId="2" borderId="18" xfId="0" applyFont="1" applyFill="1" applyBorder="1" applyAlignment="1">
      <alignment horizontal="left" indent="1"/>
    </xf>
    <xf numFmtId="0" fontId="3" fillId="2" borderId="34" xfId="0" applyFont="1" applyFill="1" applyBorder="1"/>
    <xf numFmtId="43" fontId="3" fillId="2" borderId="42" xfId="1" applyFont="1" applyFill="1" applyBorder="1"/>
    <xf numFmtId="43" fontId="3" fillId="2" borderId="10" xfId="1" applyFont="1" applyFill="1" applyBorder="1"/>
    <xf numFmtId="43" fontId="3" fillId="2" borderId="26" xfId="1" applyFont="1" applyFill="1" applyBorder="1"/>
    <xf numFmtId="43" fontId="3" fillId="2" borderId="11" xfId="3" applyFont="1" applyFill="1" applyBorder="1" applyAlignment="1">
      <alignment horizontal="right" vertical="center"/>
    </xf>
    <xf numFmtId="43" fontId="3" fillId="2" borderId="0" xfId="3" applyFont="1" applyFill="1" applyBorder="1" applyAlignment="1">
      <alignment horizontal="right" vertical="center"/>
    </xf>
    <xf numFmtId="43" fontId="3" fillId="2" borderId="0" xfId="3" applyFont="1" applyFill="1" applyBorder="1" applyAlignment="1" applyProtection="1"/>
    <xf numFmtId="0" fontId="3" fillId="0" borderId="30" xfId="0" applyFont="1" applyFill="1" applyBorder="1" applyAlignment="1">
      <alignment horizontal="left" indent="1"/>
    </xf>
    <xf numFmtId="39" fontId="3" fillId="2" borderId="0" xfId="63" applyNumberFormat="1" applyFont="1" applyFill="1" applyBorder="1" applyAlignment="1">
      <alignment horizontal="right" vertical="center"/>
    </xf>
    <xf numFmtId="39" fontId="3" fillId="0" borderId="0" xfId="63" applyNumberFormat="1" applyFont="1" applyFill="1" applyBorder="1" applyAlignment="1">
      <alignment horizontal="right" vertical="center"/>
    </xf>
    <xf numFmtId="43" fontId="3" fillId="0" borderId="19" xfId="1" applyFont="1" applyFill="1" applyBorder="1"/>
    <xf numFmtId="4" fontId="3" fillId="0" borderId="0" xfId="0" applyNumberFormat="1" applyFont="1" applyFill="1"/>
    <xf numFmtId="43" fontId="3" fillId="0" borderId="0" xfId="1" applyFont="1" applyFill="1"/>
    <xf numFmtId="43" fontId="3" fillId="0" borderId="0" xfId="0" applyNumberFormat="1" applyFont="1" applyFill="1"/>
    <xf numFmtId="0" fontId="3" fillId="0" borderId="0" xfId="0" applyFont="1" applyFill="1"/>
    <xf numFmtId="43" fontId="3" fillId="0" borderId="0" xfId="3" applyFont="1" applyFill="1" applyBorder="1" applyAlignment="1" applyProtection="1"/>
    <xf numFmtId="43" fontId="3" fillId="2" borderId="2" xfId="3" applyFont="1" applyFill="1" applyBorder="1" applyAlignment="1" applyProtection="1"/>
    <xf numFmtId="43" fontId="3" fillId="2" borderId="7" xfId="1" applyFont="1" applyFill="1" applyBorder="1"/>
    <xf numFmtId="0" fontId="3" fillId="2" borderId="39" xfId="0" applyFont="1" applyFill="1" applyBorder="1"/>
    <xf numFmtId="43" fontId="3" fillId="2" borderId="0" xfId="3" applyFont="1" applyFill="1" applyBorder="1" applyAlignment="1" applyProtection="1">
      <alignment horizontal="left"/>
    </xf>
    <xf numFmtId="43" fontId="3" fillId="2" borderId="0" xfId="3" applyFont="1" applyFill="1" applyBorder="1" applyAlignment="1">
      <alignment horizontal="left" vertical="center"/>
    </xf>
    <xf numFmtId="0" fontId="8" fillId="2" borderId="1" xfId="0" applyFont="1" applyFill="1" applyBorder="1"/>
    <xf numFmtId="0" fontId="8" fillId="2" borderId="11" xfId="0" applyFont="1" applyFill="1" applyBorder="1"/>
    <xf numFmtId="39" fontId="3" fillId="2" borderId="11" xfId="63" applyNumberFormat="1" applyFont="1" applyFill="1" applyBorder="1" applyAlignment="1">
      <alignment horizontal="right" vertical="center"/>
    </xf>
    <xf numFmtId="43" fontId="26" fillId="2" borderId="0" xfId="0" applyNumberFormat="1" applyFont="1" applyFill="1"/>
    <xf numFmtId="0" fontId="3" fillId="2" borderId="34" xfId="0" applyFont="1" applyFill="1" applyBorder="1" applyAlignment="1">
      <alignment horizontal="left" indent="1"/>
    </xf>
    <xf numFmtId="43" fontId="3" fillId="2" borderId="29" xfId="1" applyFont="1" applyFill="1" applyBorder="1"/>
    <xf numFmtId="43" fontId="3" fillId="2" borderId="54" xfId="1" applyFont="1" applyFill="1" applyBorder="1"/>
    <xf numFmtId="43" fontId="3" fillId="2" borderId="55" xfId="1" applyFont="1" applyFill="1" applyBorder="1"/>
    <xf numFmtId="0" fontId="3" fillId="2" borderId="33" xfId="0" applyFont="1" applyFill="1" applyBorder="1" applyAlignment="1">
      <alignment horizontal="left" indent="1"/>
    </xf>
    <xf numFmtId="43" fontId="3" fillId="2" borderId="23" xfId="1" applyFont="1" applyFill="1" applyBorder="1"/>
    <xf numFmtId="43" fontId="3" fillId="2" borderId="22" xfId="1" applyFont="1" applyFill="1" applyBorder="1"/>
    <xf numFmtId="43" fontId="3" fillId="2" borderId="27" xfId="1" applyFont="1" applyFill="1" applyBorder="1"/>
    <xf numFmtId="39" fontId="3" fillId="2" borderId="0" xfId="0" applyNumberFormat="1" applyFont="1" applyFill="1" applyBorder="1" applyAlignment="1">
      <alignment horizontal="right" vertical="center"/>
    </xf>
    <xf numFmtId="43" fontId="3" fillId="2" borderId="4" xfId="1" applyFont="1" applyFill="1" applyBorder="1"/>
    <xf numFmtId="43" fontId="3" fillId="2" borderId="15" xfId="1" applyFont="1" applyFill="1" applyBorder="1"/>
    <xf numFmtId="43" fontId="3" fillId="2" borderId="2" xfId="0" applyNumberFormat="1" applyFont="1" applyFill="1" applyBorder="1"/>
    <xf numFmtId="43" fontId="3" fillId="2" borderId="9" xfId="0" applyNumberFormat="1" applyFont="1" applyFill="1" applyBorder="1"/>
    <xf numFmtId="43" fontId="3" fillId="2" borderId="10" xfId="0" applyNumberFormat="1" applyFont="1" applyFill="1" applyBorder="1"/>
    <xf numFmtId="43" fontId="3" fillId="2" borderId="25" xfId="0" applyNumberFormat="1" applyFont="1" applyFill="1" applyBorder="1"/>
    <xf numFmtId="0" fontId="8" fillId="2" borderId="36" xfId="0" applyFont="1" applyFill="1" applyBorder="1"/>
    <xf numFmtId="43" fontId="8" fillId="2" borderId="8" xfId="1" applyFont="1" applyFill="1" applyBorder="1"/>
    <xf numFmtId="43" fontId="8" fillId="2" borderId="6" xfId="1" applyFont="1" applyFill="1" applyBorder="1"/>
    <xf numFmtId="43" fontId="8" fillId="2" borderId="5" xfId="1" applyFont="1" applyFill="1" applyBorder="1"/>
    <xf numFmtId="43" fontId="8" fillId="2" borderId="24" xfId="1" applyFont="1" applyFill="1" applyBorder="1"/>
    <xf numFmtId="43" fontId="3" fillId="2" borderId="0" xfId="0" applyNumberFormat="1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35" xfId="0" applyFont="1" applyFill="1" applyBorder="1"/>
    <xf numFmtId="0" fontId="3" fillId="2" borderId="41" xfId="0" applyFont="1" applyFill="1" applyBorder="1"/>
    <xf numFmtId="0" fontId="3" fillId="2" borderId="43" xfId="0" applyFont="1" applyFill="1" applyBorder="1"/>
    <xf numFmtId="0" fontId="3" fillId="2" borderId="1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44" xfId="0" applyFont="1" applyFill="1" applyBorder="1"/>
    <xf numFmtId="4" fontId="1" fillId="0" borderId="0" xfId="0" applyNumberFormat="1" applyFont="1"/>
    <xf numFmtId="39" fontId="27" fillId="0" borderId="0" xfId="0" applyNumberFormat="1" applyFont="1" applyAlignment="1">
      <alignment horizontal="right" vertical="center"/>
    </xf>
    <xf numFmtId="0" fontId="1" fillId="0" borderId="0" xfId="0" applyFont="1"/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3" fontId="1" fillId="0" borderId="19" xfId="1" applyFont="1" applyBorder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3" fontId="1" fillId="0" borderId="1" xfId="1" applyFont="1" applyBorder="1"/>
    <xf numFmtId="43" fontId="1" fillId="0" borderId="3" xfId="1" applyFont="1" applyBorder="1"/>
    <xf numFmtId="43" fontId="1" fillId="0" borderId="28" xfId="1" applyFont="1" applyBorder="1"/>
    <xf numFmtId="43" fontId="1" fillId="0" borderId="0" xfId="0" applyNumberFormat="1" applyFont="1"/>
    <xf numFmtId="39" fontId="28" fillId="0" borderId="0" xfId="0" applyNumberFormat="1" applyFont="1" applyAlignment="1">
      <alignment horizontal="right" vertical="center"/>
    </xf>
    <xf numFmtId="0" fontId="1" fillId="0" borderId="53" xfId="0" applyFont="1" applyBorder="1" applyAlignment="1">
      <alignment horizontal="center"/>
    </xf>
    <xf numFmtId="0" fontId="1" fillId="0" borderId="12" xfId="0" applyFont="1" applyBorder="1"/>
    <xf numFmtId="0" fontId="1" fillId="0" borderId="37" xfId="0" applyFont="1" applyBorder="1" applyAlignment="1">
      <alignment horizontal="center"/>
    </xf>
    <xf numFmtId="43" fontId="1" fillId="0" borderId="2" xfId="1" applyFont="1" applyBorder="1"/>
    <xf numFmtId="43" fontId="1" fillId="0" borderId="45" xfId="1" applyFont="1" applyBorder="1"/>
    <xf numFmtId="43" fontId="1" fillId="0" borderId="12" xfId="1" applyFont="1" applyBorder="1"/>
    <xf numFmtId="43" fontId="1" fillId="0" borderId="52" xfId="1" applyFont="1" applyBorder="1"/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1" xfId="0" applyFont="1" applyBorder="1"/>
    <xf numFmtId="0" fontId="1" fillId="0" borderId="41" xfId="0" applyFont="1" applyBorder="1" applyAlignment="1">
      <alignment horizontal="center"/>
    </xf>
    <xf numFmtId="43" fontId="1" fillId="0" borderId="41" xfId="1" applyFont="1" applyBorder="1"/>
    <xf numFmtId="43" fontId="1" fillId="0" borderId="43" xfId="1" applyFont="1" applyBorder="1"/>
    <xf numFmtId="43" fontId="1" fillId="0" borderId="0" xfId="1" applyFont="1"/>
    <xf numFmtId="43" fontId="3" fillId="2" borderId="0" xfId="1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3" fontId="7" fillId="0" borderId="0" xfId="1" applyFont="1" applyBorder="1" applyAlignment="1">
      <alignment horizontal="center"/>
    </xf>
    <xf numFmtId="43" fontId="7" fillId="0" borderId="19" xfId="1" applyFont="1" applyBorder="1" applyAlignment="1">
      <alignment horizontal="center"/>
    </xf>
    <xf numFmtId="43" fontId="1" fillId="0" borderId="0" xfId="1" applyFont="1" applyBorder="1" applyAlignment="1">
      <alignment horizontal="center"/>
    </xf>
    <xf numFmtId="43" fontId="1" fillId="0" borderId="19" xfId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24">
    <cellStyle name="Comma" xfId="1" builtinId="3"/>
    <cellStyle name="Comma 2" xfId="2"/>
    <cellStyle name="Comma 2 2" xfId="3"/>
    <cellStyle name="Comma 2 2 2" xfId="4"/>
    <cellStyle name="Comma 2 2 2 2" xfId="5"/>
    <cellStyle name="Comma 2 2 2 3" xfId="6"/>
    <cellStyle name="Comma 2 2 2 3 2" xfId="7"/>
    <cellStyle name="Comma 2 2 2 3 3" xfId="8"/>
    <cellStyle name="Comma 2 2 2 3 3 2" xfId="9"/>
    <cellStyle name="Comma 2 2 3" xfId="10"/>
    <cellStyle name="Comma 2 2 4" xfId="11"/>
    <cellStyle name="Comma 2 2 5" xfId="12"/>
    <cellStyle name="Comma 2 2 6" xfId="13"/>
    <cellStyle name="Comma 2 3" xfId="14"/>
    <cellStyle name="Comma 2 3 2" xfId="15"/>
    <cellStyle name="Comma 2 3 3" xfId="16"/>
    <cellStyle name="Comma 2 3 4" xfId="17"/>
    <cellStyle name="Comma 2 4" xfId="18"/>
    <cellStyle name="Comma 2 5" xfId="19"/>
    <cellStyle name="Comma 2 6" xfId="20"/>
    <cellStyle name="Comma 3" xfId="21"/>
    <cellStyle name="Comma 3 2" xfId="22"/>
    <cellStyle name="Comma 3 2 2" xfId="23"/>
    <cellStyle name="Comma 3 2 3" xfId="24"/>
    <cellStyle name="Comma 3 2 3 2" xfId="25"/>
    <cellStyle name="Comma 3 2 3 3" xfId="26"/>
    <cellStyle name="Comma 3 2 3 3 2" xfId="27"/>
    <cellStyle name="Comma 3 3" xfId="28"/>
    <cellStyle name="Comma 3 3 2" xfId="29"/>
    <cellStyle name="Comma 3 3 2 2" xfId="30"/>
    <cellStyle name="Comma 3 3 3" xfId="31"/>
    <cellStyle name="Comma 3 4" xfId="32"/>
    <cellStyle name="Comma 3 5" xfId="33"/>
    <cellStyle name="Comma 4" xfId="34"/>
    <cellStyle name="Comma 4 2" xfId="35"/>
    <cellStyle name="Comma 4 2 2" xfId="36"/>
    <cellStyle name="Comma 4 2 3" xfId="37"/>
    <cellStyle name="Comma 4 3" xfId="38"/>
    <cellStyle name="Comma 4 4" xfId="39"/>
    <cellStyle name="Comma 4 4 2" xfId="40"/>
    <cellStyle name="Comma 4 4 3" xfId="41"/>
    <cellStyle name="Comma 4 4 3 2" xfId="42"/>
    <cellStyle name="Comma 4 5" xfId="43"/>
    <cellStyle name="Comma 5" xfId="44"/>
    <cellStyle name="Comma 5 2" xfId="45"/>
    <cellStyle name="Comma 6" xfId="46"/>
    <cellStyle name="Comma 7" xfId="47"/>
    <cellStyle name="Comma 7 2" xfId="48"/>
    <cellStyle name="Comma 7 2 2" xfId="49"/>
    <cellStyle name="Comma 7 2 3" xfId="50"/>
    <cellStyle name="Comma 7 3" xfId="51"/>
    <cellStyle name="Comma 7 3 2" xfId="52"/>
    <cellStyle name="Comma 7 3 3" xfId="53"/>
    <cellStyle name="Comma 7 4" xfId="54"/>
    <cellStyle name="Comma 7 5" xfId="55"/>
    <cellStyle name="Comma 8" xfId="56"/>
    <cellStyle name="Comma 9" xfId="57"/>
    <cellStyle name="Comma 9 2" xfId="58"/>
    <cellStyle name="Normal" xfId="0" builtinId="0"/>
    <cellStyle name="Normal 2" xfId="59"/>
    <cellStyle name="Normal 2 2" xfId="60"/>
    <cellStyle name="Normal 2 2 2" xfId="61"/>
    <cellStyle name="Normal 2 2 3" xfId="62"/>
    <cellStyle name="Normal 2 3" xfId="63"/>
    <cellStyle name="Normal 2 3 2" xfId="64"/>
    <cellStyle name="Normal 2 3 2 2" xfId="65"/>
    <cellStyle name="Normal 2 3 3" xfId="66"/>
    <cellStyle name="Normal 2 3 4" xfId="67"/>
    <cellStyle name="Normal 2 4" xfId="68"/>
    <cellStyle name="Normal 2 5" xfId="69"/>
    <cellStyle name="Normal 2 5 2" xfId="70"/>
    <cellStyle name="Normal 2 6" xfId="71"/>
    <cellStyle name="Normal 2 7" xfId="72"/>
    <cellStyle name="Normal 3" xfId="73"/>
    <cellStyle name="Normal 3 2" xfId="74"/>
    <cellStyle name="Normal 3 3" xfId="75"/>
    <cellStyle name="Normal 3 4" xfId="76"/>
    <cellStyle name="Normal 4" xfId="77"/>
    <cellStyle name="Normal 4 2" xfId="78"/>
    <cellStyle name="Normal 4 2 2" xfId="79"/>
    <cellStyle name="Normal 4 2 3" xfId="80"/>
    <cellStyle name="Normal 4 3" xfId="81"/>
    <cellStyle name="Normal 4 4" xfId="82"/>
    <cellStyle name="Normal 4 4 2" xfId="83"/>
    <cellStyle name="Normal 4 4 3" xfId="84"/>
    <cellStyle name="Normal 4 4 3 2" xfId="85"/>
    <cellStyle name="Normal 4 5" xfId="86"/>
    <cellStyle name="Normal 5" xfId="87"/>
    <cellStyle name="Normal 5 2" xfId="88"/>
    <cellStyle name="Normal 6" xfId="89"/>
    <cellStyle name="Normal 6 2" xfId="90"/>
    <cellStyle name="Percent 2" xfId="91"/>
    <cellStyle name="Percent 2 2" xfId="92"/>
    <cellStyle name="Percent 2 2 2" xfId="93"/>
    <cellStyle name="Percent 2 2 3" xfId="94"/>
    <cellStyle name="Percent 2 2 4" xfId="95"/>
    <cellStyle name="Percent 2 3" xfId="96"/>
    <cellStyle name="Percent 2 3 2" xfId="97"/>
    <cellStyle name="Percent 2 3 2 2" xfId="98"/>
    <cellStyle name="Percent 2 3 3" xfId="99"/>
    <cellStyle name="Percent 2 3 4" xfId="100"/>
    <cellStyle name="Percent 2 4" xfId="101"/>
    <cellStyle name="Percent 2 5" xfId="102"/>
    <cellStyle name="Percent 2 5 2" xfId="103"/>
    <cellStyle name="Percent 2 6" xfId="104"/>
    <cellStyle name="Percent 2 7" xfId="105"/>
    <cellStyle name="Percent 3" xfId="106"/>
    <cellStyle name="Percent 3 2" xfId="107"/>
    <cellStyle name="Percent 3 3" xfId="108"/>
    <cellStyle name="Percent 3 4" xfId="109"/>
    <cellStyle name="Percent 4" xfId="110"/>
    <cellStyle name="Percent 4 2" xfId="111"/>
    <cellStyle name="Percent 4 2 2" xfId="112"/>
    <cellStyle name="Percent 4 3" xfId="113"/>
    <cellStyle name="Percent 4 4" xfId="114"/>
    <cellStyle name="Percent 4 4 2" xfId="115"/>
    <cellStyle name="Percent 4 4 3" xfId="116"/>
    <cellStyle name="Percent 4 4 3 2" xfId="117"/>
    <cellStyle name="Percent 5" xfId="118"/>
    <cellStyle name="Percent 5 2" xfId="119"/>
    <cellStyle name="Percent 5 3" xfId="120"/>
    <cellStyle name="Percent 5 3 2" xfId="121"/>
    <cellStyle name="Percent 5 3 3" xfId="122"/>
    <cellStyle name="Percent 6" xfId="12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3"/>
  <sheetViews>
    <sheetView tabSelected="1" view="pageBreakPreview" zoomScaleSheetLayoutView="100" workbookViewId="0">
      <selection activeCell="A113" sqref="A113"/>
    </sheetView>
  </sheetViews>
  <sheetFormatPr defaultRowHeight="12"/>
  <cols>
    <col min="1" max="1" width="36.5703125" style="5" customWidth="1"/>
    <col min="2" max="2" width="7.7109375" style="54" customWidth="1"/>
    <col min="3" max="3" width="15.7109375" style="5" customWidth="1"/>
    <col min="4" max="4" width="15.28515625" style="5" customWidth="1"/>
    <col min="5" max="5" width="12.28515625" style="5" customWidth="1"/>
    <col min="6" max="6" width="15.28515625" style="5" customWidth="1"/>
    <col min="7" max="7" width="10.140625" style="5" hidden="1" customWidth="1"/>
    <col min="8" max="8" width="16.85546875" style="50" hidden="1" customWidth="1"/>
    <col min="9" max="9" width="15.140625" style="5" hidden="1" customWidth="1"/>
    <col min="10" max="10" width="12.85546875" style="5" hidden="1" customWidth="1"/>
    <col min="11" max="11" width="17.28515625" style="5" customWidth="1"/>
    <col min="12" max="12" width="12.85546875" style="5" bestFit="1" customWidth="1"/>
    <col min="13" max="13" width="14.5703125" style="5" bestFit="1" customWidth="1"/>
    <col min="14" max="16384" width="9.140625" style="5"/>
  </cols>
  <sheetData>
    <row r="1" spans="1:13">
      <c r="A1" s="161" t="s">
        <v>0</v>
      </c>
      <c r="B1" s="32"/>
      <c r="C1" s="33"/>
      <c r="D1" s="33"/>
      <c r="E1" s="33"/>
      <c r="F1" s="34"/>
    </row>
    <row r="2" spans="1:13">
      <c r="A2" s="56"/>
      <c r="B2" s="35"/>
      <c r="C2" s="36"/>
      <c r="D2" s="36"/>
      <c r="E2" s="36"/>
      <c r="F2" s="37"/>
    </row>
    <row r="3" spans="1:13" ht="15">
      <c r="A3" s="194" t="s">
        <v>31</v>
      </c>
      <c r="B3" s="195"/>
      <c r="C3" s="195"/>
      <c r="D3" s="195"/>
      <c r="E3" s="195"/>
      <c r="F3" s="196"/>
    </row>
    <row r="4" spans="1:13" ht="15">
      <c r="A4" s="194" t="s">
        <v>364</v>
      </c>
      <c r="B4" s="195"/>
      <c r="C4" s="195"/>
      <c r="D4" s="195"/>
      <c r="E4" s="195"/>
      <c r="F4" s="196"/>
    </row>
    <row r="5" spans="1:13">
      <c r="A5" s="56"/>
      <c r="B5" s="35"/>
      <c r="C5" s="36"/>
      <c r="D5" s="36"/>
      <c r="E5" s="36"/>
      <c r="F5" s="37"/>
    </row>
    <row r="6" spans="1:13" s="47" customFormat="1" ht="13.5" thickBot="1">
      <c r="A6" s="3" t="s">
        <v>13</v>
      </c>
      <c r="B6" s="160"/>
      <c r="C6" s="8"/>
      <c r="D6" s="8"/>
      <c r="E6" s="8"/>
      <c r="F6" s="9"/>
      <c r="H6" s="48" t="s">
        <v>365</v>
      </c>
      <c r="I6" s="49" t="s">
        <v>366</v>
      </c>
    </row>
    <row r="7" spans="1:13" s="47" customFormat="1" ht="12.75">
      <c r="A7" s="197" t="s">
        <v>1</v>
      </c>
      <c r="B7" s="199" t="s">
        <v>52</v>
      </c>
      <c r="C7" s="1" t="s">
        <v>27</v>
      </c>
      <c r="D7" s="1" t="s">
        <v>50</v>
      </c>
      <c r="E7" s="201" t="s">
        <v>29</v>
      </c>
      <c r="F7" s="199" t="s">
        <v>30</v>
      </c>
      <c r="H7" s="55"/>
    </row>
    <row r="8" spans="1:13" s="47" customFormat="1" ht="13.5" thickBot="1">
      <c r="A8" s="198"/>
      <c r="B8" s="200"/>
      <c r="C8" s="2" t="s">
        <v>28</v>
      </c>
      <c r="D8" s="2" t="s">
        <v>51</v>
      </c>
      <c r="E8" s="202"/>
      <c r="F8" s="203"/>
      <c r="H8" s="55"/>
    </row>
    <row r="9" spans="1:13">
      <c r="A9" s="57" t="s">
        <v>32</v>
      </c>
      <c r="B9" s="38"/>
      <c r="C9" s="38"/>
      <c r="D9" s="58"/>
      <c r="E9" s="59"/>
      <c r="F9" s="60"/>
    </row>
    <row r="10" spans="1:13">
      <c r="A10" s="61" t="s">
        <v>33</v>
      </c>
      <c r="B10" s="6"/>
      <c r="C10" s="62"/>
      <c r="D10" s="62"/>
      <c r="E10" s="62"/>
      <c r="F10" s="63"/>
    </row>
    <row r="11" spans="1:13">
      <c r="A11" s="64" t="s">
        <v>95</v>
      </c>
      <c r="B11" s="39">
        <v>581</v>
      </c>
      <c r="C11" s="4">
        <f>2000000+141674.84</f>
        <v>2141674.84</v>
      </c>
      <c r="D11" s="65">
        <v>2862901.04</v>
      </c>
      <c r="E11" s="65">
        <f>IF((D11-C11)&gt;0,D11-C11,"")</f>
        <v>721226.20000000019</v>
      </c>
      <c r="F11" s="66" t="str">
        <f>IF((D11-C11)&gt;0,"",D11-C11)</f>
        <v/>
      </c>
      <c r="H11" s="50">
        <v>2862901.04</v>
      </c>
      <c r="I11" s="51">
        <f>D11-H11</f>
        <v>0</v>
      </c>
    </row>
    <row r="12" spans="1:13">
      <c r="A12" s="64" t="s">
        <v>96</v>
      </c>
      <c r="B12" s="39"/>
      <c r="C12" s="4"/>
      <c r="D12" s="65"/>
      <c r="E12" s="65"/>
      <c r="F12" s="67"/>
      <c r="I12" s="51"/>
    </row>
    <row r="13" spans="1:13">
      <c r="A13" s="68" t="s">
        <v>97</v>
      </c>
      <c r="B13" s="39" t="s">
        <v>98</v>
      </c>
      <c r="C13" s="4">
        <f>155000000+5900000</f>
        <v>160900000</v>
      </c>
      <c r="D13" s="65">
        <v>160900799.40000001</v>
      </c>
      <c r="E13" s="65">
        <f>IF((D13-C13)&gt;0,D13-C13,"")</f>
        <v>799.40000000596046</v>
      </c>
      <c r="F13" s="66" t="str">
        <f>IF((D13-C13)&gt;0,"",D13-C13)</f>
        <v/>
      </c>
      <c r="H13" s="50">
        <v>160900799.40000001</v>
      </c>
      <c r="I13" s="69">
        <f>D13-H13</f>
        <v>0</v>
      </c>
      <c r="J13" s="70"/>
      <c r="K13" s="71"/>
      <c r="M13" s="51"/>
    </row>
    <row r="14" spans="1:13">
      <c r="A14" s="68" t="s">
        <v>99</v>
      </c>
      <c r="B14" s="39" t="s">
        <v>100</v>
      </c>
      <c r="C14" s="4">
        <v>3000000</v>
      </c>
      <c r="D14" s="65">
        <v>3249086.02</v>
      </c>
      <c r="E14" s="65">
        <f>IF((D14-C14)&gt;0,D14-C14,"")</f>
        <v>249086.02000000002</v>
      </c>
      <c r="F14" s="66" t="str">
        <f>IF((D14-C14)&gt;0,"",D14-C14)</f>
        <v/>
      </c>
      <c r="H14" s="50">
        <v>3249086.02</v>
      </c>
      <c r="I14" s="69">
        <f>D14-H14</f>
        <v>0</v>
      </c>
    </row>
    <row r="15" spans="1:13">
      <c r="A15" s="64" t="s">
        <v>101</v>
      </c>
      <c r="B15" s="39"/>
      <c r="C15" s="4"/>
      <c r="D15" s="65"/>
      <c r="E15" s="65"/>
      <c r="F15" s="67"/>
      <c r="I15" s="51"/>
    </row>
    <row r="16" spans="1:13">
      <c r="A16" s="68" t="s">
        <v>102</v>
      </c>
      <c r="B16" s="39" t="s">
        <v>103</v>
      </c>
      <c r="C16" s="4">
        <v>6000000</v>
      </c>
      <c r="D16" s="65">
        <v>4693645.0999999996</v>
      </c>
      <c r="E16" s="65" t="str">
        <f t="shared" ref="E16:E21" si="0">IF((D16-C16)&gt;0,D16-C16,"")</f>
        <v/>
      </c>
      <c r="F16" s="66">
        <f t="shared" ref="F16:F21" si="1">IF((D16-C16)&gt;0,"",D16-C16)</f>
        <v>-1306354.9000000004</v>
      </c>
      <c r="H16" s="50">
        <v>4693645.0999999996</v>
      </c>
      <c r="I16" s="69">
        <f t="shared" ref="I16:I21" si="2">D16-H16</f>
        <v>0</v>
      </c>
      <c r="J16" s="70"/>
    </row>
    <row r="17" spans="1:11">
      <c r="A17" s="68" t="s">
        <v>104</v>
      </c>
      <c r="B17" s="39" t="s">
        <v>105</v>
      </c>
      <c r="C17" s="4">
        <v>1200000</v>
      </c>
      <c r="D17" s="65">
        <v>1171528.25</v>
      </c>
      <c r="E17" s="65" t="str">
        <f t="shared" si="0"/>
        <v/>
      </c>
      <c r="F17" s="66">
        <f t="shared" si="1"/>
        <v>-28471.75</v>
      </c>
      <c r="H17" s="50">
        <v>1171528.25</v>
      </c>
      <c r="I17" s="69">
        <f t="shared" si="2"/>
        <v>0</v>
      </c>
      <c r="K17" s="72"/>
    </row>
    <row r="18" spans="1:11">
      <c r="A18" s="64" t="s">
        <v>106</v>
      </c>
      <c r="B18" s="39" t="s">
        <v>107</v>
      </c>
      <c r="C18" s="4">
        <v>2500000</v>
      </c>
      <c r="D18" s="73">
        <v>1617535.27</v>
      </c>
      <c r="E18" s="65" t="str">
        <f t="shared" si="0"/>
        <v/>
      </c>
      <c r="F18" s="66">
        <f t="shared" si="1"/>
        <v>-882464.73</v>
      </c>
      <c r="H18" s="50">
        <v>1617535.27</v>
      </c>
      <c r="I18" s="51">
        <f t="shared" si="2"/>
        <v>0</v>
      </c>
    </row>
    <row r="19" spans="1:11">
      <c r="A19" s="64" t="s">
        <v>108</v>
      </c>
      <c r="B19" s="39" t="s">
        <v>109</v>
      </c>
      <c r="C19" s="4">
        <f>5000000+253339.6</f>
        <v>5253339.5999999996</v>
      </c>
      <c r="D19" s="65">
        <v>5507169.5999999996</v>
      </c>
      <c r="E19" s="65">
        <f t="shared" si="0"/>
        <v>253830</v>
      </c>
      <c r="F19" s="66" t="str">
        <f t="shared" si="1"/>
        <v/>
      </c>
      <c r="H19" s="50">
        <v>5507169.5999999996</v>
      </c>
      <c r="I19" s="51">
        <f t="shared" si="2"/>
        <v>0</v>
      </c>
    </row>
    <row r="20" spans="1:11">
      <c r="A20" s="64" t="s">
        <v>110</v>
      </c>
      <c r="B20" s="39" t="s">
        <v>111</v>
      </c>
      <c r="C20" s="4">
        <v>350000</v>
      </c>
      <c r="D20" s="65">
        <v>329250</v>
      </c>
      <c r="E20" s="65" t="str">
        <f t="shared" si="0"/>
        <v/>
      </c>
      <c r="F20" s="66">
        <f t="shared" si="1"/>
        <v>-20750</v>
      </c>
      <c r="H20" s="50">
        <v>329250</v>
      </c>
      <c r="I20" s="51">
        <f t="shared" si="2"/>
        <v>0</v>
      </c>
    </row>
    <row r="21" spans="1:11">
      <c r="A21" s="64" t="s">
        <v>112</v>
      </c>
      <c r="B21" s="39">
        <v>587</v>
      </c>
      <c r="C21" s="4">
        <v>5500000</v>
      </c>
      <c r="D21" s="65">
        <v>6541824.1399999997</v>
      </c>
      <c r="E21" s="65">
        <f t="shared" si="0"/>
        <v>1041824.1399999997</v>
      </c>
      <c r="F21" s="66" t="str">
        <f t="shared" si="1"/>
        <v/>
      </c>
      <c r="H21" s="50">
        <v>6541824.1399999997</v>
      </c>
      <c r="I21" s="51">
        <f t="shared" si="2"/>
        <v>0</v>
      </c>
    </row>
    <row r="22" spans="1:11">
      <c r="A22" s="64" t="s">
        <v>113</v>
      </c>
      <c r="B22" s="39"/>
      <c r="C22" s="4"/>
      <c r="D22" s="65"/>
      <c r="E22" s="65"/>
      <c r="F22" s="67"/>
      <c r="I22" s="51"/>
    </row>
    <row r="23" spans="1:11">
      <c r="A23" s="68" t="s">
        <v>97</v>
      </c>
      <c r="B23" s="39" t="s">
        <v>114</v>
      </c>
      <c r="C23" s="4">
        <v>45000000</v>
      </c>
      <c r="D23" s="65">
        <f>45678466.2-4202430.95</f>
        <v>41476035.25</v>
      </c>
      <c r="E23" s="65" t="str">
        <f>IF((D23-C23)&gt;0,D23-C23,"")</f>
        <v/>
      </c>
      <c r="F23" s="66">
        <f>IF((D23-C23)&gt;0,"",D23-C23)</f>
        <v>-3523964.75</v>
      </c>
      <c r="H23" s="50">
        <v>39375517.240000002</v>
      </c>
      <c r="I23" s="69">
        <f>D23-H23</f>
        <v>2100518.0099999979</v>
      </c>
      <c r="J23" s="53"/>
    </row>
    <row r="24" spans="1:11">
      <c r="A24" s="68" t="s">
        <v>115</v>
      </c>
      <c r="B24" s="39" t="s">
        <v>116</v>
      </c>
      <c r="C24" s="4">
        <v>7500000</v>
      </c>
      <c r="D24" s="65">
        <v>7526830.4000000004</v>
      </c>
      <c r="E24" s="65">
        <f>IF((D24-C24)&gt;0,D24-C24,"")</f>
        <v>26830.400000000373</v>
      </c>
      <c r="F24" s="66" t="str">
        <f>IF((D24-C24)&gt;0,"",D24-C24)</f>
        <v/>
      </c>
      <c r="H24" s="50">
        <v>7526830.4000000004</v>
      </c>
      <c r="I24" s="51">
        <f>D24-H24</f>
        <v>0</v>
      </c>
      <c r="J24" s="70"/>
    </row>
    <row r="25" spans="1:11">
      <c r="A25" s="64" t="s">
        <v>117</v>
      </c>
      <c r="B25" s="39">
        <v>589</v>
      </c>
      <c r="C25" s="4">
        <v>200000</v>
      </c>
      <c r="D25" s="65">
        <v>84316.65</v>
      </c>
      <c r="E25" s="65" t="str">
        <f>IF((D25-C25)&gt;0,D25-C25,"")</f>
        <v/>
      </c>
      <c r="F25" s="66">
        <f>IF((D25-C25)&gt;0,"",D25-C25)</f>
        <v>-115683.35</v>
      </c>
      <c r="H25" s="50">
        <v>84316.65</v>
      </c>
      <c r="I25" s="51">
        <f>D25-H25</f>
        <v>0</v>
      </c>
    </row>
    <row r="26" spans="1:11">
      <c r="A26" s="64" t="s">
        <v>118</v>
      </c>
      <c r="B26" s="39">
        <v>592</v>
      </c>
      <c r="C26" s="4">
        <v>1500000</v>
      </c>
      <c r="D26" s="65">
        <v>970261</v>
      </c>
      <c r="E26" s="65" t="str">
        <f>IF((D26-C26)&gt;0,D26-C26,"")</f>
        <v/>
      </c>
      <c r="F26" s="66">
        <f>IF((D26-C26)&gt;0,"",D26-C26)</f>
        <v>-529739</v>
      </c>
      <c r="H26" s="50">
        <v>970261</v>
      </c>
      <c r="I26" s="51">
        <f>D26-H26</f>
        <v>0</v>
      </c>
    </row>
    <row r="27" spans="1:11">
      <c r="A27" s="64" t="s">
        <v>119</v>
      </c>
      <c r="B27" s="39">
        <v>593</v>
      </c>
      <c r="C27" s="4">
        <v>2700000</v>
      </c>
      <c r="D27" s="65">
        <v>1281600</v>
      </c>
      <c r="E27" s="65" t="str">
        <f>IF((D27-C27)&gt;0,D27-C27,"")</f>
        <v/>
      </c>
      <c r="F27" s="66">
        <f>IF((D27-C27)&gt;0,"",D27-C27)</f>
        <v>-1418400</v>
      </c>
      <c r="H27" s="50">
        <v>1281600</v>
      </c>
      <c r="I27" s="51">
        <f>D27-H27</f>
        <v>0</v>
      </c>
    </row>
    <row r="28" spans="1:11">
      <c r="A28" s="64" t="s">
        <v>120</v>
      </c>
      <c r="B28" s="39"/>
      <c r="C28" s="4"/>
      <c r="D28" s="65"/>
      <c r="E28" s="65"/>
      <c r="F28" s="67"/>
      <c r="I28" s="51"/>
    </row>
    <row r="29" spans="1:11">
      <c r="A29" s="68" t="s">
        <v>121</v>
      </c>
      <c r="B29" s="39" t="s">
        <v>122</v>
      </c>
      <c r="C29" s="4">
        <v>4000000</v>
      </c>
      <c r="D29" s="65">
        <v>3413823.27</v>
      </c>
      <c r="E29" s="65" t="str">
        <f>IF((D29-C29)&gt;0,D29-C29,"")</f>
        <v/>
      </c>
      <c r="F29" s="66">
        <f>IF((D29-C29)&gt;0,"",D29-C29)</f>
        <v>-586176.73</v>
      </c>
      <c r="H29" s="50">
        <v>3413823.11</v>
      </c>
      <c r="I29" s="51">
        <f>D29-H29</f>
        <v>0.16000000014901161</v>
      </c>
      <c r="J29" s="70"/>
    </row>
    <row r="30" spans="1:11">
      <c r="A30" s="68" t="s">
        <v>96</v>
      </c>
      <c r="B30" s="39" t="s">
        <v>123</v>
      </c>
      <c r="C30" s="74">
        <v>5600000</v>
      </c>
      <c r="D30" s="74">
        <v>5256192.76</v>
      </c>
      <c r="E30" s="65" t="str">
        <f>IF((D30-C30)&gt;0,D30-C30,"")</f>
        <v/>
      </c>
      <c r="F30" s="66">
        <f>IF((D30-C30)&gt;0,"",D30-C30)</f>
        <v>-343807.24000000022</v>
      </c>
      <c r="H30" s="50">
        <v>5256192.76</v>
      </c>
      <c r="I30" s="51">
        <f>D30-H30</f>
        <v>0</v>
      </c>
    </row>
    <row r="31" spans="1:11" ht="12.75" thickBot="1">
      <c r="A31" s="75" t="s">
        <v>19</v>
      </c>
      <c r="B31" s="39"/>
      <c r="C31" s="76">
        <f>SUM(C11:C30)</f>
        <v>253345014.44</v>
      </c>
      <c r="D31" s="76">
        <f>SUM(D11:D30)</f>
        <v>246882798.15000001</v>
      </c>
      <c r="E31" s="77">
        <f>SUM(E11:E30)</f>
        <v>2293596.1600000062</v>
      </c>
      <c r="F31" s="78">
        <f>SUM(F11:F30)</f>
        <v>-8755812.4500000011</v>
      </c>
      <c r="H31" s="79">
        <f>SUM(H11:H30)</f>
        <v>244782279.98000002</v>
      </c>
      <c r="I31" s="79">
        <f>SUM(I11:I30)</f>
        <v>2100518.1699999981</v>
      </c>
    </row>
    <row r="32" spans="1:11" ht="12.75" thickTop="1">
      <c r="A32" s="61" t="s">
        <v>34</v>
      </c>
      <c r="B32" s="6"/>
      <c r="C32" s="36"/>
      <c r="D32" s="62"/>
      <c r="E32" s="80"/>
      <c r="F32" s="37"/>
      <c r="I32" s="51"/>
    </row>
    <row r="33" spans="1:13">
      <c r="A33" s="75" t="s">
        <v>35</v>
      </c>
      <c r="B33" s="39"/>
      <c r="C33" s="62"/>
      <c r="D33" s="80"/>
      <c r="E33" s="80"/>
      <c r="F33" s="37"/>
      <c r="I33" s="51"/>
    </row>
    <row r="34" spans="1:13">
      <c r="A34" s="64" t="s">
        <v>124</v>
      </c>
      <c r="B34" s="39" t="s">
        <v>125</v>
      </c>
      <c r="C34" s="4">
        <v>200000</v>
      </c>
      <c r="D34" s="65">
        <v>151945</v>
      </c>
      <c r="E34" s="65" t="str">
        <f>IF((D34-C34)&gt;0,D34-C34,"")</f>
        <v/>
      </c>
      <c r="F34" s="66">
        <f>IF((D34-C34)&gt;0,"",D34-C34)</f>
        <v>-48055</v>
      </c>
      <c r="H34" s="50">
        <v>151945</v>
      </c>
      <c r="I34" s="51">
        <f t="shared" ref="I34:I97" si="3">D34-H34</f>
        <v>0</v>
      </c>
    </row>
    <row r="35" spans="1:13">
      <c r="A35" s="64" t="s">
        <v>126</v>
      </c>
      <c r="B35" s="39" t="s">
        <v>127</v>
      </c>
      <c r="C35" s="4">
        <v>210000</v>
      </c>
      <c r="D35" s="65">
        <v>42330</v>
      </c>
      <c r="E35" s="65" t="str">
        <f>IF((D35-C35)&gt;0,D35-C35,"")</f>
        <v/>
      </c>
      <c r="F35" s="66">
        <f>IF((D35-C35)&gt;0,"",D35-C35)</f>
        <v>-167670</v>
      </c>
      <c r="H35" s="50">
        <v>42330</v>
      </c>
      <c r="I35" s="51">
        <f t="shared" si="3"/>
        <v>0</v>
      </c>
    </row>
    <row r="36" spans="1:13">
      <c r="A36" s="64" t="s">
        <v>128</v>
      </c>
      <c r="B36" s="39" t="s">
        <v>129</v>
      </c>
      <c r="C36" s="4">
        <v>30000</v>
      </c>
      <c r="D36" s="65">
        <v>26495</v>
      </c>
      <c r="E36" s="65" t="str">
        <f>IF((D36-C36)&gt;0,D36-C36,"")</f>
        <v/>
      </c>
      <c r="F36" s="66">
        <f>IF((D36-C36)&gt;0,"",D36-C36)</f>
        <v>-3505</v>
      </c>
      <c r="H36" s="50">
        <v>26495</v>
      </c>
      <c r="I36" s="51">
        <f t="shared" si="3"/>
        <v>0</v>
      </c>
    </row>
    <row r="37" spans="1:13">
      <c r="A37" s="64" t="s">
        <v>130</v>
      </c>
      <c r="B37" s="39" t="s">
        <v>131</v>
      </c>
      <c r="C37" s="4">
        <f>120000+426390.8</f>
        <v>546390.80000000005</v>
      </c>
      <c r="D37" s="65">
        <v>591560.80000000005</v>
      </c>
      <c r="E37" s="65">
        <f>IF((D37-C37)&gt;0,D37-C37,"")</f>
        <v>45170</v>
      </c>
      <c r="F37" s="66" t="str">
        <f>IF((D37-C37)&gt;0,"",D37-C37)</f>
        <v/>
      </c>
      <c r="H37" s="50">
        <v>591560.80000000005</v>
      </c>
      <c r="I37" s="69">
        <f t="shared" si="3"/>
        <v>0</v>
      </c>
    </row>
    <row r="38" spans="1:13">
      <c r="A38" s="64" t="s">
        <v>132</v>
      </c>
      <c r="B38" s="39"/>
      <c r="C38" s="4"/>
      <c r="D38" s="65"/>
      <c r="E38" s="65"/>
      <c r="F38" s="67"/>
      <c r="I38" s="51"/>
    </row>
    <row r="39" spans="1:13">
      <c r="A39" s="68" t="s">
        <v>133</v>
      </c>
      <c r="B39" s="39" t="s">
        <v>134</v>
      </c>
      <c r="C39" s="4">
        <v>2500000</v>
      </c>
      <c r="D39" s="65">
        <v>436150</v>
      </c>
      <c r="E39" s="65" t="str">
        <f>IF((D39-C39)&gt;0,D39-C39,"")</f>
        <v/>
      </c>
      <c r="F39" s="66">
        <f>IF((D39-C39)&gt;0,"",D39-C39)</f>
        <v>-2063850</v>
      </c>
      <c r="H39" s="191">
        <v>648740</v>
      </c>
      <c r="I39" s="69">
        <f t="shared" si="3"/>
        <v>-212590</v>
      </c>
    </row>
    <row r="40" spans="1:13">
      <c r="A40" s="68" t="s">
        <v>135</v>
      </c>
      <c r="B40" s="39" t="s">
        <v>136</v>
      </c>
      <c r="C40" s="4">
        <v>167240</v>
      </c>
      <c r="D40" s="65">
        <v>212590</v>
      </c>
      <c r="E40" s="65">
        <f>IF((D40-C40)&gt;0,D40-C40,"")</f>
        <v>45350</v>
      </c>
      <c r="F40" s="66" t="str">
        <f>IF((D40-C40)&gt;0,"",D40-C40)</f>
        <v/>
      </c>
      <c r="H40" s="191"/>
      <c r="I40" s="69">
        <f t="shared" si="3"/>
        <v>212590</v>
      </c>
      <c r="J40" s="81"/>
      <c r="K40" s="70"/>
      <c r="L40" s="71"/>
      <c r="M40" s="70"/>
    </row>
    <row r="41" spans="1:13">
      <c r="A41" s="68" t="s">
        <v>137</v>
      </c>
      <c r="B41" s="39" t="s">
        <v>138</v>
      </c>
      <c r="C41" s="4">
        <f>150000+368000</f>
        <v>518000</v>
      </c>
      <c r="D41" s="65">
        <v>661000</v>
      </c>
      <c r="E41" s="65">
        <f>IF((D41-C41)&gt;0,D41-C41,"")</f>
        <v>143000</v>
      </c>
      <c r="F41" s="66" t="str">
        <f>IF((D41-C41)&gt;0,"",D41-C41)</f>
        <v/>
      </c>
      <c r="H41" s="50">
        <v>661000</v>
      </c>
      <c r="I41" s="51">
        <f t="shared" si="3"/>
        <v>0</v>
      </c>
      <c r="J41" s="82"/>
    </row>
    <row r="42" spans="1:13">
      <c r="A42" s="64" t="s">
        <v>139</v>
      </c>
      <c r="B42" s="39"/>
      <c r="C42" s="4"/>
      <c r="D42" s="65"/>
      <c r="E42" s="65"/>
      <c r="F42" s="67"/>
      <c r="I42" s="51"/>
    </row>
    <row r="43" spans="1:13">
      <c r="A43" s="68" t="s">
        <v>140</v>
      </c>
      <c r="B43" s="39" t="s">
        <v>141</v>
      </c>
      <c r="C43" s="4">
        <v>10500000</v>
      </c>
      <c r="D43" s="65">
        <v>10551668.35</v>
      </c>
      <c r="E43" s="65">
        <f>IF((D43-C43)&gt;0,D43-C43,"")</f>
        <v>51668.349999999627</v>
      </c>
      <c r="F43" s="66" t="str">
        <f>IF((D43-C43)&gt;0,"",D43-C43)</f>
        <v/>
      </c>
      <c r="H43" s="50">
        <v>10551668.35</v>
      </c>
      <c r="I43" s="69">
        <f t="shared" si="3"/>
        <v>0</v>
      </c>
    </row>
    <row r="44" spans="1:13">
      <c r="A44" s="68" t="s">
        <v>142</v>
      </c>
      <c r="B44" s="39" t="s">
        <v>143</v>
      </c>
      <c r="C44" s="4">
        <v>100000</v>
      </c>
      <c r="D44" s="65">
        <v>16463</v>
      </c>
      <c r="E44" s="65" t="str">
        <f>IF((D44-C44)&gt;0,D44-C44,"")</f>
        <v/>
      </c>
      <c r="F44" s="66">
        <f>IF((D44-C44)&gt;0,"",D44-C44)</f>
        <v>-83537</v>
      </c>
      <c r="H44" s="50">
        <v>16463</v>
      </c>
      <c r="I44" s="51">
        <f t="shared" si="3"/>
        <v>0</v>
      </c>
    </row>
    <row r="45" spans="1:13">
      <c r="A45" s="68" t="s">
        <v>144</v>
      </c>
      <c r="B45" s="39" t="s">
        <v>145</v>
      </c>
      <c r="C45" s="4">
        <f>150000+44600</f>
        <v>194600</v>
      </c>
      <c r="D45" s="65">
        <v>194600</v>
      </c>
      <c r="E45" s="65" t="str">
        <f>IF((D45-C45)&gt;0,D45-C45,"")</f>
        <v/>
      </c>
      <c r="F45" s="66">
        <f>IF((D45-C45)&gt;0,"",D45-C45)</f>
        <v>0</v>
      </c>
      <c r="H45" s="50">
        <v>194600</v>
      </c>
      <c r="I45" s="51">
        <f t="shared" si="3"/>
        <v>0</v>
      </c>
    </row>
    <row r="46" spans="1:13">
      <c r="A46" s="64" t="s">
        <v>146</v>
      </c>
      <c r="B46" s="39"/>
      <c r="C46" s="4"/>
      <c r="D46" s="65"/>
      <c r="E46" s="65"/>
      <c r="F46" s="67"/>
      <c r="I46" s="51"/>
    </row>
    <row r="47" spans="1:13">
      <c r="A47" s="68" t="s">
        <v>147</v>
      </c>
      <c r="B47" s="39" t="s">
        <v>148</v>
      </c>
      <c r="C47" s="4">
        <v>100000</v>
      </c>
      <c r="D47" s="65">
        <v>84754</v>
      </c>
      <c r="E47" s="65" t="str">
        <f>IF((D47-C47)&gt;0,D47-C47,"")</f>
        <v/>
      </c>
      <c r="F47" s="66">
        <f>IF((D47-C47)&gt;0,"",D47-C47)</f>
        <v>-15246</v>
      </c>
      <c r="I47" s="69">
        <f t="shared" si="3"/>
        <v>84754</v>
      </c>
    </row>
    <row r="48" spans="1:13">
      <c r="A48" s="68" t="s">
        <v>149</v>
      </c>
      <c r="B48" s="39" t="s">
        <v>150</v>
      </c>
      <c r="C48" s="4">
        <v>100000</v>
      </c>
      <c r="D48" s="65">
        <v>13630</v>
      </c>
      <c r="E48" s="65" t="str">
        <f>IF((D48-C48)&gt;0,D48-C48,"")</f>
        <v/>
      </c>
      <c r="F48" s="66">
        <f>IF((D48-C48)&gt;0,"",D48-C48)</f>
        <v>-86370</v>
      </c>
      <c r="H48" s="50">
        <v>13630</v>
      </c>
      <c r="I48" s="51">
        <f t="shared" si="3"/>
        <v>0</v>
      </c>
    </row>
    <row r="49" spans="1:11">
      <c r="A49" s="68" t="s">
        <v>151</v>
      </c>
      <c r="B49" s="39" t="s">
        <v>152</v>
      </c>
      <c r="C49" s="4">
        <v>1000000</v>
      </c>
      <c r="D49" s="65">
        <v>867940</v>
      </c>
      <c r="E49" s="65" t="str">
        <f>IF((D49-C49)&gt;0,D49-C49,"")</f>
        <v/>
      </c>
      <c r="F49" s="66">
        <f>IF((D49-C49)&gt;0,"",D49-C49)</f>
        <v>-132060</v>
      </c>
      <c r="H49" s="50">
        <v>867940</v>
      </c>
      <c r="I49" s="51">
        <f t="shared" si="3"/>
        <v>0</v>
      </c>
    </row>
    <row r="50" spans="1:11">
      <c r="A50" s="68" t="s">
        <v>367</v>
      </c>
      <c r="B50" s="39" t="s">
        <v>368</v>
      </c>
      <c r="C50" s="4"/>
      <c r="D50" s="65">
        <v>5000</v>
      </c>
      <c r="E50" s="65"/>
      <c r="F50" s="66"/>
      <c r="H50" s="50">
        <v>5000</v>
      </c>
      <c r="I50" s="51">
        <f t="shared" si="3"/>
        <v>0</v>
      </c>
    </row>
    <row r="51" spans="1:11">
      <c r="A51" s="64" t="s">
        <v>153</v>
      </c>
      <c r="B51" s="39"/>
      <c r="C51" s="4"/>
      <c r="D51" s="65"/>
      <c r="E51" s="65"/>
      <c r="F51" s="67"/>
      <c r="I51" s="51"/>
    </row>
    <row r="52" spans="1:11">
      <c r="A52" s="68" t="s">
        <v>154</v>
      </c>
      <c r="B52" s="39" t="s">
        <v>155</v>
      </c>
      <c r="C52" s="4">
        <v>500000</v>
      </c>
      <c r="D52" s="65">
        <v>418137.63</v>
      </c>
      <c r="E52" s="65" t="str">
        <f t="shared" ref="E52:E58" si="4">IF((D52-C52)&gt;0,D52-C52,"")</f>
        <v/>
      </c>
      <c r="F52" s="66">
        <f t="shared" ref="F52:F58" si="5">IF((D52-C52)&gt;0,"",D52-C52)</f>
        <v>-81862.37</v>
      </c>
      <c r="H52" s="50">
        <v>418137.63</v>
      </c>
      <c r="I52" s="51">
        <f t="shared" si="3"/>
        <v>0</v>
      </c>
    </row>
    <row r="53" spans="1:11">
      <c r="A53" s="68" t="s">
        <v>156</v>
      </c>
      <c r="B53" s="39" t="s">
        <v>157</v>
      </c>
      <c r="C53" s="4">
        <v>5100000</v>
      </c>
      <c r="D53" s="65">
        <v>4475643.3899999997</v>
      </c>
      <c r="E53" s="65" t="str">
        <f t="shared" si="4"/>
        <v/>
      </c>
      <c r="F53" s="66">
        <f t="shared" si="5"/>
        <v>-624356.61000000034</v>
      </c>
      <c r="H53" s="50">
        <v>4475643.3899999997</v>
      </c>
      <c r="I53" s="51">
        <f t="shared" si="3"/>
        <v>0</v>
      </c>
    </row>
    <row r="54" spans="1:11">
      <c r="A54" s="68" t="s">
        <v>158</v>
      </c>
      <c r="B54" s="39" t="s">
        <v>159</v>
      </c>
      <c r="C54" s="4">
        <v>150000</v>
      </c>
      <c r="D54" s="65">
        <v>66688.3</v>
      </c>
      <c r="E54" s="65" t="str">
        <f t="shared" si="4"/>
        <v/>
      </c>
      <c r="F54" s="66">
        <f t="shared" si="5"/>
        <v>-83311.7</v>
      </c>
      <c r="H54" s="50">
        <v>66688.3</v>
      </c>
      <c r="I54" s="51">
        <f t="shared" si="3"/>
        <v>0</v>
      </c>
    </row>
    <row r="55" spans="1:11">
      <c r="A55" s="68" t="s">
        <v>160</v>
      </c>
      <c r="B55" s="39" t="s">
        <v>161</v>
      </c>
      <c r="C55" s="4">
        <v>200000</v>
      </c>
      <c r="D55" s="65"/>
      <c r="E55" s="65" t="str">
        <f t="shared" si="4"/>
        <v/>
      </c>
      <c r="F55" s="66">
        <f t="shared" si="5"/>
        <v>-200000</v>
      </c>
      <c r="I55" s="51">
        <f t="shared" si="3"/>
        <v>0</v>
      </c>
    </row>
    <row r="56" spans="1:11">
      <c r="A56" s="68" t="s">
        <v>162</v>
      </c>
      <c r="B56" s="39" t="s">
        <v>163</v>
      </c>
      <c r="C56" s="4">
        <v>3200000</v>
      </c>
      <c r="D56" s="65">
        <v>2318779.67</v>
      </c>
      <c r="E56" s="65" t="str">
        <f t="shared" si="4"/>
        <v/>
      </c>
      <c r="F56" s="66">
        <f t="shared" si="5"/>
        <v>-881220.33000000007</v>
      </c>
      <c r="H56" s="50">
        <v>2318779.67</v>
      </c>
      <c r="I56" s="51">
        <f t="shared" si="3"/>
        <v>0</v>
      </c>
    </row>
    <row r="57" spans="1:11">
      <c r="A57" s="68" t="s">
        <v>164</v>
      </c>
      <c r="B57" s="39" t="s">
        <v>165</v>
      </c>
      <c r="C57" s="4">
        <v>1200000</v>
      </c>
      <c r="D57" s="65">
        <v>138330</v>
      </c>
      <c r="E57" s="65" t="str">
        <f t="shared" si="4"/>
        <v/>
      </c>
      <c r="F57" s="66">
        <f t="shared" si="5"/>
        <v>-1061670</v>
      </c>
      <c r="H57" s="50">
        <v>138330</v>
      </c>
      <c r="I57" s="51">
        <f t="shared" si="3"/>
        <v>0</v>
      </c>
    </row>
    <row r="58" spans="1:11">
      <c r="A58" s="68" t="s">
        <v>166</v>
      </c>
      <c r="B58" s="39" t="s">
        <v>167</v>
      </c>
      <c r="C58" s="74">
        <v>600000</v>
      </c>
      <c r="D58" s="65">
        <v>437962</v>
      </c>
      <c r="E58" s="65" t="str">
        <f t="shared" si="4"/>
        <v/>
      </c>
      <c r="F58" s="66">
        <f t="shared" si="5"/>
        <v>-162038</v>
      </c>
      <c r="H58" s="50">
        <v>437962</v>
      </c>
      <c r="I58" s="51">
        <f t="shared" si="3"/>
        <v>0</v>
      </c>
    </row>
    <row r="59" spans="1:11" ht="12.75" thickBot="1">
      <c r="A59" s="75"/>
      <c r="B59" s="6"/>
      <c r="C59" s="83">
        <f t="shared" ref="C59:I59" si="6">SUM(C34:C58)</f>
        <v>27116230.800000001</v>
      </c>
      <c r="D59" s="83">
        <f t="shared" si="6"/>
        <v>21711667.140000001</v>
      </c>
      <c r="E59" s="83">
        <f t="shared" si="6"/>
        <v>285188.34999999963</v>
      </c>
      <c r="F59" s="84">
        <f t="shared" si="6"/>
        <v>-5694752.0100000007</v>
      </c>
      <c r="G59" s="7"/>
      <c r="H59" s="85">
        <f>SUM(H34:H58)</f>
        <v>21626913.140000001</v>
      </c>
      <c r="I59" s="85">
        <f t="shared" si="6"/>
        <v>84754</v>
      </c>
    </row>
    <row r="60" spans="1:11" ht="12.75" thickTop="1">
      <c r="A60" s="61" t="s">
        <v>36</v>
      </c>
      <c r="B60" s="6"/>
      <c r="C60" s="36"/>
      <c r="D60" s="62"/>
      <c r="E60" s="80"/>
      <c r="F60" s="37"/>
      <c r="I60" s="51"/>
    </row>
    <row r="61" spans="1:11">
      <c r="A61" s="64" t="s">
        <v>168</v>
      </c>
      <c r="B61" s="39" t="s">
        <v>169</v>
      </c>
      <c r="C61" s="4">
        <v>1200000</v>
      </c>
      <c r="D61" s="65">
        <v>1089190</v>
      </c>
      <c r="E61" s="65" t="str">
        <f t="shared" ref="E61:E110" si="7">IF((D61-C61)&gt;0,D61-C61,"")</f>
        <v/>
      </c>
      <c r="F61" s="66">
        <f t="shared" ref="F61:F110" si="8">IF((D61-C61)&gt;0,"",D61-C61)</f>
        <v>-110810</v>
      </c>
      <c r="H61" s="50">
        <v>1089190</v>
      </c>
      <c r="I61" s="69">
        <f t="shared" si="3"/>
        <v>0</v>
      </c>
    </row>
    <row r="62" spans="1:11">
      <c r="A62" s="64" t="s">
        <v>170</v>
      </c>
      <c r="B62" s="39" t="s">
        <v>171</v>
      </c>
      <c r="C62" s="4">
        <v>800000</v>
      </c>
      <c r="D62" s="65">
        <v>650020</v>
      </c>
      <c r="E62" s="65" t="str">
        <f t="shared" si="7"/>
        <v/>
      </c>
      <c r="F62" s="66">
        <f t="shared" si="8"/>
        <v>-149980</v>
      </c>
      <c r="H62" s="50">
        <v>650020</v>
      </c>
      <c r="I62" s="51">
        <f t="shared" si="3"/>
        <v>0</v>
      </c>
      <c r="K62" s="72"/>
    </row>
    <row r="63" spans="1:11">
      <c r="A63" s="64" t="s">
        <v>172</v>
      </c>
      <c r="B63" s="39" t="s">
        <v>173</v>
      </c>
      <c r="C63" s="4">
        <v>5000</v>
      </c>
      <c r="D63" s="65">
        <v>2700</v>
      </c>
      <c r="E63" s="65" t="str">
        <f t="shared" si="7"/>
        <v/>
      </c>
      <c r="F63" s="66">
        <f t="shared" si="8"/>
        <v>-2300</v>
      </c>
      <c r="H63" s="50">
        <v>2700</v>
      </c>
      <c r="I63" s="51">
        <f t="shared" si="3"/>
        <v>0</v>
      </c>
    </row>
    <row r="64" spans="1:11">
      <c r="A64" s="64" t="s">
        <v>174</v>
      </c>
      <c r="B64" s="39" t="s">
        <v>175</v>
      </c>
      <c r="C64" s="4">
        <v>50000</v>
      </c>
      <c r="D64" s="7">
        <v>61520</v>
      </c>
      <c r="E64" s="4">
        <f t="shared" si="7"/>
        <v>11520</v>
      </c>
      <c r="F64" s="66" t="str">
        <f t="shared" si="8"/>
        <v/>
      </c>
      <c r="H64" s="50">
        <v>61520</v>
      </c>
      <c r="I64" s="51">
        <f>D64-H64</f>
        <v>0</v>
      </c>
    </row>
    <row r="65" spans="1:9">
      <c r="A65" s="64" t="s">
        <v>176</v>
      </c>
      <c r="B65" s="39" t="s">
        <v>177</v>
      </c>
      <c r="C65" s="4">
        <v>550000</v>
      </c>
      <c r="D65" s="7">
        <v>474080</v>
      </c>
      <c r="E65" s="4" t="str">
        <f t="shared" si="7"/>
        <v/>
      </c>
      <c r="F65" s="66">
        <f t="shared" si="8"/>
        <v>-75920</v>
      </c>
      <c r="H65" s="50">
        <v>474080</v>
      </c>
      <c r="I65" s="51">
        <f t="shared" si="3"/>
        <v>0</v>
      </c>
    </row>
    <row r="66" spans="1:9">
      <c r="A66" s="64" t="s">
        <v>178</v>
      </c>
      <c r="B66" s="39"/>
      <c r="C66" s="4"/>
      <c r="D66" s="7"/>
      <c r="E66" s="4" t="str">
        <f t="shared" si="7"/>
        <v/>
      </c>
      <c r="F66" s="66">
        <f t="shared" si="8"/>
        <v>0</v>
      </c>
      <c r="I66" s="51"/>
    </row>
    <row r="67" spans="1:9">
      <c r="A67" s="68" t="s">
        <v>179</v>
      </c>
      <c r="B67" s="39" t="s">
        <v>180</v>
      </c>
      <c r="C67" s="4">
        <v>500</v>
      </c>
      <c r="D67" s="7"/>
      <c r="E67" s="4" t="str">
        <f t="shared" si="7"/>
        <v/>
      </c>
      <c r="F67" s="66">
        <f t="shared" si="8"/>
        <v>-500</v>
      </c>
      <c r="I67" s="51">
        <f t="shared" si="3"/>
        <v>0</v>
      </c>
    </row>
    <row r="68" spans="1:9">
      <c r="A68" s="68" t="s">
        <v>181</v>
      </c>
      <c r="B68" s="35" t="s">
        <v>182</v>
      </c>
      <c r="C68" s="4">
        <v>2500</v>
      </c>
      <c r="D68" s="7"/>
      <c r="E68" s="4" t="str">
        <f t="shared" si="7"/>
        <v/>
      </c>
      <c r="F68" s="66">
        <f t="shared" si="8"/>
        <v>-2500</v>
      </c>
      <c r="H68" s="50">
        <v>0</v>
      </c>
      <c r="I68" s="51">
        <f t="shared" si="3"/>
        <v>0</v>
      </c>
    </row>
    <row r="69" spans="1:9">
      <c r="A69" s="68" t="s">
        <v>183</v>
      </c>
      <c r="B69" s="35" t="s">
        <v>184</v>
      </c>
      <c r="C69" s="4">
        <v>3000000</v>
      </c>
      <c r="D69" s="7">
        <v>1606346</v>
      </c>
      <c r="E69" s="4" t="str">
        <f t="shared" si="7"/>
        <v/>
      </c>
      <c r="F69" s="66">
        <f t="shared" si="8"/>
        <v>-1393654</v>
      </c>
      <c r="H69" s="50">
        <v>1606346</v>
      </c>
      <c r="I69" s="51">
        <f t="shared" si="3"/>
        <v>0</v>
      </c>
    </row>
    <row r="70" spans="1:9">
      <c r="A70" s="68" t="s">
        <v>185</v>
      </c>
      <c r="B70" s="6" t="s">
        <v>186</v>
      </c>
      <c r="C70" s="86">
        <v>60000</v>
      </c>
      <c r="D70" s="4">
        <v>32800</v>
      </c>
      <c r="E70" s="4" t="str">
        <f t="shared" si="7"/>
        <v/>
      </c>
      <c r="F70" s="87">
        <f t="shared" si="8"/>
        <v>-27200</v>
      </c>
      <c r="H70" s="50">
        <v>32800</v>
      </c>
      <c r="I70" s="88">
        <f t="shared" si="3"/>
        <v>0</v>
      </c>
    </row>
    <row r="71" spans="1:9">
      <c r="A71" s="68" t="s">
        <v>187</v>
      </c>
      <c r="B71" s="35" t="s">
        <v>188</v>
      </c>
      <c r="C71" s="86">
        <v>5000</v>
      </c>
      <c r="D71" s="7">
        <v>2300</v>
      </c>
      <c r="E71" s="4" t="str">
        <f t="shared" si="7"/>
        <v/>
      </c>
      <c r="F71" s="66">
        <f t="shared" si="8"/>
        <v>-2700</v>
      </c>
      <c r="H71" s="50">
        <v>2300</v>
      </c>
      <c r="I71" s="51">
        <f t="shared" si="3"/>
        <v>0</v>
      </c>
    </row>
    <row r="72" spans="1:9">
      <c r="A72" s="68" t="s">
        <v>189</v>
      </c>
      <c r="B72" s="35" t="s">
        <v>190</v>
      </c>
      <c r="C72" s="4"/>
      <c r="D72" s="7"/>
      <c r="E72" s="4" t="str">
        <f t="shared" si="7"/>
        <v/>
      </c>
      <c r="F72" s="66">
        <f t="shared" si="8"/>
        <v>0</v>
      </c>
      <c r="I72" s="51">
        <f t="shared" si="3"/>
        <v>0</v>
      </c>
    </row>
    <row r="73" spans="1:9" ht="12.75" thickBot="1">
      <c r="A73" s="89" t="s">
        <v>191</v>
      </c>
      <c r="B73" s="40" t="s">
        <v>192</v>
      </c>
      <c r="C73" s="90">
        <f>100000+19150</f>
        <v>119150</v>
      </c>
      <c r="D73" s="91">
        <v>132770</v>
      </c>
      <c r="E73" s="92">
        <f t="shared" si="7"/>
        <v>13620</v>
      </c>
      <c r="F73" s="93" t="str">
        <f t="shared" si="8"/>
        <v/>
      </c>
      <c r="H73" s="50">
        <v>132770</v>
      </c>
      <c r="I73" s="51">
        <f t="shared" si="3"/>
        <v>0</v>
      </c>
    </row>
    <row r="74" spans="1:9">
      <c r="A74" s="68" t="s">
        <v>193</v>
      </c>
      <c r="B74" s="35" t="s">
        <v>194</v>
      </c>
      <c r="C74" s="86">
        <v>120000</v>
      </c>
      <c r="D74" s="7">
        <v>56000</v>
      </c>
      <c r="E74" s="4" t="str">
        <f t="shared" si="7"/>
        <v/>
      </c>
      <c r="F74" s="66">
        <f t="shared" si="8"/>
        <v>-64000</v>
      </c>
      <c r="H74" s="50">
        <v>56000</v>
      </c>
      <c r="I74" s="51">
        <f t="shared" si="3"/>
        <v>0</v>
      </c>
    </row>
    <row r="75" spans="1:9">
      <c r="A75" s="68" t="s">
        <v>195</v>
      </c>
      <c r="B75" s="35" t="s">
        <v>196</v>
      </c>
      <c r="C75" s="4">
        <v>100</v>
      </c>
      <c r="D75" s="7">
        <v>100</v>
      </c>
      <c r="E75" s="4" t="str">
        <f t="shared" si="7"/>
        <v/>
      </c>
      <c r="F75" s="66">
        <f t="shared" si="8"/>
        <v>0</v>
      </c>
      <c r="H75" s="50">
        <v>100</v>
      </c>
      <c r="I75" s="51">
        <f t="shared" si="3"/>
        <v>0</v>
      </c>
    </row>
    <row r="76" spans="1:9">
      <c r="A76" s="68" t="s">
        <v>197</v>
      </c>
      <c r="B76" s="35" t="s">
        <v>198</v>
      </c>
      <c r="C76" s="86">
        <v>150000</v>
      </c>
      <c r="D76" s="7">
        <v>132910</v>
      </c>
      <c r="E76" s="4" t="str">
        <f t="shared" si="7"/>
        <v/>
      </c>
      <c r="F76" s="66">
        <f t="shared" si="8"/>
        <v>-17090</v>
      </c>
      <c r="H76" s="50">
        <v>132910</v>
      </c>
      <c r="I76" s="51">
        <f t="shared" si="3"/>
        <v>0</v>
      </c>
    </row>
    <row r="77" spans="1:9">
      <c r="A77" s="68" t="s">
        <v>199</v>
      </c>
      <c r="B77" s="35" t="s">
        <v>200</v>
      </c>
      <c r="C77" s="4"/>
      <c r="D77" s="7">
        <v>70</v>
      </c>
      <c r="E77" s="4">
        <f t="shared" si="7"/>
        <v>70</v>
      </c>
      <c r="F77" s="66" t="str">
        <f t="shared" si="8"/>
        <v/>
      </c>
      <c r="H77" s="50">
        <v>70</v>
      </c>
      <c r="I77" s="51">
        <f t="shared" si="3"/>
        <v>0</v>
      </c>
    </row>
    <row r="78" spans="1:9">
      <c r="A78" s="68" t="s">
        <v>201</v>
      </c>
      <c r="B78" s="35" t="s">
        <v>202</v>
      </c>
      <c r="C78" s="4"/>
      <c r="D78" s="7"/>
      <c r="E78" s="4" t="str">
        <f t="shared" si="7"/>
        <v/>
      </c>
      <c r="F78" s="66">
        <f t="shared" si="8"/>
        <v>0</v>
      </c>
      <c r="I78" s="51">
        <f t="shared" si="3"/>
        <v>0</v>
      </c>
    </row>
    <row r="79" spans="1:9">
      <c r="A79" s="68" t="s">
        <v>203</v>
      </c>
      <c r="B79" s="35" t="s">
        <v>204</v>
      </c>
      <c r="C79" s="94">
        <v>2000</v>
      </c>
      <c r="D79" s="7">
        <v>400</v>
      </c>
      <c r="E79" s="4" t="str">
        <f t="shared" si="7"/>
        <v/>
      </c>
      <c r="F79" s="66">
        <f t="shared" si="8"/>
        <v>-1600</v>
      </c>
      <c r="H79" s="50">
        <v>400</v>
      </c>
      <c r="I79" s="51">
        <f t="shared" si="3"/>
        <v>0</v>
      </c>
    </row>
    <row r="80" spans="1:9">
      <c r="A80" s="68" t="s">
        <v>205</v>
      </c>
      <c r="B80" s="35" t="s">
        <v>206</v>
      </c>
      <c r="C80" s="94">
        <v>80000</v>
      </c>
      <c r="D80" s="7">
        <v>7680</v>
      </c>
      <c r="E80" s="4" t="str">
        <f t="shared" si="7"/>
        <v/>
      </c>
      <c r="F80" s="66">
        <f t="shared" si="8"/>
        <v>-72320</v>
      </c>
      <c r="H80" s="50">
        <v>7680</v>
      </c>
      <c r="I80" s="51">
        <f t="shared" si="3"/>
        <v>0</v>
      </c>
    </row>
    <row r="81" spans="1:11">
      <c r="A81" s="68" t="s">
        <v>207</v>
      </c>
      <c r="B81" s="35" t="s">
        <v>208</v>
      </c>
      <c r="C81" s="4">
        <v>20000</v>
      </c>
      <c r="D81" s="7">
        <v>2200</v>
      </c>
      <c r="E81" s="4" t="str">
        <f t="shared" si="7"/>
        <v/>
      </c>
      <c r="F81" s="66">
        <f t="shared" si="8"/>
        <v>-17800</v>
      </c>
      <c r="H81" s="50">
        <v>2200</v>
      </c>
      <c r="I81" s="51">
        <f t="shared" si="3"/>
        <v>0</v>
      </c>
    </row>
    <row r="82" spans="1:11">
      <c r="A82" s="68" t="s">
        <v>209</v>
      </c>
      <c r="B82" s="35" t="s">
        <v>210</v>
      </c>
      <c r="C82" s="94"/>
      <c r="D82" s="7"/>
      <c r="E82" s="4" t="str">
        <f t="shared" si="7"/>
        <v/>
      </c>
      <c r="F82" s="66">
        <f t="shared" si="8"/>
        <v>0</v>
      </c>
      <c r="I82" s="51">
        <f t="shared" si="3"/>
        <v>0</v>
      </c>
    </row>
    <row r="83" spans="1:11">
      <c r="A83" s="68" t="s">
        <v>211</v>
      </c>
      <c r="B83" s="35" t="s">
        <v>212</v>
      </c>
      <c r="C83" s="94">
        <v>1000</v>
      </c>
      <c r="D83" s="7">
        <v>680</v>
      </c>
      <c r="E83" s="4" t="str">
        <f t="shared" si="7"/>
        <v/>
      </c>
      <c r="F83" s="66">
        <f t="shared" si="8"/>
        <v>-320</v>
      </c>
      <c r="H83" s="50">
        <v>680</v>
      </c>
      <c r="I83" s="51">
        <f t="shared" si="3"/>
        <v>0</v>
      </c>
    </row>
    <row r="84" spans="1:11">
      <c r="A84" s="64" t="s">
        <v>213</v>
      </c>
      <c r="B84" s="6">
        <v>616</v>
      </c>
      <c r="C84" s="7">
        <f>8600000+49814.57</f>
        <v>8649814.5700000003</v>
      </c>
      <c r="D84" s="95">
        <v>8971127.0700000003</v>
      </c>
      <c r="E84" s="4">
        <f t="shared" si="7"/>
        <v>321312.5</v>
      </c>
      <c r="F84" s="66" t="str">
        <f t="shared" si="8"/>
        <v/>
      </c>
      <c r="H84" s="50">
        <v>8971127.0700000003</v>
      </c>
      <c r="I84" s="51">
        <f t="shared" si="3"/>
        <v>0</v>
      </c>
    </row>
    <row r="85" spans="1:11">
      <c r="A85" s="64" t="s">
        <v>214</v>
      </c>
      <c r="B85" s="6"/>
      <c r="C85" s="7"/>
      <c r="D85" s="95"/>
      <c r="E85" s="4" t="str">
        <f t="shared" si="7"/>
        <v/>
      </c>
      <c r="F85" s="66">
        <f t="shared" si="8"/>
        <v>0</v>
      </c>
      <c r="I85" s="51"/>
    </row>
    <row r="86" spans="1:11">
      <c r="A86" s="75" t="s">
        <v>37</v>
      </c>
      <c r="B86" s="6" t="s">
        <v>215</v>
      </c>
      <c r="C86" s="7">
        <v>700000</v>
      </c>
      <c r="D86" s="4">
        <v>724815</v>
      </c>
      <c r="E86" s="65">
        <f t="shared" si="7"/>
        <v>24815</v>
      </c>
      <c r="F86" s="66" t="str">
        <f t="shared" si="8"/>
        <v/>
      </c>
      <c r="H86" s="50">
        <v>724815</v>
      </c>
      <c r="I86" s="51">
        <f t="shared" si="3"/>
        <v>0</v>
      </c>
    </row>
    <row r="87" spans="1:11">
      <c r="A87" s="75" t="s">
        <v>38</v>
      </c>
      <c r="B87" s="6" t="s">
        <v>216</v>
      </c>
      <c r="C87" s="7">
        <v>100</v>
      </c>
      <c r="D87" s="4">
        <v>319.8</v>
      </c>
      <c r="E87" s="65">
        <f t="shared" si="7"/>
        <v>219.8</v>
      </c>
      <c r="F87" s="66" t="str">
        <f t="shared" si="8"/>
        <v/>
      </c>
      <c r="H87" s="50">
        <v>319.8</v>
      </c>
      <c r="I87" s="51">
        <f t="shared" si="3"/>
        <v>0</v>
      </c>
    </row>
    <row r="88" spans="1:11">
      <c r="A88" s="75" t="s">
        <v>39</v>
      </c>
      <c r="B88" s="6" t="s">
        <v>217</v>
      </c>
      <c r="C88" s="7">
        <v>6500000</v>
      </c>
      <c r="D88" s="4">
        <v>4989211.6500000004</v>
      </c>
      <c r="E88" s="65" t="str">
        <f t="shared" si="7"/>
        <v/>
      </c>
      <c r="F88" s="66">
        <f t="shared" si="8"/>
        <v>-1510788.3499999996</v>
      </c>
      <c r="H88" s="50">
        <v>4989211.6500000004</v>
      </c>
      <c r="I88" s="51">
        <f t="shared" si="3"/>
        <v>0</v>
      </c>
    </row>
    <row r="89" spans="1:11">
      <c r="A89" s="75" t="s">
        <v>40</v>
      </c>
      <c r="B89" s="6" t="s">
        <v>218</v>
      </c>
      <c r="C89" s="7">
        <v>2100000</v>
      </c>
      <c r="D89" s="4">
        <v>2092107.45</v>
      </c>
      <c r="E89" s="65" t="str">
        <f t="shared" si="7"/>
        <v/>
      </c>
      <c r="F89" s="66">
        <f t="shared" si="8"/>
        <v>-7892.5500000000466</v>
      </c>
      <c r="H89" s="50">
        <v>2092107.45</v>
      </c>
      <c r="I89" s="51">
        <f t="shared" si="3"/>
        <v>0</v>
      </c>
    </row>
    <row r="90" spans="1:11">
      <c r="A90" s="64" t="s">
        <v>219</v>
      </c>
      <c r="B90" s="6"/>
      <c r="C90" s="7"/>
      <c r="D90" s="4"/>
      <c r="E90" s="65" t="str">
        <f t="shared" si="7"/>
        <v/>
      </c>
      <c r="F90" s="66">
        <f t="shared" si="8"/>
        <v>0</v>
      </c>
      <c r="I90" s="51"/>
    </row>
    <row r="91" spans="1:11">
      <c r="A91" s="68" t="s">
        <v>220</v>
      </c>
      <c r="B91" s="6" t="s">
        <v>221</v>
      </c>
      <c r="C91" s="7">
        <v>3000000</v>
      </c>
      <c r="D91" s="4">
        <v>2023550</v>
      </c>
      <c r="E91" s="65" t="str">
        <f t="shared" si="7"/>
        <v/>
      </c>
      <c r="F91" s="66">
        <f t="shared" si="8"/>
        <v>-976450</v>
      </c>
      <c r="H91" s="50">
        <v>2015760</v>
      </c>
      <c r="I91" s="51">
        <f>D91-H91</f>
        <v>7790</v>
      </c>
    </row>
    <row r="92" spans="1:11">
      <c r="A92" s="68" t="s">
        <v>222</v>
      </c>
      <c r="B92" s="6" t="s">
        <v>223</v>
      </c>
      <c r="C92" s="7">
        <v>2700000</v>
      </c>
      <c r="D92" s="4">
        <v>2702150</v>
      </c>
      <c r="E92" s="65">
        <f t="shared" si="7"/>
        <v>2150</v>
      </c>
      <c r="F92" s="66" t="str">
        <f t="shared" si="8"/>
        <v/>
      </c>
      <c r="H92" s="50">
        <v>2709940</v>
      </c>
      <c r="I92" s="51">
        <f t="shared" si="3"/>
        <v>-7790</v>
      </c>
    </row>
    <row r="93" spans="1:11">
      <c r="A93" s="68" t="s">
        <v>369</v>
      </c>
      <c r="B93" s="6" t="s">
        <v>224</v>
      </c>
      <c r="C93" s="7">
        <v>2000000</v>
      </c>
      <c r="D93" s="4">
        <v>1759990</v>
      </c>
      <c r="E93" s="65" t="str">
        <f t="shared" si="7"/>
        <v/>
      </c>
      <c r="F93" s="66">
        <f t="shared" si="8"/>
        <v>-240010</v>
      </c>
      <c r="H93" s="50">
        <v>1759990</v>
      </c>
      <c r="I93" s="51">
        <f t="shared" si="3"/>
        <v>0</v>
      </c>
    </row>
    <row r="94" spans="1:11">
      <c r="A94" s="68" t="s">
        <v>225</v>
      </c>
      <c r="B94" s="6" t="s">
        <v>226</v>
      </c>
      <c r="C94" s="7">
        <v>2000000</v>
      </c>
      <c r="D94" s="4">
        <v>1837001.01</v>
      </c>
      <c r="E94" s="65" t="str">
        <f t="shared" si="7"/>
        <v/>
      </c>
      <c r="F94" s="66">
        <f t="shared" si="8"/>
        <v>-162998.99</v>
      </c>
      <c r="H94" s="50">
        <v>1837001.01</v>
      </c>
      <c r="I94" s="51">
        <f t="shared" si="3"/>
        <v>0</v>
      </c>
    </row>
    <row r="95" spans="1:11">
      <c r="A95" s="64" t="s">
        <v>227</v>
      </c>
      <c r="B95" s="6"/>
      <c r="C95" s="7"/>
      <c r="D95" s="4"/>
      <c r="E95" s="65" t="str">
        <f t="shared" si="7"/>
        <v/>
      </c>
      <c r="F95" s="66">
        <f t="shared" si="8"/>
        <v>0</v>
      </c>
      <c r="I95" s="51"/>
    </row>
    <row r="96" spans="1:11">
      <c r="A96" s="68" t="s">
        <v>228</v>
      </c>
      <c r="B96" s="6" t="s">
        <v>229</v>
      </c>
      <c r="C96" s="7">
        <v>150000</v>
      </c>
      <c r="D96" s="4">
        <v>109070</v>
      </c>
      <c r="E96" s="65" t="str">
        <f t="shared" si="7"/>
        <v/>
      </c>
      <c r="F96" s="66">
        <f t="shared" si="8"/>
        <v>-40930</v>
      </c>
      <c r="H96" s="50">
        <v>109070</v>
      </c>
      <c r="I96" s="51">
        <f t="shared" si="3"/>
        <v>0</v>
      </c>
      <c r="J96" s="70"/>
      <c r="K96" s="71"/>
    </row>
    <row r="97" spans="1:11">
      <c r="A97" s="68" t="s">
        <v>230</v>
      </c>
      <c r="B97" s="6" t="s">
        <v>231</v>
      </c>
      <c r="C97" s="7">
        <v>400000</v>
      </c>
      <c r="D97" s="4">
        <v>323400</v>
      </c>
      <c r="E97" s="65" t="str">
        <f t="shared" si="7"/>
        <v/>
      </c>
      <c r="F97" s="66">
        <f t="shared" si="8"/>
        <v>-76600</v>
      </c>
      <c r="H97" s="50">
        <v>323400</v>
      </c>
      <c r="I97" s="51">
        <f t="shared" si="3"/>
        <v>0</v>
      </c>
    </row>
    <row r="98" spans="1:11">
      <c r="A98" s="68" t="s">
        <v>232</v>
      </c>
      <c r="B98" s="6" t="s">
        <v>233</v>
      </c>
      <c r="C98" s="7">
        <v>1600000</v>
      </c>
      <c r="D98" s="4">
        <v>1402300</v>
      </c>
      <c r="E98" s="65" t="str">
        <f t="shared" si="7"/>
        <v/>
      </c>
      <c r="F98" s="66">
        <f t="shared" si="8"/>
        <v>-197700</v>
      </c>
      <c r="H98" s="50">
        <v>1402300</v>
      </c>
      <c r="I98" s="51">
        <f>D98-H98</f>
        <v>0</v>
      </c>
    </row>
    <row r="99" spans="1:11">
      <c r="A99" s="68" t="s">
        <v>234</v>
      </c>
      <c r="B99" s="6" t="s">
        <v>235</v>
      </c>
      <c r="C99" s="7">
        <v>12200000</v>
      </c>
      <c r="D99" s="4">
        <v>12277118.77</v>
      </c>
      <c r="E99" s="65">
        <f t="shared" si="7"/>
        <v>77118.769999999553</v>
      </c>
      <c r="F99" s="66" t="str">
        <f t="shared" si="8"/>
        <v/>
      </c>
      <c r="H99" s="50">
        <v>12277118.77</v>
      </c>
      <c r="I99" s="51">
        <f t="shared" ref="I99:I132" si="9">D99-H99</f>
        <v>0</v>
      </c>
    </row>
    <row r="100" spans="1:11">
      <c r="A100" s="68" t="s">
        <v>236</v>
      </c>
      <c r="B100" s="6" t="s">
        <v>237</v>
      </c>
      <c r="C100" s="7">
        <v>600000</v>
      </c>
      <c r="D100" s="4">
        <v>435555.34</v>
      </c>
      <c r="E100" s="65" t="str">
        <f t="shared" si="7"/>
        <v/>
      </c>
      <c r="F100" s="66">
        <f t="shared" si="8"/>
        <v>-164444.65999999997</v>
      </c>
      <c r="H100" s="50">
        <v>435555.34</v>
      </c>
      <c r="I100" s="51">
        <f t="shared" si="9"/>
        <v>0</v>
      </c>
    </row>
    <row r="101" spans="1:11">
      <c r="A101" s="68" t="s">
        <v>238</v>
      </c>
      <c r="B101" s="6" t="s">
        <v>239</v>
      </c>
      <c r="C101" s="7">
        <v>7500000</v>
      </c>
      <c r="D101" s="4">
        <v>7763029</v>
      </c>
      <c r="E101" s="65">
        <f t="shared" si="7"/>
        <v>263029</v>
      </c>
      <c r="F101" s="66" t="str">
        <f t="shared" si="8"/>
        <v/>
      </c>
      <c r="H101" s="50">
        <v>7763029</v>
      </c>
      <c r="I101" s="51">
        <f t="shared" si="9"/>
        <v>0</v>
      </c>
    </row>
    <row r="102" spans="1:11">
      <c r="A102" s="68" t="s">
        <v>240</v>
      </c>
      <c r="B102" s="6" t="s">
        <v>241</v>
      </c>
      <c r="C102" s="7">
        <v>2000000</v>
      </c>
      <c r="D102" s="4">
        <v>2093232.96</v>
      </c>
      <c r="E102" s="65">
        <f t="shared" si="7"/>
        <v>93232.959999999963</v>
      </c>
      <c r="F102" s="66" t="str">
        <f t="shared" si="8"/>
        <v/>
      </c>
      <c r="H102" s="50">
        <v>2093232.96</v>
      </c>
      <c r="I102" s="51">
        <f t="shared" si="9"/>
        <v>0</v>
      </c>
    </row>
    <row r="103" spans="1:11">
      <c r="A103" s="68" t="s">
        <v>242</v>
      </c>
      <c r="B103" s="6" t="s">
        <v>243</v>
      </c>
      <c r="C103" s="7">
        <v>1600000</v>
      </c>
      <c r="D103" s="4">
        <v>1292750</v>
      </c>
      <c r="E103" s="65" t="str">
        <f t="shared" si="7"/>
        <v/>
      </c>
      <c r="F103" s="66">
        <f t="shared" si="8"/>
        <v>-307250</v>
      </c>
      <c r="H103" s="50">
        <v>1292750</v>
      </c>
      <c r="I103" s="51">
        <f t="shared" si="9"/>
        <v>0</v>
      </c>
      <c r="K103" s="72"/>
    </row>
    <row r="104" spans="1:11">
      <c r="A104" s="68" t="s">
        <v>244</v>
      </c>
      <c r="B104" s="6" t="s">
        <v>245</v>
      </c>
      <c r="C104" s="7">
        <v>5500000</v>
      </c>
      <c r="D104" s="4">
        <v>4379523.8</v>
      </c>
      <c r="E104" s="65" t="str">
        <f t="shared" si="7"/>
        <v/>
      </c>
      <c r="F104" s="66">
        <f t="shared" si="8"/>
        <v>-1120476.2000000002</v>
      </c>
      <c r="H104" s="50">
        <v>4379503.8</v>
      </c>
      <c r="I104" s="51">
        <f t="shared" si="9"/>
        <v>20</v>
      </c>
      <c r="K104" s="72"/>
    </row>
    <row r="105" spans="1:11">
      <c r="A105" s="68" t="s">
        <v>41</v>
      </c>
      <c r="B105" s="6" t="s">
        <v>22</v>
      </c>
      <c r="C105" s="7"/>
      <c r="D105" s="4"/>
      <c r="E105" s="65" t="str">
        <f t="shared" si="7"/>
        <v/>
      </c>
      <c r="F105" s="66">
        <f t="shared" si="8"/>
        <v>0</v>
      </c>
      <c r="I105" s="51">
        <f t="shared" si="9"/>
        <v>0</v>
      </c>
    </row>
    <row r="106" spans="1:11">
      <c r="A106" s="68" t="s">
        <v>64</v>
      </c>
      <c r="B106" s="6" t="s">
        <v>23</v>
      </c>
      <c r="C106" s="7"/>
      <c r="D106" s="4"/>
      <c r="E106" s="65" t="str">
        <f t="shared" si="7"/>
        <v/>
      </c>
      <c r="F106" s="66">
        <f t="shared" si="8"/>
        <v>0</v>
      </c>
      <c r="I106" s="51">
        <f t="shared" si="9"/>
        <v>0</v>
      </c>
    </row>
    <row r="107" spans="1:11">
      <c r="A107" s="68" t="s">
        <v>246</v>
      </c>
      <c r="B107" s="6" t="s">
        <v>247</v>
      </c>
      <c r="C107" s="7">
        <v>5500000</v>
      </c>
      <c r="D107" s="4">
        <v>4379122</v>
      </c>
      <c r="E107" s="65" t="str">
        <f t="shared" si="7"/>
        <v/>
      </c>
      <c r="F107" s="66">
        <f t="shared" si="8"/>
        <v>-1120878</v>
      </c>
      <c r="H107" s="50">
        <v>4379112</v>
      </c>
      <c r="I107" s="51">
        <f t="shared" si="9"/>
        <v>10</v>
      </c>
      <c r="K107" s="72"/>
    </row>
    <row r="108" spans="1:11">
      <c r="A108" s="68" t="s">
        <v>65</v>
      </c>
      <c r="B108" s="6" t="s">
        <v>63</v>
      </c>
      <c r="C108" s="7"/>
      <c r="D108" s="4"/>
      <c r="E108" s="65" t="str">
        <f t="shared" si="7"/>
        <v/>
      </c>
      <c r="F108" s="66">
        <f t="shared" si="8"/>
        <v>0</v>
      </c>
      <c r="I108" s="51">
        <f t="shared" si="9"/>
        <v>0</v>
      </c>
      <c r="J108" s="70"/>
      <c r="K108" s="72"/>
    </row>
    <row r="109" spans="1:11">
      <c r="A109" s="68" t="s">
        <v>248</v>
      </c>
      <c r="B109" s="6"/>
      <c r="C109" s="7"/>
      <c r="D109" s="4"/>
      <c r="E109" s="65" t="str">
        <f t="shared" si="7"/>
        <v/>
      </c>
      <c r="F109" s="66">
        <f t="shared" si="8"/>
        <v>0</v>
      </c>
      <c r="I109" s="51">
        <f t="shared" si="9"/>
        <v>0</v>
      </c>
      <c r="J109" s="70"/>
      <c r="K109" s="72"/>
    </row>
    <row r="110" spans="1:11">
      <c r="A110" s="96" t="s">
        <v>249</v>
      </c>
      <c r="B110" s="6" t="s">
        <v>250</v>
      </c>
      <c r="C110" s="7">
        <v>34075</v>
      </c>
      <c r="D110" s="4">
        <v>65975</v>
      </c>
      <c r="E110" s="65">
        <f t="shared" si="7"/>
        <v>31900</v>
      </c>
      <c r="F110" s="66" t="str">
        <f t="shared" si="8"/>
        <v/>
      </c>
      <c r="H110" s="50">
        <v>65975</v>
      </c>
      <c r="I110" s="51">
        <f t="shared" si="9"/>
        <v>0</v>
      </c>
      <c r="J110" s="97"/>
      <c r="K110" s="72"/>
    </row>
    <row r="111" spans="1:11" ht="12.75" thickBot="1">
      <c r="A111" s="75"/>
      <c r="B111" s="6"/>
      <c r="C111" s="98">
        <f>SUM(C61:C110)</f>
        <v>70899239.569999993</v>
      </c>
      <c r="D111" s="98">
        <f t="shared" ref="D111:I111" si="10">SUM(D61:D110)</f>
        <v>63873114.850000001</v>
      </c>
      <c r="E111" s="98">
        <f t="shared" si="10"/>
        <v>838988.02999999956</v>
      </c>
      <c r="F111" s="98">
        <f t="shared" si="10"/>
        <v>-7865112.75</v>
      </c>
      <c r="G111" s="98"/>
      <c r="H111" s="98">
        <f t="shared" si="10"/>
        <v>63873084.850000001</v>
      </c>
      <c r="I111" s="98">
        <f t="shared" si="10"/>
        <v>30</v>
      </c>
    </row>
    <row r="112" spans="1:11" ht="12.75" thickTop="1">
      <c r="A112" s="61" t="s">
        <v>42</v>
      </c>
      <c r="B112" s="6"/>
      <c r="C112" s="36"/>
      <c r="D112" s="62"/>
      <c r="E112" s="36"/>
      <c r="F112" s="63"/>
      <c r="I112" s="51"/>
    </row>
    <row r="113" spans="1:11">
      <c r="A113" s="64" t="s">
        <v>66</v>
      </c>
      <c r="B113" s="6"/>
      <c r="C113" s="36"/>
      <c r="D113" s="62"/>
      <c r="E113" s="36"/>
      <c r="F113" s="63"/>
      <c r="I113" s="51"/>
    </row>
    <row r="114" spans="1:11">
      <c r="A114" s="68" t="s">
        <v>67</v>
      </c>
      <c r="B114" s="6" t="s">
        <v>69</v>
      </c>
      <c r="C114" s="7">
        <v>10500</v>
      </c>
      <c r="D114" s="4">
        <v>15500</v>
      </c>
      <c r="E114" s="65">
        <f>IF((D114-C114)&gt;0,D114-C114,"")</f>
        <v>5000</v>
      </c>
      <c r="F114" s="66" t="str">
        <f>IF((D114-C114)&gt;0,"",D114-C114)</f>
        <v/>
      </c>
      <c r="H114" s="50">
        <v>15500</v>
      </c>
      <c r="I114" s="51">
        <f t="shared" si="9"/>
        <v>0</v>
      </c>
      <c r="J114" s="192"/>
    </row>
    <row r="115" spans="1:11">
      <c r="A115" s="68" t="s">
        <v>68</v>
      </c>
      <c r="B115" s="6" t="s">
        <v>70</v>
      </c>
      <c r="C115" s="7">
        <v>200000</v>
      </c>
      <c r="D115" s="4">
        <v>73065.88</v>
      </c>
      <c r="E115" s="65" t="str">
        <f>IF((D115-C115)&gt;0,D115-C115,"")</f>
        <v/>
      </c>
      <c r="F115" s="66">
        <f>IF((D115-C115)&gt;0,"",D115-C115)</f>
        <v>-126934.12</v>
      </c>
      <c r="H115" s="50">
        <v>73065.88</v>
      </c>
      <c r="I115" s="51">
        <f t="shared" si="9"/>
        <v>0</v>
      </c>
      <c r="J115" s="192"/>
    </row>
    <row r="116" spans="1:11">
      <c r="A116" s="64" t="s">
        <v>251</v>
      </c>
      <c r="B116" s="6"/>
      <c r="C116" s="36"/>
      <c r="D116" s="62"/>
      <c r="E116" s="36"/>
      <c r="F116" s="63"/>
      <c r="I116" s="51"/>
      <c r="J116" s="192"/>
    </row>
    <row r="117" spans="1:11">
      <c r="A117" s="68" t="s">
        <v>252</v>
      </c>
      <c r="B117" s="6" t="s">
        <v>253</v>
      </c>
      <c r="C117" s="7">
        <v>800000</v>
      </c>
      <c r="D117" s="4">
        <f>841349.64-20891.95</f>
        <v>820457.69000000006</v>
      </c>
      <c r="E117" s="65">
        <f t="shared" ref="E117:E133" si="11">IF((D117-C117)&gt;0,D117-C117,"")</f>
        <v>20457.690000000061</v>
      </c>
      <c r="F117" s="66" t="str">
        <f t="shared" ref="F117:F133" si="12">IF((D117-C117)&gt;0,"",D117-C117)</f>
        <v/>
      </c>
      <c r="H117" s="50">
        <v>628920.26</v>
      </c>
      <c r="I117" s="51">
        <f t="shared" si="9"/>
        <v>191537.43000000005</v>
      </c>
    </row>
    <row r="118" spans="1:11">
      <c r="A118" s="68" t="s">
        <v>254</v>
      </c>
      <c r="B118" s="6" t="s">
        <v>255</v>
      </c>
      <c r="C118" s="99">
        <v>8084.38</v>
      </c>
      <c r="D118" s="4">
        <v>15543.76</v>
      </c>
      <c r="E118" s="65">
        <f t="shared" si="11"/>
        <v>7459.38</v>
      </c>
      <c r="F118" s="66" t="str">
        <f t="shared" si="12"/>
        <v/>
      </c>
      <c r="H118" s="50">
        <v>8084.38</v>
      </c>
      <c r="I118" s="51">
        <f t="shared" si="9"/>
        <v>7459.38</v>
      </c>
    </row>
    <row r="119" spans="1:11">
      <c r="A119" s="64" t="s">
        <v>256</v>
      </c>
      <c r="B119" s="6">
        <v>669</v>
      </c>
      <c r="C119" s="7"/>
      <c r="D119" s="4"/>
      <c r="E119" s="65" t="str">
        <f t="shared" si="11"/>
        <v/>
      </c>
      <c r="F119" s="66">
        <f t="shared" si="12"/>
        <v>0</v>
      </c>
      <c r="I119" s="51"/>
    </row>
    <row r="120" spans="1:11">
      <c r="A120" s="64" t="s">
        <v>257</v>
      </c>
      <c r="B120" s="6">
        <v>670</v>
      </c>
      <c r="C120" s="7">
        <v>500000</v>
      </c>
      <c r="D120" s="4">
        <v>293096.24</v>
      </c>
      <c r="E120" s="65" t="str">
        <f t="shared" si="11"/>
        <v/>
      </c>
      <c r="F120" s="66">
        <f t="shared" si="12"/>
        <v>-206903.76</v>
      </c>
      <c r="H120" s="50">
        <v>293096.24</v>
      </c>
      <c r="I120" s="51">
        <f t="shared" si="9"/>
        <v>0</v>
      </c>
    </row>
    <row r="121" spans="1:11">
      <c r="A121" s="64" t="s">
        <v>85</v>
      </c>
      <c r="B121" s="6">
        <v>678</v>
      </c>
      <c r="C121" s="7">
        <v>800000</v>
      </c>
      <c r="D121" s="100">
        <v>503504.91000000003</v>
      </c>
      <c r="E121" s="65" t="str">
        <f t="shared" si="11"/>
        <v/>
      </c>
      <c r="F121" s="66">
        <f t="shared" si="12"/>
        <v>-296495.08999999997</v>
      </c>
      <c r="H121" s="50">
        <v>491479.47</v>
      </c>
      <c r="I121" s="69">
        <f t="shared" si="9"/>
        <v>12025.440000000061</v>
      </c>
      <c r="J121" s="101"/>
      <c r="K121" s="102"/>
    </row>
    <row r="122" spans="1:11">
      <c r="A122" s="64" t="s">
        <v>258</v>
      </c>
      <c r="B122" s="6" t="s">
        <v>259</v>
      </c>
      <c r="C122" s="7">
        <v>80000</v>
      </c>
      <c r="D122" s="4">
        <v>31960</v>
      </c>
      <c r="E122" s="65" t="str">
        <f t="shared" si="11"/>
        <v/>
      </c>
      <c r="F122" s="66">
        <f t="shared" si="12"/>
        <v>-48040</v>
      </c>
      <c r="H122" s="50">
        <v>31960</v>
      </c>
      <c r="I122" s="51">
        <f t="shared" si="9"/>
        <v>0</v>
      </c>
    </row>
    <row r="123" spans="1:11">
      <c r="A123" s="64" t="s">
        <v>260</v>
      </c>
      <c r="B123" s="6" t="s">
        <v>261</v>
      </c>
      <c r="C123" s="7">
        <v>350000</v>
      </c>
      <c r="D123" s="4">
        <v>255650</v>
      </c>
      <c r="E123" s="65" t="str">
        <f t="shared" si="11"/>
        <v/>
      </c>
      <c r="F123" s="66">
        <f t="shared" si="12"/>
        <v>-94350</v>
      </c>
      <c r="H123" s="50">
        <v>255650</v>
      </c>
      <c r="I123" s="51">
        <f t="shared" si="9"/>
        <v>0</v>
      </c>
      <c r="J123" s="193"/>
    </row>
    <row r="124" spans="1:11">
      <c r="A124" s="64" t="s">
        <v>262</v>
      </c>
      <c r="B124" s="6"/>
      <c r="C124" s="7"/>
      <c r="D124" s="4"/>
      <c r="E124" s="65" t="str">
        <f t="shared" si="11"/>
        <v/>
      </c>
      <c r="F124" s="66">
        <f t="shared" si="12"/>
        <v>0</v>
      </c>
      <c r="I124" s="51"/>
      <c r="J124" s="193"/>
    </row>
    <row r="125" spans="1:11">
      <c r="A125" s="68" t="s">
        <v>263</v>
      </c>
      <c r="B125" s="6" t="s">
        <v>264</v>
      </c>
      <c r="C125" s="7">
        <v>400000</v>
      </c>
      <c r="D125" s="4">
        <v>292325</v>
      </c>
      <c r="E125" s="65" t="str">
        <f t="shared" si="11"/>
        <v/>
      </c>
      <c r="F125" s="66">
        <f t="shared" si="12"/>
        <v>-107675</v>
      </c>
      <c r="H125" s="50">
        <v>292325</v>
      </c>
      <c r="I125" s="51">
        <f t="shared" si="9"/>
        <v>0</v>
      </c>
      <c r="J125" s="193"/>
      <c r="K125" s="71"/>
    </row>
    <row r="126" spans="1:11">
      <c r="A126" s="68" t="s">
        <v>265</v>
      </c>
      <c r="B126" s="6" t="s">
        <v>266</v>
      </c>
      <c r="C126" s="7">
        <v>150000</v>
      </c>
      <c r="D126" s="4">
        <v>92625</v>
      </c>
      <c r="E126" s="65" t="str">
        <f t="shared" si="11"/>
        <v/>
      </c>
      <c r="F126" s="66">
        <f t="shared" si="12"/>
        <v>-57375</v>
      </c>
      <c r="H126" s="50">
        <v>92625</v>
      </c>
      <c r="I126" s="51">
        <f t="shared" si="9"/>
        <v>0</v>
      </c>
      <c r="J126" s="193"/>
      <c r="K126" s="71"/>
    </row>
    <row r="127" spans="1:11">
      <c r="A127" s="64" t="s">
        <v>267</v>
      </c>
      <c r="B127" s="6" t="s">
        <v>268</v>
      </c>
      <c r="C127" s="7">
        <v>500000</v>
      </c>
      <c r="D127" s="4">
        <v>13100</v>
      </c>
      <c r="E127" s="65" t="str">
        <f t="shared" si="11"/>
        <v/>
      </c>
      <c r="F127" s="66">
        <f t="shared" si="12"/>
        <v>-486900</v>
      </c>
      <c r="H127" s="50">
        <v>13100</v>
      </c>
      <c r="I127" s="69">
        <f>D127-H127</f>
        <v>0</v>
      </c>
      <c r="J127" s="101"/>
      <c r="K127" s="102"/>
    </row>
    <row r="128" spans="1:11">
      <c r="A128" s="64" t="s">
        <v>269</v>
      </c>
      <c r="B128" s="6" t="s">
        <v>270</v>
      </c>
      <c r="C128" s="7">
        <v>900000</v>
      </c>
      <c r="D128" s="4">
        <v>780910</v>
      </c>
      <c r="E128" s="65" t="str">
        <f t="shared" si="11"/>
        <v/>
      </c>
      <c r="F128" s="66">
        <f t="shared" si="12"/>
        <v>-119090</v>
      </c>
      <c r="H128" s="50">
        <v>780910</v>
      </c>
      <c r="I128" s="51">
        <f t="shared" si="9"/>
        <v>0</v>
      </c>
    </row>
    <row r="129" spans="1:9">
      <c r="A129" s="64" t="s">
        <v>271</v>
      </c>
      <c r="B129" s="6" t="s">
        <v>272</v>
      </c>
      <c r="C129" s="7">
        <f>8000+3000</f>
        <v>11000</v>
      </c>
      <c r="D129" s="4">
        <v>12000</v>
      </c>
      <c r="E129" s="65">
        <f t="shared" si="11"/>
        <v>1000</v>
      </c>
      <c r="F129" s="66" t="str">
        <f t="shared" si="12"/>
        <v/>
      </c>
      <c r="H129" s="50">
        <v>12000</v>
      </c>
      <c r="I129" s="51">
        <f t="shared" si="9"/>
        <v>0</v>
      </c>
    </row>
    <row r="130" spans="1:9">
      <c r="A130" s="64" t="s">
        <v>273</v>
      </c>
      <c r="B130" s="6" t="s">
        <v>274</v>
      </c>
      <c r="C130" s="7">
        <v>1500000</v>
      </c>
      <c r="D130" s="4">
        <v>1399222.26</v>
      </c>
      <c r="E130" s="65" t="str">
        <f t="shared" si="11"/>
        <v/>
      </c>
      <c r="F130" s="66">
        <f t="shared" si="12"/>
        <v>-100777.73999999999</v>
      </c>
      <c r="H130" s="50">
        <v>1311963.23</v>
      </c>
      <c r="I130" s="69">
        <f t="shared" si="9"/>
        <v>87259.030000000028</v>
      </c>
    </row>
    <row r="131" spans="1:9">
      <c r="A131" s="64" t="s">
        <v>275</v>
      </c>
      <c r="B131" s="6" t="s">
        <v>276</v>
      </c>
      <c r="C131" s="7"/>
      <c r="D131" s="4"/>
      <c r="E131" s="65" t="str">
        <f t="shared" si="11"/>
        <v/>
      </c>
      <c r="F131" s="66">
        <f t="shared" si="12"/>
        <v>0</v>
      </c>
      <c r="I131" s="51">
        <f t="shared" si="9"/>
        <v>0</v>
      </c>
    </row>
    <row r="132" spans="1:9">
      <c r="A132" s="64" t="s">
        <v>277</v>
      </c>
      <c r="B132" s="6" t="s">
        <v>278</v>
      </c>
      <c r="C132" s="7">
        <v>1500000</v>
      </c>
      <c r="D132" s="4">
        <v>619296</v>
      </c>
      <c r="E132" s="65" t="str">
        <f t="shared" si="11"/>
        <v/>
      </c>
      <c r="F132" s="66">
        <f t="shared" si="12"/>
        <v>-880704</v>
      </c>
      <c r="H132" s="50">
        <v>619296</v>
      </c>
      <c r="I132" s="51">
        <f t="shared" si="9"/>
        <v>0</v>
      </c>
    </row>
    <row r="133" spans="1:9">
      <c r="A133" s="64" t="s">
        <v>279</v>
      </c>
      <c r="B133" s="6" t="s">
        <v>280</v>
      </c>
      <c r="C133" s="7">
        <f>50000+234728.97</f>
        <v>284728.96999999997</v>
      </c>
      <c r="D133" s="4">
        <f>618589.4-8064.62</f>
        <v>610524.78</v>
      </c>
      <c r="E133" s="65">
        <f t="shared" si="11"/>
        <v>325795.81000000006</v>
      </c>
      <c r="F133" s="66" t="str">
        <f t="shared" si="12"/>
        <v/>
      </c>
      <c r="I133" s="51"/>
    </row>
    <row r="134" spans="1:9">
      <c r="A134" s="61"/>
      <c r="B134" s="39"/>
      <c r="C134" s="103">
        <f>SUM(C114:C133)</f>
        <v>7994313.3499999996</v>
      </c>
      <c r="D134" s="103">
        <f>SUM(D114:D133)</f>
        <v>5828781.5200000005</v>
      </c>
      <c r="E134" s="103">
        <f>SUM(E114:E133)</f>
        <v>359712.88000000012</v>
      </c>
      <c r="F134" s="103">
        <f>SUM(F114:F133)</f>
        <v>-2525244.71</v>
      </c>
      <c r="I134" s="51"/>
    </row>
    <row r="135" spans="1:9">
      <c r="A135" s="104" t="s">
        <v>281</v>
      </c>
      <c r="B135" s="39"/>
      <c r="C135" s="95">
        <f>SUM(C134+C111+C59)</f>
        <v>106009783.71999998</v>
      </c>
      <c r="D135" s="4">
        <f>SUM(D134+D111+D59)</f>
        <v>91413563.510000005</v>
      </c>
      <c r="E135" s="4">
        <f>SUM(E134+E111+E59)</f>
        <v>1483889.2599999993</v>
      </c>
      <c r="F135" s="87">
        <f>SUM(F134+F111+F59)</f>
        <v>-16085109.470000003</v>
      </c>
      <c r="I135" s="51"/>
    </row>
    <row r="136" spans="1:9">
      <c r="A136" s="64" t="s">
        <v>282</v>
      </c>
      <c r="B136" s="6" t="s">
        <v>283</v>
      </c>
      <c r="C136" s="4">
        <f>552000000+5755943</f>
        <v>557755943</v>
      </c>
      <c r="D136" s="4">
        <v>418316958</v>
      </c>
      <c r="E136" s="4" t="str">
        <f>IF((D136-C136)&gt;0,D136-C136,"")</f>
        <v/>
      </c>
      <c r="F136" s="87">
        <f>IF((D136-C136)&gt;0,"",D136-C136)</f>
        <v>-139438985</v>
      </c>
      <c r="H136" s="50">
        <v>418316958</v>
      </c>
      <c r="I136" s="51">
        <f>+D136-H136</f>
        <v>0</v>
      </c>
    </row>
    <row r="137" spans="1:9">
      <c r="A137" s="64" t="s">
        <v>284</v>
      </c>
      <c r="B137" s="6"/>
      <c r="C137" s="7"/>
      <c r="D137" s="74"/>
      <c r="E137" s="65" t="str">
        <f>IF((D137-C137)&gt;0,D137-C137,"")</f>
        <v/>
      </c>
      <c r="F137" s="66"/>
      <c r="I137" s="51"/>
    </row>
    <row r="138" spans="1:9">
      <c r="A138" s="75"/>
      <c r="B138" s="6"/>
      <c r="C138" s="105">
        <f>SUM(C136:C137)</f>
        <v>557755943</v>
      </c>
      <c r="D138" s="106">
        <f>SUM(D136:D137)</f>
        <v>418316958</v>
      </c>
      <c r="E138" s="106">
        <f>SUM(E136:E137)</f>
        <v>0</v>
      </c>
      <c r="F138" s="107">
        <f>SUM(F136:F137)</f>
        <v>-139438985</v>
      </c>
      <c r="I138" s="51"/>
    </row>
    <row r="139" spans="1:9">
      <c r="A139" s="108" t="s">
        <v>285</v>
      </c>
      <c r="B139" s="39"/>
      <c r="C139" s="105">
        <f>+C31+C135+C138</f>
        <v>917110741.15999997</v>
      </c>
      <c r="D139" s="106">
        <f>+D31+D135+D138</f>
        <v>756613319.66000009</v>
      </c>
      <c r="E139" s="106">
        <f>+E31+E135+E138</f>
        <v>3777485.4200000055</v>
      </c>
      <c r="F139" s="106">
        <f>+F31+F135+F138</f>
        <v>-164279906.92000002</v>
      </c>
      <c r="I139" s="51"/>
    </row>
    <row r="140" spans="1:9" ht="12.75" thickBot="1">
      <c r="A140" s="109"/>
      <c r="B140" s="41"/>
      <c r="C140" s="91"/>
      <c r="D140" s="92"/>
      <c r="E140" s="92"/>
      <c r="F140" s="110"/>
      <c r="I140" s="51"/>
    </row>
    <row r="141" spans="1:9">
      <c r="A141" s="61" t="s">
        <v>43</v>
      </c>
      <c r="B141" s="6"/>
      <c r="C141" s="7"/>
      <c r="D141" s="4"/>
      <c r="E141" s="65"/>
      <c r="F141" s="37"/>
      <c r="I141" s="51"/>
    </row>
    <row r="142" spans="1:9">
      <c r="A142" s="75" t="s">
        <v>6</v>
      </c>
      <c r="B142" s="6"/>
      <c r="C142" s="7"/>
      <c r="D142" s="74"/>
      <c r="E142" s="65"/>
      <c r="F142" s="37"/>
      <c r="I142" s="51"/>
    </row>
    <row r="143" spans="1:9">
      <c r="A143" s="61" t="s">
        <v>44</v>
      </c>
      <c r="B143" s="6" t="s">
        <v>286</v>
      </c>
      <c r="C143" s="106">
        <f>6000000+15000000</f>
        <v>21000000</v>
      </c>
      <c r="D143" s="111">
        <v>11427520.5</v>
      </c>
      <c r="E143" s="106"/>
      <c r="F143" s="112">
        <f>IF((D143-C143)&gt;0,"",D143-C143)</f>
        <v>-9572479.5</v>
      </c>
      <c r="I143" s="51">
        <f>+D143-H143</f>
        <v>11427520.5</v>
      </c>
    </row>
    <row r="144" spans="1:9">
      <c r="A144" s="61"/>
      <c r="B144" s="6"/>
      <c r="C144" s="4"/>
      <c r="D144" s="65"/>
      <c r="E144" s="65"/>
      <c r="F144" s="66"/>
      <c r="I144" s="51"/>
    </row>
    <row r="145" spans="1:11">
      <c r="A145" s="61" t="s">
        <v>45</v>
      </c>
      <c r="B145" s="6"/>
      <c r="C145" s="4"/>
      <c r="D145" s="65"/>
      <c r="E145" s="65"/>
      <c r="F145" s="66"/>
      <c r="I145" s="51"/>
    </row>
    <row r="146" spans="1:11">
      <c r="A146" s="64" t="s">
        <v>287</v>
      </c>
      <c r="B146" s="39" t="s">
        <v>288</v>
      </c>
      <c r="C146" s="4">
        <v>5000000</v>
      </c>
      <c r="D146" s="7">
        <v>4091432.47</v>
      </c>
      <c r="E146" s="4" t="str">
        <f t="shared" ref="E146:E161" si="13">IF((D146-C146)&gt;0,D146-C146,"")</f>
        <v/>
      </c>
      <c r="F146" s="66">
        <f t="shared" ref="F146:F161" si="14">IF((D146-C146)&gt;0,"",D146-C146)</f>
        <v>-908567.5299999998</v>
      </c>
      <c r="H146" s="50">
        <v>3202866.55</v>
      </c>
      <c r="I146" s="51">
        <f>+D146-H146</f>
        <v>888565.92000000039</v>
      </c>
    </row>
    <row r="147" spans="1:11">
      <c r="A147" s="64" t="s">
        <v>289</v>
      </c>
      <c r="B147" s="39" t="s">
        <v>290</v>
      </c>
      <c r="C147" s="4">
        <v>25150000</v>
      </c>
      <c r="D147" s="95">
        <v>19302115.460000001</v>
      </c>
      <c r="E147" s="4" t="str">
        <f t="shared" si="13"/>
        <v/>
      </c>
      <c r="F147" s="66">
        <f t="shared" si="14"/>
        <v>-5847884.5399999991</v>
      </c>
      <c r="H147" s="50">
        <v>15144062.17</v>
      </c>
      <c r="I147" s="51">
        <f t="shared" ref="I147:I161" si="15">+D147-H147</f>
        <v>4158053.290000001</v>
      </c>
      <c r="K147" s="51"/>
    </row>
    <row r="148" spans="1:11">
      <c r="A148" s="108" t="s">
        <v>291</v>
      </c>
      <c r="B148" s="6" t="s">
        <v>292</v>
      </c>
      <c r="C148" s="7">
        <v>7100000</v>
      </c>
      <c r="D148" s="95">
        <v>6613940.5</v>
      </c>
      <c r="E148" s="4" t="str">
        <f t="shared" si="13"/>
        <v/>
      </c>
      <c r="F148" s="66">
        <f t="shared" si="14"/>
        <v>-486059.5</v>
      </c>
      <c r="H148" s="50">
        <v>5075784.5</v>
      </c>
      <c r="I148" s="51">
        <f t="shared" si="15"/>
        <v>1538156</v>
      </c>
      <c r="K148" s="51"/>
    </row>
    <row r="149" spans="1:11">
      <c r="A149" s="64" t="s">
        <v>293</v>
      </c>
      <c r="B149" s="39" t="s">
        <v>294</v>
      </c>
      <c r="C149" s="95"/>
      <c r="D149" s="95"/>
      <c r="E149" s="4" t="str">
        <f t="shared" si="13"/>
        <v/>
      </c>
      <c r="F149" s="66">
        <f t="shared" si="14"/>
        <v>0</v>
      </c>
      <c r="I149" s="51">
        <f t="shared" si="15"/>
        <v>0</v>
      </c>
    </row>
    <row r="150" spans="1:11">
      <c r="A150" s="108" t="s">
        <v>85</v>
      </c>
      <c r="B150" s="39" t="s">
        <v>295</v>
      </c>
      <c r="C150" s="95">
        <v>600000</v>
      </c>
      <c r="D150" s="113">
        <v>380529.83</v>
      </c>
      <c r="E150" s="4" t="str">
        <f t="shared" si="13"/>
        <v/>
      </c>
      <c r="F150" s="66">
        <f t="shared" si="14"/>
        <v>-219470.16999999998</v>
      </c>
      <c r="H150" s="50">
        <f>94290+256050</f>
        <v>350340</v>
      </c>
      <c r="I150" s="51">
        <f t="shared" si="15"/>
        <v>30189.830000000016</v>
      </c>
    </row>
    <row r="151" spans="1:11">
      <c r="A151" s="64" t="s">
        <v>296</v>
      </c>
      <c r="B151" s="39" t="s">
        <v>297</v>
      </c>
      <c r="C151" s="95">
        <v>1400000</v>
      </c>
      <c r="D151" s="113">
        <v>1085124</v>
      </c>
      <c r="E151" s="4" t="str">
        <f t="shared" si="13"/>
        <v/>
      </c>
      <c r="F151" s="66">
        <f t="shared" si="14"/>
        <v>-314876</v>
      </c>
      <c r="H151" s="50">
        <v>750492</v>
      </c>
      <c r="I151" s="51">
        <f t="shared" si="15"/>
        <v>334632</v>
      </c>
    </row>
    <row r="152" spans="1:11">
      <c r="A152" s="64" t="s">
        <v>298</v>
      </c>
      <c r="B152" s="39" t="s">
        <v>299</v>
      </c>
      <c r="C152" s="95">
        <f>350000+2519.85</f>
        <v>352519.85</v>
      </c>
      <c r="D152" s="113">
        <v>440859.55</v>
      </c>
      <c r="E152" s="4">
        <f t="shared" si="13"/>
        <v>88339.700000000012</v>
      </c>
      <c r="F152" s="66" t="str">
        <f t="shared" si="14"/>
        <v/>
      </c>
      <c r="H152" s="50">
        <v>352519.85</v>
      </c>
      <c r="I152" s="51">
        <f t="shared" si="15"/>
        <v>88339.700000000012</v>
      </c>
    </row>
    <row r="153" spans="1:11">
      <c r="A153" s="64" t="s">
        <v>300</v>
      </c>
      <c r="B153" s="39" t="s">
        <v>301</v>
      </c>
      <c r="C153" s="4">
        <v>1000000</v>
      </c>
      <c r="D153" s="114">
        <v>1014000</v>
      </c>
      <c r="E153" s="4">
        <f t="shared" si="13"/>
        <v>14000</v>
      </c>
      <c r="F153" s="66" t="str">
        <f t="shared" si="14"/>
        <v/>
      </c>
      <c r="H153" s="50">
        <v>825000</v>
      </c>
      <c r="I153" s="51">
        <f t="shared" si="15"/>
        <v>189000</v>
      </c>
    </row>
    <row r="154" spans="1:11">
      <c r="A154" s="64" t="s">
        <v>302</v>
      </c>
      <c r="B154" s="39" t="s">
        <v>303</v>
      </c>
      <c r="C154" s="4">
        <f>160000+11400</f>
        <v>171400</v>
      </c>
      <c r="D154" s="7">
        <v>172300</v>
      </c>
      <c r="E154" s="4">
        <f t="shared" si="13"/>
        <v>900</v>
      </c>
      <c r="F154" s="66" t="str">
        <f t="shared" si="14"/>
        <v/>
      </c>
      <c r="H154" s="50">
        <v>171400</v>
      </c>
      <c r="I154" s="51">
        <f t="shared" si="15"/>
        <v>900</v>
      </c>
    </row>
    <row r="155" spans="1:11">
      <c r="A155" s="64" t="s">
        <v>304</v>
      </c>
      <c r="B155" s="39" t="s">
        <v>305</v>
      </c>
      <c r="C155" s="4">
        <v>170000</v>
      </c>
      <c r="D155" s="114">
        <v>121500</v>
      </c>
      <c r="E155" s="4" t="str">
        <f t="shared" si="13"/>
        <v/>
      </c>
      <c r="F155" s="66">
        <f t="shared" si="14"/>
        <v>-48500</v>
      </c>
      <c r="H155" s="50">
        <v>94500</v>
      </c>
      <c r="I155" s="51">
        <f t="shared" si="15"/>
        <v>27000</v>
      </c>
    </row>
    <row r="156" spans="1:11">
      <c r="A156" s="64" t="s">
        <v>234</v>
      </c>
      <c r="B156" s="39" t="s">
        <v>235</v>
      </c>
      <c r="C156" s="4">
        <v>1000000</v>
      </c>
      <c r="D156" s="115">
        <v>846694.33</v>
      </c>
      <c r="E156" s="4" t="str">
        <f t="shared" si="13"/>
        <v/>
      </c>
      <c r="F156" s="66">
        <f t="shared" si="14"/>
        <v>-153305.67000000004</v>
      </c>
      <c r="H156" s="50">
        <v>670840.61</v>
      </c>
      <c r="I156" s="51">
        <f t="shared" si="15"/>
        <v>175853.71999999997</v>
      </c>
    </row>
    <row r="157" spans="1:11">
      <c r="A157" s="116" t="s">
        <v>236</v>
      </c>
      <c r="B157" s="39" t="s">
        <v>237</v>
      </c>
      <c r="C157" s="4">
        <v>70000</v>
      </c>
      <c r="D157" s="115">
        <v>64685</v>
      </c>
      <c r="E157" s="4" t="str">
        <f t="shared" si="13"/>
        <v/>
      </c>
      <c r="F157" s="66">
        <f t="shared" si="14"/>
        <v>-5315</v>
      </c>
      <c r="H157" s="50">
        <v>59110</v>
      </c>
      <c r="I157" s="51">
        <f t="shared" si="15"/>
        <v>5575</v>
      </c>
    </row>
    <row r="158" spans="1:11">
      <c r="A158" s="64" t="s">
        <v>238</v>
      </c>
      <c r="B158" s="39" t="s">
        <v>20</v>
      </c>
      <c r="C158" s="4"/>
      <c r="D158" s="115"/>
      <c r="E158" s="4" t="str">
        <f t="shared" si="13"/>
        <v/>
      </c>
      <c r="F158" s="66">
        <f t="shared" si="14"/>
        <v>0</v>
      </c>
      <c r="I158" s="51">
        <f t="shared" si="15"/>
        <v>0</v>
      </c>
    </row>
    <row r="159" spans="1:11">
      <c r="A159" s="64" t="s">
        <v>240</v>
      </c>
      <c r="B159" s="39" t="s">
        <v>241</v>
      </c>
      <c r="C159" s="4">
        <v>250000</v>
      </c>
      <c r="D159" s="115">
        <v>192605</v>
      </c>
      <c r="E159" s="4" t="str">
        <f t="shared" si="13"/>
        <v/>
      </c>
      <c r="F159" s="66">
        <f t="shared" si="14"/>
        <v>-57395</v>
      </c>
      <c r="H159" s="50">
        <v>152545</v>
      </c>
      <c r="I159" s="51">
        <f t="shared" si="15"/>
        <v>40060</v>
      </c>
    </row>
    <row r="160" spans="1:11">
      <c r="A160" s="64" t="s">
        <v>306</v>
      </c>
      <c r="B160" s="39" t="s">
        <v>245</v>
      </c>
      <c r="C160" s="4">
        <v>250000</v>
      </c>
      <c r="D160" s="115">
        <v>196540</v>
      </c>
      <c r="E160" s="4" t="str">
        <f t="shared" si="13"/>
        <v/>
      </c>
      <c r="F160" s="66">
        <f t="shared" si="14"/>
        <v>-53460</v>
      </c>
      <c r="H160" s="50">
        <v>162300</v>
      </c>
      <c r="I160" s="51">
        <f t="shared" si="15"/>
        <v>34240</v>
      </c>
    </row>
    <row r="161" spans="1:12">
      <c r="A161" s="64" t="s">
        <v>246</v>
      </c>
      <c r="B161" s="6" t="s">
        <v>247</v>
      </c>
      <c r="C161" s="4">
        <v>250000</v>
      </c>
      <c r="D161" s="115">
        <v>196540</v>
      </c>
      <c r="E161" s="74" t="str">
        <f t="shared" si="13"/>
        <v/>
      </c>
      <c r="F161" s="66">
        <f t="shared" si="14"/>
        <v>-53460</v>
      </c>
      <c r="H161" s="50">
        <v>162300</v>
      </c>
      <c r="I161" s="51">
        <f t="shared" si="15"/>
        <v>34240</v>
      </c>
    </row>
    <row r="162" spans="1:12" ht="12.75" thickBot="1">
      <c r="A162" s="75"/>
      <c r="B162" s="6"/>
      <c r="C162" s="106">
        <f>SUM(C146:C161)</f>
        <v>42763919.850000001</v>
      </c>
      <c r="D162" s="106">
        <f>SUM(D146:D161)</f>
        <v>34718866.140000001</v>
      </c>
      <c r="E162" s="106">
        <f>SUM(E146:E161)</f>
        <v>103239.70000000001</v>
      </c>
      <c r="F162" s="107">
        <f>SUM(F146:F161)</f>
        <v>-8148293.4099999983</v>
      </c>
      <c r="H162" s="85">
        <f>SUM(H146:H161)</f>
        <v>27174060.68</v>
      </c>
      <c r="I162" s="85">
        <f>SUM(I146:I161)</f>
        <v>7544805.4600000009</v>
      </c>
      <c r="K162" s="53"/>
      <c r="L162" s="51"/>
    </row>
    <row r="163" spans="1:12" ht="12.75" thickTop="1">
      <c r="A163" s="61" t="s">
        <v>46</v>
      </c>
      <c r="B163" s="6"/>
      <c r="C163" s="7"/>
      <c r="D163" s="95"/>
      <c r="E163" s="103"/>
      <c r="F163" s="37"/>
      <c r="I163" s="51"/>
    </row>
    <row r="164" spans="1:12">
      <c r="A164" s="64" t="s">
        <v>289</v>
      </c>
      <c r="B164" s="6" t="s">
        <v>307</v>
      </c>
      <c r="C164" s="4">
        <v>7350000</v>
      </c>
      <c r="D164" s="117">
        <v>6043248.6100000003</v>
      </c>
      <c r="E164" s="4" t="str">
        <f>IF((D164-C164)&gt;0,D164-C164,"")</f>
        <v/>
      </c>
      <c r="F164" s="66">
        <f>IF((D164-C164)&gt;0,"",D164-C164)</f>
        <v>-1306751.3899999997</v>
      </c>
      <c r="H164" s="50">
        <v>4595570.5599999996</v>
      </c>
      <c r="I164" s="51">
        <f>+D164-H164</f>
        <v>1447678.0500000007</v>
      </c>
    </row>
    <row r="165" spans="1:12">
      <c r="A165" s="64" t="s">
        <v>298</v>
      </c>
      <c r="B165" s="39" t="s">
        <v>308</v>
      </c>
      <c r="C165" s="4">
        <v>100000</v>
      </c>
      <c r="D165" s="117">
        <v>95098.72</v>
      </c>
      <c r="E165" s="4" t="str">
        <f t="shared" ref="E165:E176" si="16">IF((D165-C165)&gt;0,D165-C165,"")</f>
        <v/>
      </c>
      <c r="F165" s="66">
        <f t="shared" ref="F165:F176" si="17">IF((D165-C165)&gt;0,"",D165-C165)</f>
        <v>-4901.2799999999988</v>
      </c>
      <c r="H165" s="50">
        <v>71826.53</v>
      </c>
      <c r="I165" s="51">
        <f t="shared" ref="I165:I176" si="18">+D165-H165</f>
        <v>23272.190000000002</v>
      </c>
    </row>
    <row r="166" spans="1:12">
      <c r="A166" s="64" t="s">
        <v>85</v>
      </c>
      <c r="B166" s="39" t="s">
        <v>309</v>
      </c>
      <c r="C166" s="4">
        <f>30000+1440</f>
        <v>31440</v>
      </c>
      <c r="D166" s="117">
        <v>31740</v>
      </c>
      <c r="E166" s="4">
        <f t="shared" si="16"/>
        <v>300</v>
      </c>
      <c r="F166" s="66" t="str">
        <f t="shared" si="17"/>
        <v/>
      </c>
      <c r="H166" s="50">
        <f>6740+24700</f>
        <v>31440</v>
      </c>
      <c r="I166" s="51">
        <f t="shared" si="18"/>
        <v>300</v>
      </c>
    </row>
    <row r="167" spans="1:12">
      <c r="A167" s="64" t="s">
        <v>310</v>
      </c>
      <c r="B167" s="39" t="s">
        <v>311</v>
      </c>
      <c r="C167" s="4">
        <v>150000</v>
      </c>
      <c r="D167" s="117">
        <v>64000</v>
      </c>
      <c r="E167" s="4" t="str">
        <f t="shared" si="16"/>
        <v/>
      </c>
      <c r="F167" s="66">
        <f t="shared" si="17"/>
        <v>-86000</v>
      </c>
      <c r="H167" s="50">
        <v>43000</v>
      </c>
      <c r="I167" s="51">
        <f t="shared" si="18"/>
        <v>21000</v>
      </c>
    </row>
    <row r="168" spans="1:12">
      <c r="A168" s="64" t="s">
        <v>312</v>
      </c>
      <c r="B168" s="39" t="s">
        <v>313</v>
      </c>
      <c r="C168" s="4">
        <v>1100000</v>
      </c>
      <c r="D168" s="117">
        <v>644833.4</v>
      </c>
      <c r="E168" s="4" t="str">
        <f t="shared" si="16"/>
        <v/>
      </c>
      <c r="F168" s="66">
        <f t="shared" si="17"/>
        <v>-455166.6</v>
      </c>
      <c r="H168" s="50">
        <v>493082</v>
      </c>
      <c r="I168" s="51">
        <f t="shared" si="18"/>
        <v>151751.40000000002</v>
      </c>
    </row>
    <row r="169" spans="1:12">
      <c r="A169" s="64" t="s">
        <v>302</v>
      </c>
      <c r="B169" s="39" t="s">
        <v>303</v>
      </c>
      <c r="C169" s="4">
        <f>120000+3300</f>
        <v>123300</v>
      </c>
      <c r="D169" s="117">
        <v>126000</v>
      </c>
      <c r="E169" s="4">
        <f t="shared" si="16"/>
        <v>2700</v>
      </c>
      <c r="F169" s="66" t="str">
        <f t="shared" si="17"/>
        <v/>
      </c>
      <c r="H169" s="50">
        <v>123300</v>
      </c>
      <c r="I169" s="51">
        <f t="shared" si="18"/>
        <v>2700</v>
      </c>
    </row>
    <row r="170" spans="1:12">
      <c r="A170" s="64" t="s">
        <v>314</v>
      </c>
      <c r="B170" s="39" t="s">
        <v>315</v>
      </c>
      <c r="C170" s="4">
        <v>6500000</v>
      </c>
      <c r="D170" s="117">
        <v>4799506</v>
      </c>
      <c r="E170" s="4" t="str">
        <f t="shared" si="16"/>
        <v/>
      </c>
      <c r="F170" s="66">
        <f t="shared" si="17"/>
        <v>-1700494</v>
      </c>
      <c r="H170" s="50">
        <v>3773505</v>
      </c>
      <c r="I170" s="51">
        <f t="shared" si="18"/>
        <v>1026001</v>
      </c>
    </row>
    <row r="171" spans="1:12" s="123" customFormat="1">
      <c r="A171" s="116" t="s">
        <v>234</v>
      </c>
      <c r="B171" s="42" t="s">
        <v>235</v>
      </c>
      <c r="C171" s="100">
        <v>50000</v>
      </c>
      <c r="D171" s="118">
        <v>28600</v>
      </c>
      <c r="E171" s="100" t="str">
        <f t="shared" si="16"/>
        <v/>
      </c>
      <c r="F171" s="119">
        <f t="shared" si="17"/>
        <v>-21400</v>
      </c>
      <c r="G171" s="120">
        <v>117969</v>
      </c>
      <c r="H171" s="121">
        <v>22170</v>
      </c>
      <c r="I171" s="122">
        <f>+D171-H171</f>
        <v>6430</v>
      </c>
    </row>
    <row r="172" spans="1:12" s="123" customFormat="1">
      <c r="A172" s="116" t="s">
        <v>316</v>
      </c>
      <c r="B172" s="42" t="s">
        <v>235</v>
      </c>
      <c r="C172" s="100">
        <v>250000</v>
      </c>
      <c r="D172" s="124">
        <v>99765</v>
      </c>
      <c r="E172" s="100" t="str">
        <f t="shared" si="16"/>
        <v/>
      </c>
      <c r="F172" s="119">
        <f t="shared" si="17"/>
        <v>-150235</v>
      </c>
      <c r="H172" s="121">
        <v>84143</v>
      </c>
      <c r="I172" s="122">
        <f>+D172-H172</f>
        <v>15622</v>
      </c>
    </row>
    <row r="173" spans="1:12">
      <c r="A173" s="64" t="s">
        <v>236</v>
      </c>
      <c r="B173" s="39" t="s">
        <v>237</v>
      </c>
      <c r="C173" s="4">
        <v>250000</v>
      </c>
      <c r="D173" s="115">
        <v>101665</v>
      </c>
      <c r="E173" s="4" t="str">
        <f t="shared" si="16"/>
        <v/>
      </c>
      <c r="F173" s="66">
        <f t="shared" si="17"/>
        <v>-148335</v>
      </c>
      <c r="H173" s="50">
        <v>85443</v>
      </c>
      <c r="I173" s="51">
        <f t="shared" si="18"/>
        <v>16222</v>
      </c>
    </row>
    <row r="174" spans="1:12">
      <c r="A174" s="64" t="s">
        <v>240</v>
      </c>
      <c r="B174" s="39" t="s">
        <v>241</v>
      </c>
      <c r="C174" s="4">
        <v>20000</v>
      </c>
      <c r="D174" s="115">
        <v>22460</v>
      </c>
      <c r="E174" s="4">
        <f t="shared" si="16"/>
        <v>2460</v>
      </c>
      <c r="F174" s="66" t="str">
        <f t="shared" si="17"/>
        <v/>
      </c>
      <c r="H174" s="50">
        <v>16660</v>
      </c>
      <c r="I174" s="51">
        <f t="shared" si="18"/>
        <v>5800</v>
      </c>
    </row>
    <row r="175" spans="1:12">
      <c r="A175" s="64" t="s">
        <v>306</v>
      </c>
      <c r="B175" s="39" t="s">
        <v>245</v>
      </c>
      <c r="C175" s="4">
        <v>25000</v>
      </c>
      <c r="D175" s="115">
        <v>14200</v>
      </c>
      <c r="E175" s="4" t="str">
        <f t="shared" si="16"/>
        <v/>
      </c>
      <c r="F175" s="66">
        <f t="shared" si="17"/>
        <v>-10800</v>
      </c>
      <c r="H175" s="50">
        <v>13980</v>
      </c>
      <c r="I175" s="51">
        <f t="shared" si="18"/>
        <v>220</v>
      </c>
    </row>
    <row r="176" spans="1:12">
      <c r="A176" s="64" t="s">
        <v>246</v>
      </c>
      <c r="B176" s="6" t="s">
        <v>247</v>
      </c>
      <c r="C176" s="4">
        <v>25000</v>
      </c>
      <c r="D176" s="125">
        <v>14200</v>
      </c>
      <c r="E176" s="4" t="str">
        <f t="shared" si="16"/>
        <v/>
      </c>
      <c r="F176" s="66">
        <f t="shared" si="17"/>
        <v>-10800</v>
      </c>
      <c r="H176" s="50">
        <v>13980</v>
      </c>
      <c r="I176" s="51">
        <f t="shared" si="18"/>
        <v>220</v>
      </c>
    </row>
    <row r="177" spans="1:10" ht="12.75" thickBot="1">
      <c r="A177" s="75"/>
      <c r="B177" s="6"/>
      <c r="C177" s="126">
        <f>SUM(C164:C176)</f>
        <v>15974740</v>
      </c>
      <c r="D177" s="106">
        <f>SUM(D164:D176)</f>
        <v>12085316.73</v>
      </c>
      <c r="E177" s="111">
        <f>SUM(E164:E176)</f>
        <v>5460</v>
      </c>
      <c r="F177" s="112">
        <f>SUM(F164:F176)</f>
        <v>-3894883.2699999996</v>
      </c>
      <c r="H177" s="85">
        <f>SUM(H164:H176)</f>
        <v>9368100.0899999999</v>
      </c>
      <c r="I177" s="85">
        <f>SUM(I164:I176)</f>
        <v>2717216.6400000006</v>
      </c>
      <c r="J177" s="127"/>
    </row>
    <row r="178" spans="1:10" ht="12.75" thickTop="1">
      <c r="A178" s="61" t="s">
        <v>47</v>
      </c>
      <c r="B178" s="6"/>
      <c r="C178" s="7"/>
      <c r="D178" s="95"/>
      <c r="E178" s="4"/>
      <c r="F178" s="37"/>
      <c r="H178" s="50" t="s">
        <v>370</v>
      </c>
      <c r="I178" s="51"/>
    </row>
    <row r="179" spans="1:10">
      <c r="A179" s="64" t="s">
        <v>317</v>
      </c>
      <c r="B179" s="6" t="s">
        <v>318</v>
      </c>
      <c r="C179" s="4">
        <v>11000000</v>
      </c>
      <c r="D179" s="128">
        <v>10018694</v>
      </c>
      <c r="E179" s="4" t="str">
        <f>IF((D179-C179)&gt;0,D179-C179,"")</f>
        <v/>
      </c>
      <c r="F179" s="66">
        <f>IF((D179-C179)&gt;0,"",D179-C179)</f>
        <v>-981306</v>
      </c>
      <c r="H179" s="50">
        <v>7555584</v>
      </c>
      <c r="I179" s="51">
        <f>+D179-H179</f>
        <v>2463110</v>
      </c>
    </row>
    <row r="180" spans="1:10">
      <c r="A180" s="64" t="s">
        <v>319</v>
      </c>
      <c r="B180" s="39" t="s">
        <v>320</v>
      </c>
      <c r="C180" s="4">
        <v>1800000</v>
      </c>
      <c r="D180" s="128">
        <v>1728751</v>
      </c>
      <c r="E180" s="4" t="str">
        <f t="shared" ref="E180:E193" si="19">IF((D180-C180)&gt;0,D180-C180,"")</f>
        <v/>
      </c>
      <c r="F180" s="66">
        <f t="shared" ref="F180:F193" si="20">IF((D180-C180)&gt;0,"",D180-C180)</f>
        <v>-71249</v>
      </c>
      <c r="H180" s="50">
        <v>1177295</v>
      </c>
      <c r="I180" s="51">
        <f t="shared" ref="I180:I193" si="21">+D180-H180</f>
        <v>551456</v>
      </c>
    </row>
    <row r="181" spans="1:10">
      <c r="A181" s="64" t="s">
        <v>289</v>
      </c>
      <c r="B181" s="39" t="s">
        <v>321</v>
      </c>
      <c r="C181" s="4">
        <v>2520000</v>
      </c>
      <c r="D181" s="129">
        <v>2140058.46</v>
      </c>
      <c r="E181" s="4" t="str">
        <f t="shared" si="19"/>
        <v/>
      </c>
      <c r="F181" s="66">
        <f t="shared" si="20"/>
        <v>-379941.54000000004</v>
      </c>
      <c r="H181" s="50">
        <v>1852221.29</v>
      </c>
      <c r="I181" s="51">
        <f t="shared" si="21"/>
        <v>287837.16999999993</v>
      </c>
      <c r="J181" s="51"/>
    </row>
    <row r="182" spans="1:10">
      <c r="A182" s="64" t="s">
        <v>322</v>
      </c>
      <c r="B182" s="39" t="s">
        <v>323</v>
      </c>
      <c r="C182" s="4">
        <v>3000000</v>
      </c>
      <c r="D182" s="129">
        <v>2479576</v>
      </c>
      <c r="E182" s="4" t="str">
        <f t="shared" si="19"/>
        <v/>
      </c>
      <c r="F182" s="66">
        <f t="shared" si="20"/>
        <v>-520424</v>
      </c>
      <c r="H182" s="50">
        <v>1937146</v>
      </c>
      <c r="I182" s="51">
        <f t="shared" si="21"/>
        <v>542430</v>
      </c>
    </row>
    <row r="183" spans="1:10">
      <c r="A183" s="64" t="s">
        <v>85</v>
      </c>
      <c r="B183" s="39" t="s">
        <v>324</v>
      </c>
      <c r="C183" s="4">
        <v>100000</v>
      </c>
      <c r="D183" s="128">
        <v>78810.179999999993</v>
      </c>
      <c r="E183" s="4" t="str">
        <f t="shared" si="19"/>
        <v/>
      </c>
      <c r="F183" s="66">
        <f t="shared" si="20"/>
        <v>-21189.820000000007</v>
      </c>
      <c r="H183" s="50">
        <f>5100+72100</f>
        <v>77200</v>
      </c>
      <c r="I183" s="51">
        <f t="shared" si="21"/>
        <v>1610.179999999993</v>
      </c>
    </row>
    <row r="184" spans="1:10">
      <c r="A184" s="64" t="s">
        <v>293</v>
      </c>
      <c r="B184" s="39" t="s">
        <v>7</v>
      </c>
      <c r="C184" s="4"/>
      <c r="D184" s="128"/>
      <c r="E184" s="4" t="str">
        <f t="shared" si="19"/>
        <v/>
      </c>
      <c r="F184" s="66">
        <f t="shared" si="20"/>
        <v>0</v>
      </c>
      <c r="I184" s="51">
        <f t="shared" si="21"/>
        <v>0</v>
      </c>
    </row>
    <row r="185" spans="1:10">
      <c r="A185" s="64" t="s">
        <v>325</v>
      </c>
      <c r="B185" s="39" t="s">
        <v>326</v>
      </c>
      <c r="C185" s="4">
        <f>50000+1000</f>
        <v>51000</v>
      </c>
      <c r="D185" s="128">
        <v>53000</v>
      </c>
      <c r="E185" s="4">
        <f t="shared" si="19"/>
        <v>2000</v>
      </c>
      <c r="F185" s="66" t="str">
        <f t="shared" si="20"/>
        <v/>
      </c>
      <c r="H185" s="50">
        <v>51000</v>
      </c>
      <c r="I185" s="51">
        <f t="shared" si="21"/>
        <v>2000</v>
      </c>
    </row>
    <row r="186" spans="1:10">
      <c r="A186" s="64" t="s">
        <v>298</v>
      </c>
      <c r="B186" s="39" t="s">
        <v>327</v>
      </c>
      <c r="C186" s="4">
        <f>50000+9174.6</f>
        <v>59174.6</v>
      </c>
      <c r="D186" s="128">
        <v>67788.06</v>
      </c>
      <c r="E186" s="4">
        <f t="shared" si="19"/>
        <v>8613.4599999999991</v>
      </c>
      <c r="F186" s="66" t="str">
        <f t="shared" si="20"/>
        <v/>
      </c>
      <c r="H186" s="50">
        <v>59721.58</v>
      </c>
      <c r="I186" s="51">
        <f t="shared" si="21"/>
        <v>8066.4799999999959</v>
      </c>
    </row>
    <row r="187" spans="1:10">
      <c r="A187" s="64" t="s">
        <v>328</v>
      </c>
      <c r="B187" s="39" t="s">
        <v>18</v>
      </c>
      <c r="C187" s="4"/>
      <c r="D187" s="128"/>
      <c r="E187" s="4" t="str">
        <f t="shared" si="19"/>
        <v/>
      </c>
      <c r="F187" s="66">
        <f t="shared" si="20"/>
        <v>0</v>
      </c>
      <c r="I187" s="51">
        <f t="shared" si="21"/>
        <v>0</v>
      </c>
    </row>
    <row r="188" spans="1:10">
      <c r="A188" s="64" t="s">
        <v>329</v>
      </c>
      <c r="B188" s="39" t="s">
        <v>330</v>
      </c>
      <c r="C188" s="4">
        <f>300000+23196.98</f>
        <v>323196.98</v>
      </c>
      <c r="D188" s="128">
        <v>323150</v>
      </c>
      <c r="E188" s="4" t="str">
        <f t="shared" si="19"/>
        <v/>
      </c>
      <c r="F188" s="66">
        <f t="shared" si="20"/>
        <v>-46.979999999981374</v>
      </c>
      <c r="H188" s="50">
        <v>322701</v>
      </c>
      <c r="I188" s="51">
        <f t="shared" si="21"/>
        <v>449</v>
      </c>
    </row>
    <row r="189" spans="1:10">
      <c r="A189" s="64" t="s">
        <v>234</v>
      </c>
      <c r="B189" s="39" t="s">
        <v>235</v>
      </c>
      <c r="C189" s="4">
        <v>470000</v>
      </c>
      <c r="D189" s="128">
        <v>517284</v>
      </c>
      <c r="E189" s="4">
        <f t="shared" si="19"/>
        <v>47284</v>
      </c>
      <c r="F189" s="66" t="str">
        <f t="shared" si="20"/>
        <v/>
      </c>
      <c r="H189" s="50">
        <v>408743</v>
      </c>
      <c r="I189" s="51">
        <f t="shared" si="21"/>
        <v>108541</v>
      </c>
    </row>
    <row r="190" spans="1:10">
      <c r="A190" s="64" t="s">
        <v>236</v>
      </c>
      <c r="B190" s="39" t="s">
        <v>237</v>
      </c>
      <c r="C190" s="4">
        <v>600000</v>
      </c>
      <c r="D190" s="128">
        <v>587760</v>
      </c>
      <c r="E190" s="4" t="str">
        <f t="shared" si="19"/>
        <v/>
      </c>
      <c r="F190" s="66">
        <f t="shared" si="20"/>
        <v>-12240</v>
      </c>
      <c r="H190" s="50">
        <v>451768</v>
      </c>
      <c r="I190" s="51">
        <f t="shared" si="21"/>
        <v>135992</v>
      </c>
    </row>
    <row r="191" spans="1:10">
      <c r="A191" s="64" t="s">
        <v>240</v>
      </c>
      <c r="B191" s="39" t="s">
        <v>241</v>
      </c>
      <c r="C191" s="4">
        <v>50000</v>
      </c>
      <c r="D191" s="128">
        <v>40573</v>
      </c>
      <c r="E191" s="4" t="str">
        <f t="shared" si="19"/>
        <v/>
      </c>
      <c r="F191" s="66">
        <f t="shared" si="20"/>
        <v>-9427</v>
      </c>
      <c r="H191" s="50">
        <v>37210</v>
      </c>
      <c r="I191" s="51">
        <f t="shared" si="21"/>
        <v>3363</v>
      </c>
    </row>
    <row r="192" spans="1:10">
      <c r="A192" s="64" t="s">
        <v>306</v>
      </c>
      <c r="B192" s="35" t="s">
        <v>245</v>
      </c>
      <c r="C192" s="4">
        <v>50000</v>
      </c>
      <c r="D192" s="128">
        <v>35460</v>
      </c>
      <c r="E192" s="4" t="str">
        <f t="shared" si="19"/>
        <v/>
      </c>
      <c r="F192" s="66">
        <f t="shared" si="20"/>
        <v>-14540</v>
      </c>
      <c r="H192" s="50">
        <v>35260</v>
      </c>
      <c r="I192" s="51">
        <f t="shared" si="21"/>
        <v>200</v>
      </c>
    </row>
    <row r="193" spans="1:10">
      <c r="A193" s="64" t="s">
        <v>246</v>
      </c>
      <c r="B193" s="39" t="s">
        <v>247</v>
      </c>
      <c r="C193" s="4">
        <v>50000</v>
      </c>
      <c r="D193" s="128">
        <v>35460</v>
      </c>
      <c r="E193" s="4" t="str">
        <f t="shared" si="19"/>
        <v/>
      </c>
      <c r="F193" s="66">
        <f t="shared" si="20"/>
        <v>-14540</v>
      </c>
      <c r="H193" s="50">
        <v>35260</v>
      </c>
      <c r="I193" s="51">
        <f t="shared" si="21"/>
        <v>200</v>
      </c>
    </row>
    <row r="194" spans="1:10" ht="12.75" thickBot="1">
      <c r="A194" s="75" t="s">
        <v>6</v>
      </c>
      <c r="B194" s="6"/>
      <c r="C194" s="106">
        <f>SUM(C179:C193)</f>
        <v>20073371.580000002</v>
      </c>
      <c r="D194" s="106">
        <f>SUM(D179:D193)</f>
        <v>18106364.700000003</v>
      </c>
      <c r="E194" s="106">
        <f>SUM(E179:E193)</f>
        <v>57897.46</v>
      </c>
      <c r="F194" s="107">
        <f>SUM(F179:F193)</f>
        <v>-2024904.34</v>
      </c>
      <c r="H194" s="85">
        <f>SUM(H179:H193)</f>
        <v>14001109.869999999</v>
      </c>
      <c r="I194" s="85">
        <f>SUM(I179:I193)</f>
        <v>4105254.83</v>
      </c>
    </row>
    <row r="195" spans="1:10" ht="12.75" thickTop="1">
      <c r="A195" s="61" t="s">
        <v>48</v>
      </c>
      <c r="B195" s="43"/>
      <c r="C195" s="130"/>
      <c r="D195" s="131"/>
      <c r="E195" s="130"/>
      <c r="F195" s="87"/>
      <c r="I195" s="51"/>
    </row>
    <row r="196" spans="1:10">
      <c r="A196" s="64" t="s">
        <v>331</v>
      </c>
      <c r="B196" s="6" t="s">
        <v>332</v>
      </c>
      <c r="C196" s="65">
        <v>1400000</v>
      </c>
      <c r="D196" s="117">
        <v>959305</v>
      </c>
      <c r="E196" s="4" t="str">
        <f>IF((D196-C196)&gt;0,D196-C196,"")</f>
        <v/>
      </c>
      <c r="F196" s="66">
        <f>IF((D196-C196)&gt;0,"",D196-C196)</f>
        <v>-440695</v>
      </c>
      <c r="H196" s="50">
        <v>735950</v>
      </c>
      <c r="I196" s="51">
        <f>+D196-H196</f>
        <v>223355</v>
      </c>
    </row>
    <row r="197" spans="1:10">
      <c r="A197" s="64" t="s">
        <v>333</v>
      </c>
      <c r="B197" s="39" t="s">
        <v>334</v>
      </c>
      <c r="C197" s="4">
        <v>620000</v>
      </c>
      <c r="D197" s="117">
        <v>502120</v>
      </c>
      <c r="E197" s="4" t="str">
        <f t="shared" ref="E197:E208" si="22">IF((D197-C197)&gt;0,D197-C197,"")</f>
        <v/>
      </c>
      <c r="F197" s="66">
        <f t="shared" ref="F197:F208" si="23">IF((D197-C197)&gt;0,"",D197-C197)</f>
        <v>-117880</v>
      </c>
      <c r="H197" s="50">
        <v>379600</v>
      </c>
      <c r="I197" s="51">
        <f t="shared" ref="I197:I203" si="24">+D197-H197</f>
        <v>122520</v>
      </c>
    </row>
    <row r="198" spans="1:10">
      <c r="A198" s="64" t="s">
        <v>335</v>
      </c>
      <c r="B198" s="39" t="s">
        <v>336</v>
      </c>
      <c r="C198" s="4">
        <v>250000</v>
      </c>
      <c r="D198" s="117">
        <v>221335</v>
      </c>
      <c r="E198" s="4" t="str">
        <f t="shared" si="22"/>
        <v/>
      </c>
      <c r="F198" s="66">
        <f t="shared" si="23"/>
        <v>-28665</v>
      </c>
      <c r="H198" s="50">
        <v>169295</v>
      </c>
      <c r="I198" s="51">
        <f t="shared" si="24"/>
        <v>52040</v>
      </c>
    </row>
    <row r="199" spans="1:10">
      <c r="A199" s="64" t="s">
        <v>337</v>
      </c>
      <c r="B199" s="39" t="s">
        <v>338</v>
      </c>
      <c r="C199" s="4">
        <v>1350000</v>
      </c>
      <c r="D199" s="117">
        <v>1113580</v>
      </c>
      <c r="E199" s="4" t="str">
        <f t="shared" si="22"/>
        <v/>
      </c>
      <c r="F199" s="66">
        <f t="shared" si="23"/>
        <v>-236420</v>
      </c>
      <c r="H199" s="50">
        <v>854610</v>
      </c>
      <c r="I199" s="51">
        <f t="shared" si="24"/>
        <v>258970</v>
      </c>
    </row>
    <row r="200" spans="1:10">
      <c r="A200" s="108" t="s">
        <v>339</v>
      </c>
      <c r="B200" s="6" t="s">
        <v>340</v>
      </c>
      <c r="C200" s="7">
        <v>750000</v>
      </c>
      <c r="D200" s="132">
        <v>611835</v>
      </c>
      <c r="E200" s="4" t="str">
        <f t="shared" si="22"/>
        <v/>
      </c>
      <c r="F200" s="66">
        <f t="shared" si="23"/>
        <v>-138165</v>
      </c>
      <c r="H200" s="50">
        <v>468895</v>
      </c>
      <c r="I200" s="51">
        <f t="shared" si="24"/>
        <v>142940</v>
      </c>
    </row>
    <row r="201" spans="1:10">
      <c r="A201" s="64" t="s">
        <v>291</v>
      </c>
      <c r="B201" s="6" t="s">
        <v>341</v>
      </c>
      <c r="C201" s="4">
        <v>100000</v>
      </c>
      <c r="D201" s="117">
        <v>102724</v>
      </c>
      <c r="E201" s="4">
        <f t="shared" si="22"/>
        <v>2724</v>
      </c>
      <c r="F201" s="66" t="str">
        <f t="shared" si="23"/>
        <v/>
      </c>
      <c r="H201" s="50">
        <v>77528</v>
      </c>
      <c r="I201" s="51">
        <f t="shared" si="24"/>
        <v>25196</v>
      </c>
    </row>
    <row r="202" spans="1:10">
      <c r="A202" s="64" t="s">
        <v>85</v>
      </c>
      <c r="B202" s="6" t="s">
        <v>342</v>
      </c>
      <c r="C202" s="4">
        <v>600000</v>
      </c>
      <c r="D202" s="117">
        <v>554100</v>
      </c>
      <c r="E202" s="4" t="str">
        <f t="shared" si="22"/>
        <v/>
      </c>
      <c r="F202" s="66">
        <f t="shared" si="23"/>
        <v>-45900</v>
      </c>
      <c r="H202" s="50">
        <f>19900+120800+295350</f>
        <v>436050</v>
      </c>
      <c r="I202" s="51">
        <f t="shared" si="24"/>
        <v>118050</v>
      </c>
    </row>
    <row r="203" spans="1:10">
      <c r="A203" s="64" t="s">
        <v>343</v>
      </c>
      <c r="B203" s="39" t="s">
        <v>344</v>
      </c>
      <c r="C203" s="4">
        <v>590000</v>
      </c>
      <c r="D203" s="117">
        <v>496240</v>
      </c>
      <c r="E203" s="4" t="str">
        <f t="shared" si="22"/>
        <v/>
      </c>
      <c r="F203" s="66">
        <f t="shared" si="23"/>
        <v>-93760</v>
      </c>
      <c r="H203" s="50">
        <v>380400</v>
      </c>
      <c r="I203" s="51">
        <f t="shared" si="24"/>
        <v>115840</v>
      </c>
    </row>
    <row r="204" spans="1:10">
      <c r="A204" s="64" t="s">
        <v>234</v>
      </c>
      <c r="B204" s="39" t="s">
        <v>235</v>
      </c>
      <c r="C204" s="4">
        <v>120000</v>
      </c>
      <c r="D204" s="95">
        <v>104475</v>
      </c>
      <c r="E204" s="4" t="str">
        <f t="shared" si="22"/>
        <v/>
      </c>
      <c r="F204" s="66">
        <f t="shared" si="23"/>
        <v>-15525</v>
      </c>
      <c r="G204" s="53">
        <v>159747.75</v>
      </c>
      <c r="H204" s="50">
        <v>81202</v>
      </c>
      <c r="I204" s="133">
        <f>+G204-H204</f>
        <v>78545.75</v>
      </c>
      <c r="J204" s="51">
        <f>+G204-H204-H226</f>
        <v>45</v>
      </c>
    </row>
    <row r="205" spans="1:10">
      <c r="A205" s="64" t="s">
        <v>236</v>
      </c>
      <c r="B205" s="6" t="s">
        <v>237</v>
      </c>
      <c r="C205" s="4">
        <v>5000</v>
      </c>
      <c r="D205" s="117">
        <v>832</v>
      </c>
      <c r="E205" s="4" t="str">
        <f t="shared" si="22"/>
        <v/>
      </c>
      <c r="F205" s="66">
        <f t="shared" si="23"/>
        <v>-4168</v>
      </c>
      <c r="G205" s="53">
        <v>30466.25</v>
      </c>
      <c r="H205" s="50">
        <v>667</v>
      </c>
      <c r="I205" s="51">
        <f>+G205-H205</f>
        <v>29799.25</v>
      </c>
      <c r="J205" s="50">
        <f>+G205-H205-H227</f>
        <v>54</v>
      </c>
    </row>
    <row r="206" spans="1:10">
      <c r="A206" s="64" t="s">
        <v>240</v>
      </c>
      <c r="B206" s="39" t="s">
        <v>241</v>
      </c>
      <c r="C206" s="4">
        <v>60000</v>
      </c>
      <c r="D206" s="95">
        <v>53244</v>
      </c>
      <c r="E206" s="4" t="str">
        <f t="shared" si="22"/>
        <v/>
      </c>
      <c r="F206" s="66">
        <f t="shared" si="23"/>
        <v>-6756</v>
      </c>
      <c r="G206" s="53">
        <v>63063.5</v>
      </c>
      <c r="H206" s="50">
        <v>40807</v>
      </c>
      <c r="I206" s="133">
        <f>+G206-H206</f>
        <v>22256.5</v>
      </c>
      <c r="J206" s="51">
        <f>+G206-H206-H228</f>
        <v>9</v>
      </c>
    </row>
    <row r="207" spans="1:10">
      <c r="A207" s="64" t="s">
        <v>244</v>
      </c>
      <c r="B207" s="39" t="s">
        <v>245</v>
      </c>
      <c r="C207" s="4">
        <v>10000</v>
      </c>
      <c r="D207" s="95">
        <v>2000</v>
      </c>
      <c r="E207" s="4" t="str">
        <f t="shared" si="22"/>
        <v/>
      </c>
      <c r="F207" s="66">
        <f t="shared" si="23"/>
        <v>-8000</v>
      </c>
      <c r="G207" s="53">
        <v>5780</v>
      </c>
      <c r="H207" s="50">
        <v>1960</v>
      </c>
      <c r="I207" s="133">
        <f>+G207-H207</f>
        <v>3820</v>
      </c>
      <c r="J207" s="51">
        <f>+G207-H207-H229</f>
        <v>0</v>
      </c>
    </row>
    <row r="208" spans="1:10">
      <c r="A208" s="64" t="s">
        <v>345</v>
      </c>
      <c r="B208" s="6" t="s">
        <v>247</v>
      </c>
      <c r="C208" s="65">
        <v>10000</v>
      </c>
      <c r="D208" s="95">
        <v>2000</v>
      </c>
      <c r="E208" s="4" t="str">
        <f t="shared" si="22"/>
        <v/>
      </c>
      <c r="F208" s="66">
        <f t="shared" si="23"/>
        <v>-8000</v>
      </c>
      <c r="G208" s="53">
        <v>5780</v>
      </c>
      <c r="H208" s="50">
        <v>1960</v>
      </c>
      <c r="I208" s="133">
        <f>+G208-H208</f>
        <v>3820</v>
      </c>
      <c r="J208" s="51">
        <f>+G208-H208-H230</f>
        <v>0</v>
      </c>
    </row>
    <row r="209" spans="1:10" ht="12.75" thickBot="1">
      <c r="A209" s="134"/>
      <c r="B209" s="44"/>
      <c r="C209" s="135">
        <f>SUM(C196:C208)</f>
        <v>5865000</v>
      </c>
      <c r="D209" s="136">
        <f>SUM(D196:D208)</f>
        <v>4723790</v>
      </c>
      <c r="E209" s="135">
        <f>SUM(E196:E208)</f>
        <v>2724</v>
      </c>
      <c r="F209" s="137">
        <f>SUM(F196:F208)</f>
        <v>-1143934</v>
      </c>
      <c r="G209" s="53"/>
      <c r="H209" s="50">
        <f>SUM(H196:H208)</f>
        <v>3628924</v>
      </c>
      <c r="I209" s="133">
        <f>SUM(I196:I208)</f>
        <v>1197152.5</v>
      </c>
      <c r="J209" s="51"/>
    </row>
    <row r="210" spans="1:10">
      <c r="A210" s="138"/>
      <c r="B210" s="45"/>
      <c r="C210" s="139"/>
      <c r="D210" s="140"/>
      <c r="E210" s="139"/>
      <c r="F210" s="141"/>
      <c r="G210" s="53"/>
      <c r="I210" s="133"/>
      <c r="J210" s="51"/>
    </row>
    <row r="211" spans="1:10">
      <c r="A211" s="61" t="s">
        <v>49</v>
      </c>
      <c r="B211" s="6"/>
      <c r="C211" s="7"/>
      <c r="D211" s="95"/>
      <c r="E211" s="4"/>
      <c r="F211" s="66"/>
      <c r="I211" s="51"/>
    </row>
    <row r="212" spans="1:10">
      <c r="A212" s="75" t="s">
        <v>8</v>
      </c>
      <c r="B212" s="6" t="s">
        <v>346</v>
      </c>
      <c r="C212" s="4">
        <v>70000</v>
      </c>
      <c r="D212" s="117">
        <v>86140</v>
      </c>
      <c r="E212" s="4">
        <f>IF((D212-C212)&gt;0,D212-C212,"")</f>
        <v>16140</v>
      </c>
      <c r="F212" s="66" t="str">
        <f>IF((D212-C212)&gt;0,"",D212-C212)</f>
        <v/>
      </c>
      <c r="H212" s="50">
        <v>68643</v>
      </c>
      <c r="I212" s="51">
        <f>+D212-H212</f>
        <v>17497</v>
      </c>
    </row>
    <row r="213" spans="1:10">
      <c r="A213" s="75" t="s">
        <v>9</v>
      </c>
      <c r="B213" s="39" t="s">
        <v>347</v>
      </c>
      <c r="C213" s="4">
        <v>400000</v>
      </c>
      <c r="D213" s="117">
        <v>228375</v>
      </c>
      <c r="E213" s="4" t="str">
        <f t="shared" ref="E213:E230" si="25">IF((D213-C213)&gt;0,D213-C213,"")</f>
        <v/>
      </c>
      <c r="F213" s="66">
        <f t="shared" ref="F213:F230" si="26">IF((D213-C213)&gt;0,"",D213-C213)</f>
        <v>-171625</v>
      </c>
      <c r="H213" s="50">
        <v>161935</v>
      </c>
      <c r="I213" s="51">
        <f t="shared" ref="I213:I230" si="27">+D213-H213</f>
        <v>66440</v>
      </c>
    </row>
    <row r="214" spans="1:10">
      <c r="A214" s="75" t="s">
        <v>3</v>
      </c>
      <c r="B214" s="39" t="s">
        <v>348</v>
      </c>
      <c r="C214" s="4">
        <v>300000</v>
      </c>
      <c r="D214" s="117">
        <v>149000</v>
      </c>
      <c r="E214" s="4" t="str">
        <f t="shared" si="25"/>
        <v/>
      </c>
      <c r="F214" s="66">
        <f t="shared" si="26"/>
        <v>-151000</v>
      </c>
      <c r="H214" s="50">
        <v>103885</v>
      </c>
      <c r="I214" s="51">
        <f t="shared" si="27"/>
        <v>45115</v>
      </c>
    </row>
    <row r="215" spans="1:10">
      <c r="A215" s="75" t="s">
        <v>10</v>
      </c>
      <c r="B215" s="39" t="s">
        <v>349</v>
      </c>
      <c r="C215" s="4">
        <v>270000</v>
      </c>
      <c r="D215" s="117">
        <v>225480.7</v>
      </c>
      <c r="E215" s="4" t="str">
        <f t="shared" si="25"/>
        <v/>
      </c>
      <c r="F215" s="66">
        <f t="shared" si="26"/>
        <v>-44519.299999999988</v>
      </c>
      <c r="H215" s="50">
        <v>166036.5</v>
      </c>
      <c r="I215" s="51">
        <f t="shared" si="27"/>
        <v>59444.200000000012</v>
      </c>
    </row>
    <row r="216" spans="1:10">
      <c r="A216" s="75" t="s">
        <v>11</v>
      </c>
      <c r="B216" s="6" t="s">
        <v>350</v>
      </c>
      <c r="C216" s="4">
        <v>130000</v>
      </c>
      <c r="D216" s="117">
        <v>102795</v>
      </c>
      <c r="E216" s="4" t="str">
        <f t="shared" si="25"/>
        <v/>
      </c>
      <c r="F216" s="66">
        <f t="shared" si="26"/>
        <v>-27205</v>
      </c>
      <c r="H216" s="50">
        <v>74665.5</v>
      </c>
      <c r="I216" s="51">
        <f t="shared" si="27"/>
        <v>28129.5</v>
      </c>
    </row>
    <row r="217" spans="1:10">
      <c r="A217" s="75" t="s">
        <v>2</v>
      </c>
      <c r="B217" s="39" t="s">
        <v>351</v>
      </c>
      <c r="C217" s="4">
        <v>60000</v>
      </c>
      <c r="D217" s="117">
        <v>46471.11</v>
      </c>
      <c r="E217" s="4" t="str">
        <f t="shared" si="25"/>
        <v/>
      </c>
      <c r="F217" s="66">
        <f t="shared" si="26"/>
        <v>-13528.89</v>
      </c>
      <c r="H217" s="50">
        <f>600+37800+4668.54</f>
        <v>43068.54</v>
      </c>
      <c r="I217" s="51">
        <f t="shared" si="27"/>
        <v>3402.5699999999997</v>
      </c>
    </row>
    <row r="218" spans="1:10">
      <c r="A218" s="75" t="s">
        <v>5</v>
      </c>
      <c r="B218" s="39" t="s">
        <v>352</v>
      </c>
      <c r="C218" s="4"/>
      <c r="D218" s="7"/>
      <c r="E218" s="4" t="str">
        <f t="shared" si="25"/>
        <v/>
      </c>
      <c r="F218" s="66">
        <f t="shared" si="26"/>
        <v>0</v>
      </c>
      <c r="G218" s="36"/>
      <c r="H218" s="7"/>
      <c r="I218" s="51">
        <f t="shared" si="27"/>
        <v>0</v>
      </c>
    </row>
    <row r="219" spans="1:10">
      <c r="A219" s="75" t="s">
        <v>12</v>
      </c>
      <c r="B219" s="39" t="s">
        <v>353</v>
      </c>
      <c r="C219" s="4">
        <v>800000</v>
      </c>
      <c r="D219" s="117">
        <v>610350</v>
      </c>
      <c r="E219" s="4" t="str">
        <f t="shared" si="25"/>
        <v/>
      </c>
      <c r="F219" s="66">
        <f t="shared" si="26"/>
        <v>-189650</v>
      </c>
      <c r="G219" s="36"/>
      <c r="H219" s="7">
        <v>476880</v>
      </c>
      <c r="I219" s="51">
        <f t="shared" si="27"/>
        <v>133470</v>
      </c>
    </row>
    <row r="220" spans="1:10">
      <c r="A220" s="75" t="s">
        <v>15</v>
      </c>
      <c r="B220" s="39" t="s">
        <v>354</v>
      </c>
      <c r="C220" s="4">
        <v>40000</v>
      </c>
      <c r="D220" s="117">
        <v>34361.25</v>
      </c>
      <c r="E220" s="4" t="str">
        <f t="shared" si="25"/>
        <v/>
      </c>
      <c r="F220" s="66">
        <f t="shared" si="26"/>
        <v>-5638.75</v>
      </c>
      <c r="G220" s="36"/>
      <c r="H220" s="7">
        <v>26223.75</v>
      </c>
      <c r="I220" s="51">
        <f t="shared" si="27"/>
        <v>8137.5</v>
      </c>
    </row>
    <row r="221" spans="1:10">
      <c r="A221" s="75" t="s">
        <v>16</v>
      </c>
      <c r="B221" s="39" t="s">
        <v>355</v>
      </c>
      <c r="C221" s="4"/>
      <c r="D221" s="117"/>
      <c r="E221" s="4" t="str">
        <f t="shared" si="25"/>
        <v/>
      </c>
      <c r="F221" s="66">
        <f t="shared" si="26"/>
        <v>0</v>
      </c>
      <c r="G221" s="36"/>
      <c r="H221" s="7"/>
      <c r="I221" s="51">
        <f t="shared" si="27"/>
        <v>0</v>
      </c>
    </row>
    <row r="222" spans="1:10">
      <c r="A222" s="75" t="s">
        <v>60</v>
      </c>
      <c r="B222" s="39" t="s">
        <v>356</v>
      </c>
      <c r="C222" s="4">
        <f>23170+18830</f>
        <v>42000</v>
      </c>
      <c r="D222" s="142">
        <v>42000</v>
      </c>
      <c r="E222" s="4" t="str">
        <f t="shared" si="25"/>
        <v/>
      </c>
      <c r="F222" s="66">
        <f t="shared" si="26"/>
        <v>0</v>
      </c>
      <c r="G222" s="36"/>
      <c r="H222" s="7">
        <v>42000</v>
      </c>
      <c r="I222" s="51">
        <f t="shared" si="27"/>
        <v>0</v>
      </c>
    </row>
    <row r="223" spans="1:10">
      <c r="A223" s="75" t="s">
        <v>17</v>
      </c>
      <c r="B223" s="39" t="s">
        <v>357</v>
      </c>
      <c r="C223" s="4"/>
      <c r="D223" s="7"/>
      <c r="E223" s="4" t="str">
        <f t="shared" si="25"/>
        <v/>
      </c>
      <c r="F223" s="66">
        <f t="shared" si="26"/>
        <v>0</v>
      </c>
      <c r="G223" s="36"/>
      <c r="H223" s="7"/>
      <c r="I223" s="51">
        <f t="shared" si="27"/>
        <v>0</v>
      </c>
    </row>
    <row r="224" spans="1:10">
      <c r="A224" s="75" t="s">
        <v>4</v>
      </c>
      <c r="B224" s="39" t="s">
        <v>358</v>
      </c>
      <c r="C224" s="4">
        <v>115500</v>
      </c>
      <c r="D224" s="117">
        <v>100784.1</v>
      </c>
      <c r="E224" s="4" t="str">
        <f>IF((D224-C224)&gt;0,D224-C224,"")</f>
        <v/>
      </c>
      <c r="F224" s="66">
        <f t="shared" si="26"/>
        <v>-14715.899999999994</v>
      </c>
      <c r="G224" s="36"/>
      <c r="H224" s="7">
        <v>77954.399999999994</v>
      </c>
      <c r="I224" s="51">
        <f t="shared" si="27"/>
        <v>22829.700000000012</v>
      </c>
    </row>
    <row r="225" spans="1:10">
      <c r="A225" s="75" t="s">
        <v>21</v>
      </c>
      <c r="B225" s="39" t="s">
        <v>359</v>
      </c>
      <c r="C225" s="4">
        <v>65000</v>
      </c>
      <c r="D225" s="117">
        <v>53865</v>
      </c>
      <c r="E225" s="4" t="str">
        <f t="shared" si="25"/>
        <v/>
      </c>
      <c r="F225" s="66">
        <f t="shared" si="26"/>
        <v>-11135</v>
      </c>
      <c r="G225" s="36"/>
      <c r="H225" s="7">
        <v>40695</v>
      </c>
      <c r="I225" s="51">
        <f t="shared" si="27"/>
        <v>13170</v>
      </c>
    </row>
    <row r="226" spans="1:10">
      <c r="A226" s="75" t="s">
        <v>62</v>
      </c>
      <c r="B226" s="39" t="s">
        <v>235</v>
      </c>
      <c r="C226" s="4">
        <v>120000</v>
      </c>
      <c r="D226" s="7">
        <v>101703.25</v>
      </c>
      <c r="E226" s="4" t="str">
        <f t="shared" si="25"/>
        <v/>
      </c>
      <c r="F226" s="66">
        <f t="shared" si="26"/>
        <v>-18296.75</v>
      </c>
      <c r="G226" s="36"/>
      <c r="H226" s="7">
        <v>78500.75</v>
      </c>
      <c r="I226" s="51">
        <f t="shared" si="27"/>
        <v>23202.5</v>
      </c>
      <c r="J226" s="51">
        <v>45</v>
      </c>
    </row>
    <row r="227" spans="1:10">
      <c r="A227" s="75" t="s">
        <v>26</v>
      </c>
      <c r="B227" s="39" t="s">
        <v>237</v>
      </c>
      <c r="C227" s="4">
        <v>40000</v>
      </c>
      <c r="D227" s="7">
        <v>38016.75</v>
      </c>
      <c r="E227" s="4" t="str">
        <f t="shared" si="25"/>
        <v/>
      </c>
      <c r="F227" s="66">
        <f t="shared" si="26"/>
        <v>-1983.25</v>
      </c>
      <c r="G227" s="36"/>
      <c r="H227" s="7">
        <v>29745.25</v>
      </c>
      <c r="I227" s="51">
        <f t="shared" si="27"/>
        <v>8271.5</v>
      </c>
      <c r="J227" s="50">
        <v>54</v>
      </c>
    </row>
    <row r="228" spans="1:10">
      <c r="A228" s="75" t="s">
        <v>25</v>
      </c>
      <c r="B228" s="39" t="s">
        <v>241</v>
      </c>
      <c r="C228" s="4">
        <v>30000</v>
      </c>
      <c r="D228" s="7">
        <v>29888</v>
      </c>
      <c r="E228" s="4" t="str">
        <f t="shared" si="25"/>
        <v/>
      </c>
      <c r="F228" s="66">
        <f t="shared" si="26"/>
        <v>-112</v>
      </c>
      <c r="G228" s="36"/>
      <c r="H228" s="7">
        <v>22247.5</v>
      </c>
      <c r="I228" s="51">
        <f t="shared" si="27"/>
        <v>7640.5</v>
      </c>
      <c r="J228" s="51">
        <v>9</v>
      </c>
    </row>
    <row r="229" spans="1:10">
      <c r="A229" s="75" t="s">
        <v>24</v>
      </c>
      <c r="B229" s="39" t="s">
        <v>245</v>
      </c>
      <c r="C229" s="4">
        <v>3820</v>
      </c>
      <c r="D229" s="7">
        <v>3940</v>
      </c>
      <c r="E229" s="4">
        <f t="shared" si="25"/>
        <v>120</v>
      </c>
      <c r="F229" s="66" t="str">
        <f t="shared" si="26"/>
        <v/>
      </c>
      <c r="G229" s="36"/>
      <c r="H229" s="7">
        <v>3820</v>
      </c>
      <c r="I229" s="51">
        <f t="shared" si="27"/>
        <v>120</v>
      </c>
      <c r="J229" s="51"/>
    </row>
    <row r="230" spans="1:10">
      <c r="A230" s="75" t="s">
        <v>53</v>
      </c>
      <c r="B230" s="6" t="s">
        <v>247</v>
      </c>
      <c r="C230" s="143">
        <v>3820</v>
      </c>
      <c r="D230" s="7">
        <v>3940</v>
      </c>
      <c r="E230" s="4">
        <f t="shared" si="25"/>
        <v>120</v>
      </c>
      <c r="F230" s="66" t="str">
        <f t="shared" si="26"/>
        <v/>
      </c>
      <c r="G230" s="36"/>
      <c r="H230" s="7">
        <v>3820</v>
      </c>
      <c r="I230" s="51">
        <f t="shared" si="27"/>
        <v>120</v>
      </c>
      <c r="J230" s="51"/>
    </row>
    <row r="231" spans="1:10" ht="12.75" thickBot="1">
      <c r="A231" s="75" t="s">
        <v>6</v>
      </c>
      <c r="B231" s="6"/>
      <c r="C231" s="106">
        <f>SUM(C212:C230)</f>
        <v>2490140</v>
      </c>
      <c r="D231" s="126">
        <f>SUM(D212:D230)</f>
        <v>1857110.1600000001</v>
      </c>
      <c r="E231" s="106">
        <f>SUM(E212:E230)</f>
        <v>16380</v>
      </c>
      <c r="F231" s="107">
        <f>SUM(F212:F230)</f>
        <v>-649409.84</v>
      </c>
      <c r="G231" s="36"/>
      <c r="H231" s="85">
        <f>SUM(H212:H230)</f>
        <v>1420120.19</v>
      </c>
      <c r="I231" s="85">
        <f>SUM(I212:I230)+J226+J227+J228</f>
        <v>437097.97000000003</v>
      </c>
    </row>
    <row r="232" spans="1:10" ht="12.75" thickTop="1">
      <c r="A232" s="61" t="s">
        <v>59</v>
      </c>
      <c r="B232" s="6"/>
      <c r="C232" s="144"/>
      <c r="D232" s="115"/>
      <c r="E232" s="103"/>
      <c r="F232" s="66"/>
      <c r="G232" s="36"/>
    </row>
    <row r="233" spans="1:10">
      <c r="A233" s="75" t="s">
        <v>14</v>
      </c>
      <c r="B233" s="39" t="s">
        <v>360</v>
      </c>
      <c r="C233" s="4">
        <v>3300000</v>
      </c>
      <c r="D233" s="115">
        <v>2456880</v>
      </c>
      <c r="E233" s="4" t="str">
        <f>IF((D233-C233)&gt;0,D233-C233,"")</f>
        <v/>
      </c>
      <c r="F233" s="66">
        <f>IF((D233-C233)&gt;0,"",D233-C233)</f>
        <v>-843120</v>
      </c>
      <c r="G233" s="36"/>
      <c r="H233" s="115">
        <f>1720545+239100</f>
        <v>1959645</v>
      </c>
      <c r="I233" s="51">
        <f>+D233-H233</f>
        <v>497235</v>
      </c>
    </row>
    <row r="234" spans="1:10">
      <c r="A234" s="75" t="s">
        <v>62</v>
      </c>
      <c r="B234" s="39" t="s">
        <v>235</v>
      </c>
      <c r="C234" s="4">
        <f>250000+48380</f>
        <v>298380</v>
      </c>
      <c r="D234" s="115">
        <v>374930</v>
      </c>
      <c r="E234" s="4">
        <f>IF((D234-C234)&gt;0,D234-C234,"")</f>
        <v>76550</v>
      </c>
      <c r="F234" s="66" t="str">
        <f>IF((D234-C234)&gt;0,"",D234-C234)</f>
        <v/>
      </c>
      <c r="G234" s="36"/>
      <c r="H234" s="115">
        <v>298380</v>
      </c>
      <c r="I234" s="51">
        <f>+D234-H234</f>
        <v>76550</v>
      </c>
    </row>
    <row r="235" spans="1:10">
      <c r="A235" s="75" t="s">
        <v>24</v>
      </c>
      <c r="B235" s="39" t="s">
        <v>245</v>
      </c>
      <c r="C235" s="4">
        <v>7000</v>
      </c>
      <c r="D235" s="115">
        <v>5940</v>
      </c>
      <c r="E235" s="4" t="str">
        <f>IF((D235-C235)&gt;0,D235-C235,"")</f>
        <v/>
      </c>
      <c r="F235" s="66">
        <f>IF((D235-C235)&gt;0,"",D235-C235)</f>
        <v>-1060</v>
      </c>
      <c r="G235" s="36"/>
      <c r="H235" s="115">
        <v>4920</v>
      </c>
      <c r="I235" s="51">
        <f>+D235-H235</f>
        <v>1020</v>
      </c>
    </row>
    <row r="236" spans="1:10">
      <c r="A236" s="75" t="s">
        <v>53</v>
      </c>
      <c r="B236" s="39" t="s">
        <v>247</v>
      </c>
      <c r="C236" s="74">
        <v>7000</v>
      </c>
      <c r="D236" s="115">
        <v>5940</v>
      </c>
      <c r="E236" s="4" t="str">
        <f>IF((D236-C236)&gt;0,D236-C236,"")</f>
        <v/>
      </c>
      <c r="F236" s="66">
        <f>IF((D236-C236)&gt;0,"",D236-C236)</f>
        <v>-1060</v>
      </c>
      <c r="G236" s="36"/>
      <c r="H236" s="115">
        <v>4920</v>
      </c>
      <c r="I236" s="51">
        <f>+D236-H236</f>
        <v>1020</v>
      </c>
    </row>
    <row r="237" spans="1:10" ht="12.75" thickBot="1">
      <c r="A237" s="75"/>
      <c r="B237" s="6"/>
      <c r="C237" s="145">
        <f>SUM(C233:C236)</f>
        <v>3612380</v>
      </c>
      <c r="D237" s="146">
        <f>SUM(D233:D236)</f>
        <v>2843690</v>
      </c>
      <c r="E237" s="147">
        <f>SUM(E233:E236)</f>
        <v>76550</v>
      </c>
      <c r="F237" s="148">
        <f>SUM(F233:F236)</f>
        <v>-845240</v>
      </c>
      <c r="G237" s="36"/>
      <c r="H237" s="85">
        <f>SUM(H233:H236)</f>
        <v>2267865</v>
      </c>
      <c r="I237" s="85">
        <f>SUM(I233:I236)</f>
        <v>575825</v>
      </c>
    </row>
    <row r="238" spans="1:10" ht="12.75" thickTop="1">
      <c r="A238" s="75" t="s">
        <v>61</v>
      </c>
      <c r="B238" s="6"/>
      <c r="C238" s="74">
        <f>SUM(C237+C231+C209+C194+C177+C162+C143)</f>
        <v>111779551.43000001</v>
      </c>
      <c r="D238" s="4">
        <f>SUM(D237+D231+D209+D194+D177+D162+D143)</f>
        <v>85762658.230000004</v>
      </c>
      <c r="E238" s="65">
        <f>SUM(E237+E231+E209+E194+E177+E162+E143)</f>
        <v>262251.16000000003</v>
      </c>
      <c r="F238" s="87">
        <f>SUM(F237+F231+F209+F194+F177+F162+F143)</f>
        <v>-26279144.359999999</v>
      </c>
      <c r="G238" s="36"/>
    </row>
    <row r="239" spans="1:10" ht="12.75" thickBot="1">
      <c r="A239" s="149" t="s">
        <v>361</v>
      </c>
      <c r="B239" s="46"/>
      <c r="C239" s="150">
        <f>+C238+C139</f>
        <v>1028890292.5899999</v>
      </c>
      <c r="D239" s="151">
        <f>+D238+D139</f>
        <v>842375977.8900001</v>
      </c>
      <c r="E239" s="152">
        <f>+E238+E139</f>
        <v>4039736.5800000057</v>
      </c>
      <c r="F239" s="153">
        <f>+F238+F139</f>
        <v>-190559051.28000003</v>
      </c>
      <c r="G239" s="36"/>
    </row>
    <row r="240" spans="1:10" ht="12.75" thickTop="1">
      <c r="A240" s="56"/>
      <c r="B240" s="35"/>
      <c r="C240" s="7"/>
      <c r="D240" s="7"/>
      <c r="E240" s="7"/>
      <c r="F240" s="66"/>
      <c r="G240" s="36"/>
    </row>
    <row r="241" spans="1:11">
      <c r="A241" s="56" t="s">
        <v>54</v>
      </c>
      <c r="B241" s="35"/>
      <c r="D241" s="7"/>
      <c r="E241" s="7"/>
      <c r="F241" s="66"/>
      <c r="G241" s="36"/>
      <c r="H241" s="50">
        <f>D31+I253</f>
        <v>251085229.09999999</v>
      </c>
      <c r="I241" s="53">
        <v>121064830.92</v>
      </c>
      <c r="J241" s="51"/>
      <c r="K241" s="7">
        <v>1027002613</v>
      </c>
    </row>
    <row r="242" spans="1:11">
      <c r="A242" s="56"/>
      <c r="B242" s="35"/>
      <c r="D242" s="7"/>
      <c r="E242" s="7"/>
      <c r="F242" s="66"/>
      <c r="K242" s="7">
        <v>1887679.59</v>
      </c>
    </row>
    <row r="243" spans="1:11">
      <c r="A243" s="56"/>
      <c r="B243" s="35"/>
      <c r="D243" s="7"/>
      <c r="E243" s="7"/>
      <c r="F243" s="66"/>
      <c r="K243" s="7">
        <f>K241+K242</f>
        <v>1028890292.59</v>
      </c>
    </row>
    <row r="244" spans="1:11">
      <c r="A244" s="30" t="s">
        <v>371</v>
      </c>
      <c r="B244" s="35"/>
      <c r="D244" s="7"/>
      <c r="E244" s="154"/>
      <c r="F244" s="67"/>
    </row>
    <row r="245" spans="1:11">
      <c r="A245" s="155" t="s">
        <v>372</v>
      </c>
      <c r="B245" s="35"/>
      <c r="C245" s="36"/>
      <c r="D245" s="35" t="s">
        <v>55</v>
      </c>
      <c r="E245" s="35"/>
      <c r="F245" s="67"/>
    </row>
    <row r="246" spans="1:11">
      <c r="A246" s="56"/>
      <c r="B246" s="35"/>
      <c r="C246" s="35"/>
      <c r="D246" s="35"/>
      <c r="E246" s="35"/>
      <c r="F246" s="67"/>
    </row>
    <row r="247" spans="1:11">
      <c r="A247" s="56"/>
      <c r="B247" s="35"/>
      <c r="C247" s="36"/>
      <c r="D247" s="35"/>
      <c r="E247" s="31" t="s">
        <v>56</v>
      </c>
      <c r="F247" s="67"/>
    </row>
    <row r="248" spans="1:11">
      <c r="A248" s="56"/>
      <c r="B248" s="35"/>
      <c r="C248" s="36"/>
      <c r="D248" s="35"/>
      <c r="E248" s="35" t="s">
        <v>57</v>
      </c>
      <c r="F248" s="37"/>
      <c r="H248" s="52" t="s">
        <v>373</v>
      </c>
      <c r="I248" s="53">
        <v>860224138.96000004</v>
      </c>
    </row>
    <row r="249" spans="1:11">
      <c r="A249" s="56"/>
      <c r="B249" s="35"/>
      <c r="C249" s="36"/>
      <c r="D249" s="36"/>
      <c r="E249" s="36"/>
      <c r="F249" s="37"/>
      <c r="H249" s="52"/>
    </row>
    <row r="250" spans="1:11">
      <c r="A250" s="56" t="s">
        <v>58</v>
      </c>
      <c r="B250" s="35"/>
      <c r="C250" s="36"/>
      <c r="D250" s="36"/>
      <c r="E250" s="36"/>
      <c r="F250" s="37"/>
      <c r="H250" s="52" t="s">
        <v>374</v>
      </c>
      <c r="I250" s="50">
        <v>4541326.55</v>
      </c>
    </row>
    <row r="251" spans="1:11">
      <c r="A251" s="56" t="s">
        <v>362</v>
      </c>
      <c r="B251" s="35"/>
      <c r="C251" s="36"/>
      <c r="D251" s="36"/>
      <c r="E251" s="35"/>
      <c r="F251" s="37"/>
      <c r="H251" s="52" t="s">
        <v>375</v>
      </c>
      <c r="I251" s="50">
        <v>9075327</v>
      </c>
      <c r="K251" s="53"/>
    </row>
    <row r="252" spans="1:11" ht="12.75" thickBot="1">
      <c r="A252" s="156" t="s">
        <v>363</v>
      </c>
      <c r="B252" s="40"/>
      <c r="C252" s="157"/>
      <c r="D252" s="157"/>
      <c r="E252" s="157"/>
      <c r="F252" s="158"/>
      <c r="H252" s="52" t="s">
        <v>376</v>
      </c>
      <c r="I252" s="50">
        <v>29076.57</v>
      </c>
      <c r="K252" s="53"/>
    </row>
    <row r="253" spans="1:11" hidden="1">
      <c r="A253" s="56"/>
      <c r="B253" s="35"/>
      <c r="C253" s="36"/>
      <c r="D253" s="36"/>
      <c r="E253" s="36"/>
      <c r="F253" s="159"/>
      <c r="H253" s="52" t="s">
        <v>377</v>
      </c>
      <c r="I253" s="50">
        <v>4202430.95</v>
      </c>
    </row>
    <row r="254" spans="1:11" ht="12.75" hidden="1" thickBot="1">
      <c r="A254" s="156"/>
      <c r="B254" s="40"/>
      <c r="C254" s="157"/>
      <c r="D254" s="157"/>
      <c r="E254" s="157"/>
      <c r="F254" s="158"/>
      <c r="I254" s="50">
        <f>I248-I250-I251-I253-I252</f>
        <v>842375977.88999999</v>
      </c>
    </row>
    <row r="255" spans="1:11" hidden="1">
      <c r="A255" s="36"/>
      <c r="B255" s="35"/>
      <c r="C255" s="36"/>
      <c r="D255" s="36"/>
      <c r="I255" s="50"/>
    </row>
    <row r="256" spans="1:11" hidden="1">
      <c r="A256" s="36"/>
      <c r="B256" s="35"/>
      <c r="C256" s="36"/>
      <c r="D256" s="36"/>
      <c r="I256" s="50"/>
    </row>
    <row r="257" spans="1:9" hidden="1">
      <c r="A257" s="36"/>
      <c r="B257" s="35"/>
      <c r="C257" s="36"/>
      <c r="D257" s="36"/>
      <c r="H257" s="50" t="s">
        <v>378</v>
      </c>
      <c r="I257" s="50">
        <f>D239</f>
        <v>842375977.8900001</v>
      </c>
    </row>
    <row r="258" spans="1:9" hidden="1">
      <c r="A258" s="36"/>
      <c r="B258" s="35"/>
      <c r="C258" s="36"/>
      <c r="D258" s="36"/>
      <c r="H258" s="50" t="s">
        <v>366</v>
      </c>
      <c r="I258" s="50">
        <f>I254-I257</f>
        <v>0</v>
      </c>
    </row>
    <row r="259" spans="1:9" hidden="1">
      <c r="A259" s="36"/>
      <c r="B259" s="35"/>
      <c r="C259" s="36"/>
      <c r="D259" s="36"/>
    </row>
    <row r="260" spans="1:9" hidden="1">
      <c r="A260" s="36"/>
      <c r="B260" s="35"/>
      <c r="C260" s="36"/>
      <c r="D260" s="36"/>
    </row>
    <row r="261" spans="1:9" hidden="1">
      <c r="A261" s="36"/>
      <c r="B261" s="35"/>
      <c r="C261" s="36"/>
      <c r="D261" s="36"/>
      <c r="H261" s="5"/>
    </row>
    <row r="262" spans="1:9" hidden="1">
      <c r="A262" s="36"/>
      <c r="B262" s="35"/>
      <c r="C262" s="36"/>
      <c r="D262" s="36"/>
      <c r="H262" s="5"/>
    </row>
    <row r="263" spans="1:9" hidden="1">
      <c r="A263" s="36"/>
      <c r="B263" s="35"/>
      <c r="C263" s="36"/>
      <c r="D263" s="36"/>
      <c r="H263" s="5"/>
    </row>
    <row r="264" spans="1:9" hidden="1">
      <c r="A264" s="36"/>
      <c r="B264" s="35"/>
      <c r="C264" s="36"/>
      <c r="D264" s="36"/>
      <c r="H264" s="5"/>
    </row>
    <row r="265" spans="1:9" hidden="1">
      <c r="A265" s="36"/>
      <c r="B265" s="35"/>
      <c r="C265" s="36"/>
      <c r="D265" s="36"/>
      <c r="H265" s="5"/>
    </row>
    <row r="266" spans="1:9" hidden="1">
      <c r="A266" s="36"/>
      <c r="B266" s="35"/>
      <c r="C266" s="36"/>
      <c r="D266" s="36"/>
      <c r="H266" s="5"/>
    </row>
    <row r="267" spans="1:9" hidden="1">
      <c r="A267" s="36"/>
      <c r="B267" s="35"/>
      <c r="C267" s="36"/>
      <c r="D267" s="36"/>
      <c r="H267" s="5"/>
    </row>
    <row r="268" spans="1:9" hidden="1">
      <c r="A268" s="36"/>
      <c r="B268" s="35"/>
      <c r="C268" s="36"/>
      <c r="D268" s="36"/>
      <c r="H268" s="5"/>
    </row>
    <row r="269" spans="1:9" hidden="1">
      <c r="A269" s="36"/>
      <c r="B269" s="35"/>
      <c r="C269" s="36"/>
      <c r="D269" s="36"/>
      <c r="H269" s="5"/>
    </row>
    <row r="270" spans="1:9" hidden="1">
      <c r="A270" s="36"/>
      <c r="B270" s="35"/>
      <c r="C270" s="36"/>
      <c r="D270" s="36"/>
      <c r="H270" s="5"/>
    </row>
    <row r="271" spans="1:9" hidden="1">
      <c r="A271" s="36"/>
      <c r="B271" s="35"/>
      <c r="C271" s="36"/>
      <c r="D271" s="36"/>
      <c r="H271" s="5"/>
    </row>
    <row r="272" spans="1:9" hidden="1">
      <c r="A272" s="36"/>
      <c r="B272" s="35"/>
      <c r="C272" s="36"/>
      <c r="D272" s="36"/>
      <c r="H272" s="5"/>
    </row>
    <row r="273" spans="1:8" hidden="1">
      <c r="A273" s="36"/>
      <c r="B273" s="35"/>
      <c r="C273" s="36"/>
      <c r="D273" s="36"/>
      <c r="H273" s="5"/>
    </row>
    <row r="274" spans="1:8" hidden="1">
      <c r="A274" s="36"/>
      <c r="B274" s="35"/>
      <c r="C274" s="36"/>
      <c r="D274" s="36"/>
      <c r="H274" s="5"/>
    </row>
    <row r="275" spans="1:8" hidden="1">
      <c r="A275" s="36"/>
      <c r="B275" s="35"/>
      <c r="C275" s="36"/>
      <c r="D275" s="36"/>
      <c r="H275" s="5"/>
    </row>
    <row r="276" spans="1:8" hidden="1">
      <c r="A276" s="36"/>
      <c r="B276" s="35"/>
      <c r="C276" s="36"/>
      <c r="D276" s="36"/>
      <c r="H276" s="5"/>
    </row>
    <row r="277" spans="1:8" hidden="1">
      <c r="A277" s="36"/>
      <c r="B277" s="35"/>
      <c r="C277" s="36"/>
      <c r="D277" s="36"/>
      <c r="H277" s="5"/>
    </row>
    <row r="278" spans="1:8" hidden="1">
      <c r="A278" s="36"/>
      <c r="B278" s="35"/>
      <c r="C278" s="36"/>
      <c r="D278" s="36"/>
      <c r="H278" s="5"/>
    </row>
    <row r="279" spans="1:8" hidden="1">
      <c r="A279" s="36"/>
      <c r="B279" s="35"/>
      <c r="C279" s="36"/>
      <c r="D279" s="36"/>
      <c r="H279" s="5"/>
    </row>
    <row r="280" spans="1:8" hidden="1">
      <c r="A280" s="36"/>
      <c r="B280" s="35"/>
      <c r="C280" s="36"/>
      <c r="D280" s="36"/>
      <c r="H280" s="5"/>
    </row>
    <row r="281" spans="1:8" hidden="1">
      <c r="A281" s="36"/>
      <c r="B281" s="35"/>
      <c r="C281" s="36"/>
      <c r="D281" s="36"/>
      <c r="H281" s="5"/>
    </row>
    <row r="282" spans="1:8" hidden="1">
      <c r="A282" s="36"/>
      <c r="B282" s="35"/>
      <c r="C282" s="36"/>
      <c r="D282" s="36"/>
      <c r="H282" s="5"/>
    </row>
    <row r="283" spans="1:8" hidden="1">
      <c r="A283" s="36"/>
      <c r="B283" s="35"/>
      <c r="C283" s="36"/>
      <c r="D283" s="36"/>
      <c r="H283" s="5"/>
    </row>
    <row r="284" spans="1:8" hidden="1">
      <c r="A284" s="36"/>
      <c r="B284" s="35"/>
      <c r="C284" s="36"/>
      <c r="D284" s="36"/>
      <c r="H284" s="5"/>
    </row>
    <row r="285" spans="1:8" hidden="1">
      <c r="A285" s="36"/>
      <c r="B285" s="35"/>
      <c r="C285" s="36"/>
      <c r="D285" s="36"/>
      <c r="H285" s="5"/>
    </row>
    <row r="286" spans="1:8" hidden="1">
      <c r="A286" s="36"/>
      <c r="B286" s="35"/>
      <c r="C286" s="36"/>
      <c r="D286" s="36"/>
      <c r="H286" s="5"/>
    </row>
    <row r="287" spans="1:8" hidden="1">
      <c r="A287" s="36"/>
      <c r="B287" s="35"/>
      <c r="C287" s="36"/>
      <c r="D287" s="36"/>
      <c r="H287" s="5"/>
    </row>
    <row r="288" spans="1:8" hidden="1">
      <c r="A288" s="36"/>
      <c r="B288" s="35"/>
      <c r="C288" s="36"/>
      <c r="D288" s="36"/>
      <c r="H288" s="5"/>
    </row>
    <row r="289" spans="1:8" hidden="1">
      <c r="A289" s="36"/>
      <c r="B289" s="35"/>
      <c r="C289" s="36"/>
      <c r="D289" s="36"/>
      <c r="H289" s="5"/>
    </row>
    <row r="290" spans="1:8" hidden="1">
      <c r="A290" s="36"/>
      <c r="B290" s="35"/>
      <c r="C290" s="36"/>
      <c r="D290" s="36"/>
      <c r="H290" s="5"/>
    </row>
    <row r="291" spans="1:8" hidden="1">
      <c r="A291" s="36"/>
      <c r="B291" s="35"/>
      <c r="C291" s="36"/>
      <c r="D291" s="36"/>
      <c r="H291" s="5"/>
    </row>
    <row r="292" spans="1:8" hidden="1">
      <c r="A292" s="36"/>
      <c r="B292" s="35"/>
      <c r="C292" s="36"/>
      <c r="D292" s="36"/>
      <c r="H292" s="5"/>
    </row>
    <row r="293" spans="1:8" hidden="1">
      <c r="A293" s="36"/>
      <c r="B293" s="35"/>
      <c r="C293" s="36"/>
      <c r="D293" s="36"/>
      <c r="H293" s="5"/>
    </row>
    <row r="294" spans="1:8" hidden="1">
      <c r="A294" s="36"/>
      <c r="B294" s="35"/>
      <c r="C294" s="36"/>
      <c r="D294" s="36"/>
      <c r="H294" s="5"/>
    </row>
    <row r="295" spans="1:8" hidden="1">
      <c r="A295" s="36"/>
      <c r="B295" s="35"/>
      <c r="C295" s="36"/>
      <c r="D295" s="36"/>
      <c r="H295" s="5"/>
    </row>
    <row r="296" spans="1:8" hidden="1">
      <c r="A296" s="36"/>
      <c r="B296" s="35"/>
      <c r="C296" s="36"/>
      <c r="D296" s="36"/>
      <c r="H296" s="5"/>
    </row>
    <row r="297" spans="1:8" hidden="1">
      <c r="A297" s="36"/>
      <c r="B297" s="35"/>
      <c r="C297" s="36"/>
      <c r="D297" s="36"/>
      <c r="H297" s="5"/>
    </row>
    <row r="298" spans="1:8" hidden="1">
      <c r="A298" s="36"/>
      <c r="B298" s="35"/>
      <c r="C298" s="36"/>
      <c r="D298" s="36"/>
      <c r="H298" s="5"/>
    </row>
    <row r="299" spans="1:8" hidden="1">
      <c r="A299" s="36"/>
      <c r="B299" s="35"/>
      <c r="C299" s="36"/>
      <c r="D299" s="36"/>
      <c r="H299" s="5"/>
    </row>
    <row r="300" spans="1:8" hidden="1">
      <c r="A300" s="36"/>
      <c r="B300" s="35"/>
      <c r="C300" s="36"/>
      <c r="D300" s="36"/>
      <c r="H300" s="5"/>
    </row>
    <row r="301" spans="1:8" hidden="1">
      <c r="A301" s="36"/>
      <c r="B301" s="35"/>
      <c r="C301" s="36"/>
      <c r="D301" s="36"/>
      <c r="H301" s="5"/>
    </row>
    <row r="302" spans="1:8" hidden="1"/>
    <row r="303" spans="1:8" hidden="1"/>
  </sheetData>
  <sheetProtection password="EC83" sheet="1" objects="1" scenarios="1"/>
  <mergeCells count="9">
    <mergeCell ref="H39:H40"/>
    <mergeCell ref="J114:J116"/>
    <mergeCell ref="J123:J126"/>
    <mergeCell ref="A3:F3"/>
    <mergeCell ref="A4:F4"/>
    <mergeCell ref="A7:A8"/>
    <mergeCell ref="B7:B8"/>
    <mergeCell ref="E7:E8"/>
    <mergeCell ref="F7:F8"/>
  </mergeCells>
  <conditionalFormatting sqref="F131">
    <cfRule type="cellIs" dxfId="0" priority="1" stopIfTrue="1" operator="greaterThan">
      <formula>0</formula>
    </cfRule>
  </conditionalFormatting>
  <pageMargins left="0.22500000000000001" right="0.22500000000000001" top="0.45" bottom="0.45" header="0.3" footer="0.3"/>
  <pageSetup paperSize="10000" orientation="portrait" horizontalDpi="0" verticalDpi="0" r:id="rId1"/>
  <rowBreaks count="2" manualBreakCount="2">
    <brk id="140" max="9" man="1"/>
    <brk id="209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SheetLayoutView="100" workbookViewId="0">
      <selection activeCell="B3" sqref="B3:G3"/>
    </sheetView>
  </sheetViews>
  <sheetFormatPr defaultRowHeight="12.75"/>
  <cols>
    <col min="1" max="1" width="4" style="184" customWidth="1"/>
    <col min="2" max="2" width="28.5703125" style="164" customWidth="1"/>
    <col min="3" max="3" width="10.140625" style="184" customWidth="1"/>
    <col min="4" max="4" width="14.28515625" style="190" customWidth="1"/>
    <col min="5" max="5" width="16.7109375" style="190" bestFit="1" customWidth="1"/>
    <col min="6" max="6" width="14.28515625" style="190" customWidth="1"/>
    <col min="7" max="7" width="12.7109375" style="190" customWidth="1"/>
    <col min="8" max="8" width="0" style="164" hidden="1" customWidth="1"/>
    <col min="9" max="9" width="16.140625" style="164" hidden="1" customWidth="1"/>
    <col min="10" max="10" width="14.7109375" style="164" hidden="1" customWidth="1"/>
    <col min="11" max="11" width="12.7109375" style="164" hidden="1" customWidth="1"/>
    <col min="12" max="12" width="14" style="164" hidden="1" customWidth="1"/>
    <col min="13" max="16384" width="9.140625" style="164"/>
  </cols>
  <sheetData>
    <row r="1" spans="1:12" ht="15.75">
      <c r="A1" s="165"/>
      <c r="B1" s="208" t="s">
        <v>31</v>
      </c>
      <c r="C1" s="208"/>
      <c r="D1" s="208"/>
      <c r="E1" s="208"/>
      <c r="F1" s="208"/>
      <c r="G1" s="209"/>
    </row>
    <row r="2" spans="1:12" ht="15">
      <c r="A2" s="166"/>
      <c r="B2" s="210" t="s">
        <v>71</v>
      </c>
      <c r="C2" s="210"/>
      <c r="D2" s="210"/>
      <c r="E2" s="210"/>
      <c r="F2" s="210"/>
      <c r="G2" s="211"/>
    </row>
    <row r="3" spans="1:12" ht="15.75">
      <c r="A3" s="166"/>
      <c r="B3" s="212" t="s">
        <v>379</v>
      </c>
      <c r="C3" s="212"/>
      <c r="D3" s="212"/>
      <c r="E3" s="212"/>
      <c r="F3" s="212"/>
      <c r="G3" s="213"/>
    </row>
    <row r="4" spans="1:12">
      <c r="A4" s="166"/>
      <c r="B4" s="167"/>
      <c r="C4" s="168"/>
      <c r="D4" s="29"/>
      <c r="E4" s="29"/>
      <c r="F4" s="29"/>
      <c r="G4" s="169"/>
    </row>
    <row r="5" spans="1:12">
      <c r="A5" s="166"/>
      <c r="B5" s="167"/>
      <c r="C5" s="168"/>
      <c r="D5" s="29"/>
      <c r="E5" s="29"/>
      <c r="F5" s="29"/>
      <c r="G5" s="169"/>
    </row>
    <row r="6" spans="1:12" ht="13.5" thickBot="1">
      <c r="A6" s="166"/>
      <c r="B6" s="167"/>
      <c r="C6" s="168"/>
      <c r="D6" s="29"/>
      <c r="E6" s="29"/>
      <c r="F6" s="29"/>
      <c r="G6" s="169"/>
    </row>
    <row r="7" spans="1:12" s="170" customFormat="1" ht="26.25" customHeight="1" thickBot="1">
      <c r="A7" s="214" t="s">
        <v>1</v>
      </c>
      <c r="B7" s="215"/>
      <c r="C7" s="10" t="s">
        <v>72</v>
      </c>
      <c r="D7" s="11" t="s">
        <v>27</v>
      </c>
      <c r="E7" s="12" t="s">
        <v>73</v>
      </c>
      <c r="F7" s="11" t="s">
        <v>74</v>
      </c>
      <c r="G7" s="13" t="s">
        <v>75</v>
      </c>
    </row>
    <row r="8" spans="1:12">
      <c r="A8" s="166"/>
      <c r="B8" s="167"/>
      <c r="C8" s="171"/>
      <c r="D8" s="172"/>
      <c r="E8" s="173"/>
      <c r="F8" s="29"/>
      <c r="G8" s="174"/>
    </row>
    <row r="9" spans="1:12">
      <c r="A9" s="14">
        <v>1</v>
      </c>
      <c r="B9" s="15" t="s">
        <v>76</v>
      </c>
      <c r="C9" s="171"/>
      <c r="D9" s="172"/>
      <c r="E9" s="173"/>
      <c r="F9" s="29"/>
      <c r="G9" s="174"/>
    </row>
    <row r="10" spans="1:12">
      <c r="A10" s="166"/>
      <c r="B10" s="167"/>
      <c r="C10" s="171"/>
      <c r="D10" s="172"/>
      <c r="E10" s="173"/>
      <c r="F10" s="29"/>
      <c r="G10" s="174"/>
    </row>
    <row r="11" spans="1:12">
      <c r="A11" s="166"/>
      <c r="B11" s="167" t="s">
        <v>77</v>
      </c>
      <c r="C11" s="171" t="s">
        <v>78</v>
      </c>
      <c r="D11" s="16">
        <v>44000000</v>
      </c>
      <c r="E11" s="173">
        <f>52081881.76-4803776.66</f>
        <v>47278105.099999994</v>
      </c>
      <c r="F11" s="29">
        <f>IF((E11-D11)&gt;0,E11-D11,"")</f>
        <v>3278105.099999994</v>
      </c>
      <c r="G11" s="174" t="str">
        <f>IF((E11-D11)&gt;0,"",E11-D11)</f>
        <v/>
      </c>
      <c r="I11" s="162"/>
      <c r="J11" s="162"/>
      <c r="K11" s="162"/>
      <c r="L11" s="175"/>
    </row>
    <row r="12" spans="1:12">
      <c r="A12" s="166"/>
      <c r="B12" s="167" t="s">
        <v>79</v>
      </c>
      <c r="C12" s="171" t="s">
        <v>80</v>
      </c>
      <c r="D12" s="16">
        <v>9000000</v>
      </c>
      <c r="E12" s="173">
        <v>9566639.6300000008</v>
      </c>
      <c r="F12" s="29">
        <f>IF((E12-D12)&gt;0,E12-D12,"")</f>
        <v>566639.63000000082</v>
      </c>
      <c r="G12" s="174" t="str">
        <f t="shared" ref="G12:G13" si="0">IF((E12-D12)&gt;0,"",E12-D12)</f>
        <v/>
      </c>
      <c r="I12" s="176"/>
      <c r="J12" s="175"/>
    </row>
    <row r="13" spans="1:12">
      <c r="A13" s="166"/>
      <c r="B13" s="167" t="s">
        <v>81</v>
      </c>
      <c r="C13" s="171">
        <v>599</v>
      </c>
      <c r="D13" s="16">
        <v>5000000</v>
      </c>
      <c r="E13" s="173">
        <v>4368128.21</v>
      </c>
      <c r="F13" s="29" t="str">
        <f t="shared" ref="F13" si="1">IF((E13-D13)&gt;0,E13-D13,"")</f>
        <v/>
      </c>
      <c r="G13" s="174">
        <f t="shared" si="0"/>
        <v>-631871.79</v>
      </c>
      <c r="I13" s="162"/>
      <c r="J13" s="175"/>
    </row>
    <row r="14" spans="1:12">
      <c r="A14" s="166"/>
      <c r="B14" s="167"/>
      <c r="C14" s="171"/>
      <c r="D14" s="172"/>
      <c r="E14" s="173"/>
      <c r="F14" s="29"/>
      <c r="G14" s="174"/>
      <c r="I14" s="175"/>
      <c r="J14" s="175"/>
    </row>
    <row r="15" spans="1:12">
      <c r="A15" s="166"/>
      <c r="B15" s="17" t="s">
        <v>82</v>
      </c>
      <c r="C15" s="18"/>
      <c r="D15" s="19">
        <f>SUM(D11:D14)</f>
        <v>58000000</v>
      </c>
      <c r="E15" s="20">
        <f>SUM(E11:E14)</f>
        <v>61212872.939999998</v>
      </c>
      <c r="F15" s="21">
        <f>SUM(F11:F14)</f>
        <v>3844744.7299999949</v>
      </c>
      <c r="G15" s="22">
        <f>SUM(G11:G14)</f>
        <v>-631871.79</v>
      </c>
      <c r="I15" s="162"/>
      <c r="J15" s="175"/>
    </row>
    <row r="16" spans="1:12">
      <c r="A16" s="166"/>
      <c r="B16" s="167"/>
      <c r="C16" s="171"/>
      <c r="D16" s="172"/>
      <c r="E16" s="173"/>
      <c r="F16" s="29"/>
      <c r="G16" s="174"/>
      <c r="I16" s="163"/>
    </row>
    <row r="17" spans="1:12">
      <c r="A17" s="14">
        <v>2</v>
      </c>
      <c r="B17" s="15" t="s">
        <v>83</v>
      </c>
      <c r="C17" s="171"/>
      <c r="D17" s="172"/>
      <c r="E17" s="173"/>
      <c r="F17" s="29"/>
      <c r="G17" s="174"/>
      <c r="L17" s="162"/>
    </row>
    <row r="18" spans="1:12">
      <c r="A18" s="166"/>
      <c r="B18" s="167"/>
      <c r="C18" s="171"/>
      <c r="D18" s="172"/>
      <c r="E18" s="173"/>
      <c r="F18" s="29"/>
      <c r="G18" s="174"/>
    </row>
    <row r="19" spans="1:12">
      <c r="A19" s="166"/>
      <c r="B19" s="167" t="s">
        <v>84</v>
      </c>
      <c r="C19" s="171">
        <v>664</v>
      </c>
      <c r="D19" s="172"/>
      <c r="E19" s="173">
        <v>64991.27</v>
      </c>
      <c r="F19" s="29">
        <f t="shared" ref="F19:F21" si="2">IF((E19-D19)&gt;0,E19-D19,"")</f>
        <v>64991.27</v>
      </c>
      <c r="G19" s="174" t="str">
        <f t="shared" ref="G19:G21" si="3">IF((E19-D19)&gt;0,"",E19-D19)</f>
        <v/>
      </c>
      <c r="L19" s="162"/>
    </row>
    <row r="20" spans="1:12">
      <c r="A20" s="166"/>
      <c r="B20" s="167" t="s">
        <v>85</v>
      </c>
      <c r="C20" s="171">
        <v>678</v>
      </c>
      <c r="D20" s="172"/>
      <c r="E20" s="173">
        <v>0.08</v>
      </c>
      <c r="F20" s="29">
        <f t="shared" si="2"/>
        <v>0.08</v>
      </c>
      <c r="G20" s="174" t="str">
        <f t="shared" si="3"/>
        <v/>
      </c>
    </row>
    <row r="21" spans="1:12">
      <c r="A21" s="166"/>
      <c r="B21" s="167" t="s">
        <v>86</v>
      </c>
      <c r="C21" s="171" t="s">
        <v>87</v>
      </c>
      <c r="D21" s="172"/>
      <c r="E21" s="173">
        <v>43442.83</v>
      </c>
      <c r="F21" s="29">
        <f t="shared" si="2"/>
        <v>43442.83</v>
      </c>
      <c r="G21" s="174" t="str">
        <f t="shared" si="3"/>
        <v/>
      </c>
    </row>
    <row r="22" spans="1:12">
      <c r="A22" s="166"/>
      <c r="B22" s="167"/>
      <c r="C22" s="171"/>
      <c r="D22" s="172"/>
      <c r="E22" s="173"/>
      <c r="F22" s="29"/>
      <c r="G22" s="174"/>
      <c r="I22" s="162" t="s">
        <v>373</v>
      </c>
      <c r="J22" s="162">
        <v>66125083.780000001</v>
      </c>
      <c r="L22" s="175"/>
    </row>
    <row r="23" spans="1:12">
      <c r="A23" s="166"/>
      <c r="B23" s="17" t="s">
        <v>88</v>
      </c>
      <c r="C23" s="18"/>
      <c r="D23" s="19">
        <f>SUM(D19:D22)</f>
        <v>0</v>
      </c>
      <c r="E23" s="20">
        <f>SUM(E19:E22)</f>
        <v>108434.18</v>
      </c>
      <c r="F23" s="21">
        <f>SUM(F19:F22)</f>
        <v>108434.18</v>
      </c>
      <c r="G23" s="22">
        <f>SUM(G19:G22)</f>
        <v>0</v>
      </c>
      <c r="I23" s="163" t="s">
        <v>380</v>
      </c>
      <c r="J23" s="175">
        <v>4803776.66</v>
      </c>
    </row>
    <row r="24" spans="1:12">
      <c r="A24" s="166"/>
      <c r="B24" s="167"/>
      <c r="C24" s="171"/>
      <c r="D24" s="172"/>
      <c r="E24" s="173"/>
      <c r="F24" s="29"/>
      <c r="G24" s="174"/>
      <c r="I24" s="163" t="s">
        <v>381</v>
      </c>
      <c r="J24" s="175">
        <f>J22-J23</f>
        <v>61321307.120000005</v>
      </c>
    </row>
    <row r="25" spans="1:12">
      <c r="A25" s="166"/>
      <c r="B25" s="167"/>
      <c r="C25" s="171"/>
      <c r="D25" s="172"/>
      <c r="E25" s="173"/>
      <c r="F25" s="29"/>
      <c r="G25" s="174"/>
    </row>
    <row r="26" spans="1:12" ht="13.5" thickBot="1">
      <c r="A26" s="166"/>
      <c r="B26" s="23" t="s">
        <v>89</v>
      </c>
      <c r="C26" s="24"/>
      <c r="D26" s="25">
        <f>D15+D23</f>
        <v>58000000</v>
      </c>
      <c r="E26" s="26">
        <f>E15+E23</f>
        <v>61321307.119999997</v>
      </c>
      <c r="F26" s="27">
        <f>F15+F23</f>
        <v>3953178.909999995</v>
      </c>
      <c r="G26" s="28">
        <f>G15+G23</f>
        <v>-631871.79</v>
      </c>
      <c r="I26" s="163" t="s">
        <v>382</v>
      </c>
      <c r="J26" s="175">
        <f>E26</f>
        <v>61321307.119999997</v>
      </c>
    </row>
    <row r="27" spans="1:12" ht="13.5" thickTop="1">
      <c r="A27" s="166"/>
      <c r="B27" s="167"/>
      <c r="C27" s="171"/>
      <c r="D27" s="172"/>
      <c r="E27" s="173"/>
      <c r="F27" s="29"/>
      <c r="G27" s="174"/>
    </row>
    <row r="28" spans="1:12">
      <c r="A28" s="177"/>
      <c r="B28" s="178"/>
      <c r="C28" s="179"/>
      <c r="D28" s="180"/>
      <c r="E28" s="181"/>
      <c r="F28" s="182"/>
      <c r="G28" s="183"/>
      <c r="I28" s="163" t="s">
        <v>366</v>
      </c>
      <c r="J28" s="175">
        <f>J24-J26</f>
        <v>0</v>
      </c>
    </row>
    <row r="29" spans="1:12">
      <c r="A29" s="166"/>
      <c r="B29" s="167"/>
      <c r="C29" s="168"/>
      <c r="D29" s="29"/>
      <c r="E29" s="29"/>
      <c r="F29" s="29"/>
      <c r="G29" s="169"/>
      <c r="I29" s="175"/>
    </row>
    <row r="30" spans="1:12">
      <c r="A30" s="166"/>
      <c r="B30" s="167"/>
      <c r="C30" s="168"/>
      <c r="D30" s="29"/>
      <c r="E30" s="29"/>
      <c r="F30" s="29"/>
      <c r="G30" s="169"/>
    </row>
    <row r="31" spans="1:12" hidden="1">
      <c r="A31" s="166"/>
      <c r="B31" s="167"/>
      <c r="C31" s="168"/>
      <c r="D31" s="29"/>
      <c r="E31" s="29"/>
      <c r="F31" s="29"/>
      <c r="G31" s="169"/>
    </row>
    <row r="32" spans="1:12">
      <c r="A32" s="166"/>
      <c r="B32" s="167"/>
      <c r="C32" s="168"/>
      <c r="D32" s="29"/>
      <c r="E32" s="29"/>
      <c r="F32" s="29"/>
      <c r="G32" s="169"/>
    </row>
    <row r="33" spans="1:7">
      <c r="A33" s="166"/>
      <c r="B33" s="167" t="s">
        <v>90</v>
      </c>
      <c r="C33" s="168"/>
      <c r="D33" s="29"/>
      <c r="E33" s="29"/>
      <c r="F33" s="29"/>
      <c r="G33" s="169"/>
    </row>
    <row r="34" spans="1:7">
      <c r="A34" s="166"/>
      <c r="B34" s="167"/>
      <c r="C34" s="168"/>
      <c r="D34" s="29"/>
      <c r="E34" s="29"/>
      <c r="F34" s="29"/>
      <c r="G34" s="169"/>
    </row>
    <row r="35" spans="1:7">
      <c r="A35" s="166"/>
      <c r="B35" s="167"/>
      <c r="C35" s="168"/>
      <c r="D35" s="29"/>
      <c r="E35" s="29"/>
      <c r="F35" s="29"/>
      <c r="G35" s="169"/>
    </row>
    <row r="36" spans="1:7">
      <c r="A36" s="166"/>
      <c r="B36" s="167"/>
      <c r="C36" s="168"/>
      <c r="D36" s="29"/>
      <c r="E36" s="29"/>
      <c r="F36" s="29"/>
      <c r="G36" s="169"/>
    </row>
    <row r="37" spans="1:7">
      <c r="A37" s="166"/>
      <c r="B37" s="167"/>
      <c r="C37" s="168"/>
      <c r="D37" s="29"/>
      <c r="E37" s="29"/>
      <c r="F37" s="29"/>
      <c r="G37" s="169"/>
    </row>
    <row r="38" spans="1:7">
      <c r="A38" s="166"/>
      <c r="B38" s="167"/>
      <c r="C38" s="168"/>
      <c r="D38" s="29"/>
      <c r="E38" s="29"/>
      <c r="F38" s="29"/>
      <c r="G38" s="169"/>
    </row>
    <row r="39" spans="1:7">
      <c r="A39" s="166"/>
      <c r="B39" s="167" t="s">
        <v>91</v>
      </c>
      <c r="C39" s="168"/>
      <c r="D39" s="29"/>
      <c r="E39" s="29"/>
      <c r="F39" s="29"/>
      <c r="G39" s="169"/>
    </row>
    <row r="40" spans="1:7">
      <c r="A40" s="166"/>
      <c r="B40" s="167"/>
      <c r="C40" s="168"/>
      <c r="D40" s="29"/>
      <c r="E40" s="29"/>
      <c r="F40" s="29"/>
      <c r="G40" s="169"/>
    </row>
    <row r="41" spans="1:7">
      <c r="A41" s="166"/>
      <c r="B41" s="167"/>
      <c r="C41" s="168"/>
      <c r="D41" s="29"/>
      <c r="E41" s="29"/>
      <c r="F41" s="29"/>
      <c r="G41" s="169"/>
    </row>
    <row r="42" spans="1:7">
      <c r="A42" s="166"/>
      <c r="B42" s="216" t="s">
        <v>383</v>
      </c>
      <c r="C42" s="216"/>
      <c r="D42" s="29"/>
      <c r="E42" s="29"/>
      <c r="F42" s="29"/>
      <c r="G42" s="169"/>
    </row>
    <row r="43" spans="1:7">
      <c r="A43" s="166"/>
      <c r="B43" s="217" t="s">
        <v>92</v>
      </c>
      <c r="C43" s="217"/>
      <c r="D43" s="29"/>
      <c r="E43" s="29"/>
      <c r="F43" s="29"/>
      <c r="G43" s="169"/>
    </row>
    <row r="44" spans="1:7">
      <c r="A44" s="166"/>
      <c r="D44" s="29"/>
      <c r="E44" s="29"/>
      <c r="F44" s="29"/>
      <c r="G44" s="169"/>
    </row>
    <row r="45" spans="1:7">
      <c r="A45" s="166"/>
      <c r="D45" s="29"/>
      <c r="E45" s="29" t="s">
        <v>93</v>
      </c>
      <c r="F45" s="29"/>
      <c r="G45" s="169"/>
    </row>
    <row r="46" spans="1:7">
      <c r="A46" s="166"/>
      <c r="D46" s="29"/>
      <c r="E46" s="29"/>
      <c r="F46" s="29"/>
      <c r="G46" s="169"/>
    </row>
    <row r="47" spans="1:7">
      <c r="A47" s="166"/>
      <c r="D47" s="29"/>
      <c r="E47" s="29"/>
      <c r="F47" s="29"/>
      <c r="G47" s="169"/>
    </row>
    <row r="48" spans="1:7">
      <c r="A48" s="166"/>
      <c r="D48" s="29"/>
      <c r="E48" s="29"/>
      <c r="F48" s="204" t="s">
        <v>94</v>
      </c>
      <c r="G48" s="205"/>
    </row>
    <row r="49" spans="1:7">
      <c r="A49" s="166"/>
      <c r="D49" s="29"/>
      <c r="E49" s="29"/>
      <c r="F49" s="206" t="s">
        <v>57</v>
      </c>
      <c r="G49" s="207"/>
    </row>
    <row r="50" spans="1:7">
      <c r="A50" s="166"/>
      <c r="B50" s="167"/>
      <c r="C50" s="168"/>
      <c r="D50" s="29"/>
      <c r="E50" s="29"/>
      <c r="F50" s="29"/>
      <c r="G50" s="169"/>
    </row>
    <row r="51" spans="1:7">
      <c r="A51" s="166"/>
      <c r="B51" s="167"/>
      <c r="C51" s="168"/>
      <c r="D51" s="29"/>
      <c r="E51" s="29"/>
      <c r="F51" s="29"/>
      <c r="G51" s="169"/>
    </row>
    <row r="52" spans="1:7">
      <c r="A52" s="166"/>
      <c r="B52" s="167"/>
      <c r="C52" s="168"/>
      <c r="D52" s="29"/>
      <c r="E52" s="29"/>
      <c r="F52" s="29"/>
      <c r="G52" s="169"/>
    </row>
    <row r="53" spans="1:7">
      <c r="A53" s="166"/>
      <c r="B53" s="167"/>
      <c r="C53" s="168"/>
      <c r="D53" s="29"/>
      <c r="E53" s="29"/>
      <c r="F53" s="29"/>
      <c r="G53" s="169"/>
    </row>
    <row r="54" spans="1:7" ht="13.5" thickBot="1">
      <c r="A54" s="185"/>
      <c r="B54" s="186"/>
      <c r="C54" s="187"/>
      <c r="D54" s="188"/>
      <c r="E54" s="188"/>
      <c r="F54" s="188"/>
      <c r="G54" s="189"/>
    </row>
  </sheetData>
  <sheetProtection password="EC83" sheet="1" objects="1" scenarios="1"/>
  <mergeCells count="8">
    <mergeCell ref="F48:G48"/>
    <mergeCell ref="F49:G49"/>
    <mergeCell ref="B1:G1"/>
    <mergeCell ref="B2:G2"/>
    <mergeCell ref="B3:G3"/>
    <mergeCell ref="A7:B7"/>
    <mergeCell ref="B42:C42"/>
    <mergeCell ref="B43:C43"/>
  </mergeCells>
  <pageMargins left="0.3" right="0.3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sept 2015 - GF</vt:lpstr>
      <vt:lpstr>sept 2015 - SEF</vt:lpstr>
      <vt:lpstr>'sept 2015 - GF'!Print_Area</vt:lpstr>
    </vt:vector>
  </TitlesOfParts>
  <Company>ENGAS_Tagum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ping</dc:creator>
  <cp:lastModifiedBy>user</cp:lastModifiedBy>
  <cp:lastPrinted>2002-01-01T14:17:19Z</cp:lastPrinted>
  <dcterms:created xsi:type="dcterms:W3CDTF">2006-01-05T05:38:10Z</dcterms:created>
  <dcterms:modified xsi:type="dcterms:W3CDTF">2002-01-01T08:48:04Z</dcterms:modified>
</cp:coreProperties>
</file>