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8190" tabRatio="838" activeTab="0"/>
  </bookViews>
  <sheets>
    <sheet name="INGRESOS" sheetId="1" r:id="rId1"/>
    <sheet name="OBJETO DEL GASTO" sheetId="2" r:id="rId2"/>
    <sheet name="PROGRAMA 1" sheetId="3" r:id="rId3"/>
    <sheet name="PROGRAMA 2" sheetId="4" r:id="rId4"/>
    <sheet name="PROGRAMA 3" sheetId="5" r:id="rId5"/>
    <sheet name="Gastos Administracion" sheetId="6" r:id="rId6"/>
    <sheet name="CUADRO 5 TC" sheetId="7" r:id="rId7"/>
    <sheet name="CUADRO 4 D" sheetId="8" r:id="rId8"/>
    <sheet name="CUADRO 3 SAL. ALC." sheetId="9" r:id="rId9"/>
    <sheet name="CUADRO 1 DOAR" sheetId="10" r:id="rId10"/>
    <sheet name="Anexo 2" sheetId="11" r:id="rId11"/>
    <sheet name="Anexo 3" sheetId="12" r:id="rId12"/>
    <sheet name="Anexo 4" sheetId="13" r:id="rId13"/>
    <sheet name="Cuadro 2 RH" sheetId="14" r:id="rId14"/>
    <sheet name="Egr.X part" sheetId="15" r:id="rId15"/>
    <sheet name="Anexo 5" sheetId="16" r:id="rId16"/>
    <sheet name="Anexo 7" sheetId="17" r:id="rId17"/>
    <sheet name="Anexo 8" sheetId="18" r:id="rId18"/>
    <sheet name="Anexo 1" sheetId="19" r:id="rId19"/>
    <sheet name="X DISTRIB." sheetId="20" r:id="rId20"/>
  </sheets>
  <externalReferences>
    <externalReference r:id="rId23"/>
    <externalReference r:id="rId24"/>
    <externalReference r:id="rId25"/>
    <externalReference r:id="rId26"/>
  </externalReferences>
  <definedNames/>
  <calcPr fullCalcOnLoad="1"/>
</workbook>
</file>

<file path=xl/comments11.xml><?xml version="1.0" encoding="utf-8"?>
<comments xmlns="http://schemas.openxmlformats.org/spreadsheetml/2006/main">
  <authors>
    <author>Flor de Mar?a Alfaro</author>
  </authors>
  <commentList>
    <comment ref="A51" authorId="0">
      <text>
        <r>
          <rPr>
            <sz val="8"/>
            <rFont val="Tahoma"/>
            <family val="2"/>
          </rPr>
          <t xml:space="preserve">
Indicar el nombre del proyecto.</t>
        </r>
      </text>
    </comment>
  </commentList>
</comments>
</file>

<file path=xl/comments12.xml><?xml version="1.0" encoding="utf-8"?>
<comments xmlns="http://schemas.openxmlformats.org/spreadsheetml/2006/main">
  <authors>
    <author>Allem Barrantes</author>
  </authors>
  <commentList>
    <comment ref="E11" authorId="0">
      <text>
        <r>
          <rPr>
            <b/>
            <sz val="9"/>
            <rFont val="Tahoma"/>
            <family val="0"/>
          </rPr>
          <t>Allem Barrantes:</t>
        </r>
        <r>
          <rPr>
            <sz val="9"/>
            <rFont val="Tahoma"/>
            <family val="0"/>
          </rPr>
          <t xml:space="preserve">
Por orden del Alcalde se aumento un 5%</t>
        </r>
      </text>
    </comment>
  </commentList>
</comments>
</file>

<file path=xl/comments13.xml><?xml version="1.0" encoding="utf-8"?>
<comments xmlns="http://schemas.openxmlformats.org/spreadsheetml/2006/main">
  <authors>
    <author>Roberto Sanchez</author>
  </authors>
  <commentList>
    <comment ref="A11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Este monto debe corresponder a la suma de las subpartidas que deben ser objeto de pago de Contribuciones Patronales.
</t>
        </r>
      </text>
    </comment>
    <comment ref="I21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La municipaliad debe de determinar  con el Instituto Nacional de Seguros la cuota que le corresponde pagar en el próximo periodo.</t>
        </r>
      </text>
    </comment>
    <comment ref="D24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Este monto debe corresponder a la suma de las subpartidas que deben ser objeto de pago del Incentivo Salarial de Décimotercer mes.</t>
        </r>
      </text>
    </comment>
  </commentList>
</comments>
</file>

<file path=xl/comments14.xml><?xml version="1.0" encoding="utf-8"?>
<comments xmlns="http://schemas.openxmlformats.org/spreadsheetml/2006/main">
  <authors>
    <author>Flor de Mar?a Alfaro</author>
  </authors>
  <commentList>
    <comment ref="A5" authorId="0">
      <text>
        <r>
          <rPr>
            <b/>
            <sz val="10"/>
            <color indexed="9"/>
            <rFont val="Tahoma"/>
            <family val="2"/>
          </rPr>
          <t xml:space="preserve">ESTA INFORMACIÓN ES LA MISMA QUE ESTÁ EN EL MODELO ELECTRÓNICO DEL PLAN OPERATIVO ANUAL
</t>
        </r>
      </text>
    </comment>
    <comment ref="B7" authorId="0">
      <text>
        <r>
          <rPr>
            <b/>
            <sz val="8"/>
            <rFont val="Tahoma"/>
            <family val="2"/>
          </rPr>
          <t>Número de plazas</t>
        </r>
      </text>
    </comment>
    <comment ref="C7" authorId="0">
      <text>
        <r>
          <rPr>
            <b/>
            <sz val="8"/>
            <rFont val="Tahoma"/>
            <family val="2"/>
          </rPr>
          <t>Número de plazas</t>
        </r>
      </text>
    </comment>
    <comment ref="D7" authorId="0">
      <text>
        <r>
          <rPr>
            <b/>
            <sz val="8"/>
            <rFont val="Tahoma"/>
            <family val="2"/>
          </rPr>
          <t>Tiene que ser "0"</t>
        </r>
      </text>
    </comment>
    <comment ref="E7" authorId="0">
      <text>
        <r>
          <rPr>
            <b/>
            <sz val="8"/>
            <rFont val="Tahoma"/>
            <family val="2"/>
          </rPr>
          <t>Número de plazas</t>
        </r>
      </text>
    </comment>
    <comment ref="F7" authorId="0">
      <text>
        <r>
          <rPr>
            <b/>
            <sz val="8"/>
            <rFont val="Tahoma"/>
            <family val="2"/>
          </rPr>
          <t>Número de plazas</t>
        </r>
      </text>
    </comment>
    <comment ref="G7" authorId="0">
      <text>
        <r>
          <rPr>
            <b/>
            <sz val="8"/>
            <rFont val="Tahoma"/>
            <family val="2"/>
          </rPr>
          <t>Número de plazas</t>
        </r>
      </text>
    </comment>
    <comment ref="H7" authorId="0">
      <text>
        <r>
          <rPr>
            <b/>
            <sz val="8"/>
            <rFont val="Tahoma"/>
            <family val="2"/>
          </rPr>
          <t>Número de plazas</t>
        </r>
      </text>
    </comment>
    <comment ref="J7" authorId="0">
      <text>
        <r>
          <rPr>
            <b/>
            <sz val="8"/>
            <rFont val="Tahoma"/>
            <family val="2"/>
          </rPr>
          <t>Número de plazas</t>
        </r>
      </text>
    </comment>
    <comment ref="K7" authorId="0">
      <text>
        <r>
          <rPr>
            <b/>
            <sz val="8"/>
            <rFont val="Tahoma"/>
            <family val="2"/>
          </rPr>
          <t>Número de plazas</t>
        </r>
      </text>
    </comment>
    <comment ref="M7" authorId="0">
      <text>
        <r>
          <rPr>
            <b/>
            <sz val="8"/>
            <rFont val="Tahoma"/>
            <family val="2"/>
          </rPr>
          <t>Tiene que ser "0"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Número de plazas</t>
        </r>
      </text>
    </comment>
    <comment ref="O7" authorId="0">
      <text>
        <r>
          <rPr>
            <b/>
            <sz val="8"/>
            <rFont val="Tahoma"/>
            <family val="2"/>
          </rPr>
          <t>Número de plazas</t>
        </r>
      </text>
    </comment>
    <comment ref="P7" authorId="0">
      <text>
        <r>
          <rPr>
            <b/>
            <sz val="8"/>
            <rFont val="Tahoma"/>
            <family val="2"/>
          </rPr>
          <t>Número de plazas</t>
        </r>
      </text>
    </comment>
    <comment ref="Q7" authorId="0">
      <text>
        <r>
          <rPr>
            <b/>
            <sz val="8"/>
            <rFont val="Tahoma"/>
            <family val="2"/>
          </rPr>
          <t>Número de plazas</t>
        </r>
      </text>
    </comment>
    <comment ref="K8" authorId="0">
      <text>
        <r>
          <rPr>
            <b/>
            <sz val="8"/>
            <rFont val="Tahoma"/>
            <family val="2"/>
          </rPr>
          <t>ARTÍCULO 118 DEL CÓDIGO MUNICIPAL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Flor de Mar?a Alfaro</author>
  </authors>
  <commentList>
    <comment ref="A7" authorId="0">
      <text>
        <r>
          <rPr>
            <sz val="8"/>
            <rFont val="Tahoma"/>
            <family val="2"/>
          </rPr>
          <t>Incluir el nombre del incentivo:  Prohibición, Dedicación exclusiva, anualidad, etc.</t>
        </r>
      </text>
    </comment>
    <comment ref="B7" authorId="0">
      <text>
        <r>
          <rPr>
            <sz val="8"/>
            <rFont val="Tahoma"/>
            <family val="2"/>
          </rPr>
          <t>Incluir la base legal, si existen varias, señalar cada una de las normas. Ejemplo para el incentivo "Prohibición" Código de Normas y Procedimientos Tributarios, Ley de Control Interno y Ley de Enriquecimiento Ilícito.</t>
        </r>
      </text>
    </comment>
    <comment ref="C7" authorId="0">
      <text>
        <r>
          <rPr>
            <sz val="8"/>
            <rFont val="Tahoma"/>
            <family val="2"/>
          </rPr>
          <t>Fórmula y explicación del cálculo. Ejemplo:  Dedicación exclusiva: Salario base *45%.  Explicación 45% si son bachilleres y  55% si son licenciados, sobre el salario base. Si son anualidades, el % de la anualidad sobre el salario base, etc.</t>
        </r>
      </text>
    </comment>
    <comment ref="D7" authorId="0">
      <text>
        <r>
          <rPr>
            <sz val="8"/>
            <rFont val="Tahoma"/>
            <family val="2"/>
          </rPr>
          <t>Información de carácter general o específica que tenga relevancia en relación con el incentivo, su base legal o procedimiento de cálculo.</t>
        </r>
      </text>
    </comment>
  </commentList>
</comments>
</file>

<file path=xl/sharedStrings.xml><?xml version="1.0" encoding="utf-8"?>
<sst xmlns="http://schemas.openxmlformats.org/spreadsheetml/2006/main" count="2580" uniqueCount="1704">
  <si>
    <t>2.3.2.03.99</t>
  </si>
  <si>
    <t>Otros materiales y prod. De uso en la construcción</t>
  </si>
  <si>
    <t>2.2.03.99</t>
  </si>
  <si>
    <t>Otros Materiales y product. De uso en construcción</t>
  </si>
  <si>
    <t>Servicios médicos y de laboratorio</t>
  </si>
  <si>
    <t>2.6.2.01.04</t>
  </si>
  <si>
    <t>2.6.2.01.99</t>
  </si>
  <si>
    <t>2.6.2.99.03</t>
  </si>
  <si>
    <t>2.6.2.99.06</t>
  </si>
  <si>
    <t>Utiles y materiales de resguardo y seguridad</t>
  </si>
  <si>
    <t>2.6.5.02</t>
  </si>
  <si>
    <t>2.6.5.02.07</t>
  </si>
  <si>
    <t>Instalaciones</t>
  </si>
  <si>
    <t>Otras construcciones adiciones y mejoras</t>
  </si>
  <si>
    <t>2.5.02</t>
  </si>
  <si>
    <t>2.5.02.07</t>
  </si>
  <si>
    <t>2.6.0.03.03</t>
  </si>
  <si>
    <t>2.6.0.04</t>
  </si>
  <si>
    <t>2.6.0.04.01</t>
  </si>
  <si>
    <t>2.6.0.04.05</t>
  </si>
  <si>
    <t>2.6.0.05</t>
  </si>
  <si>
    <t>2.6.0.05.03</t>
  </si>
  <si>
    <t>2.6.1</t>
  </si>
  <si>
    <t>2.6.1.01</t>
  </si>
  <si>
    <t>2.6.1.01.02</t>
  </si>
  <si>
    <t>2.6.1.02</t>
  </si>
  <si>
    <t>2.6.1.02.02</t>
  </si>
  <si>
    <t>2.6.1.06</t>
  </si>
  <si>
    <t>2.6.1.06.01</t>
  </si>
  <si>
    <t>2.6.1.08</t>
  </si>
  <si>
    <t>2.6.1.08.05</t>
  </si>
  <si>
    <t>2.6.1.99</t>
  </si>
  <si>
    <t>2.6.1.99.01</t>
  </si>
  <si>
    <t>2.6.2</t>
  </si>
  <si>
    <t>2.6.2.01</t>
  </si>
  <si>
    <t>2.6.2.01.01</t>
  </si>
  <si>
    <t>2.6.2.03</t>
  </si>
  <si>
    <t>1.4.6.06</t>
  </si>
  <si>
    <t>OTRAS TRANSF. CORRIENTES AL SECT. EXTERNO</t>
  </si>
  <si>
    <t>OTRAS TRANSF. CORRIENTES SECTOR PRIVADO</t>
  </si>
  <si>
    <t>Servicios Especiales</t>
  </si>
  <si>
    <t>2.6.2.03.06</t>
  </si>
  <si>
    <t>2.6.2.04</t>
  </si>
  <si>
    <t>2.6.2.04.01</t>
  </si>
  <si>
    <t>2.6.2.04.02</t>
  </si>
  <si>
    <t>TOTAL SERVICIO 6</t>
  </si>
  <si>
    <t>ANEXO 5</t>
  </si>
  <si>
    <t>Transporte dentro del pais</t>
  </si>
  <si>
    <t>Gastos de información y publicidad por radio y televisión</t>
  </si>
  <si>
    <t>Ley No. 4325</t>
  </si>
  <si>
    <t xml:space="preserve">    Por radio y televisión</t>
  </si>
  <si>
    <t xml:space="preserve">        Programas de producción nacional (Mínimo un 30%)</t>
  </si>
  <si>
    <t xml:space="preserve">        Cuñas, avisos o comerciales. (Máximo un 70%)</t>
  </si>
  <si>
    <t>Fecha:</t>
  </si>
  <si>
    <t>PRESUPUESTO DE EGRESOS SERVICIO 25 - PROTECCION DEL MEDIO AMBIENTE</t>
  </si>
  <si>
    <t>TOTAL SERVICIO 25</t>
  </si>
  <si>
    <t>PRESUPUESTO DE EGRESOS PROGRAMA III -  VIAS DE COMUNICACIÓN TERRESTRE</t>
  </si>
  <si>
    <t>TOTAL PROYECTO 2</t>
  </si>
  <si>
    <t>TOTAL PROYECTO 7</t>
  </si>
  <si>
    <t>PRESUPUESTO DE EGRESOS PROGRAMA III -  OTROS FONDOS E INVERSIONES</t>
  </si>
  <si>
    <t>ACTUAL</t>
  </si>
  <si>
    <t>CUADRO N° 3</t>
  </si>
  <si>
    <t>SALARIO DEL ALCALDE</t>
  </si>
  <si>
    <t>A) SALARIO MAYOR PAGADO</t>
  </si>
  <si>
    <t>CON LAS ANUALI-</t>
  </si>
  <si>
    <t>MAS LA ANUALIDAD</t>
  </si>
  <si>
    <t>DADES APROBADAS</t>
  </si>
  <si>
    <t>DEL PERIODO</t>
  </si>
  <si>
    <t>PROPUESTA</t>
  </si>
  <si>
    <t>Jornada Diaria</t>
  </si>
  <si>
    <t>Fecha de Ingreso</t>
  </si>
  <si>
    <t>Salario Base</t>
  </si>
  <si>
    <t>Anualidades</t>
  </si>
  <si>
    <t>Transporte en el exterior</t>
  </si>
  <si>
    <t>Restricción del ejercicio liberal de la profeción Ley 8292</t>
  </si>
  <si>
    <t>Total salario mayor pagado</t>
  </si>
  <si>
    <t>MÁS</t>
  </si>
  <si>
    <t>10% Artículo 20 Código Municipal</t>
  </si>
  <si>
    <t>Salario Base del Alcalde</t>
  </si>
  <si>
    <t>CUADRO N° 4</t>
  </si>
  <si>
    <t>DETALLE DE LA DEUDA</t>
  </si>
  <si>
    <t>ENTIDAD</t>
  </si>
  <si>
    <t>N° DE OPERACIÓN</t>
  </si>
  <si>
    <t>INTERESES</t>
  </si>
  <si>
    <t xml:space="preserve">OBJETIVO DEL </t>
  </si>
  <si>
    <t>PRESTAMO</t>
  </si>
  <si>
    <t>TOTALES</t>
  </si>
  <si>
    <t>PRESUPUESTO</t>
  </si>
  <si>
    <t>DIFERENCIA</t>
  </si>
  <si>
    <t>ELABORADO POR : ALLEN BARRANTES NUÑEZ</t>
  </si>
  <si>
    <t>ELABORADO POR: ALLEN BARRANTES NUÑEZ</t>
  </si>
  <si>
    <t>INGRESO ESPECIFICO</t>
  </si>
  <si>
    <t>MA</t>
  </si>
  <si>
    <t>GRUP</t>
  </si>
  <si>
    <t>TO</t>
  </si>
  <si>
    <t>APLICACIÓN</t>
  </si>
  <si>
    <t>04</t>
  </si>
  <si>
    <t>Jtas Educación 10%</t>
  </si>
  <si>
    <t>01</t>
  </si>
  <si>
    <t>Administración General</t>
  </si>
  <si>
    <t>Organo Normal. Técnica</t>
  </si>
  <si>
    <t>CUADRO N° 1</t>
  </si>
  <si>
    <t>03</t>
  </si>
  <si>
    <t>02</t>
  </si>
  <si>
    <t>Auditoria Interna</t>
  </si>
  <si>
    <t>Cementerio</t>
  </si>
  <si>
    <t>Timbre Pro Parques Nac.</t>
  </si>
  <si>
    <t>CONAGEBIO 10%</t>
  </si>
  <si>
    <t>Fondo Parques Nacion.</t>
  </si>
  <si>
    <t>25</t>
  </si>
  <si>
    <t>Protec.del Medio Amb.</t>
  </si>
  <si>
    <t>06</t>
  </si>
  <si>
    <t>Acueductos</t>
  </si>
  <si>
    <t>Servicio de cementerio</t>
  </si>
  <si>
    <t>Aporte IFAM Lic. Nac.</t>
  </si>
  <si>
    <t>y Extranjeros</t>
  </si>
  <si>
    <t>DETALLE DE ORIGEN Y APLICACIÓN DE RECURSOS ESPECIFICOS</t>
  </si>
  <si>
    <t>1.3.1.2.05.04.0.0.000</t>
  </si>
  <si>
    <t>1.1.3.3.01.02.0.0.000</t>
  </si>
  <si>
    <t>1.3.1.1.05.00.0.0.000</t>
  </si>
  <si>
    <t>DEL GASTO</t>
  </si>
  <si>
    <t>NOMBRE DEL BENEFICIARIO CLASIFICADO</t>
  </si>
  <si>
    <t>SEGÚN GRUPO Y SUBGRUPO DE EGRESOS</t>
  </si>
  <si>
    <t>CEDULA</t>
  </si>
  <si>
    <t>JURIDICA</t>
  </si>
  <si>
    <t>FUNDAMENTO</t>
  </si>
  <si>
    <t>LEGAL</t>
  </si>
  <si>
    <t xml:space="preserve">FINALIDAD DEL </t>
  </si>
  <si>
    <t>GASTO</t>
  </si>
  <si>
    <t>CUADRO N° 5</t>
  </si>
  <si>
    <t>TRANSFERENCIAS CORRIENTES Y DE CAPITAL A FABOR DE ENTIDADES PRIVADAS SIN FINES DE LUCRO</t>
  </si>
  <si>
    <t>1.1.0.01.03</t>
  </si>
  <si>
    <t>1.0.01.03</t>
  </si>
  <si>
    <t>Impuesto sobre la propiedad de Bienes Inmuebles Ley 7729</t>
  </si>
  <si>
    <t>1.0.0.0.00.00.0.0.000</t>
  </si>
  <si>
    <t>1.1.0.0.00.00.0.0.000</t>
  </si>
  <si>
    <t xml:space="preserve">1.1.2.0.00.00.0.0.000  </t>
  </si>
  <si>
    <t>1.1.2.1.01.00.0.0.000</t>
  </si>
  <si>
    <t>1.1.3.0.00.00.0.0.000</t>
  </si>
  <si>
    <t>1.1.3.2.00.00.0.0.000</t>
  </si>
  <si>
    <t>1.1.3.2.01.00.0.0.000</t>
  </si>
  <si>
    <t>1.1.3.2.01.05.0.0.000</t>
  </si>
  <si>
    <t>1.1.3.3.00.00.0.0.000</t>
  </si>
  <si>
    <t>1.1.3.3.01.00.0.0.000</t>
  </si>
  <si>
    <t>1.1.9.0.00-00.0.0.000</t>
  </si>
  <si>
    <t>1.1.9.1.00.00.0.0.000</t>
  </si>
  <si>
    <t>1.1.9.1.01.00.0.0.000</t>
  </si>
  <si>
    <t>1.1.9.1.02.00.0.0.000</t>
  </si>
  <si>
    <t>1.3.0.0.00.00.0.0.000</t>
  </si>
  <si>
    <t>1.3.1.0.00.00.0.0.000</t>
  </si>
  <si>
    <t>1.3.1.1.00.00.0.0.000</t>
  </si>
  <si>
    <t>1.3.1.2.00.00.0.0.000</t>
  </si>
  <si>
    <t>1.3.1.2.05.00.0.0.000</t>
  </si>
  <si>
    <t>1.3.1.2.05.02.0.0.000</t>
  </si>
  <si>
    <t>1.3.1.2.05.03.0.0.000</t>
  </si>
  <si>
    <t>1.3.1.2.05.04.1.0.000</t>
  </si>
  <si>
    <t>1.3.4.0.00.00.0.0.000</t>
  </si>
  <si>
    <t>1.3.4.2.00.00.0.0.000</t>
  </si>
  <si>
    <t>1.4.0.0.00.00.0.0.000</t>
  </si>
  <si>
    <t>1.4.1.0.00.00.0.0.000</t>
  </si>
  <si>
    <t>1.4.1.3.00.00.0.0.000</t>
  </si>
  <si>
    <t>1.4.1.3.01.00.0.0.000</t>
  </si>
  <si>
    <t>1.1.3.3.01.03.0.0.000</t>
  </si>
  <si>
    <t>1.1.0.03.02</t>
  </si>
  <si>
    <t>Actividades de Capacitación</t>
  </si>
  <si>
    <t>3.7.9</t>
  </si>
  <si>
    <t>CUENTAS ESPECIALES</t>
  </si>
  <si>
    <t>3.7.9.02</t>
  </si>
  <si>
    <t>SUMAS SIN ASIGNACION PRESUPUESTARIA</t>
  </si>
  <si>
    <t>3.7.9.02.02</t>
  </si>
  <si>
    <t>1.1.1.01</t>
  </si>
  <si>
    <t>1.1.1.01.01</t>
  </si>
  <si>
    <t>1.1.01</t>
  </si>
  <si>
    <t>1.1.01.01</t>
  </si>
  <si>
    <t>1.1.07</t>
  </si>
  <si>
    <t>MAQUINARIA, EQUIPO Y MOBILIARIO</t>
  </si>
  <si>
    <t>3.9</t>
  </si>
  <si>
    <t>3.9.02</t>
  </si>
  <si>
    <t>3.9.02.02</t>
  </si>
  <si>
    <t>Federación Municipalidades de Heredia</t>
  </si>
  <si>
    <t>Venta de Agua</t>
  </si>
  <si>
    <t>1.4.1.2.00.00.0.0.000</t>
  </si>
  <si>
    <t>TRANSFERENCIAS CORRIENTES DE ORGANOS DESC.</t>
  </si>
  <si>
    <t>1.4.1.2.01.00.0.0.000</t>
  </si>
  <si>
    <t>Aporte Comité Cantonal de la Persona Jóven</t>
  </si>
  <si>
    <t>1.1.1.03.06</t>
  </si>
  <si>
    <t>Comisiónes y gastos por servicios Financieros y Com.</t>
  </si>
  <si>
    <t>1.1.03.06</t>
  </si>
  <si>
    <t>1.1.1.04.02</t>
  </si>
  <si>
    <t>Servicios Jurídicos</t>
  </si>
  <si>
    <t>1.1.04.02</t>
  </si>
  <si>
    <t>Viaticos dentro del pais</t>
  </si>
  <si>
    <t>1.1.1.07</t>
  </si>
  <si>
    <t>1.1.1.07.01</t>
  </si>
  <si>
    <t>Actividades de capacitación</t>
  </si>
  <si>
    <t>1.1.07.01</t>
  </si>
  <si>
    <t>1.1.2.03</t>
  </si>
  <si>
    <t>MATER. Y PRODUC. USO CONSTRUC. MANTEN.</t>
  </si>
  <si>
    <t>1.2.03</t>
  </si>
  <si>
    <t>1.1.2.99.04</t>
  </si>
  <si>
    <t>Textiles y Vestuario</t>
  </si>
  <si>
    <t>1.2.99.04</t>
  </si>
  <si>
    <t>Utiles y materiales de limpieza</t>
  </si>
  <si>
    <t>2.0.01.05</t>
  </si>
  <si>
    <t>2.2.01.99</t>
  </si>
  <si>
    <t>Materiales y productos metálicos</t>
  </si>
  <si>
    <t>Madera y sus derivados</t>
  </si>
  <si>
    <t>2.2.99</t>
  </si>
  <si>
    <t>2.2.99.04</t>
  </si>
  <si>
    <t>2.3.0.01.05</t>
  </si>
  <si>
    <t>2.3.2.03.03</t>
  </si>
  <si>
    <t>2.3.2.04.01</t>
  </si>
  <si>
    <t>Herramientas e instrumentos</t>
  </si>
  <si>
    <t>2.3.2.99</t>
  </si>
  <si>
    <t>2.3.2.99.04</t>
  </si>
  <si>
    <t>1.4.6.01.02.03</t>
  </si>
  <si>
    <t>1.6.01.02.03</t>
  </si>
  <si>
    <t>SUMAS CON DESTINO ESPECIF. SIN ASIG. PRES.</t>
  </si>
  <si>
    <t>3.7.9.02.02.02</t>
  </si>
  <si>
    <t>SUMAS CON DESTINO ESPEC. SIN ASIG. PRESUP.</t>
  </si>
  <si>
    <t>3.9.02.02.02</t>
  </si>
  <si>
    <t>PRESUPUESTO DE EGRESOS SERVICIO 28 - ATENCION DE EMERGENCIAS CANTONALES</t>
  </si>
  <si>
    <t>2.28.1</t>
  </si>
  <si>
    <t>2.28.1.04</t>
  </si>
  <si>
    <t>2.28.1.04.06</t>
  </si>
  <si>
    <t>028</t>
  </si>
  <si>
    <t>ATENCION DE EMERGENCIAS CANTONAL</t>
  </si>
  <si>
    <t>28</t>
  </si>
  <si>
    <t>2.5.01</t>
  </si>
  <si>
    <t>2.5.01.99</t>
  </si>
  <si>
    <t>2.6.02</t>
  </si>
  <si>
    <t>2.6.02.02</t>
  </si>
  <si>
    <t>2.6.0.03.02</t>
  </si>
  <si>
    <t>Retribución al ejercicio liberal de la profeción</t>
  </si>
  <si>
    <t>2.0.03.02</t>
  </si>
  <si>
    <t>Otros productos quimicos</t>
  </si>
  <si>
    <t>textiles y vestuario</t>
  </si>
  <si>
    <t>2.25.2</t>
  </si>
  <si>
    <t>2.25.2.02</t>
  </si>
  <si>
    <t>2.25.2.02.02</t>
  </si>
  <si>
    <t>Productos agroforestales</t>
  </si>
  <si>
    <t>2.2.02.02</t>
  </si>
  <si>
    <t>2.3.3</t>
  </si>
  <si>
    <t>2.3.3.02</t>
  </si>
  <si>
    <t>2.3.3-02.03</t>
  </si>
  <si>
    <t>Intereses sobre préstamos a instituiciones desentraliz.</t>
  </si>
  <si>
    <t>no empresariales</t>
  </si>
  <si>
    <t>2.3.02</t>
  </si>
  <si>
    <t>2.3.02.03</t>
  </si>
  <si>
    <t>Intereses s/ préstamos a instituciones desentralizadas</t>
  </si>
  <si>
    <t>BIENES DURADEROS DIVERSOS</t>
  </si>
  <si>
    <t>Vias de comunicación terrestre</t>
  </si>
  <si>
    <t>Equipo y mobiliario de oficina</t>
  </si>
  <si>
    <t>2.10.2</t>
  </si>
  <si>
    <t>2.10.2.02</t>
  </si>
  <si>
    <t>2.10.2.02.03</t>
  </si>
  <si>
    <t>3.2.5.02.02.01</t>
  </si>
  <si>
    <t>FINES DE LUCRO</t>
  </si>
  <si>
    <t>IFAM</t>
  </si>
  <si>
    <t>Compra de Back Hoe</t>
  </si>
  <si>
    <t>ANEXO Nº 1</t>
  </si>
  <si>
    <t>RELACIÓN INGRESO GASTO EN SERVICIOS PÚBLICOS</t>
  </si>
  <si>
    <t xml:space="preserve">Detalle </t>
  </si>
  <si>
    <t>Aseo de vías</t>
  </si>
  <si>
    <t>Recolección</t>
  </si>
  <si>
    <t>Acueducto</t>
  </si>
  <si>
    <t>Parques</t>
  </si>
  <si>
    <t>Alumbrado</t>
  </si>
  <si>
    <t>Tratamiento</t>
  </si>
  <si>
    <t xml:space="preserve">Otro </t>
  </si>
  <si>
    <t>Otro</t>
  </si>
  <si>
    <t>Servicio</t>
  </si>
  <si>
    <t>y sitios públicos</t>
  </si>
  <si>
    <t>de basura</t>
  </si>
  <si>
    <t>Ingreso estimado según tasa</t>
  </si>
  <si>
    <t>Egresos de operación del servicio</t>
  </si>
  <si>
    <t>(Renglón 7 cuadro siguiente)</t>
  </si>
  <si>
    <t>Sobrante de ingreso por tasa,</t>
  </si>
  <si>
    <t>una vez financiado el servicio</t>
  </si>
  <si>
    <t>(1-2)</t>
  </si>
  <si>
    <t>Alquileres de edificios, locales y terrenos</t>
  </si>
  <si>
    <t>1.1.1.03.02</t>
  </si>
  <si>
    <t>1.1.03.02</t>
  </si>
  <si>
    <t>Viaticos en el exterior</t>
  </si>
  <si>
    <t>Otros utiles, materiales y suministros</t>
  </si>
  <si>
    <t>2.6.1.04.06</t>
  </si>
  <si>
    <t>2.6.2.03.01</t>
  </si>
  <si>
    <t>2.6.2.03.02</t>
  </si>
  <si>
    <t>Materiales y productos minerales y asfalticos</t>
  </si>
  <si>
    <t>2.6.2.99.01</t>
  </si>
  <si>
    <t>2.2.99.01</t>
  </si>
  <si>
    <t>Utiles  y materiales de oficina y computo</t>
  </si>
  <si>
    <t>Otros ingresos relacionados</t>
  </si>
  <si>
    <t>con el servicio</t>
  </si>
  <si>
    <t>Instalación Cañerias</t>
  </si>
  <si>
    <t>Otro...</t>
  </si>
  <si>
    <t>Total de ingresos disponibles</t>
  </si>
  <si>
    <t>para inversión (3+4)</t>
  </si>
  <si>
    <t>Menos: Inversiones y servicio de la deuda del servicio</t>
  </si>
  <si>
    <t>Amortización deuda</t>
  </si>
  <si>
    <t>Maquinaria y equipo</t>
  </si>
  <si>
    <t>Proyectos (Prog. III)</t>
  </si>
  <si>
    <t>Superávit o déficit total del</t>
  </si>
  <si>
    <t>servicio (5-6)</t>
  </si>
  <si>
    <t>% de gastos cubiertos por</t>
  </si>
  <si>
    <t>los ingresos del servicio (1+4)</t>
  </si>
  <si>
    <t>(2+6)</t>
  </si>
  <si>
    <t>EGRESOS DE OPERACION DEL SERVICIO</t>
  </si>
  <si>
    <t>Detalle</t>
  </si>
  <si>
    <t>Aseo de vías y</t>
  </si>
  <si>
    <t>Cementerios</t>
  </si>
  <si>
    <t>Mataderos</t>
  </si>
  <si>
    <t>sitios públicos</t>
  </si>
  <si>
    <t>basura</t>
  </si>
  <si>
    <t>Gasto del servicio</t>
  </si>
  <si>
    <t>Menos: Maquinaria y equipo y Amortización de la deuda.</t>
  </si>
  <si>
    <t>Maquinaria y equipo cargada al servicio</t>
  </si>
  <si>
    <t>Amortización de la deuda del Servicio</t>
  </si>
  <si>
    <t>Subtotal (2)</t>
  </si>
  <si>
    <t>% gastos de administración (A)</t>
  </si>
  <si>
    <t>Egresos de operación del servi-</t>
  </si>
  <si>
    <t>cio (subtotal + gastos de admi-</t>
  </si>
  <si>
    <t>nistración  (B)</t>
  </si>
  <si>
    <t xml:space="preserve">(A)  El porcentaje se calculará sobre el ingreso del servicio ) y será el que haya determinado, en los respectivos estudios, la Autoridad  </t>
  </si>
  <si>
    <t xml:space="preserve">       Reguladora de los Servicios Públicos, si la tasa o tarifa fue autorizada después del 5 de setiembre de 1996.</t>
  </si>
  <si>
    <t xml:space="preserve">       Antes de dicha fecha, para el caso de Acueducto, se tomará el porcentaje fijado en los estudios del SNE y en el caso de</t>
  </si>
  <si>
    <t xml:space="preserve">       las tasas que fueron aprobadas por la Dirección General de Estudios Económicos de esta Contraloría General, se consi-</t>
  </si>
  <si>
    <t xml:space="preserve">       derará un 10%.</t>
  </si>
  <si>
    <t>(B)  Este resultado debe trasladarse al renglón 2 del cuadro "Relación Ingreso-gasto en los servicios públicos".</t>
  </si>
  <si>
    <t>ANEXO Nº 2</t>
  </si>
  <si>
    <t>DETALLE DEL 20% DE LOS INGRESOS DESTINADOS A GASTOS DE SANIDAD</t>
  </si>
  <si>
    <t>Gastos de sanidad (20%  (Artículo 47 Ley No. 5412-73)</t>
  </si>
  <si>
    <t xml:space="preserve">       MONTO TOTAL DEL PRESUPUESTO</t>
  </si>
  <si>
    <t xml:space="preserve">       Menos ingresos de aplicación específica:</t>
  </si>
  <si>
    <t xml:space="preserve">       24% impuesto sobre bienes inmuebles Ley Nº 7509</t>
  </si>
  <si>
    <t xml:space="preserve">       14% impuesto sobre bienes inmuebles Ley Nº 7729</t>
  </si>
  <si>
    <t xml:space="preserve">       10% impuesto territorial</t>
  </si>
  <si>
    <t xml:space="preserve">       Detalle de caminos y calles V.A.</t>
  </si>
  <si>
    <t xml:space="preserve">       Impuesto destace de ganado </t>
  </si>
  <si>
    <t xml:space="preserve">       Impuesto del cemento destinado a obras (Libre para guanacaste)</t>
  </si>
  <si>
    <t xml:space="preserve">       51% patentes licores nacionales y extranjeros</t>
  </si>
  <si>
    <t xml:space="preserve">       Espectáculos públicos (6%)</t>
  </si>
  <si>
    <t xml:space="preserve">       Timbre parques nacionales</t>
  </si>
  <si>
    <t xml:space="preserve">       Cánones nuevas concesiones milla marítima</t>
  </si>
  <si>
    <t xml:space="preserve">       Utilidad comisión fiestas (ejercicio)</t>
  </si>
  <si>
    <t xml:space="preserve">       Multas aprehensión animales</t>
  </si>
  <si>
    <t xml:space="preserve">       Compensación zonas verdes</t>
  </si>
  <si>
    <t xml:space="preserve">       Aporte I.F.A.M. Ley No. 6909 </t>
  </si>
  <si>
    <t xml:space="preserve">       Ventas terrenos plan lotificación</t>
  </si>
  <si>
    <t xml:space="preserve">       Transferencias corrientes</t>
  </si>
  <si>
    <t xml:space="preserve">       Transferencias de capital</t>
  </si>
  <si>
    <t xml:space="preserve">       Recursos del crédito </t>
  </si>
  <si>
    <t xml:space="preserve">       Aportes corrientes sector privado para fines específicos</t>
  </si>
  <si>
    <t xml:space="preserve">       Aporte de capital sector privado</t>
  </si>
  <si>
    <t xml:space="preserve">       Aporte de Municipalidades</t>
  </si>
  <si>
    <t>ASEO DE VIAS Y SITIOS PUBLICOS</t>
  </si>
  <si>
    <t>013</t>
  </si>
  <si>
    <t>ALCANTARILLADO SANITARIO</t>
  </si>
  <si>
    <t>7</t>
  </si>
  <si>
    <t>6</t>
  </si>
  <si>
    <t>TRANSFERENCIAS DE CAPITAL A ENTIDADES</t>
  </si>
  <si>
    <t>PRIVADAS SIN FINES DE LUCRO</t>
  </si>
  <si>
    <t>I-04</t>
  </si>
  <si>
    <t>III-07-03</t>
  </si>
  <si>
    <t>Alcantarillado</t>
  </si>
  <si>
    <t>Sanitario</t>
  </si>
  <si>
    <t>Impuesto de bienes inmuebles Ley 7729</t>
  </si>
  <si>
    <t>CODIGO SEGÚN</t>
  </si>
  <si>
    <t>CLASIFICADO DE</t>
  </si>
  <si>
    <t>INGRESOS</t>
  </si>
  <si>
    <t>PROGRA</t>
  </si>
  <si>
    <t>ACT/SER</t>
  </si>
  <si>
    <t>PROYEC</t>
  </si>
  <si>
    <t>Jta. Administ. Reg. Nacional</t>
  </si>
  <si>
    <t>Comité Cantonal Deportes</t>
  </si>
  <si>
    <t>Cons. Nac. Reh.Educ.Espec.</t>
  </si>
  <si>
    <t>Feder.Municipalidades Heredia</t>
  </si>
  <si>
    <t>Impuesto Específico sobre la construccion</t>
  </si>
  <si>
    <t>Amortización a préstamos</t>
  </si>
  <si>
    <t>Mantenim. Caminos y calles</t>
  </si>
  <si>
    <t>Vias de Comunicación terrest.</t>
  </si>
  <si>
    <t>Sociales y Complementarios</t>
  </si>
  <si>
    <t>13</t>
  </si>
  <si>
    <t>Alcantarillado sanitario</t>
  </si>
  <si>
    <t>Instalación. y derivación de agua</t>
  </si>
  <si>
    <t>Servicio Recolección de Basura</t>
  </si>
  <si>
    <t>Aseo de Vias y sitios públicos</t>
  </si>
  <si>
    <t xml:space="preserve">Interéses moratorios por atraso en pago </t>
  </si>
  <si>
    <t>Firma del funcionario responsable:_______________________________</t>
  </si>
  <si>
    <t xml:space="preserve">       Derechos de estacionamiento (parquímetros)</t>
  </si>
  <si>
    <t xml:space="preserve">       Seguridad Vial - multas</t>
  </si>
  <si>
    <t xml:space="preserve">        otro ingreso específico </t>
  </si>
  <si>
    <t xml:space="preserve">        Recursos de Vigencias Anteriores (libre y específico)</t>
  </si>
  <si>
    <t xml:space="preserve">       TOTAL INGRESOS ESPECIFICOS</t>
  </si>
  <si>
    <t xml:space="preserve">       Saldo para calcular el 20% para gastos de sanidad</t>
  </si>
  <si>
    <t xml:space="preserve">       Suma que se debe de aplicar a gastos de sanidad ( 20% de recursos propios)</t>
  </si>
  <si>
    <t xml:space="preserve">       Suma aplicada según siguiente de Detalle</t>
  </si>
  <si>
    <t xml:space="preserve">Servicio, proyecto </t>
  </si>
  <si>
    <t>Código</t>
  </si>
  <si>
    <t>Monto</t>
  </si>
  <si>
    <t>relacionado con sanidad</t>
  </si>
  <si>
    <t>presupuestario</t>
  </si>
  <si>
    <t>Presupuestado</t>
  </si>
  <si>
    <t>Servicio aseo vias</t>
  </si>
  <si>
    <t>II-01</t>
  </si>
  <si>
    <t>Servicio basura</t>
  </si>
  <si>
    <t>II-02</t>
  </si>
  <si>
    <t>II-06</t>
  </si>
  <si>
    <t>II-04</t>
  </si>
  <si>
    <t>Matadero</t>
  </si>
  <si>
    <t>II-08</t>
  </si>
  <si>
    <t>III-</t>
  </si>
  <si>
    <t>Otro proyecto relacionado con sanidad</t>
  </si>
  <si>
    <t>Aporte al Comité de Deportes</t>
  </si>
  <si>
    <t>Aporte a la Cruz Roja</t>
  </si>
  <si>
    <t>Aporte Consejo Nacional de Rehabilitación</t>
  </si>
  <si>
    <t>Otro aporte relacionado con sanidad</t>
  </si>
  <si>
    <t>Total Gastos destinados a sanidad</t>
  </si>
  <si>
    <t>Diferencia</t>
  </si>
  <si>
    <t>(1)</t>
  </si>
  <si>
    <r>
      <t xml:space="preserve">(1) En el caso de ser este monto </t>
    </r>
    <r>
      <rPr>
        <b/>
        <sz val="10"/>
        <rFont val="Arial"/>
        <family val="2"/>
      </rPr>
      <t>POSITIVO</t>
    </r>
    <r>
      <rPr>
        <sz val="10"/>
        <rFont val="Arial"/>
        <family val="0"/>
      </rPr>
      <t xml:space="preserve">, indica que la municipalidad no está cumpliendo con lo estipulado </t>
    </r>
  </si>
  <si>
    <t xml:space="preserve"> en el artículo 47 de la Ley del Ministerio de Salud Nº5412. Caso contrario si cumple.</t>
  </si>
  <si>
    <t>Elaborado por Allen Barrantes Núñez</t>
  </si>
  <si>
    <t>Visto bueno del Alcalde, Intendente o Director Ejecutivo ________________________________</t>
  </si>
  <si>
    <t>Fecha:__________________________________</t>
  </si>
  <si>
    <t>ANEXO 3</t>
  </si>
  <si>
    <t>CALCULO DE LAS DIETAS A REGIDORES</t>
  </si>
  <si>
    <t>PRESUPUESTO PRECEDENTE:</t>
  </si>
  <si>
    <t>PRESUPUESTO EN ESTUDIO:</t>
  </si>
  <si>
    <t>PORCENTAJE DE AUMENTO DEL PRESUPUESTO</t>
  </si>
  <si>
    <t>PORCENTAJE QUE APRUEBA EL CONCEJO: (1)</t>
  </si>
  <si>
    <t xml:space="preserve">NUMERO DE </t>
  </si>
  <si>
    <t xml:space="preserve">VALOR </t>
  </si>
  <si>
    <t>VALOR</t>
  </si>
  <si>
    <t>+</t>
  </si>
  <si>
    <t>MENSUAL</t>
  </si>
  <si>
    <t>ANUAL</t>
  </si>
  <si>
    <t>REGIDORES</t>
  </si>
  <si>
    <t>DIETA ACTUAL</t>
  </si>
  <si>
    <t>DIETA PROPUESTA</t>
  </si>
  <si>
    <t>ORDI-EXTRA</t>
  </si>
  <si>
    <t>DIETAS POR COMISIÓN (ADJUNTAR DETALLE)</t>
  </si>
  <si>
    <t>(1) El aumento de las dietas debe ser con base en el artículo 30 del Código Municipal</t>
  </si>
  <si>
    <t>Elaborado por ALLEN BARRANTES NUÑEZ</t>
  </si>
  <si>
    <t>ANEXO 4</t>
  </si>
  <si>
    <t>CONTRIBUCIONES PATRONALES, DECIMOTERCER MES Y SEGUROS</t>
  </si>
  <si>
    <t>CONTRIBUCIONES PATRONALES</t>
  </si>
  <si>
    <t>MONTO                           DE                    CALCULO</t>
  </si>
  <si>
    <t>Caja Costarricense de Seguro Social</t>
  </si>
  <si>
    <t>Ahorro         Obligatorio al Banco Popular</t>
  </si>
  <si>
    <t>Régimen         Obligatorio de Pensiones</t>
  </si>
  <si>
    <t>Fondo de Capitalización Laboral</t>
  </si>
  <si>
    <t>Invalidez Vejez y Muerte</t>
  </si>
  <si>
    <t>Enfermedad y Maternidad</t>
  </si>
  <si>
    <t>(3)</t>
  </si>
  <si>
    <t>(2)</t>
  </si>
  <si>
    <t>(5)</t>
  </si>
  <si>
    <t>(4)</t>
  </si>
  <si>
    <t>(1) Clasificado como Contribución Patronal al Seguro Salud de la Caja Costarricense de Seguro Social (0.04.01)</t>
  </si>
  <si>
    <t>(2) Clasificado como Contribución Patronal al Banco Popular y Desarrollo Comunal (0.04.05)</t>
  </si>
  <si>
    <t>(3) Clasificarlo como Contribución Patronal al Seguro de Pensiones de la Caja Costarricense del Seguro Social (0.05.01)</t>
  </si>
  <si>
    <t>(4) Clasificarlo como Contribución Patronal al Fondo de Capitalización Laboral (0.05.04)</t>
  </si>
  <si>
    <t>(5) Clasficarlo como Aporte Patronal al Régimen Obligatorio de Pensiones Complementarias (0.05.02)</t>
  </si>
  <si>
    <t>DECIMOTERCER MES</t>
  </si>
  <si>
    <t>DE CALCULO</t>
  </si>
  <si>
    <t>(6)</t>
  </si>
  <si>
    <t>(6) Clasificado como Seguros (1.06.01)</t>
  </si>
  <si>
    <t>(5) Clasificado como Decimotercer mes (0.03.03)</t>
  </si>
  <si>
    <t>2.10.2.01</t>
  </si>
  <si>
    <t>2.10.2.01.04</t>
  </si>
  <si>
    <t>2.10.2.99</t>
  </si>
  <si>
    <t>2.10.2.99.03</t>
  </si>
  <si>
    <t>Productos de papel cartón e impresos</t>
  </si>
  <si>
    <t>2.2.99.03</t>
  </si>
  <si>
    <t>Productos de papel carton e impresos</t>
  </si>
  <si>
    <t>1.4.3</t>
  </si>
  <si>
    <t>1.4.3.02</t>
  </si>
  <si>
    <t>1.4.3.02.03</t>
  </si>
  <si>
    <t>Intereses sobre prestamos de instituciones desen-</t>
  </si>
  <si>
    <t>tralizadas no empresariales</t>
  </si>
  <si>
    <t>1.4.8</t>
  </si>
  <si>
    <t>1.4.8.02</t>
  </si>
  <si>
    <t>1.4.8.02.03</t>
  </si>
  <si>
    <t>Amortizacion de prestamos de instituciones desen-</t>
  </si>
  <si>
    <t>1.3.02</t>
  </si>
  <si>
    <t>1.3.02.03</t>
  </si>
  <si>
    <t>1.8.02.03</t>
  </si>
  <si>
    <t>1.8.02</t>
  </si>
  <si>
    <t>Amortizacion a prestamos de instituciones desentral.</t>
  </si>
  <si>
    <t>Tiempo extraordinario</t>
  </si>
  <si>
    <t>1.1.1.03.01</t>
  </si>
  <si>
    <t>Información</t>
  </si>
  <si>
    <t>1.1.03.01</t>
  </si>
  <si>
    <t>PROGRAMA 1</t>
  </si>
  <si>
    <t>PROGRAMA 2</t>
  </si>
  <si>
    <t>PROGRAMA 3</t>
  </si>
  <si>
    <t>POR DISTRIBUIR</t>
  </si>
  <si>
    <t>PRESUPUESTO DE EGRESOS SERVICIO 1 - ASEO DE VIAS Y SITIOS PUBLICOS</t>
  </si>
  <si>
    <t>TOTAL SERVICIO 1</t>
  </si>
  <si>
    <t>1.3.1.2.05.04.2.0.000</t>
  </si>
  <si>
    <t>Aseo de Vías y Sitios públicos</t>
  </si>
  <si>
    <t>AUDITOR MUNICIPAL</t>
  </si>
  <si>
    <t>TOTALES POR OBJETO DEL GASTO</t>
  </si>
  <si>
    <t>2.25.2.99</t>
  </si>
  <si>
    <t>PROGRAMA I: DIRECCION Y</t>
  </si>
  <si>
    <t>PROGRAMA II:SERVICIOS</t>
  </si>
  <si>
    <t>COMUNALES</t>
  </si>
  <si>
    <t>PROGRAMA III:</t>
  </si>
  <si>
    <t>INVERSIONES</t>
  </si>
  <si>
    <t>SECCION DE EGRESOS POR PARTIDA</t>
  </si>
  <si>
    <t>GENERAL Y POR PROGRAMA</t>
  </si>
  <si>
    <t>TOTALES POR EL OBJETO DEL GASTO</t>
  </si>
  <si>
    <t>PROGRAMA II: SERVICIOS</t>
  </si>
  <si>
    <t>0.01.01</t>
  </si>
  <si>
    <t>Sueldo para cargos fijos</t>
  </si>
  <si>
    <t>0.01.05</t>
  </si>
  <si>
    <t>0.02.01</t>
  </si>
  <si>
    <t>Tiempo Extraordinario</t>
  </si>
  <si>
    <t>0.02.05</t>
  </si>
  <si>
    <t>0.03.01</t>
  </si>
  <si>
    <t>Retribucion por años servidos</t>
  </si>
  <si>
    <t>0.03.02</t>
  </si>
  <si>
    <t>Retribucion al ejercicio liberal de la profec.</t>
  </si>
  <si>
    <t>0.03.03</t>
  </si>
  <si>
    <t>Décimo tercer mes</t>
  </si>
  <si>
    <t>CONTRIB. PATR. AL DES. SEG. SOC.</t>
  </si>
  <si>
    <t>0.04.01</t>
  </si>
  <si>
    <t>Contr. Patr. Al seg. Salud de la C.C.S.S</t>
  </si>
  <si>
    <t>0.04.05</t>
  </si>
  <si>
    <t>Contr. Patr. Al banco popular t des. Com.</t>
  </si>
  <si>
    <t>CONTRIB. PATR. A FONDOS PENS. Y O.</t>
  </si>
  <si>
    <t>0.05.02</t>
  </si>
  <si>
    <t>Aporte patr. Al R.O.P.C.</t>
  </si>
  <si>
    <t>0.05.03</t>
  </si>
  <si>
    <t>Aporte patr. Al F.C.L.</t>
  </si>
  <si>
    <t>1.01.01</t>
  </si>
  <si>
    <t>Alquiler de Edificios y locales</t>
  </si>
  <si>
    <t>1.02.02</t>
  </si>
  <si>
    <t>Servicio de energía electrica</t>
  </si>
  <si>
    <t>1.02.04</t>
  </si>
  <si>
    <t>Servicio de telecomunicaciones</t>
  </si>
  <si>
    <t>1.02.99</t>
  </si>
  <si>
    <t>Otros servicios basicos</t>
  </si>
  <si>
    <t>SERVICIOS COMERCIALES Y FINANC.</t>
  </si>
  <si>
    <t>1.03.02</t>
  </si>
  <si>
    <t>Publicidad y propaganda</t>
  </si>
  <si>
    <t>1.03.03</t>
  </si>
  <si>
    <t>Impresión encuadernación y otros</t>
  </si>
  <si>
    <t>1.03.06</t>
  </si>
  <si>
    <t>Comisiones y gastos por serv. Financ. Comerc</t>
  </si>
  <si>
    <t>1.04.02</t>
  </si>
  <si>
    <t>Servicios jurídicos</t>
  </si>
  <si>
    <t>1.04.04</t>
  </si>
  <si>
    <t>Servicios en ciencias económicas y soc.</t>
  </si>
  <si>
    <t>1.04.06</t>
  </si>
  <si>
    <t>Servicios generales</t>
  </si>
  <si>
    <t>1.04.99</t>
  </si>
  <si>
    <t>Otros servicios de gestion apoyo</t>
  </si>
  <si>
    <t>GASTOS DE VIAJES Y DE TRANSPORTE</t>
  </si>
  <si>
    <t>1.05.02</t>
  </si>
  <si>
    <t>SEGUROS, REASEGUROS Y OTRAS OB</t>
  </si>
  <si>
    <t>1.06.01</t>
  </si>
  <si>
    <t>Seguros.</t>
  </si>
  <si>
    <t>1.07.01</t>
  </si>
  <si>
    <t>Actividades de capacitacion</t>
  </si>
  <si>
    <t>1.07.02</t>
  </si>
  <si>
    <t>1.08.01</t>
  </si>
  <si>
    <t>Mantenimiento de edificios y locales</t>
  </si>
  <si>
    <t>1.08.02</t>
  </si>
  <si>
    <t>Mantenimiento de Vias de comunicación</t>
  </si>
  <si>
    <t>1.08.03</t>
  </si>
  <si>
    <t>Manten. De instalaciones y otras obras</t>
  </si>
  <si>
    <t>1.08.08</t>
  </si>
  <si>
    <t>1.08.05</t>
  </si>
  <si>
    <t>Manten. Y reparación equipo de transporte</t>
  </si>
  <si>
    <t>1.08.06</t>
  </si>
  <si>
    <t>Manten. Y reparación equipo comunicac.</t>
  </si>
  <si>
    <t>4-Eq-1319-0708</t>
  </si>
  <si>
    <t>1.08.07</t>
  </si>
  <si>
    <t>2.0.0.0.00.00.0.0.000</t>
  </si>
  <si>
    <t>INGRESOS DE CAPITAL</t>
  </si>
  <si>
    <t>2.4.0.0.00.00.0.0.000</t>
  </si>
  <si>
    <t>2.4.1.0.00.00.0.0.000</t>
  </si>
  <si>
    <t>TRANSFERENCIAS DE CAPITAL DEL SECTOR PUBLICO</t>
  </si>
  <si>
    <t>2.4.1.1.00.00.0.0.000</t>
  </si>
  <si>
    <t>TRANSFERENCIAS DE CAPITAL DEL GOB. CENTRAL</t>
  </si>
  <si>
    <t>2.4.1.1.01.00.0.0.000</t>
  </si>
  <si>
    <t>2.4.1.3.00.00.0.0.000</t>
  </si>
  <si>
    <t>TRANSFERENCIAS DE CAPITAL DE INSTITUCIONES</t>
  </si>
  <si>
    <t>2.4.1.3.01.00.0.0.000</t>
  </si>
  <si>
    <t>Manten. Y reparac. Equipo y mob. Oficina</t>
  </si>
  <si>
    <t>Manten. Y rep. Equipo computo y sist. Inf.</t>
  </si>
  <si>
    <t>1.99.01</t>
  </si>
  <si>
    <t>Servicios de regulacion</t>
  </si>
  <si>
    <t>2.01.01</t>
  </si>
  <si>
    <t>Combustibles y lubricantes</t>
  </si>
  <si>
    <t>2.01.04</t>
  </si>
  <si>
    <t>Tintas, pinturas y diluyentes</t>
  </si>
  <si>
    <t>2.01.99</t>
  </si>
  <si>
    <t>ALIMENTOS Y PRODUCTOS AGROPEC.</t>
  </si>
  <si>
    <t>2.02.02</t>
  </si>
  <si>
    <t>2.02.03</t>
  </si>
  <si>
    <t>MATER. PROD. USO CONST. MANTEN.</t>
  </si>
  <si>
    <t>2.03.01</t>
  </si>
  <si>
    <t>2.03.02</t>
  </si>
  <si>
    <t>Materiales y productos minerales y asfalt.</t>
  </si>
  <si>
    <t>2.03.03</t>
  </si>
  <si>
    <t>2.03.04</t>
  </si>
  <si>
    <t>Mater. Prod. Electric. Telef. Y computo</t>
  </si>
  <si>
    <t>2.03.06</t>
  </si>
  <si>
    <t>HERRAMIENTAS REPUESTOS Y ACCES</t>
  </si>
  <si>
    <t>2.04.01</t>
  </si>
  <si>
    <t>2.04.02</t>
  </si>
  <si>
    <t>UTILES, MATERIALES Y SUM. DIVERS.</t>
  </si>
  <si>
    <t>2.99.01</t>
  </si>
  <si>
    <t>Utiles y materiales de oficina y computo</t>
  </si>
  <si>
    <t>2.99.03</t>
  </si>
  <si>
    <t>Administracion General</t>
  </si>
  <si>
    <t>2.99.04</t>
  </si>
  <si>
    <t>2.99.05</t>
  </si>
  <si>
    <t>2.99.99</t>
  </si>
  <si>
    <t>Otros utiles materiales y suministros</t>
  </si>
  <si>
    <t>3.02.03</t>
  </si>
  <si>
    <t>Intereses sobre prest. Inst. desent. No emp.</t>
  </si>
  <si>
    <t>5.01.04</t>
  </si>
  <si>
    <t>5.01.05</t>
  </si>
  <si>
    <t>CONSTRUCCIONES ADICIONES Y MEJ.</t>
  </si>
  <si>
    <t>5.02.01</t>
  </si>
  <si>
    <t>5.02.02</t>
  </si>
  <si>
    <t>5.01.99</t>
  </si>
  <si>
    <t>Maquinaria y Equipo diverso</t>
  </si>
  <si>
    <t>TRANSFERENC. CORRIEN.AL SEC. PUB</t>
  </si>
  <si>
    <t>6.01.01</t>
  </si>
  <si>
    <t>Trnasferencias corrientes al Gob. Central</t>
  </si>
  <si>
    <t>6.01.02</t>
  </si>
  <si>
    <t>Transf. Corrient. A organos desconcentrad.</t>
  </si>
  <si>
    <t>6.01.03</t>
  </si>
  <si>
    <t>Transf. Corrient. A instit. Desent. No emp.</t>
  </si>
  <si>
    <t>Transf. Corrient. A Gobiernos Locales</t>
  </si>
  <si>
    <t>1.03.01</t>
  </si>
  <si>
    <t>1.03.04</t>
  </si>
  <si>
    <t>Transporte de Bienes</t>
  </si>
  <si>
    <t>1.05.03</t>
  </si>
  <si>
    <t>1.05.04</t>
  </si>
  <si>
    <t>1.05.01</t>
  </si>
  <si>
    <t>1.08.99</t>
  </si>
  <si>
    <t>Manten. Y rep. De otros equipos</t>
  </si>
  <si>
    <t>TRANSFERENCIAS CORRIENT.A PERS.</t>
  </si>
  <si>
    <t>6.02.02</t>
  </si>
  <si>
    <t>TRASFERENCIAS DE CAPITAL</t>
  </si>
  <si>
    <t>TRANSF. DE CAPITAL A INST. PRIV. SIN</t>
  </si>
  <si>
    <t>7.03.01</t>
  </si>
  <si>
    <t>Transf. De capital a asociaciones</t>
  </si>
  <si>
    <t>8.02.03</t>
  </si>
  <si>
    <t>Amortiz. Prestamos a inst. desent. No emp</t>
  </si>
  <si>
    <t>SUMAS SIN ASIGNACION PRESUPUES.</t>
  </si>
  <si>
    <t>9.02.02</t>
  </si>
  <si>
    <t>Sumas con destino espec. Sin asig. Pres.</t>
  </si>
  <si>
    <t>SECCION DE EGRESOS DETALLADOS</t>
  </si>
  <si>
    <t>1.04.05</t>
  </si>
  <si>
    <t>Servicios de desarrollo Sistemas inform.</t>
  </si>
  <si>
    <t>III</t>
  </si>
  <si>
    <t>CUADRO No. 2</t>
  </si>
  <si>
    <t>Estructura organizacional (Recursos Humanos)</t>
  </si>
  <si>
    <t>Procesos sustantivos</t>
  </si>
  <si>
    <t>Por programa</t>
  </si>
  <si>
    <t>Apoyo</t>
  </si>
  <si>
    <t xml:space="preserve">Nivel </t>
  </si>
  <si>
    <t>Servicios especiales</t>
  </si>
  <si>
    <t>IV</t>
  </si>
  <si>
    <t>Nivel superior ejecutivo</t>
  </si>
  <si>
    <t>Profesional</t>
  </si>
  <si>
    <t>Técnico</t>
  </si>
  <si>
    <t>Administrativo</t>
  </si>
  <si>
    <t>De servicio</t>
  </si>
  <si>
    <t>Total</t>
  </si>
  <si>
    <t>RESUMEN:</t>
  </si>
  <si>
    <t>RESUMEN POR PROGRAMA:</t>
  </si>
  <si>
    <t>Plazas en sueldos para cargos fijos</t>
  </si>
  <si>
    <t>Programa I: Dirección y Administración General</t>
  </si>
  <si>
    <t>Plazas en servicios especiales</t>
  </si>
  <si>
    <t>Programa II: Servicios Comunitarios</t>
  </si>
  <si>
    <t>Plazas en procesos sustantivos</t>
  </si>
  <si>
    <t>Programa III: Inversiones</t>
  </si>
  <si>
    <t>Plazas en procesos de apoyo</t>
  </si>
  <si>
    <t>Programa IV: Partidas específicas</t>
  </si>
  <si>
    <t>Total de plazas</t>
  </si>
  <si>
    <t>3. Observaciones.</t>
  </si>
  <si>
    <t>Funcionario responsable:</t>
  </si>
  <si>
    <t>Puestos de confianza</t>
  </si>
  <si>
    <t>Otros</t>
  </si>
  <si>
    <t>2.2.99.99</t>
  </si>
  <si>
    <t>Textiles y vestuario</t>
  </si>
  <si>
    <t>Alquiler de maquinaria equipo y mobiliario</t>
  </si>
  <si>
    <t>PRODUCTOS QUIMICOS CONEXOS</t>
  </si>
  <si>
    <t>Tintas pinturas y diluyentes</t>
  </si>
  <si>
    <t>2.6.0.01.05</t>
  </si>
  <si>
    <t>2.6.1.04</t>
  </si>
  <si>
    <t>2.6.1.04.99</t>
  </si>
  <si>
    <t>Otros servicios de gestión y apoyo</t>
  </si>
  <si>
    <t>2.1.04.99</t>
  </si>
  <si>
    <t>Otros servicios de Gestión y apoyo</t>
  </si>
  <si>
    <t>2.6.2.99</t>
  </si>
  <si>
    <t>2.6.2.99.04</t>
  </si>
  <si>
    <t>2.6.5</t>
  </si>
  <si>
    <t>2.6.5.01</t>
  </si>
  <si>
    <t>2.6.5.01.99</t>
  </si>
  <si>
    <t>Maquinaria y equipo diverso</t>
  </si>
  <si>
    <t>PRESUPUESTO DE EGRESOS SERVICIO 10 - SOCIALES Y COMPLEMENTARIOS</t>
  </si>
  <si>
    <t>2.10.0</t>
  </si>
  <si>
    <t>2.10.0.01</t>
  </si>
  <si>
    <t>2.10.0.01.01</t>
  </si>
  <si>
    <t>2.10.0.03</t>
  </si>
  <si>
    <t>2.10.0.03.01</t>
  </si>
  <si>
    <t>2.10.0.03.03</t>
  </si>
  <si>
    <t>2.10.0.04</t>
  </si>
  <si>
    <t>2.10.0.04.01</t>
  </si>
  <si>
    <t>2.10.0.04.05</t>
  </si>
  <si>
    <t>2.10.0.05</t>
  </si>
  <si>
    <t>2.10.0.05.03</t>
  </si>
  <si>
    <t>2.10.1</t>
  </si>
  <si>
    <t>2.10.1.04</t>
  </si>
  <si>
    <t>SERVICIOS DE GESTION APOYO</t>
  </si>
  <si>
    <t>2.10.1.04.06</t>
  </si>
  <si>
    <t>2.10.1.06</t>
  </si>
  <si>
    <t>SEGUROS REASEGUROS OTRAS OBLIGACIONES</t>
  </si>
  <si>
    <t>2.10.1.06.01</t>
  </si>
  <si>
    <t>2.10.1.07</t>
  </si>
  <si>
    <t>2.10.1.07.02</t>
  </si>
  <si>
    <t>2.10.6</t>
  </si>
  <si>
    <t>2.10.6.02</t>
  </si>
  <si>
    <t>2.10.6.02.02</t>
  </si>
  <si>
    <t>Becas a terceras personas</t>
  </si>
  <si>
    <t>TOTAL SERVICIO 10</t>
  </si>
  <si>
    <t>2.1.03</t>
  </si>
  <si>
    <t>PRESUPUESTO DE EGRESOS SERVICIO 22 - SEGURIDAD VIAL</t>
  </si>
  <si>
    <t>TOTAL SERVICIO 22</t>
  </si>
  <si>
    <t>010</t>
  </si>
  <si>
    <t>SOCIALES Y COMPLEMENTARIOS</t>
  </si>
  <si>
    <t>022</t>
  </si>
  <si>
    <t>SEGURIDAD VIAL</t>
  </si>
  <si>
    <t>3.2.5</t>
  </si>
  <si>
    <t>3.2.5.02</t>
  </si>
  <si>
    <t>CONSTRUCCIONES ADICIONES Y MEJORAS</t>
  </si>
  <si>
    <t>3.2.5.02.02</t>
  </si>
  <si>
    <t>Vias de Comunicación Terrestre</t>
  </si>
  <si>
    <t>3.5</t>
  </si>
  <si>
    <t>3.5.02</t>
  </si>
  <si>
    <t>3.5.02.02</t>
  </si>
  <si>
    <t>22</t>
  </si>
  <si>
    <t>Aporte Comité Cantonal</t>
  </si>
  <si>
    <t>de la persona jóven</t>
  </si>
  <si>
    <t>10</t>
  </si>
  <si>
    <t>Edificios</t>
  </si>
  <si>
    <t>Federación de Municipalidades de Heredia</t>
  </si>
  <si>
    <t>1.4.6.01.03.02</t>
  </si>
  <si>
    <t>CODIGO</t>
  </si>
  <si>
    <t>DETALLE</t>
  </si>
  <si>
    <t>MONTO</t>
  </si>
  <si>
    <t>PORCENTA-</t>
  </si>
  <si>
    <t>JE RELATIVO</t>
  </si>
  <si>
    <t xml:space="preserve"> </t>
  </si>
  <si>
    <t>INGRESOS TOTALES</t>
  </si>
  <si>
    <t>INGRESOS CORRIENTES</t>
  </si>
  <si>
    <t>1.1</t>
  </si>
  <si>
    <t>INGRESOS TRIBUTARIOS</t>
  </si>
  <si>
    <t>IMPUESTOS SOBRE LA PROPIEDAD</t>
  </si>
  <si>
    <t>IMPUESTOS SOBRE BIENES Y SERVICIOS</t>
  </si>
  <si>
    <t>IMPUESTOS ESPECIFICOS SOBRE LA PRODUCCION Y</t>
  </si>
  <si>
    <t>CONSUMO DE BIENES Y SERVICIOS.</t>
  </si>
  <si>
    <t>CONSUMO DE BIENES .</t>
  </si>
  <si>
    <t>Impuesto Específico sobre la construcción</t>
  </si>
  <si>
    <t>OTROS IMPUESTOS A LOS BIENES Y SERVICIOS</t>
  </si>
  <si>
    <t>ANEXO 7</t>
  </si>
  <si>
    <t>PARTIDAS</t>
  </si>
  <si>
    <t>1  SERVICIOS</t>
  </si>
  <si>
    <t>2  MATERIALES Y SUMINISTROS</t>
  </si>
  <si>
    <t>5  BIENES DURADEROS</t>
  </si>
  <si>
    <t>LICENCIAS PROFECIONALES Y COMERCIALES Y OTROS</t>
  </si>
  <si>
    <t>PERMISOS</t>
  </si>
  <si>
    <t>Patentes Municipales</t>
  </si>
  <si>
    <t>OTROS INGRESOS TRIBUTARIOS</t>
  </si>
  <si>
    <t>IMPUESTO DE TIMBRES</t>
  </si>
  <si>
    <t>Timbres Municipales</t>
  </si>
  <si>
    <t>Timbre Pro-Parques Nacionales</t>
  </si>
  <si>
    <t>INGRESOS NO TRIBUTARIOS</t>
  </si>
  <si>
    <t>VENTA DE BIENES Y SERVICIOS</t>
  </si>
  <si>
    <t>VENTA DE BIENES .</t>
  </si>
  <si>
    <t>Venta de agua</t>
  </si>
  <si>
    <t>VENTA DE SERVICIOS</t>
  </si>
  <si>
    <t>SERVICIOS COMUNITARIOS</t>
  </si>
  <si>
    <t>Servicio de Instalación y Derivación de agua</t>
  </si>
  <si>
    <t>Servicio de Cementerio</t>
  </si>
  <si>
    <t>Servicios de saneamiento ambiental</t>
  </si>
  <si>
    <t>Servicio de Recolección de basura</t>
  </si>
  <si>
    <t>INTERESES MORATORIOS</t>
  </si>
  <si>
    <t>Intereses moratorios por atraso en pago de bienes y servicios</t>
  </si>
  <si>
    <t>TRANSFERENCIAS CORRIENTES</t>
  </si>
  <si>
    <t>TRANSFERENCIAS CORRIENTES DEL SECTOR PUBLICO</t>
  </si>
  <si>
    <t>TRANSFERENCIAS CORRIENTES DE INSTITUCIONES</t>
  </si>
  <si>
    <t>DESENTRALIZADAS NO EMPRESARIALES</t>
  </si>
  <si>
    <t>Aporte IFAM Licores Nacionales y Extranjeros</t>
  </si>
  <si>
    <t>2.1</t>
  </si>
  <si>
    <t>Patentes de Licores</t>
  </si>
  <si>
    <t>TRANSFERENCIAS DE CAPITAL</t>
  </si>
  <si>
    <t>2.4.1</t>
  </si>
  <si>
    <t>Aporte del Gobierno Ley 8114</t>
  </si>
  <si>
    <t>Aporte IFAM Ley 6909</t>
  </si>
  <si>
    <t>MUNICIPALIDAD DE FLORES</t>
  </si>
  <si>
    <t>SECCION DE INGRESOS</t>
  </si>
  <si>
    <t>INS</t>
  </si>
  <si>
    <t>TOTAL</t>
  </si>
  <si>
    <t>I</t>
  </si>
  <si>
    <t>II</t>
  </si>
  <si>
    <t>Parques y obras de ornato</t>
  </si>
  <si>
    <t>II-05</t>
  </si>
  <si>
    <t>Medio ambiente</t>
  </si>
  <si>
    <t>II-25</t>
  </si>
  <si>
    <t>REMUNERACIONES</t>
  </si>
  <si>
    <t>REMUNERACIONES BASICAS</t>
  </si>
  <si>
    <t>Sueldos para cargos fijos</t>
  </si>
  <si>
    <t>Suplencias</t>
  </si>
  <si>
    <t>REMUNERACIONES EVENTUALES</t>
  </si>
  <si>
    <t>1.0.02.01</t>
  </si>
  <si>
    <t>Tiempo extraordinaria</t>
  </si>
  <si>
    <t>1.0.02</t>
  </si>
  <si>
    <t>1.0.01.05</t>
  </si>
  <si>
    <t>1.0.01.01</t>
  </si>
  <si>
    <t>1.0.01</t>
  </si>
  <si>
    <t>1.0</t>
  </si>
  <si>
    <t>1.0.02.05</t>
  </si>
  <si>
    <t>Dietas</t>
  </si>
  <si>
    <t>1.0.03</t>
  </si>
  <si>
    <t>INCENTIVOS SALARIALES</t>
  </si>
  <si>
    <t>1.0.03.01</t>
  </si>
  <si>
    <t>Retribución por años servidos</t>
  </si>
  <si>
    <t>1.0.03.02</t>
  </si>
  <si>
    <t>Retribución al Ejercicio Liberal de la Profeción</t>
  </si>
  <si>
    <t>1.0.03.03</t>
  </si>
  <si>
    <t>Décimo Tercer mes</t>
  </si>
  <si>
    <t>1.0.04</t>
  </si>
  <si>
    <t>CONTRIBUCIONES PATRONALES AL DESA-</t>
  </si>
  <si>
    <t>RROLLO Y LA SEGURIDAD SOCIAL</t>
  </si>
  <si>
    <t>1.0.04.01</t>
  </si>
  <si>
    <t>Contribución Patronal al seguro de salud CCSS</t>
  </si>
  <si>
    <t>1.0.04.05</t>
  </si>
  <si>
    <t>Contribucion patronal al Banco Popular y D.C.</t>
  </si>
  <si>
    <t>1.0.05</t>
  </si>
  <si>
    <t>CONTRIBUCIONES PATRONALES A FONDOS</t>
  </si>
  <si>
    <t>DE PENSIONES Y OTROS FONDOS DE CAP.</t>
  </si>
  <si>
    <t>1.0.05.03</t>
  </si>
  <si>
    <t>Aporte Patronal al Fondo Capitalización Laboral</t>
  </si>
  <si>
    <t>SERVICIOS</t>
  </si>
  <si>
    <t>1.1.02</t>
  </si>
  <si>
    <t>SERVICIOS BASICOS</t>
  </si>
  <si>
    <t>1.1.02.02</t>
  </si>
  <si>
    <t>Servicio de Energía Electrica</t>
  </si>
  <si>
    <t>1.1.02.04</t>
  </si>
  <si>
    <t>Servicio de Telecomunicaciones</t>
  </si>
  <si>
    <t>1.1.03</t>
  </si>
  <si>
    <t>SERVICIOS COMERCIALES Y FINANCIEROS</t>
  </si>
  <si>
    <t>1.1.03.03</t>
  </si>
  <si>
    <t>Impresión, Encuadernación y otros</t>
  </si>
  <si>
    <t>1.1.04</t>
  </si>
  <si>
    <t>SERVICIOS DE GESTION Y APOYO</t>
  </si>
  <si>
    <t>1.1.06</t>
  </si>
  <si>
    <t>SEGUROS, REASEGUROS Y OTRAS OBLIGACIONES</t>
  </si>
  <si>
    <t>1.1.06.01</t>
  </si>
  <si>
    <t>Seguros</t>
  </si>
  <si>
    <t>1.1.08</t>
  </si>
  <si>
    <t>MANTENIMIENTO Y REPARACION</t>
  </si>
  <si>
    <t>1.1.08.05</t>
  </si>
  <si>
    <t>Mantenimiento y Reparación Equipo de Transporte</t>
  </si>
  <si>
    <t>1.2</t>
  </si>
  <si>
    <t>MATERIALES Y SUMINISTROS</t>
  </si>
  <si>
    <t>1.2.01</t>
  </si>
  <si>
    <t>PRODUCTOS QUIMICOS Y CONEXOS</t>
  </si>
  <si>
    <t>1.2.01.01</t>
  </si>
  <si>
    <t>2.3.8</t>
  </si>
  <si>
    <t>2.3.8.02</t>
  </si>
  <si>
    <t>2.3.8.02.03</t>
  </si>
  <si>
    <t>Amortizacion de préstamos de instituiciones desentra-</t>
  </si>
  <si>
    <t>lizadas no empresariales</t>
  </si>
  <si>
    <t>2.8</t>
  </si>
  <si>
    <t>2.8.02</t>
  </si>
  <si>
    <t>2.8.02.03</t>
  </si>
  <si>
    <t>Amortización de prestamos de instituciones desentra-</t>
  </si>
  <si>
    <t>Combustibles y Lubricantes</t>
  </si>
  <si>
    <t>1.2.01.04</t>
  </si>
  <si>
    <t>Tintas Pinturas y diluyentes</t>
  </si>
  <si>
    <t>1.2.99</t>
  </si>
  <si>
    <t>UTILES MATERIALES Y SUMINISTROS DIVERSOS</t>
  </si>
  <si>
    <t>1.2.99.01</t>
  </si>
  <si>
    <t>Utiles y materiales de Oficina y Computo</t>
  </si>
  <si>
    <t>1.2.99.05</t>
  </si>
  <si>
    <t>Utiles y Materiales de Limpieza</t>
  </si>
  <si>
    <t>INTERESES Y COMISIONES</t>
  </si>
  <si>
    <t>INTERESES SOBRE PRESTAMOS</t>
  </si>
  <si>
    <t>BIENES DURADEROS</t>
  </si>
  <si>
    <t>MAQUINARIA EQUIPO Y MOBILIARIO</t>
  </si>
  <si>
    <t>Equipo y programas de computo</t>
  </si>
  <si>
    <t>1.6</t>
  </si>
  <si>
    <t>1.6.01</t>
  </si>
  <si>
    <t>TRANSFERENCIAS CORRIENTES DE SECTOR PUBL</t>
  </si>
  <si>
    <t>1.6.01.01</t>
  </si>
  <si>
    <t>TRANSFERENCIAS CORRIENTES DEL GOB. CENTRAL</t>
  </si>
  <si>
    <t>1.6.01.01.01</t>
  </si>
  <si>
    <t>Organo de Normalización Técnica 1% IBI</t>
  </si>
  <si>
    <t>1.6.01.02</t>
  </si>
  <si>
    <t>TRANSF. CORRIENTES A ORG. DESCONCENTRADOS</t>
  </si>
  <si>
    <t>1.6.01.02.01</t>
  </si>
  <si>
    <t>Junta Administrativa del Registro Nacional</t>
  </si>
  <si>
    <t>1.6.01.02.02</t>
  </si>
  <si>
    <t>Aporte CONAGEBIO 10% Timbre parques nacionales</t>
  </si>
  <si>
    <t>1.6.01.03</t>
  </si>
  <si>
    <t>TRANSF. CORRIENTES A INST. DESENT. NO EMP.</t>
  </si>
  <si>
    <t>1.6.01.03.01</t>
  </si>
  <si>
    <t>Juntas de Educación 10% IBI</t>
  </si>
  <si>
    <t>1.6.01.03.02</t>
  </si>
  <si>
    <t>Consejo Nacional de Rehab. Y Educacion Especial</t>
  </si>
  <si>
    <t>1.6.01.04</t>
  </si>
  <si>
    <t>TRANSFERENCIAS CORRIENTES A GOB. LOCALES</t>
  </si>
  <si>
    <t>1.6.01.04.02</t>
  </si>
  <si>
    <t>Comité Cantonal de Deportes</t>
  </si>
  <si>
    <t>1.6.01.04.03</t>
  </si>
  <si>
    <t>3.2.0</t>
  </si>
  <si>
    <t>3.2.0.01</t>
  </si>
  <si>
    <t>3.2.0.01.01</t>
  </si>
  <si>
    <t>3.2.0.03</t>
  </si>
  <si>
    <t>3.2.0.03.03</t>
  </si>
  <si>
    <t>3.2.0.04</t>
  </si>
  <si>
    <t>3.2.0.04.01</t>
  </si>
  <si>
    <t>3.2.0.04.05</t>
  </si>
  <si>
    <t>3.2.0.05</t>
  </si>
  <si>
    <t>3.2.0.05.03</t>
  </si>
  <si>
    <t>3.0</t>
  </si>
  <si>
    <t>3.0.01</t>
  </si>
  <si>
    <t>3.0.01.01</t>
  </si>
  <si>
    <t>3.0.03</t>
  </si>
  <si>
    <t>3.0.03.03</t>
  </si>
  <si>
    <t>3.0.04</t>
  </si>
  <si>
    <t>3.0.04.01</t>
  </si>
  <si>
    <t>3.0.04.05</t>
  </si>
  <si>
    <t>3.0.05</t>
  </si>
  <si>
    <t>3.0.05.03</t>
  </si>
  <si>
    <t>TRANSFERENCIAS CORRIENTES A PERSONAS</t>
  </si>
  <si>
    <t>Fondo Parques Nacionales</t>
  </si>
  <si>
    <t>AMORTIZACION DE PRESTAMOS</t>
  </si>
  <si>
    <t>2.0.01.01</t>
  </si>
  <si>
    <t>2.0.01</t>
  </si>
  <si>
    <t>2.0</t>
  </si>
  <si>
    <t>2.0.02</t>
  </si>
  <si>
    <t>2.0.02.01</t>
  </si>
  <si>
    <t>2.0.03</t>
  </si>
  <si>
    <t>2.0.03.01</t>
  </si>
  <si>
    <t>2.0.03.03</t>
  </si>
  <si>
    <t>2.0.04</t>
  </si>
  <si>
    <t>2.0.04.01</t>
  </si>
  <si>
    <t>2.0.04.05</t>
  </si>
  <si>
    <t>2.0.05</t>
  </si>
  <si>
    <t>2.0.05.03</t>
  </si>
  <si>
    <t>2.1.01</t>
  </si>
  <si>
    <t>ALQUILERES</t>
  </si>
  <si>
    <t>2.1.01.02</t>
  </si>
  <si>
    <t>Alquiler de maquinaria, Equipo y mobiliario</t>
  </si>
  <si>
    <t>2.1.04</t>
  </si>
  <si>
    <t>2.1.04.06</t>
  </si>
  <si>
    <t>Servicios Generales</t>
  </si>
  <si>
    <t>2.1.02</t>
  </si>
  <si>
    <t>2.1.02.02</t>
  </si>
  <si>
    <t>Servicio de Energia Electrica</t>
  </si>
  <si>
    <t>2.1.06</t>
  </si>
  <si>
    <t>2.1.06.01</t>
  </si>
  <si>
    <t>2.1.07</t>
  </si>
  <si>
    <t>CAPACITACION Y PROTOCOLO</t>
  </si>
  <si>
    <t>2.1.07.02</t>
  </si>
  <si>
    <t>Actividades protocolarias y sociales</t>
  </si>
  <si>
    <t>2.1.08</t>
  </si>
  <si>
    <t>2.1.08.05</t>
  </si>
  <si>
    <t>2.1.99</t>
  </si>
  <si>
    <t>SERVICIOS DIVERSOS</t>
  </si>
  <si>
    <t>2.1.99.01</t>
  </si>
  <si>
    <t>Servicios de regulación</t>
  </si>
  <si>
    <t>2.2</t>
  </si>
  <si>
    <t>2.2.01</t>
  </si>
  <si>
    <t>2.2.01.01</t>
  </si>
  <si>
    <t>2.2.01.04</t>
  </si>
  <si>
    <t>2.2.03</t>
  </si>
  <si>
    <t>MATERIALES Y PRODUCTOS DE USO EN LA CONS</t>
  </si>
  <si>
    <t>TRUCCION Y MANTENIMIENTO</t>
  </si>
  <si>
    <t>2.2.03.01</t>
  </si>
  <si>
    <t>Materiales y productos Metálicos</t>
  </si>
  <si>
    <t>2.2.03.02</t>
  </si>
  <si>
    <t>Materiales y productos Minerales y asfalticos</t>
  </si>
  <si>
    <t>2.2.03.03</t>
  </si>
  <si>
    <t>Maderas y sus derivados</t>
  </si>
  <si>
    <t>2.2.03.06</t>
  </si>
  <si>
    <t>Materiales y productos de plástico</t>
  </si>
  <si>
    <t>2.2.04</t>
  </si>
  <si>
    <t>HERRAMIENTAS REPUESTOS Y ACCESORIOS</t>
  </si>
  <si>
    <t>2.2.04.01</t>
  </si>
  <si>
    <t>Herramientas e Instrumentos</t>
  </si>
  <si>
    <t>2.2.04.02</t>
  </si>
  <si>
    <t>Repuestos y accesorios</t>
  </si>
  <si>
    <t>2.2.02</t>
  </si>
  <si>
    <t>ALIMENTOS Y PRODUCTOS AGROPECUARIOS</t>
  </si>
  <si>
    <t>2.2.02.03</t>
  </si>
  <si>
    <t>Alimentos y bebidas</t>
  </si>
  <si>
    <t>Fondo Plan de Lotificación</t>
  </si>
  <si>
    <t>AMORTIZACION</t>
  </si>
  <si>
    <t>EGRESOS TOTALES</t>
  </si>
  <si>
    <t>SECCION DE EGRESOS</t>
  </si>
  <si>
    <t>DETALLE GENERAL DEL OBJETO DEL GASTO</t>
  </si>
  <si>
    <t>DETALLE DEL OBJETO DEL GASTO PROGRAMA I</t>
  </si>
  <si>
    <t>EGRESOS PROGRAMA I</t>
  </si>
  <si>
    <t>DETALLE DEL OBJETO DEL GASTO PROGRAMA II</t>
  </si>
  <si>
    <t>EGRESOS PROGRAMA II</t>
  </si>
  <si>
    <t>DETALLE DEL OBJETO DEL GASTO PROGRAMA III</t>
  </si>
  <si>
    <t>EGRESOS PROGRAMA III</t>
  </si>
  <si>
    <t>PRESUPUESTO DE EGRESOS PROGRAMA I -  ADMINISTRACION GENERAL</t>
  </si>
  <si>
    <t>TOTAL PROGRAMA I</t>
  </si>
  <si>
    <t>PRESUPUESTO DE EGRESOS PROGRAMA II - SERVICIOS COMUNALES</t>
  </si>
  <si>
    <t>TOTAL PROGRAMA II</t>
  </si>
  <si>
    <t>PRESUPUESTO DE EGRESOS PROGRAMA III -  INVERSIONES</t>
  </si>
  <si>
    <t>TOTAL PROGRAMA III</t>
  </si>
  <si>
    <t>PROGRAMA I: DIRECCION Y ADMINISTRACION GENERALES</t>
  </si>
  <si>
    <t>CLASIFICACION DE EGRESOS</t>
  </si>
  <si>
    <t>ASIGNACION</t>
  </si>
  <si>
    <t>%</t>
  </si>
  <si>
    <t>001</t>
  </si>
  <si>
    <t>ADMINISTRACION GENERAL</t>
  </si>
  <si>
    <t>002</t>
  </si>
  <si>
    <t>AUDITORIA INTERNA</t>
  </si>
  <si>
    <t>004</t>
  </si>
  <si>
    <t>PRESUPUESTO DE EGRESOS SERVICIO 13 - ALCANTARILLADO SANITARIO</t>
  </si>
  <si>
    <t>2.13.1</t>
  </si>
  <si>
    <t>TOTAL SERVICIO 13</t>
  </si>
  <si>
    <t>REGISTRO DE DEUDAS FONDOS Y TRANSFERENC</t>
  </si>
  <si>
    <t>PROGRAMA II: SERVICIOS COMUNALES</t>
  </si>
  <si>
    <t>0.01.03</t>
  </si>
  <si>
    <t>1.04.03</t>
  </si>
  <si>
    <t>Servicios de ingeniería</t>
  </si>
  <si>
    <t>6.01.04</t>
  </si>
  <si>
    <t>1.07.03</t>
  </si>
  <si>
    <t>Gastos de representacion institucional</t>
  </si>
  <si>
    <t>1.04.01</t>
  </si>
  <si>
    <t>1.08.04</t>
  </si>
  <si>
    <t>Manten. Reparac. Maquin. Equipo produc.</t>
  </si>
  <si>
    <t>2.03.99</t>
  </si>
  <si>
    <t>Otros mater. Y product. De uso construc.</t>
  </si>
  <si>
    <t>2.99.08</t>
  </si>
  <si>
    <t>Utiles y materiales de resguardo y segurid.</t>
  </si>
  <si>
    <t>5.02.07</t>
  </si>
  <si>
    <t>5.02.99</t>
  </si>
  <si>
    <t>7.03</t>
  </si>
  <si>
    <t>7.01</t>
  </si>
  <si>
    <t>TRANSF. DE CAPITAL SECTOR PUBL.</t>
  </si>
  <si>
    <t>7.01.03</t>
  </si>
  <si>
    <t>Transf. cap. Inst. desent. No empresariales</t>
  </si>
  <si>
    <t>AMORTIZACION A PRESTAMOS</t>
  </si>
  <si>
    <t>6.01.06</t>
  </si>
  <si>
    <t>Otras transf. corrient. Del sector privado</t>
  </si>
  <si>
    <t>RECOLECCION DE BASURA</t>
  </si>
  <si>
    <t>003</t>
  </si>
  <si>
    <t>MANTENIMIENTO DE CAMINOS Y CALLES</t>
  </si>
  <si>
    <t>CEMENTERIO</t>
  </si>
  <si>
    <t>006</t>
  </si>
  <si>
    <t>ACUEDUCTOS</t>
  </si>
  <si>
    <t>025</t>
  </si>
  <si>
    <t>PROTECCION DEL MEDIO AMBIENTE</t>
  </si>
  <si>
    <t>PROGRAMA III: INVERSIONES</t>
  </si>
  <si>
    <t>VIAS DE COMUNICACIÓN TERRESTRE</t>
  </si>
  <si>
    <t>007</t>
  </si>
  <si>
    <t>OTROS FONDOS E INVERSIONES</t>
  </si>
  <si>
    <t>1.1.0</t>
  </si>
  <si>
    <t>1.1.0.01</t>
  </si>
  <si>
    <t>1.1.0.01.01</t>
  </si>
  <si>
    <t>11.0.01.05</t>
  </si>
  <si>
    <t>1.1.0.02</t>
  </si>
  <si>
    <t>1.1.0.02.01</t>
  </si>
  <si>
    <t>1.1.0.02.05</t>
  </si>
  <si>
    <t>TOTAL ADMINISTRACION GENERAL</t>
  </si>
  <si>
    <t>1.1.0.03</t>
  </si>
  <si>
    <t>1.1.0.03.01</t>
  </si>
  <si>
    <t>1.1.0.03.03</t>
  </si>
  <si>
    <t>1.1.0.04</t>
  </si>
  <si>
    <t>1.1.0.04.01</t>
  </si>
  <si>
    <t>1.1.0.04.05</t>
  </si>
  <si>
    <t>1.1.0.05</t>
  </si>
  <si>
    <t>1.1.1</t>
  </si>
  <si>
    <t>1.1.1.02</t>
  </si>
  <si>
    <t>1.1.1.02.02</t>
  </si>
  <si>
    <t>1.1.1.02.04</t>
  </si>
  <si>
    <t>1.1.1.03</t>
  </si>
  <si>
    <t>1.1.1.03.03</t>
  </si>
  <si>
    <t>1.1.1.04</t>
  </si>
  <si>
    <t>1.1.1.06</t>
  </si>
  <si>
    <t>1.1.1.06.01</t>
  </si>
  <si>
    <t>1.1.1.08</t>
  </si>
  <si>
    <t>1.1.1.08.05</t>
  </si>
  <si>
    <t>1.1.2.01</t>
  </si>
  <si>
    <t>1.1.2</t>
  </si>
  <si>
    <t>1.1.2.01.01</t>
  </si>
  <si>
    <t>1.1.2.01.04</t>
  </si>
  <si>
    <t>1.1.2.99</t>
  </si>
  <si>
    <t>1.1.2.99.01</t>
  </si>
  <si>
    <t>1.1.2.99.05</t>
  </si>
  <si>
    <t>PRESUPUESTO DE EGRESOS PROGRAMA I -  AUDITORIA INTERNA</t>
  </si>
  <si>
    <t>1.2.0</t>
  </si>
  <si>
    <t>1.2.0.01</t>
  </si>
  <si>
    <t>1.2.0.01.01</t>
  </si>
  <si>
    <t>1.2.0.03.02</t>
  </si>
  <si>
    <t>TOTAL AUDITORIA INTERNA</t>
  </si>
  <si>
    <t>1.2.0.03</t>
  </si>
  <si>
    <t>1.2.0.03.01</t>
  </si>
  <si>
    <t>1.2.0.03.03</t>
  </si>
  <si>
    <t>1.2.0.04</t>
  </si>
  <si>
    <t>1.2.0.04.01</t>
  </si>
  <si>
    <t>1.2.0.04.05</t>
  </si>
  <si>
    <t>1.2.0.05</t>
  </si>
  <si>
    <t>1.2.0.05.03</t>
  </si>
  <si>
    <t>1.2.1</t>
  </si>
  <si>
    <t>1.2.1.06</t>
  </si>
  <si>
    <t>1.2.1.06.01</t>
  </si>
  <si>
    <t>1.2.2</t>
  </si>
  <si>
    <t>1.2.2.99</t>
  </si>
  <si>
    <t>1.2.2.99.01</t>
  </si>
  <si>
    <t>PRESUPUESTO DE EGRESOS PROGRAMA I -  REGISTRO DE DEUDAS FONDOS Y TRANSFERENCIAS</t>
  </si>
  <si>
    <t>TOTAL REGISTRO DE DEUDAS FONDOS Y TRANSFERENCIAS</t>
  </si>
  <si>
    <t>1.4.6</t>
  </si>
  <si>
    <t>1.4.6.01</t>
  </si>
  <si>
    <t>1.4.6.01.01</t>
  </si>
  <si>
    <t>1.4.6.01.01.01</t>
  </si>
  <si>
    <t>1.4.6.01.02</t>
  </si>
  <si>
    <t>1.4.6.01.02.01</t>
  </si>
  <si>
    <t>1.4.6.01.02.02</t>
  </si>
  <si>
    <t>1.4.6.01.03</t>
  </si>
  <si>
    <t>1.4.6.01.03.01</t>
  </si>
  <si>
    <t>1.4.6.01.04</t>
  </si>
  <si>
    <t>1.4.6.01.04.02</t>
  </si>
  <si>
    <t>1.4.6.01.04.03</t>
  </si>
  <si>
    <t>2.2.1</t>
  </si>
  <si>
    <t>TOTAL SERVICIO 2</t>
  </si>
  <si>
    <t>2.3.0</t>
  </si>
  <si>
    <t>2.3.0.01</t>
  </si>
  <si>
    <t>2.3.0.01.01</t>
  </si>
  <si>
    <t>2.3.0.02</t>
  </si>
  <si>
    <t>2.3.0.02.01</t>
  </si>
  <si>
    <t>2.3.0.03</t>
  </si>
  <si>
    <t>2.3.0.03.01</t>
  </si>
  <si>
    <t>2.3.0.03.03</t>
  </si>
  <si>
    <t>2.3.0.04</t>
  </si>
  <si>
    <t>2.3.0.04.01</t>
  </si>
  <si>
    <t>2.3.0.04.05</t>
  </si>
  <si>
    <t>2.3.0.05</t>
  </si>
  <si>
    <t>2.3.0.05.03</t>
  </si>
  <si>
    <t>2.3.1</t>
  </si>
  <si>
    <t>2.3.1.06</t>
  </si>
  <si>
    <t>2.3.1.06.01</t>
  </si>
  <si>
    <t>2.3.1.08</t>
  </si>
  <si>
    <t>2.3.2</t>
  </si>
  <si>
    <t>2.3.2.01</t>
  </si>
  <si>
    <t>2.3.2.01.01</t>
  </si>
  <si>
    <t>2.3.2.03</t>
  </si>
  <si>
    <t>2.3.2.03.02</t>
  </si>
  <si>
    <t>2.3.2.04</t>
  </si>
  <si>
    <t>TOTAL SERVICIO 3</t>
  </si>
  <si>
    <t>2.4.0.01</t>
  </si>
  <si>
    <t>2.4.0.01.01</t>
  </si>
  <si>
    <t>2.4.0.02</t>
  </si>
  <si>
    <t>2.4.0.02.01</t>
  </si>
  <si>
    <t>2.4.0.03</t>
  </si>
  <si>
    <t>2.4.0.03.01</t>
  </si>
  <si>
    <t>2.4.0.03.03</t>
  </si>
  <si>
    <t>2.4.0.04</t>
  </si>
  <si>
    <t>2.4.0.04.01</t>
  </si>
  <si>
    <t>2.4.0.04.05</t>
  </si>
  <si>
    <t>2.4.0.05</t>
  </si>
  <si>
    <t>2.4.0.05.03</t>
  </si>
  <si>
    <t>2.4.1.06</t>
  </si>
  <si>
    <t>2.4.1.06.01</t>
  </si>
  <si>
    <t>TOTAL SERVICIO 4</t>
  </si>
  <si>
    <t>2.6.0</t>
  </si>
  <si>
    <t>PRESUPUESTO DE EGRESOS SERVICIO 2 - RECOLECCION DE BASURA</t>
  </si>
  <si>
    <t>PRESUPUESTO DE EGRESOS SERVICIO 3 - MANTENIMIENTO CAMINOS Y CALLES</t>
  </si>
  <si>
    <t>PRESUPUESTO DE EGRESOS SERVICIO 4 - CEMENTERIO</t>
  </si>
  <si>
    <t>PRESUPUESTO DE EGRESOS SERVICIO 6 - ACUEDUCTO</t>
  </si>
  <si>
    <t>2.6.0.01</t>
  </si>
  <si>
    <t>2.6.0.01.01</t>
  </si>
  <si>
    <t>2.6.0.02</t>
  </si>
  <si>
    <t>2.6.0.02.01</t>
  </si>
  <si>
    <t>2.6.0.03</t>
  </si>
  <si>
    <t>2.6.0.03.01</t>
  </si>
  <si>
    <t>2.3.1.08.04</t>
  </si>
  <si>
    <t>Manten. Y Reparac. Maqu. Equipo Producción</t>
  </si>
  <si>
    <t>2.1.08.04</t>
  </si>
  <si>
    <t>2.1.2</t>
  </si>
  <si>
    <t>HERRAMIENTAS REPUESTOS ACCESORIOS</t>
  </si>
  <si>
    <t>2.3.2.03.06</t>
  </si>
  <si>
    <t>2.3.2.99.06</t>
  </si>
  <si>
    <t>2.6.1.03</t>
  </si>
  <si>
    <t>2.6.1.03.02</t>
  </si>
  <si>
    <t>2.1.03.02</t>
  </si>
  <si>
    <t>Textiles y vestuarios</t>
  </si>
  <si>
    <t>3.2.1</t>
  </si>
  <si>
    <t>INGRESOS DE LA PROPIEDAD</t>
  </si>
  <si>
    <t>RENTA DE ACTIVOS FINANCIEROS</t>
  </si>
  <si>
    <t>OTRAS RENTAS DE ACTIVOS FINANCIEROS</t>
  </si>
  <si>
    <t>Intereses sobre cuentas corrientes y otros dep. Bancos Est.</t>
  </si>
  <si>
    <t>1.3.2.0.00.00.0.0.000</t>
  </si>
  <si>
    <t>1.3.2.3.00.00.0.0.000</t>
  </si>
  <si>
    <t>1.3.2.3.03.00.0.0.000</t>
  </si>
  <si>
    <t>1.3.2.3.03.01.0.0.000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</si>
  <si>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</si>
  <si>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</si>
  <si>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</si>
  <si>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</si>
  <si>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</si>
  <si>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</si>
  <si>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1.3.3.1.09.01.0.0.000</t>
  </si>
  <si>
    <t>Otras multas sobre permisos de construcción</t>
  </si>
  <si>
    <t>PRESTACIONES</t>
  </si>
  <si>
    <t>Prestaciones legales</t>
  </si>
  <si>
    <t>MATER. Y PRODUC. DE USO EN LA CONS. MANT.</t>
  </si>
  <si>
    <t>6.03.01</t>
  </si>
  <si>
    <t>ADQUISICIÓN DE BIENES Y SERVICIOS (ARTÍCULO 3 DEL REGLAMENTO SOBRE</t>
  </si>
  <si>
    <t>REFRENDO DE LAS CONTRATACIONES DE LA ADMINISTRACION PUBLICA)</t>
  </si>
  <si>
    <t>TOTAL SERVICIO 28</t>
  </si>
  <si>
    <t>Intereses s/ cuentas corientes y otros dep.</t>
  </si>
  <si>
    <t>1.3.3..09.01.0.0.000</t>
  </si>
  <si>
    <t>Otras multas s/permisos de construcción</t>
  </si>
  <si>
    <t>Recoleccion de basura</t>
  </si>
  <si>
    <t>Sumas libres sin asignación presupuestaria</t>
  </si>
  <si>
    <t>2.2.1.04</t>
  </si>
  <si>
    <t>2.2.1.04.06</t>
  </si>
  <si>
    <t>9.02.01</t>
  </si>
  <si>
    <t>3.2.0.03.01</t>
  </si>
  <si>
    <t>3.0.03.01</t>
  </si>
  <si>
    <t>SEGUROS REASEGUROS Y OTRAS OBLIGACIONES</t>
  </si>
  <si>
    <t>3.2.1.06</t>
  </si>
  <si>
    <t>3.2.1.06.01</t>
  </si>
  <si>
    <t>3.1.06</t>
  </si>
  <si>
    <t>3.1.06.01</t>
  </si>
  <si>
    <t xml:space="preserve">Seguros. </t>
  </si>
  <si>
    <t>MONTO DEL PRESUPUESTO ORDINARIO</t>
  </si>
  <si>
    <t>Límite para gastos administración 40%</t>
  </si>
  <si>
    <t>de los ingresos ordinarios (art.93 del C.M.)</t>
  </si>
  <si>
    <t>Gastos de administración aplicados</t>
  </si>
  <si>
    <t>GASTOS DE ADMINISTRACION</t>
  </si>
  <si>
    <t>Remuneraciones, servicios,materiales y suministros, intereses y comisiones.</t>
  </si>
  <si>
    <t>1.1.1.01.03</t>
  </si>
  <si>
    <t>Alquiler de equipo de computo</t>
  </si>
  <si>
    <t>1.1.01.03</t>
  </si>
  <si>
    <t>1.1.1.02.03</t>
  </si>
  <si>
    <t>Servicios de correo</t>
  </si>
  <si>
    <t>1.1.02.03</t>
  </si>
  <si>
    <t>1.1.1.04.99</t>
  </si>
  <si>
    <t>Otros servicios de gestion y apoyo</t>
  </si>
  <si>
    <t>1.1.04.99</t>
  </si>
  <si>
    <t>1.1.1.05</t>
  </si>
  <si>
    <t>GASTOS DE VIAJE Y DE TRANSPORTE</t>
  </si>
  <si>
    <t>1.1.1.05.01</t>
  </si>
  <si>
    <t>1.1.1.05.02</t>
  </si>
  <si>
    <t>1.1.05</t>
  </si>
  <si>
    <t>1.1.05.01</t>
  </si>
  <si>
    <t>1.1.05.02</t>
  </si>
  <si>
    <t>1.1.1.09</t>
  </si>
  <si>
    <t>IMPUESTOS</t>
  </si>
  <si>
    <t>1.1.1.09.99</t>
  </si>
  <si>
    <t>Otros impuestos</t>
  </si>
  <si>
    <t>1.1.09</t>
  </si>
  <si>
    <t>1.1.09.99</t>
  </si>
  <si>
    <t>1.1.2.01.02</t>
  </si>
  <si>
    <t>Productos farmaceuticos y medicinales</t>
  </si>
  <si>
    <t>1.2.01.02</t>
  </si>
  <si>
    <t>1.1.2.03.04</t>
  </si>
  <si>
    <t>Materiales y prod. Electr. Telef. Y de computo</t>
  </si>
  <si>
    <t>1.2.03.04</t>
  </si>
  <si>
    <t>Materiales y produc. Electr. Telf. Y de computo</t>
  </si>
  <si>
    <t>1.1.2.04</t>
  </si>
  <si>
    <t>1.1.2.04.01</t>
  </si>
  <si>
    <t>1.1.2.04.02</t>
  </si>
  <si>
    <t>1.2.04</t>
  </si>
  <si>
    <t>1.2.04.01</t>
  </si>
  <si>
    <t>1.2.04.02</t>
  </si>
  <si>
    <t>2.2.99.05</t>
  </si>
  <si>
    <t>2.3.1.01</t>
  </si>
  <si>
    <t>2.3.1.01.02</t>
  </si>
  <si>
    <t>2.3.1.04</t>
  </si>
  <si>
    <t>2.3.1.04.99</t>
  </si>
  <si>
    <t>2.3.1.08.99</t>
  </si>
  <si>
    <t>Mantenimiento y reparación de otros equipos</t>
  </si>
  <si>
    <t>2.1.04.03</t>
  </si>
  <si>
    <t>Servicios de ingenieria</t>
  </si>
  <si>
    <t>2.1.08.99</t>
  </si>
  <si>
    <t>2.3.1.09</t>
  </si>
  <si>
    <t>2.3.1.09.99</t>
  </si>
  <si>
    <t>2.1.09</t>
  </si>
  <si>
    <t>2.1.09.99</t>
  </si>
  <si>
    <t>2.2.99.06</t>
  </si>
  <si>
    <t>2.6.1.04.03</t>
  </si>
  <si>
    <t>2.6.1.07</t>
  </si>
  <si>
    <t>2.6.1.07.01</t>
  </si>
  <si>
    <t>2.1.07.01</t>
  </si>
  <si>
    <t>2.3.2.01.99</t>
  </si>
  <si>
    <t>2.6.2.03.04</t>
  </si>
  <si>
    <t>Materiles y productos, telefonicos y de computo</t>
  </si>
  <si>
    <t>2.2.03.04</t>
  </si>
  <si>
    <t>Materiales y productos electricos, telefonicos y comp.</t>
  </si>
  <si>
    <t>Servicios Generales (persona jóven)</t>
  </si>
  <si>
    <t>2.1.05</t>
  </si>
  <si>
    <t>2.1.05.01</t>
  </si>
  <si>
    <t>2.13.2</t>
  </si>
  <si>
    <t>2.13.2.04.</t>
  </si>
  <si>
    <t>2.13.2.04.01</t>
  </si>
  <si>
    <t>2.13.2.99</t>
  </si>
  <si>
    <t>2.13.2.99.05</t>
  </si>
  <si>
    <t>2.13.2.99.06</t>
  </si>
  <si>
    <t>2.22.2</t>
  </si>
  <si>
    <t>2.1.03.01</t>
  </si>
  <si>
    <t>3.1.04</t>
  </si>
  <si>
    <t>1.1.2.99.99</t>
  </si>
  <si>
    <t>1.2.99.99</t>
  </si>
  <si>
    <t>2.3.2.99.05</t>
  </si>
  <si>
    <t>1.3.1.2.05.01.0.0.000</t>
  </si>
  <si>
    <t>Servicios de alcantarillado sanitario y pluvial</t>
  </si>
  <si>
    <t>2.13.1.08</t>
  </si>
  <si>
    <t>3.2.0.03.02</t>
  </si>
  <si>
    <t>3.0.03.02</t>
  </si>
  <si>
    <t>Retribución al ejercicio liberal de la profecion</t>
  </si>
  <si>
    <t>Impresión encuadernacion y otros</t>
  </si>
  <si>
    <t>Alcantarillado sanitario y pluvial</t>
  </si>
  <si>
    <t>07</t>
  </si>
  <si>
    <t>1.01.03</t>
  </si>
  <si>
    <t>1.09.99</t>
  </si>
  <si>
    <t>1.02.03</t>
  </si>
  <si>
    <t>2.01.02</t>
  </si>
  <si>
    <t>Productos medicinales y farmaceuticos</t>
  </si>
  <si>
    <t>5.10.06</t>
  </si>
  <si>
    <t>Equipo sanitario de laboratorio e investigac.</t>
  </si>
  <si>
    <t>4-Pr-1354-0112</t>
  </si>
  <si>
    <t>Plan regulador</t>
  </si>
  <si>
    <t>SALARIO DEL ALCALDE Y VICE-ALCALDESA</t>
  </si>
  <si>
    <t>Salario base Vice-Alcaldesa 80% salario base del</t>
  </si>
  <si>
    <t>Alcalde artículo 20 del Código Municipal</t>
  </si>
  <si>
    <t>SALARIO DE LA VICE-ALCALDESA</t>
  </si>
  <si>
    <t>MAS</t>
  </si>
  <si>
    <t>ELABORADO POR: ALLEN BARRANTES NÚÑEZ</t>
  </si>
  <si>
    <t>2.4.0</t>
  </si>
  <si>
    <t>GERARDO ROJAS BARRANTES</t>
  </si>
  <si>
    <t>ALCALDE MUNICIPAL</t>
  </si>
  <si>
    <t>ANEXO 8</t>
  </si>
  <si>
    <t>INCENTIVOS SALARIALES QUE SE RECONOCEN EN LA ENTIDAD</t>
  </si>
  <si>
    <t>INCENTIVO SALARIAL</t>
  </si>
  <si>
    <t>BASE LEGAL</t>
  </si>
  <si>
    <t>PROCEDIMIENTO DE CÁLCULO</t>
  </si>
  <si>
    <t>OTRA INFORMACIÓN IMPORTANTE</t>
  </si>
  <si>
    <t>La Administración debe contar con los expedientes correspondientes para los casos donde otorgue incentivos salariales, estableciendo el fundamento jurídico y el estudio técnico realizado y estar disponibles como parte del Componente Sistemas de Información que establece el artículo 16 de la Ley General de Control Interno.</t>
  </si>
  <si>
    <t>Anualidad</t>
  </si>
  <si>
    <t>Prohibición del ejercicio liberal de la profeción</t>
  </si>
  <si>
    <t>Dedicación exclusiva</t>
  </si>
  <si>
    <t>Ley 8422</t>
  </si>
  <si>
    <t>Ley 6835</t>
  </si>
  <si>
    <t>Ley 6008</t>
  </si>
  <si>
    <t>3% sobre el salario base</t>
  </si>
  <si>
    <t>65% sobre el salario base</t>
  </si>
  <si>
    <t>55% sobre el salario base</t>
  </si>
  <si>
    <t>1.1.0.05.03</t>
  </si>
  <si>
    <t>1.1.0.05.01</t>
  </si>
  <si>
    <t>Contrib.Patronal al seguro de pensiones de la C.C.S.S.</t>
  </si>
  <si>
    <t>1.0.05.01</t>
  </si>
  <si>
    <t>2.0.05.01</t>
  </si>
  <si>
    <t>2.3.0.05.01</t>
  </si>
  <si>
    <t>2.4.0.05.01</t>
  </si>
  <si>
    <t>2.6.0.05.01</t>
  </si>
  <si>
    <t>2.10.0.05.01</t>
  </si>
  <si>
    <t>3.2.0.05.01</t>
  </si>
  <si>
    <t>3.0.05.01</t>
  </si>
  <si>
    <t>1.01.02</t>
  </si>
  <si>
    <t>Alquiler de maquinaria equipo y mob.</t>
  </si>
  <si>
    <t>2.10.0.03.02</t>
  </si>
  <si>
    <t>2.4.1.2.02.00.0.0.000</t>
  </si>
  <si>
    <t>1.3.1.2.09.00.0.0.000</t>
  </si>
  <si>
    <t>OTROS SERVICIOS</t>
  </si>
  <si>
    <t>1.3.1.2.09.09.0.0.000</t>
  </si>
  <si>
    <t>Servicio de Certificaciones</t>
  </si>
  <si>
    <t>1.2.1.07</t>
  </si>
  <si>
    <t>1.2.1.07.01</t>
  </si>
  <si>
    <t>2.1.1</t>
  </si>
  <si>
    <t>2.1.1.08</t>
  </si>
  <si>
    <t>2.1.1.08.99</t>
  </si>
  <si>
    <t>2.3.2.04.02</t>
  </si>
  <si>
    <t>2.3.5</t>
  </si>
  <si>
    <t>2.3.5.01</t>
  </si>
  <si>
    <t>2.3.5.01.99</t>
  </si>
  <si>
    <t>2.6.1.02.99</t>
  </si>
  <si>
    <t>2.1.02.99</t>
  </si>
  <si>
    <t>2.6.1.05</t>
  </si>
  <si>
    <t>2.6.1.05.01</t>
  </si>
  <si>
    <t>2.6.1.08.08</t>
  </si>
  <si>
    <t>Mantenim. y reparac. equipo de computo y sist. Informac.</t>
  </si>
  <si>
    <t>2.1.08.08</t>
  </si>
  <si>
    <t>Manten. Repar. Equipo de computo y sistemas inform.</t>
  </si>
  <si>
    <t>2.6.5.01.05</t>
  </si>
  <si>
    <t>2.5.01.05</t>
  </si>
  <si>
    <t>2.6.5.02.99</t>
  </si>
  <si>
    <t>2.5.02.99</t>
  </si>
  <si>
    <t>2.22.1</t>
  </si>
  <si>
    <t>2.22.1.01</t>
  </si>
  <si>
    <t>2.22.1.01.02</t>
  </si>
  <si>
    <t>2.22.2.04</t>
  </si>
  <si>
    <t>2.22.2.04.01</t>
  </si>
  <si>
    <t>2.22.2.99</t>
  </si>
  <si>
    <t>UTILES MATERIALES Y SUMINIST. DIVERSOS</t>
  </si>
  <si>
    <t>2.22.2.99.06</t>
  </si>
  <si>
    <t>Utiles materiales de resguardo y seguridad</t>
  </si>
  <si>
    <t>PRESUPUESTO DE EGRESOS PROGRAMA III -  OTROS PROYECTOS</t>
  </si>
  <si>
    <t>3.6.1</t>
  </si>
  <si>
    <t>3.6.1.04</t>
  </si>
  <si>
    <t>TOTAL PROYECTO 6</t>
  </si>
  <si>
    <t>Equipo de transporte</t>
  </si>
  <si>
    <t>OTROS PROYECTOS</t>
  </si>
  <si>
    <t>1.3.1.2.09.09.2.0.000</t>
  </si>
  <si>
    <t>2.1.2.1.01.00.0.0.000</t>
  </si>
  <si>
    <t>Otros proyectos</t>
  </si>
  <si>
    <t>Intereses sobre préstamos</t>
  </si>
  <si>
    <t>Mantenimiento Caminos</t>
  </si>
  <si>
    <t>Emergencias cantonales</t>
  </si>
  <si>
    <t>Recolección de basura</t>
  </si>
  <si>
    <t>5.01.02</t>
  </si>
  <si>
    <t>3.6.1.04.06</t>
  </si>
  <si>
    <t>Servicios Generales CECUDI</t>
  </si>
  <si>
    <t>3.1.04.06</t>
  </si>
  <si>
    <t>Aporte FODESAF para CECUDI</t>
  </si>
  <si>
    <t>1.1.1.08.08</t>
  </si>
  <si>
    <t>Mantenim. y reparac. Equipo de comp. Sist.informac</t>
  </si>
  <si>
    <t>1.1.08.08</t>
  </si>
  <si>
    <t>Manten. Y reparac. Equi`po comp. Y sistem. Informac.</t>
  </si>
  <si>
    <t>1.4.6.06.02</t>
  </si>
  <si>
    <t>Reintegros o devoluciones</t>
  </si>
  <si>
    <t>Reintegros y devoluciones</t>
  </si>
  <si>
    <t>SERVICIO DE LA DEUDA</t>
  </si>
  <si>
    <t>PRESTATARIA</t>
  </si>
  <si>
    <t>1.6.06</t>
  </si>
  <si>
    <t>1.6.06.02</t>
  </si>
  <si>
    <t>2.3.2.01.02</t>
  </si>
  <si>
    <t>2.2.01.02</t>
  </si>
  <si>
    <t>2.3.2.01.04</t>
  </si>
  <si>
    <t>2.6.1.03.01</t>
  </si>
  <si>
    <t>2.13.2.01</t>
  </si>
  <si>
    <t>2.13.2.01.01</t>
  </si>
  <si>
    <t>2.13.2.01.02</t>
  </si>
  <si>
    <t>3.7.7.03.01.01</t>
  </si>
  <si>
    <t>3.7.7.03.01.02</t>
  </si>
  <si>
    <t>3.7.7.03.01.03</t>
  </si>
  <si>
    <t>Aporte CENCINAI de Flores</t>
  </si>
  <si>
    <t>Aporte Cruz Roja de Flores</t>
  </si>
  <si>
    <t>3-002-045433</t>
  </si>
  <si>
    <t>Contratar chofer para ambulancia</t>
  </si>
  <si>
    <t>3-002-351622</t>
  </si>
  <si>
    <t>Ley 8809</t>
  </si>
  <si>
    <t>Mant.Instalac.buseta para traslado de niños</t>
  </si>
  <si>
    <t>2.2.1.06</t>
  </si>
  <si>
    <t>2.2.1.06.01</t>
  </si>
  <si>
    <t>2.2.0</t>
  </si>
  <si>
    <t>2.2.0.01</t>
  </si>
  <si>
    <t>2.2.0.01.01</t>
  </si>
  <si>
    <t>2.2.0.03</t>
  </si>
  <si>
    <t>2.2.0.03.01</t>
  </si>
  <si>
    <t>2.2.0.03.03</t>
  </si>
  <si>
    <t>2.2.0.04</t>
  </si>
  <si>
    <t>2.2.0.04.01</t>
  </si>
  <si>
    <t>2.2.0.04.05</t>
  </si>
  <si>
    <t>2.2.0.05</t>
  </si>
  <si>
    <t>2.2.0.05.01</t>
  </si>
  <si>
    <t>2.2.0.05.03</t>
  </si>
  <si>
    <t>1.0.03.04</t>
  </si>
  <si>
    <t>Salario Escolar</t>
  </si>
  <si>
    <t>1.1.0.03.04</t>
  </si>
  <si>
    <t>1.2.0.03.04</t>
  </si>
  <si>
    <t>2.2.0.03.04</t>
  </si>
  <si>
    <t>2.0.03.04</t>
  </si>
  <si>
    <t>2.3.0.03.04</t>
  </si>
  <si>
    <t>2.4.0.03.04</t>
  </si>
  <si>
    <t>2.6.0.03.04</t>
  </si>
  <si>
    <t>2.10.0.03.04</t>
  </si>
  <si>
    <t>3.0.03.04</t>
  </si>
  <si>
    <t>3.2.0.03.04</t>
  </si>
  <si>
    <t>0.03.04</t>
  </si>
  <si>
    <t>2.6.1.02.01</t>
  </si>
  <si>
    <t>Servicio de Agua y Alcantarillado</t>
  </si>
  <si>
    <t>2.1.2.01</t>
  </si>
  <si>
    <t>Servicio de agua y alcantarillado</t>
  </si>
  <si>
    <t>Aporte Escuela de Llorente de Flores</t>
  </si>
  <si>
    <t>3.7.7.03.01.04</t>
  </si>
  <si>
    <t>3-008-084739</t>
  </si>
  <si>
    <t>Mantenimiento Instalaciones Escuela</t>
  </si>
  <si>
    <t>2.2.0.02</t>
  </si>
  <si>
    <t>2.2.0.02.01</t>
  </si>
  <si>
    <t>3.2.0.02</t>
  </si>
  <si>
    <t>3.2.0.02.01</t>
  </si>
  <si>
    <t>3.0.02</t>
  </si>
  <si>
    <t>3.0.02.01</t>
  </si>
  <si>
    <t>2.6.1.09</t>
  </si>
  <si>
    <t>2.6.1.09.99</t>
  </si>
  <si>
    <t>3.2.1.09</t>
  </si>
  <si>
    <t>3.2.1.09.99</t>
  </si>
  <si>
    <t>3.1.09</t>
  </si>
  <si>
    <t>3.1.09.99</t>
  </si>
  <si>
    <t>1.1.1.04.06</t>
  </si>
  <si>
    <t>1.1.04.06</t>
  </si>
  <si>
    <t>1.1.2.99.02</t>
  </si>
  <si>
    <t>Utiles y mat. Médico hospit. Y de investigación</t>
  </si>
  <si>
    <t>1.2.99.02</t>
  </si>
  <si>
    <t>1.1.2.99.03</t>
  </si>
  <si>
    <t>1.2.99.03</t>
  </si>
  <si>
    <t>2.13.0</t>
  </si>
  <si>
    <t>2.13.0.01</t>
  </si>
  <si>
    <t>2.13.0.01.01</t>
  </si>
  <si>
    <t>2.13.0.03</t>
  </si>
  <si>
    <t>2.13.0.03.01</t>
  </si>
  <si>
    <t>2.13.0.03.03</t>
  </si>
  <si>
    <t>2.13.0.03.04</t>
  </si>
  <si>
    <t>2.13.0.04</t>
  </si>
  <si>
    <t>2.13.0.04.01</t>
  </si>
  <si>
    <t>2.13.0.04.05</t>
  </si>
  <si>
    <t>2.13.0.05</t>
  </si>
  <si>
    <t>2.13.0.05.01</t>
  </si>
  <si>
    <t>2.13.0.05.03</t>
  </si>
  <si>
    <t>2.13.1.02</t>
  </si>
  <si>
    <t>2.13.1.02.02</t>
  </si>
  <si>
    <t>2.13.1.04</t>
  </si>
  <si>
    <t>2.13.1.04.06</t>
  </si>
  <si>
    <t>2.13.1.99</t>
  </si>
  <si>
    <t>2.13.1.99.01</t>
  </si>
  <si>
    <t>2.13.2.01.99</t>
  </si>
  <si>
    <t>Otros productos químicos</t>
  </si>
  <si>
    <t>2.13.2.99.04</t>
  </si>
  <si>
    <t>2.1.0.0.00.00.0.0.000</t>
  </si>
  <si>
    <t>VENTA DE ACTIVOS</t>
  </si>
  <si>
    <t>2.1.1.0.00.00.0.0.000</t>
  </si>
  <si>
    <t>VENTA DE ACTIVOS FIJOS</t>
  </si>
  <si>
    <t>2.1.1.3.00.00.0.0.000</t>
  </si>
  <si>
    <t>Venta de maquinaria y equipo</t>
  </si>
  <si>
    <t>2.6.2.99.99</t>
  </si>
  <si>
    <t>2.4.2</t>
  </si>
  <si>
    <t>2.4.2.01</t>
  </si>
  <si>
    <t>2.4.2.01.01</t>
  </si>
  <si>
    <t>2.4.2.01.04</t>
  </si>
  <si>
    <t>2.4.2.01.99</t>
  </si>
  <si>
    <t>2.4.2.04</t>
  </si>
  <si>
    <t>2.4.2.04.01</t>
  </si>
  <si>
    <t>2.10.2.99.01</t>
  </si>
  <si>
    <t>3.7.7.03.01.05</t>
  </si>
  <si>
    <t>3.7.7.03.01.06</t>
  </si>
  <si>
    <t>Aporte Escuela Ramón Barrantes Herrera</t>
  </si>
  <si>
    <t>3-008-087476</t>
  </si>
  <si>
    <t>3-008-261241</t>
  </si>
  <si>
    <t>Aporte Colegio Técnico Profecional de Flores</t>
  </si>
  <si>
    <t>2.99.02</t>
  </si>
  <si>
    <t>Utiles Mater. Médico Hosp. E investigación</t>
  </si>
  <si>
    <t>1.02.01</t>
  </si>
  <si>
    <t>5.01.01</t>
  </si>
  <si>
    <t>Maquinaria y equipo para la produccion</t>
  </si>
  <si>
    <t>3.7.7.03.01.07</t>
  </si>
  <si>
    <t>Consejo Nacional de Personas con Discapacidad</t>
  </si>
  <si>
    <t>1.3.1.2.05.09.0.0.000</t>
  </si>
  <si>
    <t>Otros servicios comunitarios CECUDI</t>
  </si>
  <si>
    <t>2.13.1.06</t>
  </si>
  <si>
    <t>2.13.1.06.01</t>
  </si>
  <si>
    <t>1.1.1.03.04</t>
  </si>
  <si>
    <t>Transporte de bienes</t>
  </si>
  <si>
    <t>1.1.03.04</t>
  </si>
  <si>
    <t>1.1.1.07.02</t>
  </si>
  <si>
    <t>1.1.07.02</t>
  </si>
  <si>
    <t>1.1.1.08.01</t>
  </si>
  <si>
    <t>Mantenimiento de Edificios y Locales</t>
  </si>
  <si>
    <t>1.1.1.08.07</t>
  </si>
  <si>
    <t>Mantenim. y reparac. de equipo y mobiliario de oficina</t>
  </si>
  <si>
    <t>1.1.08.01</t>
  </si>
  <si>
    <t>1.1.08.07</t>
  </si>
  <si>
    <t>Manten. Y reparac. De mobiliario y equipo de oficina</t>
  </si>
  <si>
    <t>1.1.1.99</t>
  </si>
  <si>
    <t>1.1.1.99.99</t>
  </si>
  <si>
    <t>Otros servivios no especificados</t>
  </si>
  <si>
    <t>1.1.99</t>
  </si>
  <si>
    <t>1.1.9.99</t>
  </si>
  <si>
    <t>Otros servicios no especificados</t>
  </si>
  <si>
    <t>1.1.2.02</t>
  </si>
  <si>
    <t>1.1.2.02.03</t>
  </si>
  <si>
    <t>1.2.02</t>
  </si>
  <si>
    <t>1.2.02.03</t>
  </si>
  <si>
    <t>2.3.2.03.01</t>
  </si>
  <si>
    <t>2.3.2.03.04</t>
  </si>
  <si>
    <t>Materiales y product. Electricos telefonicos y computo</t>
  </si>
  <si>
    <t>2.3.2.03.05</t>
  </si>
  <si>
    <t>Materiales y productos de vidrio</t>
  </si>
  <si>
    <t>2.2.03.05</t>
  </si>
  <si>
    <t>1.1.2.99.06</t>
  </si>
  <si>
    <t>1.2.99.06</t>
  </si>
  <si>
    <t>2.1.2.01.01</t>
  </si>
  <si>
    <t>2.6.1.99.99</t>
  </si>
  <si>
    <t>2.1.99.99</t>
  </si>
  <si>
    <t>2.10.0.02</t>
  </si>
  <si>
    <t>2.10.0.02.01</t>
  </si>
  <si>
    <t>2.10.1.01</t>
  </si>
  <si>
    <t>2.10.1.01.02</t>
  </si>
  <si>
    <t>2.10.1.03</t>
  </si>
  <si>
    <t>2.10.1.03.02</t>
  </si>
  <si>
    <t>2.10.1.03.03</t>
  </si>
  <si>
    <t>2.1.03.03</t>
  </si>
  <si>
    <t>2.10.1.05</t>
  </si>
  <si>
    <t>2.10.1.05.01</t>
  </si>
  <si>
    <t>2.13.1.08.99</t>
  </si>
  <si>
    <t>Mantenimiento y reparacion de otros equipos</t>
  </si>
  <si>
    <t>2.25.1</t>
  </si>
  <si>
    <t>2.25.1.03</t>
  </si>
  <si>
    <t>2.25.1.03.02</t>
  </si>
  <si>
    <t>2.25.1.07</t>
  </si>
  <si>
    <t>2.25.1.07.02</t>
  </si>
  <si>
    <t>2.25.2.99.05</t>
  </si>
  <si>
    <t>Aporte Asoc. Clinica dolor y cuidados paliativos</t>
  </si>
  <si>
    <t>3-002-348571</t>
  </si>
  <si>
    <t>FECHA: 17 DE AGOSTO DEL 2016</t>
  </si>
  <si>
    <t>1.99.99</t>
  </si>
  <si>
    <t>0.02.03</t>
  </si>
  <si>
    <t>Disponibilidad Laboral</t>
  </si>
  <si>
    <t>2.03.05</t>
  </si>
  <si>
    <t>Fecha: 18 de agosto 2016</t>
  </si>
  <si>
    <t>Seguridad vial</t>
  </si>
  <si>
    <t>1.1.1.08.06</t>
  </si>
  <si>
    <t>Mantenimiento y reparac. Equipo de comunicación</t>
  </si>
  <si>
    <t>1.1.08.06</t>
  </si>
  <si>
    <t>Bienes intangibles</t>
  </si>
  <si>
    <t>5.99.03</t>
  </si>
  <si>
    <t>2.10.1.07.01</t>
  </si>
  <si>
    <t>2.10.2.99.99</t>
  </si>
  <si>
    <t>Otros útiles, materiales y suministros</t>
  </si>
  <si>
    <t>Administracion Acueducto</t>
  </si>
  <si>
    <t>Aporte A.D.I. Urbanización Las Flores</t>
  </si>
  <si>
    <t>3-002-150671</t>
  </si>
  <si>
    <t>Ley 3859</t>
  </si>
  <si>
    <t>PRESUPUESTO DE EGRESOS SERVICIO 09 - EDUCATIVOS, CULTURALES Y DEPORTIVOS</t>
  </si>
  <si>
    <t>2.09.1</t>
  </si>
  <si>
    <t>2.09.1.07</t>
  </si>
  <si>
    <t>2.09.1.07.02</t>
  </si>
  <si>
    <t>TOTAL SERVICIO 09</t>
  </si>
  <si>
    <t>009</t>
  </si>
  <si>
    <t>EDUCATIVOS CULTURALES Y DEPORTIVOS</t>
  </si>
  <si>
    <t>09</t>
  </si>
  <si>
    <t>Educat. Culturales deportivos</t>
  </si>
  <si>
    <t>Manten. Gimnacio y pago de instructor</t>
  </si>
  <si>
    <t>Compra de suministros medicos y consumibles</t>
  </si>
  <si>
    <t>Compra de vestuario Grupo Folklorico</t>
  </si>
  <si>
    <t>Mantenimiento comedor estudiantil</t>
  </si>
  <si>
    <t>Ley 7765</t>
  </si>
  <si>
    <t>Ley 4478</t>
  </si>
  <si>
    <t>Art.62 Codigo Mun</t>
  </si>
  <si>
    <t>PRESUPUESTO ORDINARIO PARA EL PERIODO 2018</t>
  </si>
  <si>
    <t>PERIODO 2018</t>
  </si>
  <si>
    <t>PRESUPUESTO ORDINARIO 2018</t>
  </si>
  <si>
    <t>1.4.6.06.01</t>
  </si>
  <si>
    <t>Indemnizaciones</t>
  </si>
  <si>
    <t>1.6.06.01</t>
  </si>
  <si>
    <t>2.3.1.08.05</t>
  </si>
  <si>
    <t>Mantenimiento y reparación equipo de transporte</t>
  </si>
  <si>
    <t>2.3.5.01.02</t>
  </si>
  <si>
    <t>2.6.1.08.99</t>
  </si>
  <si>
    <t>Mantenim. y reparac. De otros equipos</t>
  </si>
  <si>
    <t>2.25.1.01</t>
  </si>
  <si>
    <t>2.25.1.01.02</t>
  </si>
  <si>
    <t>2.25.2.99.04</t>
  </si>
  <si>
    <t>2.25.2.99.06</t>
  </si>
  <si>
    <t>Manteniminet. Reparac. Maq. Eq. Para la producción</t>
  </si>
  <si>
    <t>Otros servicos no especificados</t>
  </si>
  <si>
    <t>2.5.01.02</t>
  </si>
  <si>
    <t>1.4.6.03</t>
  </si>
  <si>
    <t>1.4.6.03.01</t>
  </si>
  <si>
    <t>Prestaciones Legales</t>
  </si>
  <si>
    <t>1.6.03</t>
  </si>
  <si>
    <t>1.6.03.01</t>
  </si>
  <si>
    <t>PRESUPUESTO DE EGRESOS PROGRAMA III -  VIAS DE COMUNICACIÓN TERRESTRE LEY 9329</t>
  </si>
  <si>
    <t>Unidad Técnica de Gestion Vial Cantonal</t>
  </si>
  <si>
    <t>TOTAL PROYECTO 2 LEY 9329</t>
  </si>
  <si>
    <t>ORDINARIO 2018</t>
  </si>
  <si>
    <t>FECHA: 24 DE AGOSTO 2017</t>
  </si>
  <si>
    <t>Fecha: 24 de agosto 2017</t>
  </si>
  <si>
    <t>Fecha: 24 de agosto del 2017</t>
  </si>
  <si>
    <t>Aporte Gob. Ley 9329</t>
  </si>
  <si>
    <t>Prestaciones</t>
  </si>
  <si>
    <t>Unidad técnica Gestión Vial</t>
  </si>
  <si>
    <t>FECHA: 24 DE AGOSTO DEL 2017</t>
  </si>
  <si>
    <t>aplicaciones dadas por la Municipalidad a la totalidad de los recursos con origen específico incorporados en el Presupuesto Ordinario del 2018.</t>
  </si>
  <si>
    <t>FECHA:  24 DE AGOSTO DEL 2017</t>
  </si>
  <si>
    <t>Yo Allen Roberto Barrantes Núñez, Costarricense, casado, Cédula N° 4-112-213 hago constar que los datos suministrados anteriormente corresponden a las</t>
  </si>
  <si>
    <t>Fondo plan lotificacion</t>
  </si>
  <si>
    <t>Administracion general</t>
  </si>
  <si>
    <t>ANDRES CAMACHO ORTEGA</t>
  </si>
  <si>
    <t>1.1.9</t>
  </si>
  <si>
    <t>1.1.9.02</t>
  </si>
  <si>
    <t>1.1.9.02.01</t>
  </si>
  <si>
    <t>Sumas libres sin asignacion presupuestaria</t>
  </si>
  <si>
    <t>1.9.02</t>
  </si>
  <si>
    <t>1.9.02.01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</si>
</sst>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.00"/>
    <numFmt numFmtId="173" formatCode="&quot;C&quot;#,##0.00"/>
    <numFmt numFmtId="174" formatCode="[$₡-140A]#,##0.00"/>
    <numFmt numFmtId="175" formatCode="_-* #,##0.00\ &quot;pta&quot;_-;\-* #,##0.00\ &quot;pta&quot;_-;_-* &quot;-&quot;??\ &quot;pta&quot;_-;_-@_-"/>
    <numFmt numFmtId="176" formatCode="00000"/>
    <numFmt numFmtId="177" formatCode="0.0%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9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5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72" fontId="2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/>
    </xf>
    <xf numFmtId="172" fontId="9" fillId="0" borderId="21" xfId="0" applyNumberFormat="1" applyFont="1" applyBorder="1" applyAlignment="1">
      <alignment/>
    </xf>
    <xf numFmtId="10" fontId="9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172" fontId="9" fillId="0" borderId="25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9" xfId="0" applyFont="1" applyBorder="1" applyAlignment="1">
      <alignment horizontal="center"/>
    </xf>
    <xf numFmtId="172" fontId="0" fillId="0" borderId="21" xfId="0" applyNumberFormat="1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10" fontId="9" fillId="0" borderId="3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0" fontId="8" fillId="0" borderId="11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49" fontId="9" fillId="0" borderId="2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172" fontId="8" fillId="0" borderId="32" xfId="0" applyNumberFormat="1" applyFont="1" applyBorder="1" applyAlignment="1">
      <alignment/>
    </xf>
    <xf numFmtId="172" fontId="9" fillId="0" borderId="32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10" fontId="9" fillId="0" borderId="10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/>
    </xf>
    <xf numFmtId="172" fontId="9" fillId="0" borderId="34" xfId="0" applyNumberFormat="1" applyFont="1" applyBorder="1" applyAlignment="1">
      <alignment/>
    </xf>
    <xf numFmtId="172" fontId="9" fillId="0" borderId="19" xfId="0" applyNumberFormat="1" applyFont="1" applyBorder="1" applyAlignment="1">
      <alignment/>
    </xf>
    <xf numFmtId="172" fontId="9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33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10" fillId="0" borderId="29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5" xfId="0" applyBorder="1" applyAlignment="1">
      <alignment/>
    </xf>
    <xf numFmtId="172" fontId="9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72" fontId="0" fillId="0" borderId="33" xfId="0" applyNumberFormat="1" applyBorder="1" applyAlignment="1">
      <alignment/>
    </xf>
    <xf numFmtId="0" fontId="0" fillId="0" borderId="38" xfId="0" applyBorder="1" applyAlignment="1">
      <alignment/>
    </xf>
    <xf numFmtId="172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172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172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41" xfId="0" applyBorder="1" applyAlignment="1">
      <alignment/>
    </xf>
    <xf numFmtId="0" fontId="0" fillId="0" borderId="35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72" fontId="0" fillId="0" borderId="3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34" xfId="0" applyFont="1" applyBorder="1" applyAlignment="1">
      <alignment/>
    </xf>
    <xf numFmtId="172" fontId="6" fillId="0" borderId="33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9" fillId="0" borderId="34" xfId="0" applyFont="1" applyBorder="1" applyAlignment="1">
      <alignment/>
    </xf>
    <xf numFmtId="172" fontId="9" fillId="0" borderId="33" xfId="0" applyNumberFormat="1" applyFont="1" applyBorder="1" applyAlignment="1">
      <alignment/>
    </xf>
    <xf numFmtId="174" fontId="9" fillId="0" borderId="12" xfId="0" applyNumberFormat="1" applyFont="1" applyBorder="1" applyAlignment="1">
      <alignment/>
    </xf>
    <xf numFmtId="174" fontId="9" fillId="0" borderId="36" xfId="0" applyNumberFormat="1" applyFont="1" applyBorder="1" applyAlignment="1">
      <alignment/>
    </xf>
    <xf numFmtId="174" fontId="9" fillId="0" borderId="15" xfId="0" applyNumberFormat="1" applyFont="1" applyBorder="1" applyAlignment="1">
      <alignment/>
    </xf>
    <xf numFmtId="174" fontId="9" fillId="0" borderId="31" xfId="0" applyNumberFormat="1" applyFont="1" applyBorder="1" applyAlignment="1">
      <alignment/>
    </xf>
    <xf numFmtId="174" fontId="9" fillId="0" borderId="0" xfId="0" applyNumberFormat="1" applyFont="1" applyAlignment="1">
      <alignment/>
    </xf>
    <xf numFmtId="0" fontId="9" fillId="0" borderId="44" xfId="0" applyFont="1" applyBorder="1" applyAlignment="1">
      <alignment/>
    </xf>
    <xf numFmtId="174" fontId="9" fillId="0" borderId="40" xfId="0" applyNumberFormat="1" applyFont="1" applyBorder="1" applyAlignment="1">
      <alignment/>
    </xf>
    <xf numFmtId="174" fontId="9" fillId="0" borderId="45" xfId="0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9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1" xfId="0" applyBorder="1" applyAlignment="1">
      <alignment/>
    </xf>
    <xf numFmtId="172" fontId="4" fillId="0" borderId="25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17" xfId="0" applyNumberFormat="1" applyFont="1" applyBorder="1" applyAlignment="1">
      <alignment horizontal="right"/>
    </xf>
    <xf numFmtId="0" fontId="2" fillId="33" borderId="35" xfId="0" applyFont="1" applyFill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53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7" xfId="0" applyFill="1" applyBorder="1" applyAlignment="1">
      <alignment horizontal="center"/>
    </xf>
    <xf numFmtId="0" fontId="0" fillId="34" borderId="58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59" xfId="0" applyNumberForma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6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61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59" xfId="0" applyNumberFormat="1" applyFill="1" applyBorder="1" applyAlignment="1">
      <alignment/>
    </xf>
    <xf numFmtId="4" fontId="0" fillId="34" borderId="60" xfId="0" applyNumberFormat="1" applyFill="1" applyBorder="1" applyAlignment="1">
      <alignment/>
    </xf>
    <xf numFmtId="4" fontId="0" fillId="34" borderId="61" xfId="0" applyNumberFormat="1" applyFill="1" applyBorder="1" applyAlignment="1">
      <alignment/>
    </xf>
    <xf numFmtId="0" fontId="0" fillId="0" borderId="58" xfId="0" applyFill="1" applyBorder="1" applyAlignment="1" applyProtection="1">
      <alignment/>
      <protection locked="0"/>
    </xf>
    <xf numFmtId="4" fontId="0" fillId="0" borderId="58" xfId="0" applyNumberFormat="1" applyBorder="1" applyAlignment="1" applyProtection="1">
      <alignment/>
      <protection locked="0"/>
    </xf>
    <xf numFmtId="4" fontId="0" fillId="0" borderId="59" xfId="0" applyNumberFormat="1" applyBorder="1" applyAlignment="1" applyProtection="1">
      <alignment/>
      <protection locked="0"/>
    </xf>
    <xf numFmtId="0" fontId="0" fillId="34" borderId="62" xfId="0" applyFill="1" applyBorder="1" applyAlignment="1">
      <alignment horizontal="justify" vertical="top"/>
    </xf>
    <xf numFmtId="4" fontId="0" fillId="34" borderId="12" xfId="0" applyNumberFormat="1" applyFill="1" applyBorder="1" applyAlignment="1">
      <alignment/>
    </xf>
    <xf numFmtId="4" fontId="0" fillId="34" borderId="63" xfId="0" applyNumberFormat="1" applyFill="1" applyBorder="1" applyAlignment="1">
      <alignment/>
    </xf>
    <xf numFmtId="0" fontId="0" fillId="35" borderId="60" xfId="0" applyFill="1" applyBorder="1" applyAlignment="1">
      <alignment/>
    </xf>
    <xf numFmtId="4" fontId="0" fillId="35" borderId="21" xfId="0" applyNumberFormat="1" applyFill="1" applyBorder="1" applyAlignment="1" applyProtection="1">
      <alignment/>
      <protection locked="0"/>
    </xf>
    <xf numFmtId="4" fontId="0" fillId="35" borderId="61" xfId="0" applyNumberFormat="1" applyFill="1" applyBorder="1" applyAlignment="1" applyProtection="1">
      <alignment/>
      <protection locked="0"/>
    </xf>
    <xf numFmtId="0" fontId="0" fillId="35" borderId="58" xfId="0" applyFill="1" applyBorder="1" applyAlignment="1">
      <alignment/>
    </xf>
    <xf numFmtId="4" fontId="0" fillId="0" borderId="13" xfId="0" applyNumberFormat="1" applyBorder="1" applyAlignment="1" applyProtection="1">
      <alignment/>
      <protection locked="0"/>
    </xf>
    <xf numFmtId="0" fontId="0" fillId="34" borderId="23" xfId="0" applyFill="1" applyBorder="1" applyAlignment="1">
      <alignment horizontal="center"/>
    </xf>
    <xf numFmtId="0" fontId="0" fillId="34" borderId="55" xfId="0" applyFill="1" applyBorder="1" applyAlignment="1">
      <alignment/>
    </xf>
    <xf numFmtId="10" fontId="0" fillId="34" borderId="25" xfId="0" applyNumberFormat="1" applyFill="1" applyBorder="1" applyAlignment="1">
      <alignment/>
    </xf>
    <xf numFmtId="10" fontId="0" fillId="34" borderId="56" xfId="0" applyNumberFormat="1" applyFill="1" applyBorder="1" applyAlignment="1">
      <alignment/>
    </xf>
    <xf numFmtId="0" fontId="0" fillId="34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63" xfId="0" applyNumberFormat="1" applyFill="1" applyBorder="1" applyAlignment="1">
      <alignment/>
    </xf>
    <xf numFmtId="0" fontId="0" fillId="34" borderId="64" xfId="0" applyFill="1" applyBorder="1" applyAlignment="1">
      <alignment horizontal="center"/>
    </xf>
    <xf numFmtId="0" fontId="0" fillId="34" borderId="58" xfId="0" applyFill="1" applyBorder="1" applyAlignment="1">
      <alignment horizontal="justify" vertical="top"/>
    </xf>
    <xf numFmtId="0" fontId="0" fillId="35" borderId="58" xfId="0" applyFill="1" applyBorder="1" applyAlignment="1">
      <alignment horizontal="justify" vertical="top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59" xfId="0" applyNumberFormat="1" applyFill="1" applyBorder="1" applyAlignment="1" applyProtection="1">
      <alignment/>
      <protection locked="0"/>
    </xf>
    <xf numFmtId="0" fontId="0" fillId="34" borderId="65" xfId="0" applyFill="1" applyBorder="1" applyAlignment="1">
      <alignment horizontal="center"/>
    </xf>
    <xf numFmtId="0" fontId="0" fillId="34" borderId="62" xfId="0" applyFill="1" applyBorder="1" applyAlignment="1">
      <alignment/>
    </xf>
    <xf numFmtId="4" fontId="0" fillId="34" borderId="12" xfId="0" applyNumberFormat="1" applyFill="1" applyBorder="1" applyAlignment="1" applyProtection="1">
      <alignment/>
      <protection locked="0"/>
    </xf>
    <xf numFmtId="4" fontId="0" fillId="34" borderId="63" xfId="0" applyNumberFormat="1" applyFill="1" applyBorder="1" applyAlignment="1" applyProtection="1">
      <alignment/>
      <protection locked="0"/>
    </xf>
    <xf numFmtId="4" fontId="0" fillId="34" borderId="21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4" fontId="0" fillId="34" borderId="56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33" borderId="26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2" fillId="34" borderId="20" xfId="0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4" fontId="0" fillId="0" borderId="67" xfId="0" applyNumberFormat="1" applyFill="1" applyBorder="1" applyAlignment="1">
      <alignment/>
    </xf>
    <xf numFmtId="4" fontId="0" fillId="0" borderId="68" xfId="0" applyNumberFormat="1" applyFill="1" applyBorder="1" applyAlignment="1">
      <alignment/>
    </xf>
    <xf numFmtId="0" fontId="2" fillId="34" borderId="69" xfId="0" applyFont="1" applyFill="1" applyBorder="1" applyAlignment="1">
      <alignment/>
    </xf>
    <xf numFmtId="0" fontId="0" fillId="34" borderId="70" xfId="0" applyFill="1" applyBorder="1" applyAlignment="1">
      <alignment/>
    </xf>
    <xf numFmtId="4" fontId="2" fillId="34" borderId="70" xfId="0" applyNumberFormat="1" applyFont="1" applyFill="1" applyBorder="1" applyAlignment="1">
      <alignment/>
    </xf>
    <xf numFmtId="4" fontId="2" fillId="34" borderId="71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2" fillId="34" borderId="57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34" borderId="72" xfId="0" applyNumberFormat="1" applyFont="1" applyFill="1" applyBorder="1" applyAlignment="1">
      <alignment/>
    </xf>
    <xf numFmtId="0" fontId="2" fillId="34" borderId="65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2" fillId="34" borderId="73" xfId="0" applyNumberFormat="1" applyFont="1" applyFill="1" applyBorder="1" applyAlignment="1">
      <alignment/>
    </xf>
    <xf numFmtId="0" fontId="2" fillId="34" borderId="74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2" fillId="34" borderId="75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2" xfId="0" applyFill="1" applyBorder="1" applyAlignment="1">
      <alignment/>
    </xf>
    <xf numFmtId="0" fontId="0" fillId="0" borderId="66" xfId="0" applyFill="1" applyBorder="1" applyAlignment="1">
      <alignment/>
    </xf>
    <xf numFmtId="0" fontId="0" fillId="34" borderId="38" xfId="0" applyFill="1" applyBorder="1" applyAlignment="1">
      <alignment/>
    </xf>
    <xf numFmtId="4" fontId="0" fillId="0" borderId="38" xfId="0" applyNumberFormat="1" applyFill="1" applyBorder="1" applyAlignment="1" applyProtection="1">
      <alignment/>
      <protection locked="0"/>
    </xf>
    <xf numFmtId="0" fontId="0" fillId="34" borderId="57" xfId="0" applyFill="1" applyBorder="1" applyAlignment="1">
      <alignment/>
    </xf>
    <xf numFmtId="0" fontId="0" fillId="34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4" borderId="72" xfId="0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4" fontId="2" fillId="34" borderId="35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0" fontId="2" fillId="0" borderId="52" xfId="0" applyFont="1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2" fillId="0" borderId="5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0" fontId="2" fillId="0" borderId="17" xfId="0" applyNumberFormat="1" applyFont="1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/>
    </xf>
    <xf numFmtId="0" fontId="0" fillId="0" borderId="72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57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72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4" fontId="0" fillId="0" borderId="21" xfId="0" applyNumberFormat="1" applyFill="1" applyBorder="1" applyAlignment="1" applyProtection="1">
      <alignment/>
      <protection/>
    </xf>
    <xf numFmtId="4" fontId="0" fillId="34" borderId="2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4" fontId="0" fillId="34" borderId="61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/>
      <protection/>
    </xf>
    <xf numFmtId="0" fontId="0" fillId="0" borderId="76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" fontId="0" fillId="0" borderId="63" xfId="0" applyNumberFormat="1" applyFill="1" applyBorder="1" applyAlignment="1" applyProtection="1">
      <alignment/>
      <protection/>
    </xf>
    <xf numFmtId="0" fontId="2" fillId="0" borderId="77" xfId="0" applyFont="1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4" fontId="0" fillId="34" borderId="37" xfId="0" applyNumberFormat="1" applyFill="1" applyBorder="1" applyAlignment="1" applyProtection="1">
      <alignment/>
      <protection/>
    </xf>
    <xf numFmtId="4" fontId="0" fillId="34" borderId="79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16" fillId="0" borderId="52" xfId="0" applyFont="1" applyFill="1" applyBorder="1" applyAlignment="1" applyProtection="1">
      <alignment horizontal="center" vertical="justify" wrapText="1"/>
      <protection/>
    </xf>
    <xf numFmtId="0" fontId="2" fillId="34" borderId="72" xfId="0" applyFon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 horizontal="center"/>
      <protection/>
    </xf>
    <xf numFmtId="4" fontId="0" fillId="35" borderId="0" xfId="0" applyNumberFormat="1" applyFill="1" applyBorder="1" applyAlignment="1" applyProtection="1">
      <alignment/>
      <protection/>
    </xf>
    <xf numFmtId="4" fontId="0" fillId="35" borderId="19" xfId="0" applyNumberFormat="1" applyFill="1" applyBorder="1" applyAlignment="1" applyProtection="1">
      <alignment/>
      <protection/>
    </xf>
    <xf numFmtId="4" fontId="0" fillId="35" borderId="60" xfId="0" applyNumberFormat="1" applyFill="1" applyBorder="1" applyAlignment="1" applyProtection="1">
      <alignment/>
      <protection/>
    </xf>
    <xf numFmtId="4" fontId="2" fillId="35" borderId="22" xfId="0" applyNumberFormat="1" applyFont="1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0" fontId="0" fillId="0" borderId="8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4" fontId="2" fillId="34" borderId="55" xfId="0" applyNumberFormat="1" applyFont="1" applyFill="1" applyBorder="1" applyAlignment="1" applyProtection="1">
      <alignment/>
      <protection/>
    </xf>
    <xf numFmtId="49" fontId="0" fillId="34" borderId="24" xfId="0" applyNumberFormat="1" applyFont="1" applyFill="1" applyBorder="1" applyAlignment="1" applyProtection="1">
      <alignment/>
      <protection/>
    </xf>
    <xf numFmtId="4" fontId="2" fillId="34" borderId="35" xfId="0" applyNumberFormat="1" applyFont="1" applyFill="1" applyBorder="1" applyAlignment="1" applyProtection="1">
      <alignment/>
      <protection/>
    </xf>
    <xf numFmtId="4" fontId="2" fillId="34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4" xfId="0" applyNumberFormat="1" applyFont="1" applyFill="1" applyBorder="1" applyAlignment="1" applyProtection="1">
      <alignment/>
      <protection/>
    </xf>
    <xf numFmtId="4" fontId="0" fillId="0" borderId="65" xfId="0" applyNumberFormat="1" applyFill="1" applyBorder="1" applyAlignment="1" applyProtection="1">
      <alignment horizontal="right"/>
      <protection/>
    </xf>
    <xf numFmtId="0" fontId="0" fillId="0" borderId="76" xfId="0" applyBorder="1" applyAlignment="1">
      <alignment/>
    </xf>
    <xf numFmtId="0" fontId="0" fillId="0" borderId="73" xfId="0" applyBorder="1" applyAlignment="1">
      <alignment/>
    </xf>
    <xf numFmtId="4" fontId="0" fillId="0" borderId="0" xfId="0" applyNumberForma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0" fontId="9" fillId="0" borderId="43" xfId="0" applyNumberFormat="1" applyFont="1" applyBorder="1" applyAlignment="1">
      <alignment/>
    </xf>
    <xf numFmtId="10" fontId="0" fillId="0" borderId="43" xfId="0" applyNumberFormat="1" applyBorder="1" applyAlignment="1">
      <alignment/>
    </xf>
    <xf numFmtId="0" fontId="9" fillId="0" borderId="52" xfId="0" applyFont="1" applyBorder="1" applyAlignment="1">
      <alignment/>
    </xf>
    <xf numFmtId="0" fontId="0" fillId="0" borderId="20" xfId="0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" fillId="36" borderId="8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justify"/>
      <protection/>
    </xf>
    <xf numFmtId="0" fontId="16" fillId="34" borderId="26" xfId="0" applyFont="1" applyFill="1" applyBorder="1" applyAlignment="1" applyProtection="1">
      <alignment horizontal="center" vertical="justify"/>
      <protection/>
    </xf>
    <xf numFmtId="0" fontId="2" fillId="34" borderId="26" xfId="0" applyFont="1" applyFill="1" applyBorder="1" applyAlignment="1" applyProtection="1">
      <alignment horizontal="center" vertical="justify"/>
      <protection/>
    </xf>
    <xf numFmtId="0" fontId="0" fillId="34" borderId="0" xfId="0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82" xfId="0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6" xfId="0" applyFont="1" applyBorder="1" applyAlignment="1" applyProtection="1">
      <alignment horizontal="center"/>
      <protection/>
    </xf>
    <xf numFmtId="0" fontId="24" fillId="36" borderId="3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4" fillId="36" borderId="82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83" xfId="0" applyBorder="1" applyAlignment="1">
      <alignment horizontal="center"/>
    </xf>
    <xf numFmtId="0" fontId="0" fillId="0" borderId="83" xfId="0" applyBorder="1" applyAlignment="1">
      <alignment/>
    </xf>
    <xf numFmtId="0" fontId="1" fillId="0" borderId="0" xfId="0" applyFont="1" applyAlignment="1">
      <alignment horizontal="left"/>
    </xf>
    <xf numFmtId="174" fontId="4" fillId="0" borderId="31" xfId="0" applyNumberFormat="1" applyFont="1" applyBorder="1" applyAlignment="1">
      <alignment/>
    </xf>
    <xf numFmtId="0" fontId="0" fillId="0" borderId="42" xfId="0" applyBorder="1" applyAlignment="1">
      <alignment/>
    </xf>
    <xf numFmtId="174" fontId="0" fillId="0" borderId="43" xfId="0" applyNumberFormat="1" applyBorder="1" applyAlignment="1">
      <alignment/>
    </xf>
    <xf numFmtId="174" fontId="0" fillId="0" borderId="83" xfId="0" applyNumberFormat="1" applyBorder="1" applyAlignment="1">
      <alignment/>
    </xf>
    <xf numFmtId="0" fontId="4" fillId="0" borderId="82" xfId="0" applyFont="1" applyBorder="1" applyAlignment="1">
      <alignment/>
    </xf>
    <xf numFmtId="174" fontId="4" fillId="0" borderId="82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0" fillId="0" borderId="52" xfId="0" applyBorder="1" applyAlignment="1">
      <alignment/>
    </xf>
    <xf numFmtId="174" fontId="0" fillId="0" borderId="10" xfId="0" applyNumberFormat="1" applyBorder="1" applyAlignment="1">
      <alignment/>
    </xf>
    <xf numFmtId="0" fontId="14" fillId="0" borderId="66" xfId="0" applyFont="1" applyBorder="1" applyAlignment="1">
      <alignment horizontal="left"/>
    </xf>
    <xf numFmtId="174" fontId="4" fillId="0" borderId="68" xfId="0" applyNumberFormat="1" applyFont="1" applyBorder="1" applyAlignment="1">
      <alignment/>
    </xf>
    <xf numFmtId="0" fontId="16" fillId="0" borderId="23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0" fontId="1" fillId="0" borderId="20" xfId="0" applyFont="1" applyBorder="1" applyAlignment="1">
      <alignment/>
    </xf>
    <xf numFmtId="174" fontId="0" fillId="0" borderId="22" xfId="0" applyNumberFormat="1" applyBorder="1" applyAlignment="1">
      <alignment/>
    </xf>
    <xf numFmtId="0" fontId="1" fillId="0" borderId="2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174" fontId="2" fillId="0" borderId="84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174" fontId="0" fillId="0" borderId="11" xfId="0" applyNumberFormat="1" applyBorder="1" applyAlignment="1">
      <alignment/>
    </xf>
    <xf numFmtId="0" fontId="16" fillId="0" borderId="26" xfId="0" applyFont="1" applyBorder="1" applyAlignment="1">
      <alignment horizontal="left"/>
    </xf>
    <xf numFmtId="174" fontId="2" fillId="0" borderId="31" xfId="0" applyNumberFormat="1" applyFont="1" applyBorder="1" applyAlignment="1">
      <alignment/>
    </xf>
    <xf numFmtId="0" fontId="14" fillId="0" borderId="85" xfId="0" applyFont="1" applyBorder="1" applyAlignment="1">
      <alignment horizontal="left"/>
    </xf>
    <xf numFmtId="174" fontId="4" fillId="0" borderId="86" xfId="0" applyNumberFormat="1" applyFont="1" applyBorder="1" applyAlignment="1">
      <alignment/>
    </xf>
    <xf numFmtId="0" fontId="4" fillId="0" borderId="66" xfId="0" applyFont="1" applyBorder="1" applyAlignment="1">
      <alignment/>
    </xf>
    <xf numFmtId="174" fontId="2" fillId="0" borderId="84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2" fillId="0" borderId="39" xfId="0" applyFont="1" applyBorder="1" applyAlignment="1">
      <alignment/>
    </xf>
    <xf numFmtId="174" fontId="3" fillId="0" borderId="33" xfId="0" applyNumberFormat="1" applyFont="1" applyBorder="1" applyAlignment="1">
      <alignment/>
    </xf>
    <xf numFmtId="174" fontId="0" fillId="0" borderId="33" xfId="0" applyNumberFormat="1" applyBorder="1" applyAlignment="1">
      <alignment/>
    </xf>
    <xf numFmtId="174" fontId="4" fillId="0" borderId="38" xfId="0" applyNumberFormat="1" applyFont="1" applyBorder="1" applyAlignment="1">
      <alignment/>
    </xf>
    <xf numFmtId="174" fontId="2" fillId="0" borderId="25" xfId="0" applyNumberFormat="1" applyFont="1" applyBorder="1" applyAlignment="1">
      <alignment/>
    </xf>
    <xf numFmtId="174" fontId="0" fillId="0" borderId="21" xfId="0" applyNumberFormat="1" applyBorder="1" applyAlignment="1">
      <alignment/>
    </xf>
    <xf numFmtId="174" fontId="2" fillId="0" borderId="39" xfId="0" applyNumberFormat="1" applyFont="1" applyBorder="1" applyAlignment="1">
      <alignment/>
    </xf>
    <xf numFmtId="174" fontId="0" fillId="0" borderId="25" xfId="0" applyNumberForma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4" fontId="2" fillId="0" borderId="15" xfId="0" applyNumberFormat="1" applyFont="1" applyBorder="1" applyAlignment="1">
      <alignment/>
    </xf>
    <xf numFmtId="0" fontId="4" fillId="0" borderId="40" xfId="0" applyFont="1" applyBorder="1" applyAlignment="1">
      <alignment/>
    </xf>
    <xf numFmtId="174" fontId="4" fillId="0" borderId="40" xfId="0" applyNumberFormat="1" applyFont="1" applyBorder="1" applyAlignment="1">
      <alignment/>
    </xf>
    <xf numFmtId="174" fontId="2" fillId="0" borderId="39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172" fontId="8" fillId="0" borderId="24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172" fontId="8" fillId="0" borderId="33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0" fontId="0" fillId="34" borderId="20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0" fontId="0" fillId="34" borderId="42" xfId="0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4" fontId="2" fillId="34" borderId="61" xfId="0" applyNumberFormat="1" applyFont="1" applyFill="1" applyBorder="1" applyAlignment="1" applyProtection="1">
      <alignment/>
      <protection/>
    </xf>
    <xf numFmtId="9" fontId="2" fillId="34" borderId="43" xfId="55" applyFont="1" applyFill="1" applyBorder="1" applyAlignment="1" applyProtection="1">
      <alignment/>
      <protection/>
    </xf>
    <xf numFmtId="4" fontId="0" fillId="0" borderId="61" xfId="0" applyNumberFormat="1" applyFill="1" applyBorder="1" applyAlignment="1" applyProtection="1">
      <alignment/>
      <protection locked="0"/>
    </xf>
    <xf numFmtId="9" fontId="0" fillId="34" borderId="43" xfId="55" applyFont="1" applyFill="1" applyBorder="1" applyAlignment="1" applyProtection="1">
      <alignment/>
      <protection/>
    </xf>
    <xf numFmtId="4" fontId="0" fillId="34" borderId="61" xfId="0" applyNumberFormat="1" applyFill="1" applyBorder="1" applyAlignment="1" applyProtection="1">
      <alignment/>
      <protection locked="0"/>
    </xf>
    <xf numFmtId="4" fontId="0" fillId="34" borderId="43" xfId="0" applyNumberForma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56" xfId="0" applyFill="1" applyBorder="1" applyAlignment="1" applyProtection="1">
      <alignment/>
      <protection/>
    </xf>
    <xf numFmtId="0" fontId="0" fillId="34" borderId="83" xfId="0" applyFill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10" fillId="0" borderId="34" xfId="0" applyFont="1" applyBorder="1" applyAlignment="1">
      <alignment/>
    </xf>
    <xf numFmtId="172" fontId="10" fillId="0" borderId="33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0" fontId="2" fillId="0" borderId="21" xfId="0" applyFont="1" applyBorder="1" applyAlignment="1">
      <alignment/>
    </xf>
    <xf numFmtId="174" fontId="2" fillId="0" borderId="21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16" fillId="0" borderId="28" xfId="0" applyFont="1" applyBorder="1" applyAlignment="1">
      <alignment horizontal="left"/>
    </xf>
    <xf numFmtId="174" fontId="2" fillId="0" borderId="6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4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0" fontId="2" fillId="34" borderId="87" xfId="0" applyFont="1" applyFill="1" applyBorder="1" applyAlignment="1">
      <alignment horizontal="center"/>
    </xf>
    <xf numFmtId="4" fontId="2" fillId="34" borderId="88" xfId="0" applyNumberFormat="1" applyFont="1" applyFill="1" applyBorder="1" applyAlignment="1">
      <alignment horizontal="center"/>
    </xf>
    <xf numFmtId="0" fontId="0" fillId="0" borderId="64" xfId="0" applyBorder="1" applyAlignment="1">
      <alignment/>
    </xf>
    <xf numFmtId="4" fontId="0" fillId="0" borderId="63" xfId="0" applyNumberFormat="1" applyBorder="1" applyAlignment="1">
      <alignment/>
    </xf>
    <xf numFmtId="0" fontId="2" fillId="0" borderId="64" xfId="0" applyFont="1" applyBorder="1" applyAlignment="1">
      <alignment/>
    </xf>
    <xf numFmtId="4" fontId="2" fillId="0" borderId="63" xfId="0" applyNumberFormat="1" applyFont="1" applyBorder="1" applyAlignment="1">
      <alignment/>
    </xf>
    <xf numFmtId="0" fontId="24" fillId="34" borderId="89" xfId="0" applyFont="1" applyFill="1" applyBorder="1" applyAlignment="1">
      <alignment/>
    </xf>
    <xf numFmtId="4" fontId="24" fillId="34" borderId="79" xfId="0" applyNumberFormat="1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172" fontId="2" fillId="0" borderId="17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67" xfId="0" applyNumberFormat="1" applyFont="1" applyBorder="1" applyAlignment="1">
      <alignment/>
    </xf>
    <xf numFmtId="172" fontId="6" fillId="0" borderId="82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19" xfId="0" applyFont="1" applyBorder="1" applyAlignment="1">
      <alignment/>
    </xf>
    <xf numFmtId="172" fontId="10" fillId="0" borderId="21" xfId="0" applyNumberFormat="1" applyFont="1" applyBorder="1" applyAlignment="1">
      <alignment/>
    </xf>
    <xf numFmtId="10" fontId="10" fillId="0" borderId="22" xfId="0" applyNumberFormat="1" applyFont="1" applyBorder="1" applyAlignment="1">
      <alignment/>
    </xf>
    <xf numFmtId="0" fontId="9" fillId="0" borderId="19" xfId="0" applyFont="1" applyBorder="1" applyAlignment="1">
      <alignment/>
    </xf>
    <xf numFmtId="10" fontId="9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10" fontId="8" fillId="0" borderId="22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172" fontId="9" fillId="0" borderId="21" xfId="0" applyNumberFormat="1" applyFont="1" applyBorder="1" applyAlignment="1">
      <alignment horizontal="right"/>
    </xf>
    <xf numFmtId="10" fontId="9" fillId="0" borderId="22" xfId="0" applyNumberFormat="1" applyFont="1" applyBorder="1" applyAlignment="1">
      <alignment horizontal="right"/>
    </xf>
    <xf numFmtId="0" fontId="0" fillId="36" borderId="42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49" fontId="11" fillId="34" borderId="14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72" fontId="4" fillId="34" borderId="15" xfId="0" applyNumberFormat="1" applyFon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/>
    </xf>
    <xf numFmtId="172" fontId="4" fillId="34" borderId="15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0" fillId="37" borderId="21" xfId="0" applyFill="1" applyBorder="1" applyAlignment="1">
      <alignment/>
    </xf>
    <xf numFmtId="172" fontId="4" fillId="37" borderId="21" xfId="0" applyNumberFormat="1" applyFont="1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80" xfId="0" applyFill="1" applyBorder="1" applyAlignment="1">
      <alignment/>
    </xf>
    <xf numFmtId="172" fontId="4" fillId="37" borderId="13" xfId="0" applyNumberFormat="1" applyFont="1" applyFill="1" applyBorder="1" applyAlignment="1">
      <alignment/>
    </xf>
    <xf numFmtId="0" fontId="10" fillId="35" borderId="27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172" fontId="9" fillId="0" borderId="21" xfId="0" applyNumberFormat="1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14" xfId="0" applyFont="1" applyFill="1" applyBorder="1" applyAlignment="1">
      <alignment horizontal="center"/>
    </xf>
    <xf numFmtId="172" fontId="8" fillId="38" borderId="15" xfId="0" applyNumberFormat="1" applyFont="1" applyFill="1" applyBorder="1" applyAlignment="1">
      <alignment/>
    </xf>
    <xf numFmtId="172" fontId="8" fillId="38" borderId="16" xfId="0" applyNumberFormat="1" applyFont="1" applyFill="1" applyBorder="1" applyAlignment="1">
      <alignment/>
    </xf>
    <xf numFmtId="0" fontId="8" fillId="38" borderId="27" xfId="0" applyFont="1" applyFill="1" applyBorder="1" applyAlignment="1">
      <alignment horizontal="center"/>
    </xf>
    <xf numFmtId="0" fontId="0" fillId="38" borderId="33" xfId="0" applyFill="1" applyBorder="1" applyAlignment="1">
      <alignment/>
    </xf>
    <xf numFmtId="0" fontId="0" fillId="38" borderId="10" xfId="0" applyFill="1" applyBorder="1" applyAlignment="1">
      <alignment/>
    </xf>
    <xf numFmtId="0" fontId="8" fillId="38" borderId="29" xfId="0" applyFont="1" applyFill="1" applyBorder="1" applyAlignment="1">
      <alignment horizontal="center"/>
    </xf>
    <xf numFmtId="0" fontId="0" fillId="38" borderId="25" xfId="0" applyFill="1" applyBorder="1" applyAlignment="1">
      <alignment/>
    </xf>
    <xf numFmtId="172" fontId="8" fillId="38" borderId="25" xfId="0" applyNumberFormat="1" applyFont="1" applyFill="1" applyBorder="1" applyAlignment="1">
      <alignment/>
    </xf>
    <xf numFmtId="172" fontId="8" fillId="38" borderId="11" xfId="0" applyNumberFormat="1" applyFont="1" applyFill="1" applyBorder="1" applyAlignment="1">
      <alignment/>
    </xf>
    <xf numFmtId="0" fontId="8" fillId="38" borderId="15" xfId="0" applyFont="1" applyFill="1" applyBorder="1" applyAlignment="1">
      <alignment/>
    </xf>
    <xf numFmtId="172" fontId="8" fillId="38" borderId="31" xfId="0" applyNumberFormat="1" applyFont="1" applyFill="1" applyBorder="1" applyAlignment="1">
      <alignment/>
    </xf>
    <xf numFmtId="0" fontId="26" fillId="33" borderId="53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82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16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2" fillId="35" borderId="83" xfId="0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2" fillId="35" borderId="25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72" fontId="0" fillId="0" borderId="90" xfId="0" applyNumberFormat="1" applyBorder="1" applyAlignment="1">
      <alignment/>
    </xf>
    <xf numFmtId="49" fontId="0" fillId="0" borderId="90" xfId="0" applyNumberFormat="1" applyBorder="1" applyAlignment="1">
      <alignment horizontal="center"/>
    </xf>
    <xf numFmtId="172" fontId="0" fillId="0" borderId="35" xfId="0" applyNumberFormat="1" applyBorder="1" applyAlignment="1">
      <alignment/>
    </xf>
    <xf numFmtId="49" fontId="0" fillId="0" borderId="35" xfId="0" applyNumberFormat="1" applyBorder="1" applyAlignment="1">
      <alignment horizontal="center"/>
    </xf>
    <xf numFmtId="0" fontId="0" fillId="0" borderId="85" xfId="0" applyBorder="1" applyAlignment="1">
      <alignment/>
    </xf>
    <xf numFmtId="0" fontId="0" fillId="36" borderId="52" xfId="0" applyFill="1" applyBorder="1" applyAlignment="1">
      <alignment/>
    </xf>
    <xf numFmtId="0" fontId="0" fillId="36" borderId="48" xfId="0" applyFill="1" applyBorder="1" applyAlignment="1">
      <alignment/>
    </xf>
    <xf numFmtId="172" fontId="0" fillId="36" borderId="48" xfId="0" applyNumberFormat="1" applyFill="1" applyBorder="1" applyAlignment="1">
      <alignment/>
    </xf>
    <xf numFmtId="0" fontId="0" fillId="36" borderId="48" xfId="0" applyFont="1" applyFill="1" applyBorder="1" applyAlignment="1">
      <alignment horizontal="center"/>
    </xf>
    <xf numFmtId="49" fontId="0" fillId="36" borderId="48" xfId="0" applyNumberFormat="1" applyFont="1" applyFill="1" applyBorder="1" applyAlignment="1">
      <alignment horizontal="center"/>
    </xf>
    <xf numFmtId="172" fontId="0" fillId="36" borderId="10" xfId="0" applyNumberFormat="1" applyFill="1" applyBorder="1" applyAlignment="1">
      <alignment/>
    </xf>
    <xf numFmtId="0" fontId="0" fillId="36" borderId="0" xfId="0" applyFill="1" applyBorder="1" applyAlignment="1">
      <alignment/>
    </xf>
    <xf numFmtId="172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172" fontId="0" fillId="36" borderId="22" xfId="0" applyNumberForma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5" xfId="0" applyFill="1" applyBorder="1" applyAlignment="1">
      <alignment/>
    </xf>
    <xf numFmtId="172" fontId="0" fillId="36" borderId="35" xfId="0" applyNumberFormat="1" applyFill="1" applyBorder="1" applyAlignment="1">
      <alignment/>
    </xf>
    <xf numFmtId="49" fontId="0" fillId="36" borderId="35" xfId="0" applyNumberFormat="1" applyFill="1" applyBorder="1" applyAlignment="1">
      <alignment/>
    </xf>
    <xf numFmtId="172" fontId="0" fillId="36" borderId="11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17" fillId="0" borderId="0" xfId="0" applyNumberFormat="1" applyFont="1" applyAlignment="1">
      <alignment/>
    </xf>
    <xf numFmtId="49" fontId="11" fillId="34" borderId="15" xfId="0" applyNumberFormat="1" applyFont="1" applyFill="1" applyBorder="1" applyAlignment="1">
      <alignment horizontal="left"/>
    </xf>
    <xf numFmtId="49" fontId="11" fillId="37" borderId="21" xfId="0" applyNumberFormat="1" applyFont="1" applyFill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43" xfId="0" applyFont="1" applyBorder="1" applyAlignment="1">
      <alignment/>
    </xf>
    <xf numFmtId="172" fontId="9" fillId="0" borderId="0" xfId="0" applyNumberFormat="1" applyFont="1" applyBorder="1" applyAlignment="1">
      <alignment/>
    </xf>
    <xf numFmtId="10" fontId="9" fillId="0" borderId="43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2" fillId="0" borderId="17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72" fontId="0" fillId="0" borderId="91" xfId="0" applyNumberFormat="1" applyBorder="1" applyAlignment="1">
      <alignment/>
    </xf>
    <xf numFmtId="49" fontId="0" fillId="0" borderId="91" xfId="0" applyNumberFormat="1" applyBorder="1" applyAlignment="1">
      <alignment horizontal="center"/>
    </xf>
    <xf numFmtId="0" fontId="0" fillId="0" borderId="53" xfId="0" applyBorder="1" applyAlignment="1">
      <alignment/>
    </xf>
    <xf numFmtId="172" fontId="0" fillId="0" borderId="53" xfId="0" applyNumberFormat="1" applyBorder="1" applyAlignment="1">
      <alignment/>
    </xf>
    <xf numFmtId="172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49" fontId="0" fillId="0" borderId="60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49" fontId="0" fillId="0" borderId="90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5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174" fontId="0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75" xfId="0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74" xfId="0" applyBorder="1" applyAlignment="1">
      <alignment/>
    </xf>
    <xf numFmtId="0" fontId="0" fillId="0" borderId="92" xfId="0" applyBorder="1" applyAlignment="1">
      <alignment/>
    </xf>
    <xf numFmtId="0" fontId="0" fillId="0" borderId="28" xfId="0" applyFont="1" applyBorder="1" applyAlignment="1">
      <alignment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89" xfId="0" applyFont="1" applyBorder="1" applyAlignment="1">
      <alignment/>
    </xf>
    <xf numFmtId="172" fontId="0" fillId="0" borderId="37" xfId="0" applyNumberForma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83" xfId="0" applyFont="1" applyBorder="1" applyAlignment="1">
      <alignment/>
    </xf>
    <xf numFmtId="172" fontId="9" fillId="0" borderId="35" xfId="0" applyNumberFormat="1" applyFont="1" applyBorder="1" applyAlignment="1">
      <alignment/>
    </xf>
    <xf numFmtId="10" fontId="9" fillId="0" borderId="83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35" xfId="0" applyFont="1" applyBorder="1" applyAlignment="1">
      <alignment/>
    </xf>
    <xf numFmtId="49" fontId="9" fillId="0" borderId="28" xfId="0" applyNumberFormat="1" applyFont="1" applyBorder="1" applyAlignment="1">
      <alignment horizontal="center"/>
    </xf>
    <xf numFmtId="174" fontId="9" fillId="0" borderId="93" xfId="0" applyNumberFormat="1" applyFont="1" applyBorder="1" applyAlignment="1">
      <alignment/>
    </xf>
    <xf numFmtId="49" fontId="0" fillId="0" borderId="25" xfId="0" applyNumberFormat="1" applyBorder="1" applyAlignment="1">
      <alignment horizontal="center"/>
    </xf>
    <xf numFmtId="172" fontId="0" fillId="0" borderId="94" xfId="0" applyNumberFormat="1" applyBorder="1" applyAlignment="1">
      <alignment/>
    </xf>
    <xf numFmtId="0" fontId="9" fillId="0" borderId="64" xfId="0" applyFont="1" applyBorder="1" applyAlignment="1">
      <alignment/>
    </xf>
    <xf numFmtId="0" fontId="9" fillId="0" borderId="63" xfId="0" applyFont="1" applyBorder="1" applyAlignment="1">
      <alignment horizontal="center"/>
    </xf>
    <xf numFmtId="14" fontId="9" fillId="0" borderId="63" xfId="0" applyNumberFormat="1" applyFont="1" applyBorder="1" applyAlignment="1">
      <alignment horizontal="center"/>
    </xf>
    <xf numFmtId="174" fontId="9" fillId="0" borderId="63" xfId="0" applyNumberFormat="1" applyFont="1" applyBorder="1" applyAlignment="1">
      <alignment/>
    </xf>
    <xf numFmtId="0" fontId="0" fillId="0" borderId="74" xfId="0" applyFont="1" applyBorder="1" applyAlignment="1">
      <alignment/>
    </xf>
    <xf numFmtId="174" fontId="9" fillId="0" borderId="92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0" borderId="27" xfId="0" applyFont="1" applyBorder="1" applyAlignment="1">
      <alignment/>
    </xf>
    <xf numFmtId="174" fontId="9" fillId="0" borderId="33" xfId="0" applyNumberFormat="1" applyFont="1" applyBorder="1" applyAlignment="1">
      <alignment/>
    </xf>
    <xf numFmtId="174" fontId="9" fillId="0" borderId="54" xfId="0" applyNumberFormat="1" applyFont="1" applyBorder="1" applyAlignment="1">
      <alignment/>
    </xf>
    <xf numFmtId="0" fontId="0" fillId="0" borderId="95" xfId="0" applyFont="1" applyFill="1" applyBorder="1" applyAlignment="1">
      <alignment/>
    </xf>
    <xf numFmtId="174" fontId="9" fillId="0" borderId="96" xfId="0" applyNumberFormat="1" applyFont="1" applyBorder="1" applyAlignment="1">
      <alignment/>
    </xf>
    <xf numFmtId="174" fontId="9" fillId="0" borderId="97" xfId="0" applyNumberFormat="1" applyFont="1" applyBorder="1" applyAlignment="1">
      <alignment/>
    </xf>
    <xf numFmtId="174" fontId="9" fillId="0" borderId="98" xfId="0" applyNumberFormat="1" applyFont="1" applyBorder="1" applyAlignment="1">
      <alignment/>
    </xf>
    <xf numFmtId="0" fontId="8" fillId="0" borderId="26" xfId="0" applyFont="1" applyFill="1" applyBorder="1" applyAlignment="1">
      <alignment/>
    </xf>
    <xf numFmtId="174" fontId="8" fillId="0" borderId="99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0" fontId="9" fillId="0" borderId="75" xfId="0" applyFont="1" applyBorder="1" applyAlignment="1">
      <alignment/>
    </xf>
    <xf numFmtId="174" fontId="9" fillId="0" borderId="13" xfId="0" applyNumberFormat="1" applyFont="1" applyBorder="1" applyAlignment="1">
      <alignment/>
    </xf>
    <xf numFmtId="174" fontId="9" fillId="0" borderId="59" xfId="0" applyNumberFormat="1" applyFont="1" applyBorder="1" applyAlignment="1">
      <alignment/>
    </xf>
    <xf numFmtId="0" fontId="9" fillId="0" borderId="27" xfId="0" applyFont="1" applyFill="1" applyBorder="1" applyAlignment="1">
      <alignment/>
    </xf>
    <xf numFmtId="0" fontId="0" fillId="0" borderId="100" xfId="0" applyFont="1" applyBorder="1" applyAlignment="1">
      <alignment/>
    </xf>
    <xf numFmtId="0" fontId="8" fillId="0" borderId="29" xfId="0" applyFont="1" applyFill="1" applyBorder="1" applyAlignment="1">
      <alignment/>
    </xf>
    <xf numFmtId="174" fontId="8" fillId="0" borderId="25" xfId="0" applyNumberFormat="1" applyFont="1" applyBorder="1" applyAlignment="1">
      <alignment/>
    </xf>
    <xf numFmtId="174" fontId="8" fillId="0" borderId="56" xfId="0" applyNumberFormat="1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0" fontId="2" fillId="0" borderId="14" xfId="0" applyFont="1" applyBorder="1" applyAlignment="1">
      <alignment/>
    </xf>
    <xf numFmtId="10" fontId="0" fillId="0" borderId="36" xfId="0" applyNumberFormat="1" applyBorder="1" applyAlignment="1">
      <alignment/>
    </xf>
    <xf numFmtId="0" fontId="2" fillId="0" borderId="97" xfId="0" applyFont="1" applyBorder="1" applyAlignment="1">
      <alignment/>
    </xf>
    <xf numFmtId="172" fontId="2" fillId="0" borderId="97" xfId="0" applyNumberFormat="1" applyFont="1" applyBorder="1" applyAlignment="1">
      <alignment/>
    </xf>
    <xf numFmtId="10" fontId="2" fillId="0" borderId="97" xfId="0" applyNumberFormat="1" applyFont="1" applyBorder="1" applyAlignment="1">
      <alignment/>
    </xf>
    <xf numFmtId="0" fontId="2" fillId="0" borderId="40" xfId="0" applyFont="1" applyBorder="1" applyAlignment="1">
      <alignment/>
    </xf>
    <xf numFmtId="172" fontId="2" fillId="0" borderId="40" xfId="0" applyNumberFormat="1" applyFont="1" applyBorder="1" applyAlignment="1">
      <alignment/>
    </xf>
    <xf numFmtId="10" fontId="2" fillId="0" borderId="40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0" fontId="2" fillId="0" borderId="3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37" xfId="0" applyFont="1" applyBorder="1" applyAlignment="1">
      <alignment/>
    </xf>
    <xf numFmtId="172" fontId="2" fillId="0" borderId="37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27" fillId="0" borderId="12" xfId="0" applyFont="1" applyBorder="1" applyAlignment="1">
      <alignment/>
    </xf>
    <xf numFmtId="172" fontId="27" fillId="0" borderId="12" xfId="0" applyNumberFormat="1" applyFont="1" applyBorder="1" applyAlignment="1">
      <alignment/>
    </xf>
    <xf numFmtId="0" fontId="2" fillId="0" borderId="67" xfId="0" applyFont="1" applyBorder="1" applyAlignment="1">
      <alignment/>
    </xf>
    <xf numFmtId="172" fontId="2" fillId="0" borderId="67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0" xfId="0" applyFont="1" applyBorder="1" applyAlignment="1">
      <alignment/>
    </xf>
    <xf numFmtId="172" fontId="2" fillId="0" borderId="31" xfId="0" applyNumberFormat="1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1" xfId="0" applyNumberFormat="1" applyFont="1" applyFill="1" applyBorder="1" applyAlignment="1">
      <alignment/>
    </xf>
    <xf numFmtId="0" fontId="2" fillId="0" borderId="90" xfId="0" applyFont="1" applyBorder="1" applyAlignment="1">
      <alignment horizontal="left"/>
    </xf>
    <xf numFmtId="174" fontId="2" fillId="0" borderId="90" xfId="0" applyNumberFormat="1" applyFont="1" applyBorder="1" applyAlignment="1">
      <alignment horizontal="right"/>
    </xf>
    <xf numFmtId="172" fontId="0" fillId="0" borderId="30" xfId="0" applyNumberFormat="1" applyFont="1" applyBorder="1" applyAlignment="1">
      <alignment/>
    </xf>
    <xf numFmtId="0" fontId="2" fillId="0" borderId="67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172" fontId="2" fillId="0" borderId="90" xfId="0" applyNumberFormat="1" applyFont="1" applyBorder="1" applyAlignment="1">
      <alignment horizontal="right"/>
    </xf>
    <xf numFmtId="172" fontId="2" fillId="0" borderId="90" xfId="0" applyNumberFormat="1" applyFont="1" applyFill="1" applyBorder="1" applyAlignment="1">
      <alignment horizontal="right"/>
    </xf>
    <xf numFmtId="172" fontId="2" fillId="0" borderId="67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 horizontal="justify" vertical="center"/>
    </xf>
    <xf numFmtId="0" fontId="2" fillId="34" borderId="87" xfId="0" applyFont="1" applyFill="1" applyBorder="1" applyAlignment="1">
      <alignment horizontal="center" vertical="center"/>
    </xf>
    <xf numFmtId="0" fontId="2" fillId="34" borderId="94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89" xfId="0" applyBorder="1" applyAlignment="1">
      <alignment/>
    </xf>
    <xf numFmtId="0" fontId="0" fillId="0" borderId="79" xfId="0" applyBorder="1" applyAlignment="1">
      <alignment/>
    </xf>
    <xf numFmtId="0" fontId="0" fillId="0" borderId="64" xfId="0" applyFont="1" applyBorder="1" applyAlignment="1">
      <alignment/>
    </xf>
    <xf numFmtId="9" fontId="0" fillId="0" borderId="12" xfId="0" applyNumberFormat="1" applyBorder="1" applyAlignment="1">
      <alignment/>
    </xf>
    <xf numFmtId="172" fontId="2" fillId="0" borderId="15" xfId="0" applyNumberFormat="1" applyFont="1" applyFill="1" applyBorder="1" applyAlignment="1">
      <alignment/>
    </xf>
    <xf numFmtId="172" fontId="2" fillId="0" borderId="97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90" xfId="0" applyFont="1" applyBorder="1" applyAlignment="1">
      <alignment/>
    </xf>
    <xf numFmtId="172" fontId="2" fillId="0" borderId="90" xfId="0" applyNumberFormat="1" applyFont="1" applyFill="1" applyBorder="1" applyAlignment="1">
      <alignment/>
    </xf>
    <xf numFmtId="0" fontId="0" fillId="0" borderId="20" xfId="0" applyBorder="1" applyAlignment="1">
      <alignment/>
    </xf>
    <xf numFmtId="172" fontId="0" fillId="0" borderId="25" xfId="0" applyNumberFormat="1" applyBorder="1" applyAlignment="1">
      <alignment/>
    </xf>
    <xf numFmtId="0" fontId="0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29" xfId="0" applyBorder="1" applyAlignment="1">
      <alignment/>
    </xf>
    <xf numFmtId="49" fontId="0" fillId="0" borderId="60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28" fillId="35" borderId="34" xfId="0" applyFont="1" applyFill="1" applyBorder="1" applyAlignment="1">
      <alignment horizontal="center"/>
    </xf>
    <xf numFmtId="174" fontId="2" fillId="0" borderId="16" xfId="0" applyNumberFormat="1" applyFont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0" fillId="0" borderId="54" xfId="0" applyFont="1" applyBorder="1" applyAlignment="1">
      <alignment/>
    </xf>
    <xf numFmtId="0" fontId="9" fillId="0" borderId="28" xfId="0" applyFont="1" applyBorder="1" applyAlignment="1">
      <alignment/>
    </xf>
    <xf numFmtId="0" fontId="0" fillId="38" borderId="3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94" xfId="0" applyFont="1" applyBorder="1" applyAlignment="1">
      <alignment/>
    </xf>
    <xf numFmtId="0" fontId="0" fillId="0" borderId="94" xfId="0" applyBorder="1" applyAlignment="1">
      <alignment/>
    </xf>
    <xf numFmtId="0" fontId="17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44" xfId="0" applyFont="1" applyBorder="1" applyAlignment="1">
      <alignment/>
    </xf>
    <xf numFmtId="172" fontId="2" fillId="0" borderId="61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172" fontId="2" fillId="0" borderId="33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0" fillId="0" borderId="101" xfId="0" applyFont="1" applyBorder="1" applyAlignment="1">
      <alignment/>
    </xf>
    <xf numFmtId="172" fontId="0" fillId="0" borderId="94" xfId="0" applyNumberFormat="1" applyFont="1" applyBorder="1" applyAlignment="1">
      <alignment/>
    </xf>
    <xf numFmtId="10" fontId="2" fillId="0" borderId="33" xfId="0" applyNumberFormat="1" applyFont="1" applyBorder="1" applyAlignment="1">
      <alignment/>
    </xf>
    <xf numFmtId="10" fontId="0" fillId="0" borderId="94" xfId="0" applyNumberFormat="1" applyFont="1" applyBorder="1" applyAlignment="1">
      <alignment/>
    </xf>
    <xf numFmtId="10" fontId="2" fillId="0" borderId="25" xfId="0" applyNumberFormat="1" applyFont="1" applyBorder="1" applyAlignment="1">
      <alignment/>
    </xf>
    <xf numFmtId="172" fontId="0" fillId="0" borderId="12" xfId="0" applyNumberFormat="1" applyFont="1" applyBorder="1" applyAlignment="1">
      <alignment horizontal="right"/>
    </xf>
    <xf numFmtId="0" fontId="0" fillId="36" borderId="20" xfId="0" applyFont="1" applyFill="1" applyBorder="1" applyAlignment="1">
      <alignment/>
    </xf>
    <xf numFmtId="10" fontId="0" fillId="0" borderId="11" xfId="0" applyNumberFormat="1" applyFill="1" applyBorder="1" applyAlignment="1" applyProtection="1">
      <alignment/>
      <protection locked="0"/>
    </xf>
    <xf numFmtId="172" fontId="1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0" fillId="0" borderId="61" xfId="0" applyNumberFormat="1" applyBorder="1" applyAlignment="1">
      <alignment/>
    </xf>
    <xf numFmtId="10" fontId="0" fillId="0" borderId="59" xfId="0" applyNumberFormat="1" applyBorder="1" applyAlignment="1">
      <alignment/>
    </xf>
    <xf numFmtId="10" fontId="0" fillId="0" borderId="79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102" xfId="0" applyBorder="1" applyAlignment="1">
      <alignment horizontal="center"/>
    </xf>
    <xf numFmtId="49" fontId="0" fillId="0" borderId="102" xfId="0" applyNumberFormat="1" applyBorder="1" applyAlignment="1">
      <alignment horizontal="center"/>
    </xf>
    <xf numFmtId="43" fontId="0" fillId="35" borderId="18" xfId="49" applyFont="1" applyFill="1" applyBorder="1" applyAlignment="1">
      <alignment/>
    </xf>
    <xf numFmtId="43" fontId="0" fillId="35" borderId="35" xfId="49" applyFont="1" applyFill="1" applyBorder="1" applyAlignment="1">
      <alignment/>
    </xf>
    <xf numFmtId="0" fontId="2" fillId="34" borderId="94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/>
    </xf>
    <xf numFmtId="172" fontId="0" fillId="39" borderId="12" xfId="0" applyNumberFormat="1" applyFont="1" applyFill="1" applyBorder="1" applyAlignment="1">
      <alignment/>
    </xf>
    <xf numFmtId="172" fontId="0" fillId="39" borderId="0" xfId="0" applyNumberFormat="1" applyFont="1" applyFill="1" applyBorder="1" applyAlignment="1">
      <alignment/>
    </xf>
    <xf numFmtId="172" fontId="0" fillId="39" borderId="0" xfId="0" applyNumberFormat="1" applyFill="1" applyAlignment="1">
      <alignment/>
    </xf>
    <xf numFmtId="0" fontId="0" fillId="0" borderId="58" xfId="0" applyFont="1" applyFill="1" applyBorder="1" applyAlignment="1" applyProtection="1">
      <alignment/>
      <protection locked="0"/>
    </xf>
    <xf numFmtId="174" fontId="0" fillId="0" borderId="12" xfId="0" applyNumberFormat="1" applyBorder="1" applyAlignment="1">
      <alignment/>
    </xf>
    <xf numFmtId="0" fontId="0" fillId="0" borderId="60" xfId="0" applyFont="1" applyBorder="1" applyAlignment="1">
      <alignment/>
    </xf>
    <xf numFmtId="174" fontId="0" fillId="0" borderId="60" xfId="0" applyNumberFormat="1" applyBorder="1" applyAlignment="1">
      <alignment/>
    </xf>
    <xf numFmtId="174" fontId="0" fillId="0" borderId="61" xfId="0" applyNumberFormat="1" applyBorder="1" applyAlignment="1">
      <alignment/>
    </xf>
    <xf numFmtId="0" fontId="1" fillId="0" borderId="64" xfId="0" applyFont="1" applyBorder="1" applyAlignment="1">
      <alignment horizontal="left"/>
    </xf>
    <xf numFmtId="174" fontId="0" fillId="0" borderId="63" xfId="0" applyNumberFormat="1" applyBorder="1" applyAlignment="1">
      <alignment/>
    </xf>
    <xf numFmtId="0" fontId="0" fillId="0" borderId="103" xfId="0" applyBorder="1" applyAlignment="1">
      <alignment horizontal="center"/>
    </xf>
    <xf numFmtId="49" fontId="0" fillId="0" borderId="103" xfId="0" applyNumberFormat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87" xfId="0" applyBorder="1" applyAlignment="1">
      <alignment/>
    </xf>
    <xf numFmtId="172" fontId="0" fillId="0" borderId="54" xfId="0" applyNumberFormat="1" applyFill="1" applyBorder="1" applyAlignment="1">
      <alignment/>
    </xf>
    <xf numFmtId="172" fontId="0" fillId="0" borderId="61" xfId="0" applyNumberFormat="1" applyFill="1" applyBorder="1" applyAlignment="1">
      <alignment/>
    </xf>
    <xf numFmtId="172" fontId="0" fillId="0" borderId="104" xfId="0" applyNumberForma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172" fontId="2" fillId="0" borderId="68" xfId="0" applyNumberFormat="1" applyFon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0" fillId="0" borderId="68" xfId="0" applyNumberFormat="1" applyFill="1" applyBorder="1" applyAlignment="1">
      <alignment/>
    </xf>
    <xf numFmtId="0" fontId="8" fillId="0" borderId="32" xfId="0" applyFont="1" applyBorder="1" applyAlignment="1">
      <alignment/>
    </xf>
    <xf numFmtId="172" fontId="8" fillId="0" borderId="15" xfId="0" applyNumberFormat="1" applyFont="1" applyBorder="1" applyAlignment="1">
      <alignment/>
    </xf>
    <xf numFmtId="10" fontId="8" fillId="0" borderId="31" xfId="0" applyNumberFormat="1" applyFont="1" applyBorder="1" applyAlignment="1">
      <alignment/>
    </xf>
    <xf numFmtId="0" fontId="8" fillId="0" borderId="31" xfId="0" applyFont="1" applyBorder="1" applyAlignment="1">
      <alignment/>
    </xf>
    <xf numFmtId="172" fontId="8" fillId="0" borderId="30" xfId="0" applyNumberFormat="1" applyFont="1" applyBorder="1" applyAlignment="1">
      <alignment/>
    </xf>
    <xf numFmtId="10" fontId="8" fillId="0" borderId="82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172" fontId="0" fillId="0" borderId="48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63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30" xfId="0" applyNumberFormat="1" applyFont="1" applyFill="1" applyBorder="1" applyAlignment="1">
      <alignment horizontal="right"/>
    </xf>
    <xf numFmtId="172" fontId="2" fillId="0" borderId="84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56" xfId="0" applyNumberFormat="1" applyFont="1" applyFill="1" applyBorder="1" applyAlignment="1">
      <alignment/>
    </xf>
    <xf numFmtId="172" fontId="2" fillId="0" borderId="96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45" xfId="0" applyNumberFormat="1" applyFont="1" applyFill="1" applyBorder="1" applyAlignment="1">
      <alignment/>
    </xf>
    <xf numFmtId="172" fontId="0" fillId="0" borderId="45" xfId="0" applyNumberFormat="1" applyFill="1" applyBorder="1" applyAlignment="1">
      <alignment/>
    </xf>
    <xf numFmtId="172" fontId="0" fillId="0" borderId="88" xfId="0" applyNumberFormat="1" applyFill="1" applyBorder="1" applyAlignment="1">
      <alignment/>
    </xf>
    <xf numFmtId="172" fontId="0" fillId="0" borderId="86" xfId="0" applyNumberFormat="1" applyFill="1" applyBorder="1" applyAlignment="1">
      <alignment/>
    </xf>
    <xf numFmtId="172" fontId="0" fillId="0" borderId="8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4" fillId="0" borderId="35" xfId="0" applyFont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40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" fontId="0" fillId="35" borderId="81" xfId="0" applyNumberFormat="1" applyFill="1" applyBorder="1" applyAlignment="1" applyProtection="1">
      <alignment horizontal="center"/>
      <protection/>
    </xf>
    <xf numFmtId="4" fontId="0" fillId="35" borderId="105" xfId="0" applyNumberFormat="1" applyFill="1" applyBorder="1" applyAlignment="1" applyProtection="1">
      <alignment horizontal="center"/>
      <protection/>
    </xf>
    <xf numFmtId="0" fontId="21" fillId="34" borderId="26" xfId="0" applyFont="1" applyFill="1" applyBorder="1" applyAlignment="1" applyProtection="1">
      <alignment horizontal="center"/>
      <protection/>
    </xf>
    <xf numFmtId="0" fontId="21" fillId="34" borderId="30" xfId="0" applyFont="1" applyFill="1" applyBorder="1" applyAlignment="1" applyProtection="1">
      <alignment horizontal="center"/>
      <protection/>
    </xf>
    <xf numFmtId="0" fontId="21" fillId="34" borderId="31" xfId="0" applyFont="1" applyFill="1" applyBorder="1" applyAlignment="1" applyProtection="1">
      <alignment horizontal="center"/>
      <protection/>
    </xf>
    <xf numFmtId="0" fontId="2" fillId="34" borderId="52" xfId="0" applyFont="1" applyFill="1" applyBorder="1" applyAlignment="1" applyProtection="1">
      <alignment horizontal="center"/>
      <protection/>
    </xf>
    <xf numFmtId="0" fontId="2" fillId="34" borderId="34" xfId="0" applyFont="1" applyFill="1" applyBorder="1" applyAlignment="1" applyProtection="1">
      <alignment horizontal="center"/>
      <protection/>
    </xf>
    <xf numFmtId="10" fontId="16" fillId="34" borderId="53" xfId="0" applyNumberFormat="1" applyFont="1" applyFill="1" applyBorder="1" applyAlignment="1" applyProtection="1">
      <alignment horizontal="center" vertical="justify" wrapText="1"/>
      <protection/>
    </xf>
    <xf numFmtId="0" fontId="0" fillId="34" borderId="34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34" borderId="57" xfId="0" applyFont="1" applyFill="1" applyBorder="1" applyAlignment="1" applyProtection="1">
      <alignment horizontal="center"/>
      <protection/>
    </xf>
    <xf numFmtId="0" fontId="2" fillId="34" borderId="80" xfId="0" applyFont="1" applyFill="1" applyBorder="1" applyAlignment="1" applyProtection="1">
      <alignment horizontal="center"/>
      <protection/>
    </xf>
    <xf numFmtId="4" fontId="0" fillId="0" borderId="23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0" fontId="16" fillId="34" borderId="62" xfId="0" applyFont="1" applyFill="1" applyBorder="1" applyAlignment="1" applyProtection="1">
      <alignment horizontal="center" vertical="justify" wrapText="1"/>
      <protection/>
    </xf>
    <xf numFmtId="0" fontId="16" fillId="34" borderId="76" xfId="0" applyFont="1" applyFill="1" applyBorder="1" applyAlignment="1" applyProtection="1">
      <alignment horizontal="center" vertical="justify" wrapText="1"/>
      <protection/>
    </xf>
    <xf numFmtId="10" fontId="2" fillId="34" borderId="62" xfId="0" applyNumberFormat="1" applyFont="1" applyFill="1" applyBorder="1" applyAlignment="1" applyProtection="1">
      <alignment horizontal="center"/>
      <protection/>
    </xf>
    <xf numFmtId="10" fontId="2" fillId="34" borderId="76" xfId="0" applyNumberFormat="1" applyFont="1" applyFill="1" applyBorder="1" applyAlignment="1" applyProtection="1">
      <alignment horizontal="center"/>
      <protection/>
    </xf>
    <xf numFmtId="9" fontId="2" fillId="34" borderId="62" xfId="0" applyNumberFormat="1" applyFont="1" applyFill="1" applyBorder="1" applyAlignment="1" applyProtection="1">
      <alignment horizontal="center"/>
      <protection/>
    </xf>
    <xf numFmtId="9" fontId="2" fillId="34" borderId="76" xfId="0" applyNumberFormat="1" applyFont="1" applyFill="1" applyBorder="1" applyAlignment="1" applyProtection="1">
      <alignment horizontal="center"/>
      <protection/>
    </xf>
    <xf numFmtId="0" fontId="21" fillId="34" borderId="52" xfId="0" applyFont="1" applyFill="1" applyBorder="1" applyAlignment="1" applyProtection="1">
      <alignment horizontal="center"/>
      <protection/>
    </xf>
    <xf numFmtId="0" fontId="21" fillId="34" borderId="48" xfId="0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center"/>
      <protection/>
    </xf>
    <xf numFmtId="0" fontId="16" fillId="34" borderId="52" xfId="0" applyFont="1" applyFill="1" applyBorder="1" applyAlignment="1" applyProtection="1">
      <alignment horizontal="center" vertical="justify" wrapText="1"/>
      <protection/>
    </xf>
    <xf numFmtId="0" fontId="0" fillId="34" borderId="57" xfId="0" applyFill="1" applyBorder="1" applyAlignment="1">
      <alignment horizontal="center"/>
    </xf>
    <xf numFmtId="0" fontId="2" fillId="34" borderId="103" xfId="0" applyFont="1" applyFill="1" applyBorder="1" applyAlignment="1" applyProtection="1">
      <alignment horizontal="center"/>
      <protection/>
    </xf>
    <xf numFmtId="0" fontId="2" fillId="34" borderId="106" xfId="0" applyFont="1" applyFill="1" applyBorder="1" applyAlignment="1" applyProtection="1">
      <alignment horizontal="center"/>
      <protection/>
    </xf>
    <xf numFmtId="0" fontId="2" fillId="34" borderId="101" xfId="0" applyFont="1" applyFill="1" applyBorder="1" applyAlignment="1" applyProtection="1">
      <alignment horizontal="center"/>
      <protection/>
    </xf>
    <xf numFmtId="0" fontId="16" fillId="34" borderId="53" xfId="0" applyFont="1" applyFill="1" applyBorder="1" applyAlignment="1" applyProtection="1">
      <alignment horizontal="center" vertical="justify" wrapText="1"/>
      <protection/>
    </xf>
    <xf numFmtId="0" fontId="0" fillId="0" borderId="26" xfId="0" applyFont="1" applyFill="1" applyBorder="1" applyAlignment="1" applyProtection="1">
      <alignment horizontal="left" vertical="justify"/>
      <protection locked="0"/>
    </xf>
    <xf numFmtId="0" fontId="0" fillId="0" borderId="30" xfId="0" applyFont="1" applyFill="1" applyBorder="1" applyAlignment="1" applyProtection="1">
      <alignment horizontal="left" vertical="justify"/>
      <protection locked="0"/>
    </xf>
    <xf numFmtId="0" fontId="0" fillId="0" borderId="31" xfId="0" applyFont="1" applyFill="1" applyBorder="1" applyAlignment="1" applyProtection="1">
      <alignment horizontal="left" vertical="justify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2" fillId="34" borderId="42" xfId="0" applyFont="1" applyFill="1" applyBorder="1" applyAlignment="1" applyProtection="1">
      <alignment horizontal="center" vertical="justify"/>
      <protection/>
    </xf>
    <xf numFmtId="0" fontId="2" fillId="34" borderId="83" xfId="0" applyFont="1" applyFill="1" applyBorder="1" applyAlignment="1" applyProtection="1">
      <alignment horizontal="center" vertical="justify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83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justify" vertical="center"/>
      <protection/>
    </xf>
    <xf numFmtId="0" fontId="2" fillId="34" borderId="83" xfId="0" applyFont="1" applyFill="1" applyBorder="1" applyAlignment="1" applyProtection="1">
      <alignment horizontal="justify" vertical="center"/>
      <protection/>
    </xf>
    <xf numFmtId="0" fontId="16" fillId="36" borderId="42" xfId="0" applyFont="1" applyFill="1" applyBorder="1" applyAlignment="1" applyProtection="1">
      <alignment horizontal="center" vertical="justify"/>
      <protection/>
    </xf>
    <xf numFmtId="0" fontId="16" fillId="36" borderId="83" xfId="0" applyFont="1" applyFill="1" applyBorder="1" applyAlignment="1" applyProtection="1">
      <alignment horizontal="center" vertical="justify"/>
      <protection/>
    </xf>
    <xf numFmtId="14" fontId="0" fillId="0" borderId="26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2" fillId="36" borderId="107" xfId="0" applyFont="1" applyFill="1" applyBorder="1" applyAlignment="1" applyProtection="1">
      <alignment horizontal="center"/>
      <protection/>
    </xf>
    <xf numFmtId="0" fontId="2" fillId="36" borderId="78" xfId="0" applyFont="1" applyFill="1" applyBorder="1" applyAlignment="1" applyProtection="1">
      <alignment horizontal="center"/>
      <protection/>
    </xf>
    <xf numFmtId="0" fontId="2" fillId="36" borderId="108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2" fillId="34" borderId="30" xfId="0" applyFont="1" applyFill="1" applyBorder="1" applyAlignment="1" applyProtection="1">
      <alignment horizontal="center" vertical="justify"/>
      <protection/>
    </xf>
    <xf numFmtId="0" fontId="9" fillId="0" borderId="0" xfId="0" applyFont="1" applyAlignment="1">
      <alignment horizontal="center"/>
    </xf>
    <xf numFmtId="0" fontId="8" fillId="33" borderId="52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center"/>
      <protection/>
    </xf>
    <xf numFmtId="0" fontId="26" fillId="33" borderId="11" xfId="0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justify" vertical="center"/>
    </xf>
    <xf numFmtId="0" fontId="0" fillId="0" borderId="26" xfId="0" applyFont="1" applyBorder="1" applyAlignment="1">
      <alignment horizontal="justify"/>
    </xf>
    <xf numFmtId="0" fontId="0" fillId="0" borderId="30" xfId="0" applyFont="1" applyBorder="1" applyAlignment="1">
      <alignment horizontal="justify"/>
    </xf>
    <xf numFmtId="0" fontId="0" fillId="0" borderId="31" xfId="0" applyFont="1" applyBorder="1" applyAlignment="1">
      <alignment horizontal="justify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fijas y especiales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"/>
          <c:w val="0.94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('[2]CUADRO 2 RH'!$A$24:$A$25,'[2]CUADRO 2 RH'!$A$28)</c:f>
              <c:strCache>
                <c:ptCount val="3"/>
                <c:pt idx="0">
                  <c:v>Plazas en sueldos para cargos fijos</c:v>
                </c:pt>
                <c:pt idx="1">
                  <c:v>Plazas en servicios especiales</c:v>
                </c:pt>
                <c:pt idx="2">
                  <c:v>Total de plazas</c:v>
                </c:pt>
              </c:strCache>
            </c:strRef>
          </c:cat>
          <c:val>
            <c:numRef>
              <c:f>('[2]CUADRO 2 RH'!$C$24:$C$25,'[2]CUADRO 2 RH'!$C$28)</c:f>
              <c:numCache>
                <c:ptCount val="3"/>
                <c:pt idx="0">
                  <c:v>48</c:v>
                </c:pt>
                <c:pt idx="1">
                  <c:v>1</c:v>
                </c:pt>
                <c:pt idx="2">
                  <c:v>49</c:v>
                </c:pt>
              </c:numCache>
            </c:numRef>
          </c:val>
        </c:ser>
        <c:axId val="24441632"/>
        <c:axId val="18648097"/>
      </c:barChart>
      <c:catAx>
        <c:axId val="2444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8097"/>
        <c:crosses val="autoZero"/>
        <c:auto val="1"/>
        <c:lblOffset val="100"/>
        <c:tickLblSkip val="1"/>
        <c:noMultiLvlLbl val="0"/>
      </c:catAx>
      <c:valAx>
        <c:axId val="18648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1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en procesos sustantivos y de apoyo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125"/>
          <c:w val="0.951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'[2]CUADRO 2 RH'!$A$26:$A$28</c:f>
              <c:strCache>
                <c:ptCount val="3"/>
                <c:pt idx="0">
                  <c:v>Plazas en procesos sustantivos</c:v>
                </c:pt>
                <c:pt idx="1">
                  <c:v>Plazas en procesos de apoyo</c:v>
                </c:pt>
                <c:pt idx="2">
                  <c:v>Total de plazas</c:v>
                </c:pt>
              </c:strCache>
            </c:strRef>
          </c:cat>
          <c:val>
            <c:numRef>
              <c:f>'[2]CUADRO 2 RH'!$C$26:$C$28</c:f>
              <c:numCache>
                <c:ptCount val="3"/>
                <c:pt idx="0">
                  <c:v>20</c:v>
                </c:pt>
                <c:pt idx="1">
                  <c:v>29</c:v>
                </c:pt>
                <c:pt idx="2">
                  <c:v>49</c:v>
                </c:pt>
              </c:numCache>
            </c:numRef>
          </c:val>
        </c:ser>
        <c:axId val="33615146"/>
        <c:axId val="34100859"/>
      </c:barChart>
      <c:catAx>
        <c:axId val="3361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0859"/>
        <c:crosses val="autoZero"/>
        <c:auto val="1"/>
        <c:lblOffset val="100"/>
        <c:tickLblSkip val="1"/>
        <c:noMultiLvlLbl val="0"/>
      </c:catAx>
      <c:valAx>
        <c:axId val="34100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según estructura programática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04"/>
          <c:w val="0.953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'[2]CUADRO 2 RH'!$F$24:$F$28</c:f>
              <c:strCache>
                <c:ptCount val="5"/>
                <c:pt idx="0">
                  <c:v>Programa I: Dirección y Administración General</c:v>
                </c:pt>
                <c:pt idx="1">
                  <c:v>Programa II: Servicios Comunitarios</c:v>
                </c:pt>
                <c:pt idx="2">
                  <c:v>Programa III: Inversiones</c:v>
                </c:pt>
                <c:pt idx="3">
                  <c:v>Programa IV: Partidas específicas</c:v>
                </c:pt>
                <c:pt idx="4">
                  <c:v>Total de plazas</c:v>
                </c:pt>
              </c:strCache>
            </c:strRef>
          </c:cat>
          <c:val>
            <c:numRef>
              <c:f>'[2]CUADRO 2 RH'!$M$24:$M$28</c:f>
              <c:numCache>
                <c:ptCount val="5"/>
                <c:pt idx="0">
                  <c:v>29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49</c:v>
                </c:pt>
              </c:numCache>
            </c:numRef>
          </c:val>
        </c:ser>
        <c:axId val="38472276"/>
        <c:axId val="10706165"/>
      </c:barChart>
      <c:catAx>
        <c:axId val="3847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6165"/>
        <c:crosses val="autoZero"/>
        <c:auto val="1"/>
        <c:lblOffset val="100"/>
        <c:tickLblSkip val="1"/>
        <c:noMultiLvlLbl val="0"/>
      </c:catAx>
      <c:valAx>
        <c:axId val="1070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fijas y especiales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"/>
          <c:w val="0.94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('[1]CUADRO 2 RH'!$A$24:$A$25,'[1]CUADRO 2 RH'!$A$28)</c:f>
              <c:strCache>
                <c:ptCount val="3"/>
                <c:pt idx="0">
                  <c:v>Plazas en sueldos para cargos fijos</c:v>
                </c:pt>
                <c:pt idx="1">
                  <c:v>Plazas en servicios especiales</c:v>
                </c:pt>
                <c:pt idx="2">
                  <c:v>Total de plazas</c:v>
                </c:pt>
              </c:strCache>
            </c:strRef>
          </c:cat>
          <c:val>
            <c:numRef>
              <c:f>('[1]CUADRO 2 RH'!$C$24:$C$25,'[1]CUADRO 2 RH'!$C$28)</c:f>
              <c:numCache>
                <c:ptCount val="3"/>
                <c:pt idx="0">
                  <c:v>56</c:v>
                </c:pt>
                <c:pt idx="1">
                  <c:v>2</c:v>
                </c:pt>
                <c:pt idx="2">
                  <c:v>58</c:v>
                </c:pt>
              </c:numCache>
            </c:numRef>
          </c:val>
        </c:ser>
        <c:axId val="29246622"/>
        <c:axId val="61893007"/>
      </c:barChart>
      <c:catAx>
        <c:axId val="29246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3007"/>
        <c:crosses val="autoZero"/>
        <c:auto val="1"/>
        <c:lblOffset val="100"/>
        <c:tickLblSkip val="1"/>
        <c:noMultiLvlLbl val="0"/>
      </c:catAx>
      <c:valAx>
        <c:axId val="61893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en procesos sustantivos y de apoyo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125"/>
          <c:w val="0.951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'[1]CUADRO 2 RH'!$A$26:$A$28</c:f>
              <c:strCache>
                <c:ptCount val="3"/>
                <c:pt idx="0">
                  <c:v>Plazas en procesos sustantivos</c:v>
                </c:pt>
                <c:pt idx="1">
                  <c:v>Plazas en procesos de apoyo</c:v>
                </c:pt>
                <c:pt idx="2">
                  <c:v>Total de plazas</c:v>
                </c:pt>
              </c:strCache>
            </c:strRef>
          </c:cat>
          <c:val>
            <c:numRef>
              <c:f>'[1]CUADRO 2 RH'!$C$26:$C$28</c:f>
              <c:numCache>
                <c:ptCount val="3"/>
                <c:pt idx="0">
                  <c:v>40</c:v>
                </c:pt>
                <c:pt idx="1">
                  <c:v>18</c:v>
                </c:pt>
                <c:pt idx="2">
                  <c:v>58</c:v>
                </c:pt>
              </c:numCache>
            </c:numRef>
          </c:val>
        </c:ser>
        <c:axId val="20166152"/>
        <c:axId val="47277641"/>
      </c:barChart>
      <c:catAx>
        <c:axId val="2016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7641"/>
        <c:crosses val="autoZero"/>
        <c:auto val="1"/>
        <c:lblOffset val="100"/>
        <c:tickLblSkip val="1"/>
        <c:noMultiLvlLbl val="0"/>
      </c:catAx>
      <c:valAx>
        <c:axId val="47277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según estructura programática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04"/>
          <c:w val="0.95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'[1]CUADRO 2 RH'!$F$24:$F$28</c:f>
              <c:strCache>
                <c:ptCount val="5"/>
                <c:pt idx="0">
                  <c:v>Programa I: Dirección y Administración General</c:v>
                </c:pt>
                <c:pt idx="1">
                  <c:v>Programa II: Servicios Comunitarios</c:v>
                </c:pt>
                <c:pt idx="2">
                  <c:v>Programa III: Inversiones</c:v>
                </c:pt>
                <c:pt idx="3">
                  <c:v>Programa IV: Partidas específicas</c:v>
                </c:pt>
                <c:pt idx="4">
                  <c:v>Total de plazas</c:v>
                </c:pt>
              </c:strCache>
            </c:strRef>
          </c:cat>
          <c:val>
            <c:numRef>
              <c:f>'[1]CUADRO 2 RH'!$M$24:$M$28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1</c:v>
                </c:pt>
                <c:pt idx="3">
                  <c:v>0</c:v>
                </c:pt>
                <c:pt idx="4">
                  <c:v>58</c:v>
                </c:pt>
              </c:numCache>
            </c:numRef>
          </c:val>
        </c:ser>
        <c:axId val="22845586"/>
        <c:axId val="4283683"/>
      </c:barChart>
      <c:catAx>
        <c:axId val="2284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83"/>
        <c:crosses val="autoZero"/>
        <c:auto val="1"/>
        <c:lblOffset val="100"/>
        <c:tickLblSkip val="1"/>
        <c:noMultiLvlLbl val="0"/>
      </c:catAx>
      <c:valAx>
        <c:axId val="4283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3</xdr:col>
      <xdr:colOff>142875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5495925"/>
        <a:ext cx="32861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29</xdr:row>
      <xdr:rowOff>28575</xdr:rowOff>
    </xdr:from>
    <xdr:to>
      <xdr:col>13</xdr:col>
      <xdr:colOff>28575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3400425" y="5505450"/>
        <a:ext cx="39719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41</xdr:row>
      <xdr:rowOff>47625</xdr:rowOff>
    </xdr:from>
    <xdr:to>
      <xdr:col>9</xdr:col>
      <xdr:colOff>847725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1571625" y="7467600"/>
        <a:ext cx="43148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3</xdr:col>
      <xdr:colOff>142875</xdr:colOff>
      <xdr:row>41</xdr:row>
      <xdr:rowOff>0</xdr:rowOff>
    </xdr:to>
    <xdr:graphicFrame>
      <xdr:nvGraphicFramePr>
        <xdr:cNvPr id="4" name="Chart 20"/>
        <xdr:cNvGraphicFramePr/>
      </xdr:nvGraphicFramePr>
      <xdr:xfrm>
        <a:off x="0" y="5495925"/>
        <a:ext cx="328612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257175</xdr:colOff>
      <xdr:row>29</xdr:row>
      <xdr:rowOff>28575</xdr:rowOff>
    </xdr:from>
    <xdr:to>
      <xdr:col>13</xdr:col>
      <xdr:colOff>28575</xdr:colOff>
      <xdr:row>41</xdr:row>
      <xdr:rowOff>9525</xdr:rowOff>
    </xdr:to>
    <xdr:graphicFrame>
      <xdr:nvGraphicFramePr>
        <xdr:cNvPr id="5" name="Chart 21"/>
        <xdr:cNvGraphicFramePr/>
      </xdr:nvGraphicFramePr>
      <xdr:xfrm>
        <a:off x="3400425" y="5505450"/>
        <a:ext cx="39719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190500</xdr:colOff>
      <xdr:row>41</xdr:row>
      <xdr:rowOff>47625</xdr:rowOff>
    </xdr:from>
    <xdr:to>
      <xdr:col>9</xdr:col>
      <xdr:colOff>847725</xdr:colOff>
      <xdr:row>53</xdr:row>
      <xdr:rowOff>152400</xdr:rowOff>
    </xdr:to>
    <xdr:graphicFrame>
      <xdr:nvGraphicFramePr>
        <xdr:cNvPr id="6" name="Chart 22"/>
        <xdr:cNvGraphicFramePr/>
      </xdr:nvGraphicFramePr>
      <xdr:xfrm>
        <a:off x="1571625" y="7467600"/>
        <a:ext cx="431482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arrantes\Escritorio\a&#241;o%202011%20presupuesto\Anexo7%20Cuadros%20Presupuesto%20ordinario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en\Allen\plan%20presupuesto%202009\guias\Cuadros%20para%20Presupuesto%20ordin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arrantes\Mis%20documentos\Contral\anexos_guia_inter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 OyA"/>
      <sheetName val="CUADRO 2 RH"/>
      <sheetName val="CUADRO 3 SA"/>
      <sheetName val="CUADRO 4 Deudas"/>
      <sheetName val="CUADRO 5 Transf"/>
    </sheetNames>
    <sheetDataSet>
      <sheetData sheetId="1">
        <row r="24">
          <cell r="A24" t="str">
            <v>Plazas en sueldos para cargos fijos</v>
          </cell>
          <cell r="C24">
            <v>56</v>
          </cell>
          <cell r="F24" t="str">
            <v>Programa I: Dirección y Administración General</v>
          </cell>
          <cell r="M24">
            <v>31</v>
          </cell>
        </row>
        <row r="25">
          <cell r="A25" t="str">
            <v>Plazas en servicios especiales</v>
          </cell>
          <cell r="C25">
            <v>2</v>
          </cell>
          <cell r="F25" t="str">
            <v>Programa II: Servicios Comunitarios</v>
          </cell>
          <cell r="M25">
            <v>26</v>
          </cell>
        </row>
        <row r="26">
          <cell r="A26" t="str">
            <v>Plazas en procesos sustantivos</v>
          </cell>
          <cell r="C26">
            <v>40</v>
          </cell>
          <cell r="F26" t="str">
            <v>Programa III: Inversiones</v>
          </cell>
          <cell r="M26">
            <v>1</v>
          </cell>
        </row>
        <row r="27">
          <cell r="A27" t="str">
            <v>Plazas en procesos de apoyo</v>
          </cell>
          <cell r="C27">
            <v>18</v>
          </cell>
          <cell r="F27" t="str">
            <v>Programa IV: Partidas específicas</v>
          </cell>
          <cell r="M27">
            <v>0</v>
          </cell>
        </row>
        <row r="28">
          <cell r="A28" t="str">
            <v>Total de plazas</v>
          </cell>
          <cell r="C28">
            <v>58</v>
          </cell>
          <cell r="F28" t="str">
            <v>Total de plazas</v>
          </cell>
          <cell r="M28">
            <v>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 OyA"/>
      <sheetName val="CUADRO 2 RH"/>
      <sheetName val="CUADRO 3 SA"/>
      <sheetName val="CUADRO 4 Deudas"/>
      <sheetName val="CUADRO 5 Transf"/>
    </sheetNames>
    <sheetDataSet>
      <sheetData sheetId="1">
        <row r="24">
          <cell r="A24" t="str">
            <v>Plazas en sueldos para cargos fijos</v>
          </cell>
          <cell r="C24">
            <v>48</v>
          </cell>
          <cell r="F24" t="str">
            <v>Programa I: Dirección y Administración General</v>
          </cell>
          <cell r="M24">
            <v>29</v>
          </cell>
        </row>
        <row r="25">
          <cell r="A25" t="str">
            <v>Plazas en servicios especiales</v>
          </cell>
          <cell r="C25">
            <v>1</v>
          </cell>
          <cell r="F25" t="str">
            <v>Programa II: Servicios Comunitarios</v>
          </cell>
          <cell r="M25">
            <v>20</v>
          </cell>
        </row>
        <row r="26">
          <cell r="A26" t="str">
            <v>Plazas en procesos sustantivos</v>
          </cell>
          <cell r="C26">
            <v>20</v>
          </cell>
          <cell r="F26" t="str">
            <v>Programa III: Inversiones</v>
          </cell>
          <cell r="M26">
            <v>0</v>
          </cell>
        </row>
        <row r="27">
          <cell r="A27" t="str">
            <v>Plazas en procesos de apoyo</v>
          </cell>
          <cell r="C27">
            <v>29</v>
          </cell>
          <cell r="F27" t="str">
            <v>Programa IV: Partidas específicas</v>
          </cell>
          <cell r="M27">
            <v>0</v>
          </cell>
        </row>
        <row r="28">
          <cell r="A28" t="str">
            <v>Total de plazas</v>
          </cell>
          <cell r="C28">
            <v>49</v>
          </cell>
          <cell r="F28" t="str">
            <v>Total de plazas</v>
          </cell>
          <cell r="M28">
            <v>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</sheetNames>
    <sheetDataSet>
      <sheetData sheetId="0">
        <row r="2">
          <cell r="A2" t="str">
            <v>MUNICIPALIDAD DE FLORES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2 R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5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8.7109375" style="0" customWidth="1"/>
    <col min="2" max="2" width="50.7109375" style="0" customWidth="1"/>
    <col min="3" max="3" width="16.7109375" style="0" customWidth="1"/>
    <col min="4" max="4" width="12.7109375" style="0" customWidth="1"/>
  </cols>
  <sheetData>
    <row r="2" spans="1:4" ht="18">
      <c r="A2" s="844" t="s">
        <v>808</v>
      </c>
      <c r="B2" s="844"/>
      <c r="C2" s="844"/>
      <c r="D2" s="844"/>
    </row>
    <row r="3" spans="1:4" ht="18">
      <c r="A3" s="844" t="s">
        <v>1658</v>
      </c>
      <c r="B3" s="844"/>
      <c r="C3" s="844"/>
      <c r="D3" s="844"/>
    </row>
    <row r="4" spans="1:4" ht="12.75">
      <c r="A4" s="18"/>
      <c r="B4" s="18"/>
      <c r="C4" s="18"/>
      <c r="D4" s="18"/>
    </row>
    <row r="5" spans="1:4" ht="18">
      <c r="A5" s="844" t="s">
        <v>809</v>
      </c>
      <c r="B5" s="844"/>
      <c r="C5" s="844"/>
      <c r="D5" s="844"/>
    </row>
    <row r="6" ht="13.5" thickBot="1"/>
    <row r="7" spans="1:4" ht="12.75">
      <c r="A7" s="143" t="s">
        <v>761</v>
      </c>
      <c r="B7" s="145" t="s">
        <v>761</v>
      </c>
      <c r="C7" s="145" t="s">
        <v>761</v>
      </c>
      <c r="D7" s="1" t="s">
        <v>759</v>
      </c>
    </row>
    <row r="8" spans="1:4" ht="13.5" thickBot="1">
      <c r="A8" s="144" t="s">
        <v>756</v>
      </c>
      <c r="B8" s="146" t="s">
        <v>757</v>
      </c>
      <c r="C8" s="146" t="s">
        <v>758</v>
      </c>
      <c r="D8" s="2" t="s">
        <v>760</v>
      </c>
    </row>
    <row r="9" spans="1:4" ht="13.5" thickBot="1">
      <c r="A9" s="8"/>
      <c r="B9" s="9" t="s">
        <v>762</v>
      </c>
      <c r="C9" s="10">
        <f>C11+C72</f>
        <v>2318001800.33</v>
      </c>
      <c r="D9" s="14">
        <f>D11+D72</f>
        <v>1</v>
      </c>
    </row>
    <row r="10" spans="1:4" ht="13.5" thickBot="1">
      <c r="A10" s="73"/>
      <c r="B10" s="73"/>
      <c r="C10" s="59"/>
      <c r="D10" s="685"/>
    </row>
    <row r="11" spans="1:4" ht="13.5" thickBot="1">
      <c r="A11" s="686" t="s">
        <v>134</v>
      </c>
      <c r="B11" s="9" t="s">
        <v>763</v>
      </c>
      <c r="C11" s="728">
        <f>C13+C34+C63</f>
        <v>1933706283.14</v>
      </c>
      <c r="D11" s="14">
        <f>D13+D34+D63</f>
        <v>0.8342125889913934</v>
      </c>
    </row>
    <row r="12" spans="1:4" ht="12.75">
      <c r="A12" s="6"/>
      <c r="B12" s="6"/>
      <c r="C12" s="7"/>
      <c r="D12" s="15"/>
    </row>
    <row r="13" spans="1:5" ht="13.5" thickBot="1">
      <c r="A13" s="688" t="s">
        <v>135</v>
      </c>
      <c r="B13" s="688" t="s">
        <v>765</v>
      </c>
      <c r="C13" s="689">
        <f>C14+C17+C29</f>
        <v>1126024687.63</v>
      </c>
      <c r="D13" s="690">
        <f>D14+D17+D29</f>
        <v>0.48577386241447035</v>
      </c>
      <c r="E13" s="33"/>
    </row>
    <row r="14" spans="1:5" ht="14.25" thickBot="1" thickTop="1">
      <c r="A14" s="442" t="s">
        <v>136</v>
      </c>
      <c r="B14" s="442" t="s">
        <v>766</v>
      </c>
      <c r="C14" s="694">
        <f>C15</f>
        <v>629024687.63</v>
      </c>
      <c r="D14" s="695">
        <f>D15</f>
        <v>0.27136505568738106</v>
      </c>
      <c r="E14" s="33"/>
    </row>
    <row r="15" spans="1:5" ht="12.75">
      <c r="A15" s="623" t="s">
        <v>137</v>
      </c>
      <c r="B15" s="623" t="s">
        <v>133</v>
      </c>
      <c r="C15" s="793">
        <v>629024687.63</v>
      </c>
      <c r="D15" s="701">
        <f>C15/C9</f>
        <v>0.27136505568738106</v>
      </c>
      <c r="E15" s="33"/>
    </row>
    <row r="16" spans="1:4" ht="12.75">
      <c r="A16" s="11"/>
      <c r="B16" s="11"/>
      <c r="C16" s="13"/>
      <c r="D16" s="17"/>
    </row>
    <row r="17" spans="1:5" ht="13.5" thickBot="1">
      <c r="A17" s="697" t="s">
        <v>138</v>
      </c>
      <c r="B17" s="697" t="s">
        <v>767</v>
      </c>
      <c r="C17" s="698">
        <f>C18+C23</f>
        <v>447000000</v>
      </c>
      <c r="D17" s="699">
        <f>D18+D23</f>
        <v>0.19283850423945453</v>
      </c>
      <c r="E17" s="33"/>
    </row>
    <row r="18" spans="1:5" ht="12.75">
      <c r="A18" s="696" t="s">
        <v>139</v>
      </c>
      <c r="B18" s="6" t="s">
        <v>768</v>
      </c>
      <c r="C18" s="7">
        <f>C20</f>
        <v>65000000</v>
      </c>
      <c r="D18" s="15">
        <f>D20</f>
        <v>0.028041393233925162</v>
      </c>
      <c r="E18" s="33"/>
    </row>
    <row r="19" spans="1:4" ht="12.75">
      <c r="A19" s="4"/>
      <c r="B19" s="4" t="s">
        <v>769</v>
      </c>
      <c r="C19" s="5"/>
      <c r="D19" s="16"/>
    </row>
    <row r="20" spans="1:5" ht="12.75">
      <c r="A20" s="4" t="s">
        <v>140</v>
      </c>
      <c r="B20" s="4" t="s">
        <v>768</v>
      </c>
      <c r="C20" s="5">
        <f>C22</f>
        <v>65000000</v>
      </c>
      <c r="D20" s="16">
        <f>D22</f>
        <v>0.028041393233925162</v>
      </c>
      <c r="E20" s="33"/>
    </row>
    <row r="21" spans="1:4" ht="12.75">
      <c r="A21" s="4"/>
      <c r="B21" s="4" t="s">
        <v>770</v>
      </c>
      <c r="C21" s="5"/>
      <c r="D21" s="16"/>
    </row>
    <row r="22" spans="1:5" ht="12.75">
      <c r="A22" s="152" t="s">
        <v>141</v>
      </c>
      <c r="B22" s="152" t="s">
        <v>771</v>
      </c>
      <c r="C22" s="794">
        <v>65000000</v>
      </c>
      <c r="D22" s="154">
        <f>C22/C9</f>
        <v>0.028041393233925162</v>
      </c>
      <c r="E22" s="33"/>
    </row>
    <row r="23" spans="1:5" ht="12.75">
      <c r="A23" s="4" t="s">
        <v>142</v>
      </c>
      <c r="B23" s="4" t="s">
        <v>772</v>
      </c>
      <c r="C23" s="5">
        <f>C24</f>
        <v>382000000</v>
      </c>
      <c r="D23" s="16">
        <f>D24</f>
        <v>0.16479711100552938</v>
      </c>
      <c r="E23" s="33"/>
    </row>
    <row r="24" spans="1:5" ht="12.75">
      <c r="A24" s="4" t="s">
        <v>143</v>
      </c>
      <c r="B24" s="4" t="s">
        <v>778</v>
      </c>
      <c r="C24" s="5">
        <f>SUM(C26:C27)</f>
        <v>382000000</v>
      </c>
      <c r="D24" s="16">
        <f>D26+D27</f>
        <v>0.16479711100552938</v>
      </c>
      <c r="E24" s="33"/>
    </row>
    <row r="25" spans="1:4" ht="12.75">
      <c r="A25" s="4"/>
      <c r="B25" s="4" t="s">
        <v>779</v>
      </c>
      <c r="C25" s="5"/>
      <c r="D25" s="16"/>
    </row>
    <row r="26" spans="1:5" ht="12.75">
      <c r="A26" s="152" t="s">
        <v>118</v>
      </c>
      <c r="B26" s="152" t="s">
        <v>780</v>
      </c>
      <c r="C26" s="794">
        <v>365000000</v>
      </c>
      <c r="D26" s="154">
        <f>C26/C9</f>
        <v>0.15746320815973358</v>
      </c>
      <c r="E26" s="33"/>
    </row>
    <row r="27" spans="1:5" ht="12.75">
      <c r="A27" s="152" t="s">
        <v>162</v>
      </c>
      <c r="B27" s="152" t="s">
        <v>803</v>
      </c>
      <c r="C27" s="794">
        <v>17000000</v>
      </c>
      <c r="D27" s="154">
        <f>C27/C9</f>
        <v>0.007333902845795811</v>
      </c>
      <c r="E27" s="33"/>
    </row>
    <row r="28" spans="1:4" ht="12.75">
      <c r="A28" s="11"/>
      <c r="B28" s="11"/>
      <c r="C28" s="13"/>
      <c r="D28" s="17"/>
    </row>
    <row r="29" spans="1:5" ht="13.5" thickBot="1">
      <c r="A29" s="697" t="s">
        <v>144</v>
      </c>
      <c r="B29" s="697" t="s">
        <v>781</v>
      </c>
      <c r="C29" s="698">
        <f>C30</f>
        <v>50000000</v>
      </c>
      <c r="D29" s="699">
        <f>D30</f>
        <v>0.021570302487634738</v>
      </c>
      <c r="E29" s="33"/>
    </row>
    <row r="30" spans="1:5" ht="12.75">
      <c r="A30" s="6" t="s">
        <v>145</v>
      </c>
      <c r="B30" s="6" t="s">
        <v>782</v>
      </c>
      <c r="C30" s="7">
        <f>C31+C32</f>
        <v>50000000</v>
      </c>
      <c r="D30" s="15">
        <f>D31+D32</f>
        <v>0.021570302487634738</v>
      </c>
      <c r="E30" s="33"/>
    </row>
    <row r="31" spans="1:5" ht="12.75">
      <c r="A31" s="152" t="s">
        <v>146</v>
      </c>
      <c r="B31" s="152" t="s">
        <v>783</v>
      </c>
      <c r="C31" s="794">
        <v>35000000</v>
      </c>
      <c r="D31" s="154">
        <f>C31/C9</f>
        <v>0.015099211741344317</v>
      </c>
      <c r="E31" s="33"/>
    </row>
    <row r="32" spans="1:5" ht="12.75">
      <c r="A32" s="152" t="s">
        <v>147</v>
      </c>
      <c r="B32" s="152" t="s">
        <v>784</v>
      </c>
      <c r="C32" s="794">
        <v>15000000</v>
      </c>
      <c r="D32" s="154">
        <f>C32/C9</f>
        <v>0.0064710907462904215</v>
      </c>
      <c r="E32" s="33"/>
    </row>
    <row r="33" spans="1:4" ht="12.75">
      <c r="A33" s="4"/>
      <c r="B33" s="4"/>
      <c r="C33" s="5"/>
      <c r="D33" s="16"/>
    </row>
    <row r="34" spans="1:5" ht="13.5" thickBot="1">
      <c r="A34" s="688" t="s">
        <v>148</v>
      </c>
      <c r="B34" s="688" t="s">
        <v>785</v>
      </c>
      <c r="C34" s="729">
        <f>C35+C60+C50+C55</f>
        <v>796320000</v>
      </c>
      <c r="D34" s="690">
        <f>D35+D60+D50+D55</f>
        <v>0.34353726553906594</v>
      </c>
      <c r="E34" s="33"/>
    </row>
    <row r="35" spans="1:5" ht="14.25" thickBot="1" thickTop="1">
      <c r="A35" s="442" t="s">
        <v>149</v>
      </c>
      <c r="B35" s="442" t="s">
        <v>786</v>
      </c>
      <c r="C35" s="694">
        <f>C36+C38</f>
        <v>703320000</v>
      </c>
      <c r="D35" s="695">
        <f>D38+D36</f>
        <v>0.30341650291206534</v>
      </c>
      <c r="E35" s="33"/>
    </row>
    <row r="36" spans="1:5" ht="12.75">
      <c r="A36" s="6" t="s">
        <v>150</v>
      </c>
      <c r="B36" s="6" t="s">
        <v>787</v>
      </c>
      <c r="C36" s="7">
        <f>C37</f>
        <v>330000000</v>
      </c>
      <c r="D36" s="15">
        <f>D37</f>
        <v>0.1423639964183893</v>
      </c>
      <c r="E36" s="33"/>
    </row>
    <row r="37" spans="1:5" ht="12.75">
      <c r="A37" s="152" t="s">
        <v>119</v>
      </c>
      <c r="B37" s="152" t="s">
        <v>788</v>
      </c>
      <c r="C37" s="153">
        <v>330000000</v>
      </c>
      <c r="D37" s="154">
        <f>C37/C9</f>
        <v>0.1423639964183893</v>
      </c>
      <c r="E37" s="33"/>
    </row>
    <row r="38" spans="1:5" ht="12.75">
      <c r="A38" s="4" t="s">
        <v>151</v>
      </c>
      <c r="B38" s="4" t="s">
        <v>789</v>
      </c>
      <c r="C38" s="5">
        <f>C39+C47</f>
        <v>373320000</v>
      </c>
      <c r="D38" s="16">
        <f>D39+D47</f>
        <v>0.16105250649367603</v>
      </c>
      <c r="E38" s="33"/>
    </row>
    <row r="39" spans="1:5" ht="12.75">
      <c r="A39" s="4" t="s">
        <v>152</v>
      </c>
      <c r="B39" s="4" t="s">
        <v>790</v>
      </c>
      <c r="C39" s="5">
        <f>C40+C41+C42+C43</f>
        <v>357320000</v>
      </c>
      <c r="D39" s="16">
        <f>D40+D41+D42+D43</f>
        <v>0.1541500096976329</v>
      </c>
      <c r="E39" s="33"/>
    </row>
    <row r="40" spans="1:5" ht="12.75">
      <c r="A40" s="152" t="s">
        <v>1324</v>
      </c>
      <c r="B40" s="152" t="s">
        <v>1325</v>
      </c>
      <c r="C40" s="794">
        <v>10000000</v>
      </c>
      <c r="D40" s="154">
        <f>C40/C9</f>
        <v>0.004314060497526947</v>
      </c>
      <c r="E40" s="33"/>
    </row>
    <row r="41" spans="1:5" ht="12.75">
      <c r="A41" s="152" t="s">
        <v>153</v>
      </c>
      <c r="B41" s="152" t="s">
        <v>791</v>
      </c>
      <c r="C41" s="794">
        <v>820000</v>
      </c>
      <c r="D41" s="154">
        <f>C41/C9</f>
        <v>0.00035375296079720973</v>
      </c>
      <c r="E41" s="33"/>
    </row>
    <row r="42" spans="1:5" ht="12.75">
      <c r="A42" s="152" t="s">
        <v>154</v>
      </c>
      <c r="B42" s="152" t="s">
        <v>792</v>
      </c>
      <c r="C42" s="794">
        <v>36000000</v>
      </c>
      <c r="D42" s="154">
        <f>C42/C9</f>
        <v>0.015530617791097013</v>
      </c>
      <c r="E42" s="33"/>
    </row>
    <row r="43" spans="1:5" ht="12.75">
      <c r="A43" s="683" t="s">
        <v>117</v>
      </c>
      <c r="B43" s="702" t="s">
        <v>793</v>
      </c>
      <c r="C43" s="703">
        <f>C44+C45+C46</f>
        <v>310500000</v>
      </c>
      <c r="D43" s="684">
        <f>D44+D45+D46</f>
        <v>0.13395157844821173</v>
      </c>
      <c r="E43" s="33"/>
    </row>
    <row r="44" spans="1:5" ht="12.75">
      <c r="A44" s="152" t="s">
        <v>155</v>
      </c>
      <c r="B44" s="152" t="s">
        <v>794</v>
      </c>
      <c r="C44" s="794">
        <v>220000000</v>
      </c>
      <c r="D44" s="154">
        <f>C44/C9</f>
        <v>0.09490933094559285</v>
      </c>
      <c r="E44" s="33"/>
    </row>
    <row r="45" spans="1:5" ht="12.75">
      <c r="A45" s="152" t="s">
        <v>499</v>
      </c>
      <c r="B45" s="152" t="s">
        <v>500</v>
      </c>
      <c r="C45" s="794">
        <v>500000</v>
      </c>
      <c r="D45" s="154">
        <f>C45/C9</f>
        <v>0.00021570302487634738</v>
      </c>
      <c r="E45" s="33"/>
    </row>
    <row r="46" spans="1:5" ht="12.75">
      <c r="A46" s="152" t="s">
        <v>1566</v>
      </c>
      <c r="B46" s="152" t="s">
        <v>1567</v>
      </c>
      <c r="C46" s="794">
        <v>90000000</v>
      </c>
      <c r="D46" s="154">
        <f>C46/C9</f>
        <v>0.03882654447774253</v>
      </c>
      <c r="E46" s="33"/>
    </row>
    <row r="47" spans="1:5" ht="12.75">
      <c r="A47" s="152" t="s">
        <v>1382</v>
      </c>
      <c r="B47" s="152" t="s">
        <v>1383</v>
      </c>
      <c r="C47" s="153">
        <f>C48</f>
        <v>16000000</v>
      </c>
      <c r="D47" s="154">
        <f>D48</f>
        <v>0.006902496796043116</v>
      </c>
      <c r="E47" s="33"/>
    </row>
    <row r="48" spans="1:5" ht="12.75">
      <c r="A48" s="152" t="s">
        <v>1384</v>
      </c>
      <c r="B48" s="152" t="s">
        <v>1385</v>
      </c>
      <c r="C48" s="794">
        <v>16000000</v>
      </c>
      <c r="D48" s="154">
        <f>C48/C9</f>
        <v>0.006902496796043116</v>
      </c>
      <c r="E48" s="33"/>
    </row>
    <row r="49" spans="1:4" ht="12.75">
      <c r="A49" s="11"/>
      <c r="B49" s="11"/>
      <c r="C49" s="13"/>
      <c r="D49" s="17"/>
    </row>
    <row r="50" spans="1:5" ht="13.5" thickBot="1">
      <c r="A50" s="697" t="s">
        <v>1209</v>
      </c>
      <c r="B50" s="697" t="s">
        <v>1205</v>
      </c>
      <c r="C50" s="698">
        <f aca="true" t="shared" si="0" ref="C50:D52">C51</f>
        <v>45000000</v>
      </c>
      <c r="D50" s="699">
        <f t="shared" si="0"/>
        <v>0.019413272238871265</v>
      </c>
      <c r="E50" s="33"/>
    </row>
    <row r="51" spans="1:5" ht="12.75">
      <c r="A51" s="623" t="s">
        <v>1210</v>
      </c>
      <c r="B51" s="623" t="s">
        <v>1206</v>
      </c>
      <c r="C51" s="700">
        <f t="shared" si="0"/>
        <v>45000000</v>
      </c>
      <c r="D51" s="701">
        <f t="shared" si="0"/>
        <v>0.019413272238871265</v>
      </c>
      <c r="E51" s="33"/>
    </row>
    <row r="52" spans="1:5" ht="12.75">
      <c r="A52" s="152" t="s">
        <v>1211</v>
      </c>
      <c r="B52" s="152" t="s">
        <v>1207</v>
      </c>
      <c r="C52" s="153">
        <f t="shared" si="0"/>
        <v>45000000</v>
      </c>
      <c r="D52" s="154">
        <f t="shared" si="0"/>
        <v>0.019413272238871265</v>
      </c>
      <c r="E52" s="33"/>
    </row>
    <row r="53" spans="1:5" ht="12.75">
      <c r="A53" s="152" t="s">
        <v>1212</v>
      </c>
      <c r="B53" s="152" t="s">
        <v>1208</v>
      </c>
      <c r="C53" s="794">
        <v>45000000</v>
      </c>
      <c r="D53" s="154">
        <f>C53/C9</f>
        <v>0.019413272238871265</v>
      </c>
      <c r="E53" s="33"/>
    </row>
    <row r="54" spans="1:4" ht="12.75">
      <c r="A54" s="155"/>
      <c r="B54" s="155"/>
      <c r="C54" s="13"/>
      <c r="D54" s="17"/>
    </row>
    <row r="55" spans="1:5" ht="13.5" thickBot="1">
      <c r="A55" s="697" t="s">
        <v>1213</v>
      </c>
      <c r="B55" s="697" t="s">
        <v>1214</v>
      </c>
      <c r="C55" s="698">
        <f>C56</f>
        <v>8000000</v>
      </c>
      <c r="D55" s="699">
        <f>D56</f>
        <v>0.003451248398021558</v>
      </c>
      <c r="E55" s="33"/>
    </row>
    <row r="56" spans="1:5" ht="12.75">
      <c r="A56" s="623" t="s">
        <v>1215</v>
      </c>
      <c r="B56" s="623" t="s">
        <v>1216</v>
      </c>
      <c r="C56" s="700">
        <f>C57</f>
        <v>8000000</v>
      </c>
      <c r="D56" s="701">
        <f>D57</f>
        <v>0.003451248398021558</v>
      </c>
      <c r="E56" s="33"/>
    </row>
    <row r="57" spans="1:5" ht="12.75">
      <c r="A57" s="152" t="s">
        <v>1217</v>
      </c>
      <c r="B57" s="152" t="s">
        <v>1218</v>
      </c>
      <c r="C57" s="153">
        <f>SUM(C58:C58)</f>
        <v>8000000</v>
      </c>
      <c r="D57" s="154">
        <f>SUM(D58:D58)</f>
        <v>0.003451248398021558</v>
      </c>
      <c r="E57" s="33"/>
    </row>
    <row r="58" spans="1:5" ht="12.75">
      <c r="A58" s="152" t="s">
        <v>1219</v>
      </c>
      <c r="B58" s="152" t="s">
        <v>1220</v>
      </c>
      <c r="C58" s="794">
        <v>8000000</v>
      </c>
      <c r="D58" s="154">
        <f>C58/C9</f>
        <v>0.003451248398021558</v>
      </c>
      <c r="E58" s="33"/>
    </row>
    <row r="59" spans="1:4" ht="12.75">
      <c r="A59" s="11"/>
      <c r="B59" s="11"/>
      <c r="C59" s="13"/>
      <c r="D59" s="17"/>
    </row>
    <row r="60" spans="1:5" ht="13.5" thickBot="1">
      <c r="A60" s="697" t="s">
        <v>156</v>
      </c>
      <c r="B60" s="697" t="s">
        <v>795</v>
      </c>
      <c r="C60" s="698">
        <f>C61</f>
        <v>40000000</v>
      </c>
      <c r="D60" s="699">
        <f>D61</f>
        <v>0.01725624199010779</v>
      </c>
      <c r="E60" s="33"/>
    </row>
    <row r="61" spans="1:5" ht="12.75">
      <c r="A61" s="623" t="s">
        <v>157</v>
      </c>
      <c r="B61" s="623" t="s">
        <v>796</v>
      </c>
      <c r="C61" s="793">
        <v>40000000</v>
      </c>
      <c r="D61" s="701">
        <f>C61/C9</f>
        <v>0.01725624199010779</v>
      </c>
      <c r="E61" s="33"/>
    </row>
    <row r="62" spans="1:4" ht="12.75">
      <c r="A62" s="11"/>
      <c r="B62" s="11"/>
      <c r="C62" s="13"/>
      <c r="D62" s="17"/>
    </row>
    <row r="63" spans="1:5" ht="13.5" thickBot="1">
      <c r="A63" s="688" t="s">
        <v>158</v>
      </c>
      <c r="B63" s="688" t="s">
        <v>797</v>
      </c>
      <c r="C63" s="689">
        <f>C64</f>
        <v>11361595.51</v>
      </c>
      <c r="D63" s="690">
        <f>D64</f>
        <v>0.004901461037857054</v>
      </c>
      <c r="E63" s="33"/>
    </row>
    <row r="64" spans="1:5" ht="14.25" thickBot="1" thickTop="1">
      <c r="A64" s="442" t="s">
        <v>159</v>
      </c>
      <c r="B64" s="442" t="s">
        <v>798</v>
      </c>
      <c r="C64" s="694">
        <f>+C68+C65</f>
        <v>11361595.51</v>
      </c>
      <c r="D64" s="695">
        <f>+D68+D65</f>
        <v>0.004901461037857054</v>
      </c>
      <c r="E64" s="33"/>
    </row>
    <row r="65" spans="1:5" ht="12.75">
      <c r="A65" s="152" t="s">
        <v>181</v>
      </c>
      <c r="B65" s="152" t="s">
        <v>182</v>
      </c>
      <c r="C65" s="153">
        <f>C66</f>
        <v>6132213.52</v>
      </c>
      <c r="D65" s="154">
        <f>D66</f>
        <v>0.0026454740109032675</v>
      </c>
      <c r="E65" s="33"/>
    </row>
    <row r="66" spans="1:5" ht="12.75">
      <c r="A66" s="152" t="s">
        <v>183</v>
      </c>
      <c r="B66" s="152" t="s">
        <v>184</v>
      </c>
      <c r="C66" s="794">
        <v>6132213.52</v>
      </c>
      <c r="D66" s="154">
        <f>C66/C9</f>
        <v>0.0026454740109032675</v>
      </c>
      <c r="E66" s="33"/>
    </row>
    <row r="67" spans="1:4" ht="12.75">
      <c r="A67" s="21"/>
      <c r="B67" s="21"/>
      <c r="C67" s="22"/>
      <c r="D67" s="23"/>
    </row>
    <row r="68" spans="1:5" ht="12.75">
      <c r="A68" s="4" t="s">
        <v>160</v>
      </c>
      <c r="B68" s="4" t="s">
        <v>799</v>
      </c>
      <c r="C68" s="5">
        <f>C70</f>
        <v>5229381.99</v>
      </c>
      <c r="D68" s="16">
        <f>D70</f>
        <v>0.002255987026953786</v>
      </c>
      <c r="E68" s="33"/>
    </row>
    <row r="69" spans="1:4" ht="12.75">
      <c r="A69" s="4"/>
      <c r="B69" s="4" t="s">
        <v>800</v>
      </c>
      <c r="C69" s="5"/>
      <c r="D69" s="16"/>
    </row>
    <row r="70" spans="1:5" ht="12.75">
      <c r="A70" s="152" t="s">
        <v>161</v>
      </c>
      <c r="B70" s="152" t="s">
        <v>801</v>
      </c>
      <c r="C70" s="794">
        <v>5229381.99</v>
      </c>
      <c r="D70" s="154">
        <f>C70/C9</f>
        <v>0.002255987026953786</v>
      </c>
      <c r="E70" s="33"/>
    </row>
    <row r="71" spans="1:4" ht="13.5" thickBot="1">
      <c r="A71" s="105"/>
      <c r="B71" s="105"/>
      <c r="C71" s="141"/>
      <c r="D71" s="687"/>
    </row>
    <row r="72" spans="1:4" ht="13.5" thickBot="1">
      <c r="A72" s="686" t="s">
        <v>579</v>
      </c>
      <c r="B72" s="9" t="s">
        <v>580</v>
      </c>
      <c r="C72" s="10">
        <f>C73+C77</f>
        <v>384295517.19</v>
      </c>
      <c r="D72" s="14">
        <f>D73+D77</f>
        <v>0.1657874110086067</v>
      </c>
    </row>
    <row r="73" spans="1:4" ht="13.5" thickBot="1">
      <c r="A73" s="759" t="s">
        <v>1538</v>
      </c>
      <c r="B73" s="760" t="s">
        <v>1539</v>
      </c>
      <c r="C73" s="761">
        <f>C74</f>
        <v>500000</v>
      </c>
      <c r="D73" s="766">
        <f>D74</f>
        <v>0.00021570302487634738</v>
      </c>
    </row>
    <row r="74" spans="1:4" ht="13.5" thickBot="1">
      <c r="A74" s="759" t="s">
        <v>1540</v>
      </c>
      <c r="B74" s="760" t="s">
        <v>1541</v>
      </c>
      <c r="C74" s="761">
        <f>C75</f>
        <v>500000</v>
      </c>
      <c r="D74" s="766">
        <f>D75</f>
        <v>0.00021570302487634738</v>
      </c>
    </row>
    <row r="75" spans="1:4" ht="12.75">
      <c r="A75" s="764" t="s">
        <v>1542</v>
      </c>
      <c r="B75" s="749" t="s">
        <v>1543</v>
      </c>
      <c r="C75" s="765">
        <v>500000</v>
      </c>
      <c r="D75" s="767">
        <f>C75/C9</f>
        <v>0.00021570302487634738</v>
      </c>
    </row>
    <row r="76" spans="1:4" ht="13.5" thickBot="1">
      <c r="A76" s="762"/>
      <c r="B76" s="479"/>
      <c r="C76" s="763"/>
      <c r="D76" s="768"/>
    </row>
    <row r="77" spans="1:4" ht="13.5" thickBot="1">
      <c r="A77" s="691" t="s">
        <v>581</v>
      </c>
      <c r="B77" s="691" t="s">
        <v>804</v>
      </c>
      <c r="C77" s="692">
        <f>C78</f>
        <v>383795517.19</v>
      </c>
      <c r="D77" s="693">
        <f>D78</f>
        <v>0.16557170798373036</v>
      </c>
    </row>
    <row r="78" spans="1:4" ht="14.25" thickBot="1" thickTop="1">
      <c r="A78" s="442" t="s">
        <v>582</v>
      </c>
      <c r="B78" s="442" t="s">
        <v>583</v>
      </c>
      <c r="C78" s="694">
        <f>C79+C82</f>
        <v>383795517.19</v>
      </c>
      <c r="D78" s="695">
        <f>D79+D82</f>
        <v>0.16557170798373036</v>
      </c>
    </row>
    <row r="79" spans="1:4" ht="12.75">
      <c r="A79" s="6" t="s">
        <v>584</v>
      </c>
      <c r="B79" s="6" t="s">
        <v>585</v>
      </c>
      <c r="C79" s="7">
        <f>C80</f>
        <v>381810731.46</v>
      </c>
      <c r="D79" s="15">
        <f>D80</f>
        <v>0.16471545941234553</v>
      </c>
    </row>
    <row r="80" spans="1:4" ht="12.75">
      <c r="A80" s="152" t="s">
        <v>586</v>
      </c>
      <c r="B80" s="152" t="s">
        <v>806</v>
      </c>
      <c r="C80" s="795">
        <v>381810731.46</v>
      </c>
      <c r="D80" s="154">
        <f>C80/C9</f>
        <v>0.16471545941234553</v>
      </c>
    </row>
    <row r="81" spans="1:4" ht="12.75">
      <c r="A81" s="152"/>
      <c r="B81" s="152"/>
      <c r="C81" s="153"/>
      <c r="D81" s="154"/>
    </row>
    <row r="82" spans="1:4" ht="12.75">
      <c r="A82" s="12" t="s">
        <v>587</v>
      </c>
      <c r="B82" s="12" t="s">
        <v>588</v>
      </c>
      <c r="C82" s="498">
        <f>C84</f>
        <v>1984785.73</v>
      </c>
      <c r="D82" s="499">
        <f>D84</f>
        <v>0.0008562485713848186</v>
      </c>
    </row>
    <row r="83" spans="1:4" ht="12.75">
      <c r="A83" s="4"/>
      <c r="B83" s="4" t="s">
        <v>800</v>
      </c>
      <c r="C83" s="5"/>
      <c r="D83" s="16"/>
    </row>
    <row r="84" spans="1:4" ht="12.75">
      <c r="A84" s="152" t="s">
        <v>589</v>
      </c>
      <c r="B84" s="152" t="s">
        <v>807</v>
      </c>
      <c r="C84" s="794">
        <v>1984785.73</v>
      </c>
      <c r="D84" s="154">
        <f>C84/C9</f>
        <v>0.0008562485713848186</v>
      </c>
    </row>
    <row r="85" spans="1:4" ht="13.5" thickBot="1">
      <c r="A85" s="106"/>
      <c r="B85" s="106"/>
      <c r="C85" s="638"/>
      <c r="D85" s="106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</sheetData>
  <sheetProtection/>
  <mergeCells count="3">
    <mergeCell ref="A2:D2"/>
    <mergeCell ref="A3:D3"/>
    <mergeCell ref="A5:D5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H95" sqref="H95"/>
    </sheetView>
  </sheetViews>
  <sheetFormatPr defaultColWidth="11.421875" defaultRowHeight="12.75"/>
  <cols>
    <col min="1" max="1" width="18.7109375" style="0" customWidth="1"/>
    <col min="2" max="2" width="35.7109375" style="0" customWidth="1"/>
    <col min="3" max="3" width="17.7109375" style="0" customWidth="1"/>
    <col min="4" max="4" width="5.7109375" style="0" customWidth="1"/>
    <col min="5" max="6" width="6.7109375" style="0" customWidth="1"/>
    <col min="7" max="7" width="25.7109375" style="0" customWidth="1"/>
    <col min="8" max="8" width="17.7109375" style="0" customWidth="1"/>
  </cols>
  <sheetData>
    <row r="1" spans="1:8" ht="18">
      <c r="A1" s="844" t="s">
        <v>808</v>
      </c>
      <c r="B1" s="844"/>
      <c r="C1" s="844"/>
      <c r="D1" s="844"/>
      <c r="E1" s="844"/>
      <c r="F1" s="844"/>
      <c r="G1" s="844"/>
      <c r="H1" s="844"/>
    </row>
    <row r="2" spans="1:8" ht="15.75">
      <c r="A2" s="848" t="s">
        <v>1658</v>
      </c>
      <c r="B2" s="848"/>
      <c r="C2" s="848"/>
      <c r="D2" s="848"/>
      <c r="E2" s="848"/>
      <c r="F2" s="848"/>
      <c r="G2" s="848"/>
      <c r="H2" s="848"/>
    </row>
    <row r="3" spans="1:8" ht="15" customHeight="1">
      <c r="A3" s="848" t="s">
        <v>101</v>
      </c>
      <c r="B3" s="848"/>
      <c r="C3" s="848"/>
      <c r="D3" s="848"/>
      <c r="E3" s="848"/>
      <c r="F3" s="848"/>
      <c r="G3" s="848"/>
      <c r="H3" s="848"/>
    </row>
    <row r="4" spans="1:8" ht="16.5" thickBot="1">
      <c r="A4" s="848" t="s">
        <v>116</v>
      </c>
      <c r="B4" s="848"/>
      <c r="C4" s="848"/>
      <c r="D4" s="848"/>
      <c r="E4" s="848"/>
      <c r="F4" s="848"/>
      <c r="G4" s="848"/>
      <c r="H4" s="848"/>
    </row>
    <row r="5" spans="1:8" ht="13.5" thickBot="1">
      <c r="A5" s="554" t="s">
        <v>367</v>
      </c>
      <c r="B5" s="555" t="s">
        <v>91</v>
      </c>
      <c r="C5" s="556" t="s">
        <v>758</v>
      </c>
      <c r="D5" s="557"/>
      <c r="E5" s="558"/>
      <c r="F5" s="559" t="s">
        <v>761</v>
      </c>
      <c r="G5" s="556" t="s">
        <v>95</v>
      </c>
      <c r="H5" s="556" t="s">
        <v>758</v>
      </c>
    </row>
    <row r="6" spans="1:8" ht="12.75">
      <c r="A6" s="560" t="s">
        <v>368</v>
      </c>
      <c r="B6" s="561"/>
      <c r="C6" s="562"/>
      <c r="D6" s="563" t="s">
        <v>370</v>
      </c>
      <c r="E6" s="563" t="s">
        <v>371</v>
      </c>
      <c r="F6" s="563" t="s">
        <v>372</v>
      </c>
      <c r="G6" s="562"/>
      <c r="H6" s="564"/>
    </row>
    <row r="7" spans="1:8" ht="13.5" thickBot="1">
      <c r="A7" s="565" t="s">
        <v>369</v>
      </c>
      <c r="B7" s="566"/>
      <c r="C7" s="567"/>
      <c r="D7" s="568" t="s">
        <v>92</v>
      </c>
      <c r="E7" s="568" t="s">
        <v>93</v>
      </c>
      <c r="F7" s="568" t="s">
        <v>94</v>
      </c>
      <c r="G7" s="567"/>
      <c r="H7" s="569"/>
    </row>
    <row r="8" spans="1:8" ht="12.75">
      <c r="A8" s="79" t="s">
        <v>137</v>
      </c>
      <c r="B8" s="103" t="s">
        <v>366</v>
      </c>
      <c r="C8" s="118">
        <f>+INGRESOS!C15</f>
        <v>629024687.63</v>
      </c>
      <c r="D8" s="145">
        <v>1</v>
      </c>
      <c r="E8" s="166" t="s">
        <v>98</v>
      </c>
      <c r="F8" s="145"/>
      <c r="G8" s="103" t="s">
        <v>99</v>
      </c>
      <c r="H8" s="809">
        <f>C8*10%</f>
        <v>62902468.763000004</v>
      </c>
    </row>
    <row r="9" spans="1:8" ht="12.75">
      <c r="A9" s="61"/>
      <c r="B9" s="73"/>
      <c r="C9" s="59"/>
      <c r="D9" s="116">
        <v>1</v>
      </c>
      <c r="E9" s="117" t="s">
        <v>96</v>
      </c>
      <c r="F9" s="116"/>
      <c r="G9" s="73" t="s">
        <v>97</v>
      </c>
      <c r="H9" s="810">
        <f>+'PROGRAMA 1'!C336</f>
        <v>62902468.763000004</v>
      </c>
    </row>
    <row r="10" spans="1:8" ht="12.75">
      <c r="A10" s="61"/>
      <c r="B10" s="73"/>
      <c r="C10" s="59"/>
      <c r="D10" s="116">
        <v>1</v>
      </c>
      <c r="E10" s="117" t="s">
        <v>96</v>
      </c>
      <c r="F10" s="116"/>
      <c r="G10" s="73" t="s">
        <v>100</v>
      </c>
      <c r="H10" s="810">
        <f>+'PROGRAMA 1'!C328</f>
        <v>6290246.8763</v>
      </c>
    </row>
    <row r="11" spans="1:8" ht="12.75">
      <c r="A11" s="61"/>
      <c r="B11" s="73"/>
      <c r="C11" s="59"/>
      <c r="D11" s="116">
        <v>1</v>
      </c>
      <c r="E11" s="117" t="s">
        <v>96</v>
      </c>
      <c r="F11" s="116"/>
      <c r="G11" s="73" t="s">
        <v>373</v>
      </c>
      <c r="H11" s="810">
        <f>+'PROGRAMA 1'!C331</f>
        <v>18870740.6289</v>
      </c>
    </row>
    <row r="12" spans="1:8" ht="12.75">
      <c r="A12" s="61"/>
      <c r="B12" s="73"/>
      <c r="C12" s="59"/>
      <c r="D12" s="116">
        <v>1</v>
      </c>
      <c r="E12" s="117" t="s">
        <v>96</v>
      </c>
      <c r="F12" s="116"/>
      <c r="G12" s="73" t="s">
        <v>374</v>
      </c>
      <c r="H12" s="810">
        <f>+'PROGRAMA 1'!C340</f>
        <v>57699600</v>
      </c>
    </row>
    <row r="13" spans="1:8" ht="12.75">
      <c r="A13" s="61"/>
      <c r="B13" s="73"/>
      <c r="C13" s="59"/>
      <c r="D13" s="116">
        <v>1</v>
      </c>
      <c r="E13" s="117" t="s">
        <v>96</v>
      </c>
      <c r="F13" s="116"/>
      <c r="G13" s="73" t="s">
        <v>375</v>
      </c>
      <c r="H13" s="810">
        <f>+'PROGRAMA 1'!C337</f>
        <v>9616600</v>
      </c>
    </row>
    <row r="14" spans="1:8" ht="12.75">
      <c r="A14" s="61"/>
      <c r="B14" s="73"/>
      <c r="C14" s="59"/>
      <c r="D14" s="116">
        <v>1</v>
      </c>
      <c r="E14" s="117" t="s">
        <v>96</v>
      </c>
      <c r="F14" s="116"/>
      <c r="G14" s="73" t="s">
        <v>376</v>
      </c>
      <c r="H14" s="810">
        <f>+'PROGRAMA 1'!C341</f>
        <v>9616600</v>
      </c>
    </row>
    <row r="15" spans="1:8" ht="12.75">
      <c r="A15" s="61"/>
      <c r="B15" s="73"/>
      <c r="C15" s="59"/>
      <c r="D15" s="116">
        <v>1</v>
      </c>
      <c r="E15" s="117" t="s">
        <v>96</v>
      </c>
      <c r="F15" s="116"/>
      <c r="G15" s="73" t="s">
        <v>378</v>
      </c>
      <c r="H15" s="810">
        <v>14410692.09</v>
      </c>
    </row>
    <row r="16" spans="1:8" ht="12.75">
      <c r="A16" s="61"/>
      <c r="B16" s="73"/>
      <c r="C16" s="59"/>
      <c r="D16" s="116">
        <v>1</v>
      </c>
      <c r="E16" s="117" t="s">
        <v>96</v>
      </c>
      <c r="F16" s="116"/>
      <c r="G16" s="73" t="s">
        <v>1425</v>
      </c>
      <c r="H16" s="810">
        <v>2643142.59</v>
      </c>
    </row>
    <row r="17" spans="1:8" ht="12.75">
      <c r="A17" s="61"/>
      <c r="B17" s="73"/>
      <c r="C17" s="59"/>
      <c r="D17" s="116">
        <v>1</v>
      </c>
      <c r="E17" s="117" t="s">
        <v>96</v>
      </c>
      <c r="F17" s="116"/>
      <c r="G17" s="73" t="s">
        <v>1440</v>
      </c>
      <c r="H17" s="810">
        <v>2500000</v>
      </c>
    </row>
    <row r="18" spans="1:8" ht="12.75">
      <c r="A18" s="61"/>
      <c r="B18" s="73"/>
      <c r="C18" s="59"/>
      <c r="D18" s="116">
        <v>1</v>
      </c>
      <c r="E18" s="184" t="s">
        <v>96</v>
      </c>
      <c r="F18" s="116"/>
      <c r="G18" s="482" t="s">
        <v>1662</v>
      </c>
      <c r="H18" s="810">
        <v>1300000</v>
      </c>
    </row>
    <row r="19" spans="1:8" ht="12.75">
      <c r="A19" s="61"/>
      <c r="B19" s="73"/>
      <c r="C19" s="59"/>
      <c r="D19" s="116">
        <v>1</v>
      </c>
      <c r="E19" s="184" t="s">
        <v>96</v>
      </c>
      <c r="F19" s="116"/>
      <c r="G19" s="482" t="s">
        <v>1689</v>
      </c>
      <c r="H19" s="810">
        <v>10000000</v>
      </c>
    </row>
    <row r="20" spans="1:8" ht="12.75">
      <c r="A20" s="61"/>
      <c r="B20" s="73"/>
      <c r="C20" s="59"/>
      <c r="D20" s="116">
        <v>1</v>
      </c>
      <c r="E20" s="117" t="s">
        <v>103</v>
      </c>
      <c r="F20" s="116"/>
      <c r="G20" s="73" t="s">
        <v>104</v>
      </c>
      <c r="H20" s="810">
        <v>21834074.97</v>
      </c>
    </row>
    <row r="21" spans="1:8" ht="12.75">
      <c r="A21" s="61"/>
      <c r="B21" s="73"/>
      <c r="C21" s="59"/>
      <c r="D21" s="116">
        <v>2</v>
      </c>
      <c r="E21" s="117" t="s">
        <v>103</v>
      </c>
      <c r="F21" s="116"/>
      <c r="G21" s="73" t="s">
        <v>1428</v>
      </c>
      <c r="H21" s="810">
        <v>22000000</v>
      </c>
    </row>
    <row r="22" spans="1:8" ht="12.75">
      <c r="A22" s="61"/>
      <c r="B22" s="73"/>
      <c r="C22" s="59"/>
      <c r="D22" s="116">
        <v>2</v>
      </c>
      <c r="E22" s="184" t="s">
        <v>102</v>
      </c>
      <c r="F22" s="116"/>
      <c r="G22" s="482" t="s">
        <v>1426</v>
      </c>
      <c r="H22" s="810">
        <v>180527996.39</v>
      </c>
    </row>
    <row r="23" spans="1:8" ht="12.75">
      <c r="A23" s="61"/>
      <c r="B23" s="73"/>
      <c r="C23" s="59"/>
      <c r="D23" s="116">
        <v>2</v>
      </c>
      <c r="E23" s="184" t="s">
        <v>96</v>
      </c>
      <c r="F23" s="116"/>
      <c r="G23" s="482" t="s">
        <v>105</v>
      </c>
      <c r="H23" s="810">
        <v>3600000</v>
      </c>
    </row>
    <row r="24" spans="1:8" ht="12.75">
      <c r="A24" s="61"/>
      <c r="B24" s="73"/>
      <c r="C24" s="59"/>
      <c r="D24" s="116">
        <v>2</v>
      </c>
      <c r="E24" s="184" t="s">
        <v>111</v>
      </c>
      <c r="F24" s="116"/>
      <c r="G24" s="482" t="s">
        <v>265</v>
      </c>
      <c r="H24" s="810">
        <v>31680000</v>
      </c>
    </row>
    <row r="25" spans="1:8" ht="12.75">
      <c r="A25" s="61"/>
      <c r="B25" s="73"/>
      <c r="C25" s="59"/>
      <c r="D25" s="116">
        <v>2</v>
      </c>
      <c r="E25" s="184" t="s">
        <v>1649</v>
      </c>
      <c r="F25" s="116"/>
      <c r="G25" s="482" t="s">
        <v>1650</v>
      </c>
      <c r="H25" s="810">
        <v>5000000</v>
      </c>
    </row>
    <row r="26" spans="1:8" ht="12.75">
      <c r="A26" s="61"/>
      <c r="B26" s="73"/>
      <c r="C26" s="59"/>
      <c r="D26" s="116">
        <v>2</v>
      </c>
      <c r="E26" s="184" t="s">
        <v>752</v>
      </c>
      <c r="F26" s="116"/>
      <c r="G26" s="482" t="s">
        <v>381</v>
      </c>
      <c r="H26" s="810">
        <v>57147076.9</v>
      </c>
    </row>
    <row r="27" spans="1:8" ht="12.75">
      <c r="A27" s="61"/>
      <c r="B27" s="73"/>
      <c r="C27" s="59"/>
      <c r="D27" s="116">
        <v>2</v>
      </c>
      <c r="E27" s="184" t="s">
        <v>109</v>
      </c>
      <c r="F27" s="116"/>
      <c r="G27" s="482" t="s">
        <v>110</v>
      </c>
      <c r="H27" s="810">
        <v>450000</v>
      </c>
    </row>
    <row r="28" spans="1:8" ht="12.75">
      <c r="A28" s="61"/>
      <c r="B28" s="73"/>
      <c r="C28" s="59"/>
      <c r="D28" s="116">
        <v>2</v>
      </c>
      <c r="E28" s="184" t="s">
        <v>227</v>
      </c>
      <c r="F28" s="116"/>
      <c r="G28" s="482" t="s">
        <v>1427</v>
      </c>
      <c r="H28" s="810">
        <v>1000000</v>
      </c>
    </row>
    <row r="29" spans="1:8" ht="12.75">
      <c r="A29" s="61"/>
      <c r="B29" s="73"/>
      <c r="C29" s="59"/>
      <c r="D29" s="116">
        <v>3</v>
      </c>
      <c r="E29" s="184" t="s">
        <v>1332</v>
      </c>
      <c r="F29" s="116"/>
      <c r="G29" s="482" t="s">
        <v>1695</v>
      </c>
      <c r="H29" s="810">
        <v>11387274.39</v>
      </c>
    </row>
    <row r="30" spans="1:8" ht="13.5" thickBot="1">
      <c r="A30" s="61"/>
      <c r="B30" s="73"/>
      <c r="C30" s="59"/>
      <c r="D30" s="116">
        <v>3</v>
      </c>
      <c r="E30" s="117" t="s">
        <v>103</v>
      </c>
      <c r="F30" s="116"/>
      <c r="G30" s="482" t="s">
        <v>380</v>
      </c>
      <c r="H30" s="810">
        <v>35645705.27</v>
      </c>
    </row>
    <row r="31" spans="1:8" ht="14.25" thickBot="1" thickTop="1">
      <c r="A31" s="167"/>
      <c r="B31" s="122"/>
      <c r="C31" s="123"/>
      <c r="D31" s="124"/>
      <c r="E31" s="125"/>
      <c r="F31" s="124"/>
      <c r="G31" s="122"/>
      <c r="H31" s="835">
        <f>SUM(H8:H30)</f>
        <v>629024687.6312</v>
      </c>
    </row>
    <row r="32" spans="1:8" ht="13.5" thickBot="1">
      <c r="A32" s="61" t="s">
        <v>141</v>
      </c>
      <c r="B32" s="73" t="s">
        <v>377</v>
      </c>
      <c r="C32" s="59">
        <f>+INGRESOS!C22</f>
        <v>65000000</v>
      </c>
      <c r="D32" s="116">
        <v>1</v>
      </c>
      <c r="E32" s="117" t="s">
        <v>98</v>
      </c>
      <c r="F32" s="116"/>
      <c r="G32" s="73" t="s">
        <v>99</v>
      </c>
      <c r="H32" s="810">
        <v>65000000</v>
      </c>
    </row>
    <row r="33" spans="1:8" ht="14.25" thickBot="1" thickTop="1">
      <c r="A33" s="167"/>
      <c r="B33" s="122"/>
      <c r="C33" s="123"/>
      <c r="D33" s="124"/>
      <c r="E33" s="125"/>
      <c r="F33" s="124"/>
      <c r="G33" s="122"/>
      <c r="H33" s="835">
        <f>SUM(H32:H32)</f>
        <v>65000000</v>
      </c>
    </row>
    <row r="34" spans="1:8" ht="13.5" thickBot="1">
      <c r="A34" s="61" t="s">
        <v>118</v>
      </c>
      <c r="B34" s="73" t="s">
        <v>780</v>
      </c>
      <c r="C34" s="59">
        <f>+INGRESOS!C26</f>
        <v>365000000</v>
      </c>
      <c r="D34" s="116">
        <v>1</v>
      </c>
      <c r="E34" s="117" t="s">
        <v>98</v>
      </c>
      <c r="F34" s="116"/>
      <c r="G34" s="73" t="s">
        <v>99</v>
      </c>
      <c r="H34" s="810">
        <v>365000000</v>
      </c>
    </row>
    <row r="35" spans="1:8" ht="14.25" thickBot="1" thickTop="1">
      <c r="A35" s="167"/>
      <c r="B35" s="122"/>
      <c r="C35" s="123"/>
      <c r="D35" s="124"/>
      <c r="E35" s="125"/>
      <c r="F35" s="124"/>
      <c r="G35" s="122"/>
      <c r="H35" s="835">
        <f>SUM(H34:H34)</f>
        <v>365000000</v>
      </c>
    </row>
    <row r="36" spans="1:8" ht="13.5" thickBot="1">
      <c r="A36" s="61" t="s">
        <v>146</v>
      </c>
      <c r="B36" s="73" t="s">
        <v>783</v>
      </c>
      <c r="C36" s="59">
        <f>+INGRESOS!C31</f>
        <v>35000000</v>
      </c>
      <c r="D36" s="116">
        <v>1</v>
      </c>
      <c r="E36" s="117" t="s">
        <v>98</v>
      </c>
      <c r="F36" s="116" t="s">
        <v>761</v>
      </c>
      <c r="G36" s="73" t="s">
        <v>617</v>
      </c>
      <c r="H36" s="810">
        <v>35000000</v>
      </c>
    </row>
    <row r="37" spans="1:8" ht="14.25" thickBot="1" thickTop="1">
      <c r="A37" s="167"/>
      <c r="B37" s="122"/>
      <c r="C37" s="123"/>
      <c r="D37" s="124"/>
      <c r="E37" s="125"/>
      <c r="F37" s="124"/>
      <c r="G37" s="122"/>
      <c r="H37" s="835">
        <f>H36</f>
        <v>35000000</v>
      </c>
    </row>
    <row r="38" spans="1:8" ht="12.75">
      <c r="A38" s="61" t="s">
        <v>147</v>
      </c>
      <c r="B38" s="73" t="s">
        <v>106</v>
      </c>
      <c r="C38" s="59">
        <f>+INGRESOS!C32</f>
        <v>15000000</v>
      </c>
      <c r="D38" s="116">
        <v>1</v>
      </c>
      <c r="E38" s="117" t="s">
        <v>96</v>
      </c>
      <c r="F38" s="116"/>
      <c r="G38" s="73" t="s">
        <v>107</v>
      </c>
      <c r="H38" s="810">
        <v>1500000</v>
      </c>
    </row>
    <row r="39" spans="1:8" ht="12.75">
      <c r="A39" s="61"/>
      <c r="B39" s="73"/>
      <c r="C39" s="59"/>
      <c r="D39" s="116">
        <v>1</v>
      </c>
      <c r="E39" s="117" t="s">
        <v>96</v>
      </c>
      <c r="F39" s="116"/>
      <c r="G39" s="73" t="s">
        <v>108</v>
      </c>
      <c r="H39" s="810">
        <v>9450000</v>
      </c>
    </row>
    <row r="40" spans="1:8" ht="12.75">
      <c r="A40" s="61"/>
      <c r="B40" s="73"/>
      <c r="C40" s="59"/>
      <c r="D40" s="116">
        <v>2</v>
      </c>
      <c r="E40" s="184" t="s">
        <v>109</v>
      </c>
      <c r="F40" s="116"/>
      <c r="G40" s="482" t="s">
        <v>110</v>
      </c>
      <c r="H40" s="810">
        <v>2000000</v>
      </c>
    </row>
    <row r="41" spans="1:8" ht="12.75">
      <c r="A41" s="61"/>
      <c r="B41" s="73"/>
      <c r="C41" s="59"/>
      <c r="D41" s="116">
        <v>1</v>
      </c>
      <c r="E41" s="184" t="s">
        <v>98</v>
      </c>
      <c r="F41" s="116"/>
      <c r="G41" s="482" t="s">
        <v>1696</v>
      </c>
      <c r="H41" s="810">
        <v>1516000</v>
      </c>
    </row>
    <row r="42" spans="1:8" ht="13.5" thickBot="1">
      <c r="A42" s="168"/>
      <c r="B42" s="119"/>
      <c r="C42" s="120"/>
      <c r="D42" s="121">
        <v>2</v>
      </c>
      <c r="E42" s="185" t="s">
        <v>749</v>
      </c>
      <c r="F42" s="121"/>
      <c r="G42" s="785" t="s">
        <v>1629</v>
      </c>
      <c r="H42" s="811">
        <v>534000</v>
      </c>
    </row>
    <row r="43" spans="1:8" ht="14.25" thickBot="1" thickTop="1">
      <c r="A43" s="167"/>
      <c r="B43" s="122"/>
      <c r="C43" s="123"/>
      <c r="D43" s="124"/>
      <c r="E43" s="125"/>
      <c r="F43" s="124"/>
      <c r="G43" s="122"/>
      <c r="H43" s="835">
        <f>SUM(H38:H42)</f>
        <v>15000000</v>
      </c>
    </row>
    <row r="44" spans="1:8" ht="12.75">
      <c r="A44" s="421" t="s">
        <v>119</v>
      </c>
      <c r="B44" s="612" t="s">
        <v>180</v>
      </c>
      <c r="C44" s="613">
        <f>+INGRESOS!C37</f>
        <v>330000000</v>
      </c>
      <c r="D44" s="116">
        <v>1</v>
      </c>
      <c r="E44" s="184" t="s">
        <v>98</v>
      </c>
      <c r="F44" s="624"/>
      <c r="G44" s="482" t="s">
        <v>1638</v>
      </c>
      <c r="H44" s="810">
        <v>33000000</v>
      </c>
    </row>
    <row r="45" spans="1:8" ht="13.5" thickBot="1">
      <c r="A45" s="733"/>
      <c r="B45" s="605"/>
      <c r="C45" s="614"/>
      <c r="D45" s="116">
        <v>2</v>
      </c>
      <c r="E45" s="184" t="s">
        <v>111</v>
      </c>
      <c r="F45" s="739"/>
      <c r="G45" s="482" t="s">
        <v>112</v>
      </c>
      <c r="H45" s="810">
        <v>297000000</v>
      </c>
    </row>
    <row r="46" spans="1:8" ht="14.25" thickBot="1" thickTop="1">
      <c r="A46" s="167"/>
      <c r="B46" s="122"/>
      <c r="C46" s="123"/>
      <c r="D46" s="124"/>
      <c r="E46" s="125"/>
      <c r="F46" s="124"/>
      <c r="G46" s="122"/>
      <c r="H46" s="835">
        <f>SUM(H44:H45)</f>
        <v>330000000</v>
      </c>
    </row>
    <row r="47" spans="1:8" ht="13.5" thickBot="1">
      <c r="A47" s="754" t="s">
        <v>1324</v>
      </c>
      <c r="B47" s="619" t="s">
        <v>1331</v>
      </c>
      <c r="C47" s="127">
        <f>+INGRESOS!C40</f>
        <v>10000000</v>
      </c>
      <c r="D47" s="128">
        <v>2</v>
      </c>
      <c r="E47" s="182" t="s">
        <v>382</v>
      </c>
      <c r="F47" s="128"/>
      <c r="G47" s="619" t="s">
        <v>383</v>
      </c>
      <c r="H47" s="837">
        <v>10000000</v>
      </c>
    </row>
    <row r="48" spans="1:8" ht="14.25" thickBot="1" thickTop="1">
      <c r="A48" s="61"/>
      <c r="B48" s="73"/>
      <c r="C48" s="59"/>
      <c r="D48" s="116"/>
      <c r="E48" s="117"/>
      <c r="F48" s="116"/>
      <c r="G48" s="73"/>
      <c r="H48" s="755">
        <f>H47</f>
        <v>10000000</v>
      </c>
    </row>
    <row r="49" spans="1:8" ht="13.5" thickBot="1">
      <c r="A49" s="169" t="s">
        <v>153</v>
      </c>
      <c r="B49" s="126" t="s">
        <v>384</v>
      </c>
      <c r="C49" s="127">
        <f>+INGRESOS!C41</f>
        <v>820000</v>
      </c>
      <c r="D49" s="128">
        <v>2</v>
      </c>
      <c r="E49" s="129" t="s">
        <v>111</v>
      </c>
      <c r="F49" s="128"/>
      <c r="G49" s="126" t="s">
        <v>112</v>
      </c>
      <c r="H49" s="838">
        <v>820000</v>
      </c>
    </row>
    <row r="50" spans="1:8" ht="14.25" thickBot="1" thickTop="1">
      <c r="A50" s="421"/>
      <c r="B50" s="170"/>
      <c r="C50" s="823"/>
      <c r="D50" s="824"/>
      <c r="E50" s="166"/>
      <c r="F50" s="825"/>
      <c r="G50" s="170"/>
      <c r="H50" s="836">
        <f>H49</f>
        <v>820000</v>
      </c>
    </row>
    <row r="51" spans="1:8" ht="13.5" thickBot="1">
      <c r="A51" s="421"/>
      <c r="B51" s="170"/>
      <c r="C51" s="823"/>
      <c r="D51" s="824"/>
      <c r="E51" s="166"/>
      <c r="F51" s="825"/>
      <c r="G51" s="170"/>
      <c r="H51" s="836"/>
    </row>
    <row r="52" spans="1:8" ht="13.5" thickBot="1">
      <c r="A52" s="554" t="s">
        <v>367</v>
      </c>
      <c r="B52" s="555" t="s">
        <v>91</v>
      </c>
      <c r="C52" s="556" t="s">
        <v>758</v>
      </c>
      <c r="D52" s="557"/>
      <c r="E52" s="558"/>
      <c r="F52" s="559" t="s">
        <v>761</v>
      </c>
      <c r="G52" s="556" t="s">
        <v>95</v>
      </c>
      <c r="H52" s="556" t="s">
        <v>758</v>
      </c>
    </row>
    <row r="53" spans="1:8" ht="12.75">
      <c r="A53" s="560" t="s">
        <v>368</v>
      </c>
      <c r="B53" s="561"/>
      <c r="C53" s="562"/>
      <c r="D53" s="563" t="s">
        <v>370</v>
      </c>
      <c r="E53" s="563" t="s">
        <v>371</v>
      </c>
      <c r="F53" s="563" t="s">
        <v>372</v>
      </c>
      <c r="G53" s="562"/>
      <c r="H53" s="564"/>
    </row>
    <row r="54" spans="1:8" ht="13.5" thickBot="1">
      <c r="A54" s="565" t="s">
        <v>369</v>
      </c>
      <c r="B54" s="566"/>
      <c r="C54" s="567"/>
      <c r="D54" s="568" t="s">
        <v>92</v>
      </c>
      <c r="E54" s="568" t="s">
        <v>93</v>
      </c>
      <c r="F54" s="568" t="s">
        <v>94</v>
      </c>
      <c r="G54" s="567"/>
      <c r="H54" s="569"/>
    </row>
    <row r="55" spans="1:8" ht="13.5" thickBot="1">
      <c r="A55" s="61"/>
      <c r="B55" s="73"/>
      <c r="C55" s="59"/>
      <c r="D55" s="615"/>
      <c r="E55" s="616"/>
      <c r="F55" s="116"/>
      <c r="G55" s="73"/>
      <c r="H55" s="755"/>
    </row>
    <row r="56" spans="1:8" ht="12.75">
      <c r="A56" s="808" t="s">
        <v>154</v>
      </c>
      <c r="B56" s="750" t="s">
        <v>113</v>
      </c>
      <c r="C56" s="648">
        <f>+INGRESOS!C42</f>
        <v>36000000</v>
      </c>
      <c r="D56" s="805">
        <v>2</v>
      </c>
      <c r="E56" s="806" t="s">
        <v>96</v>
      </c>
      <c r="F56" s="807"/>
      <c r="G56" s="750" t="s">
        <v>105</v>
      </c>
      <c r="H56" s="839">
        <v>32400000</v>
      </c>
    </row>
    <row r="57" spans="1:8" ht="13.5" thickBot="1">
      <c r="A57" s="61"/>
      <c r="B57" s="73"/>
      <c r="C57" s="59"/>
      <c r="D57" s="786">
        <v>1</v>
      </c>
      <c r="E57" s="787" t="s">
        <v>98</v>
      </c>
      <c r="F57" s="121"/>
      <c r="G57" s="119" t="s">
        <v>617</v>
      </c>
      <c r="H57" s="811">
        <v>3600000</v>
      </c>
    </row>
    <row r="58" spans="1:8" ht="14.25" thickBot="1" thickTop="1">
      <c r="A58" s="167"/>
      <c r="B58" s="122"/>
      <c r="C58" s="123"/>
      <c r="D58" s="146"/>
      <c r="E58" s="647"/>
      <c r="F58" s="146"/>
      <c r="G58" s="113"/>
      <c r="H58" s="835">
        <f>SUM(H56:H57)</f>
        <v>36000000</v>
      </c>
    </row>
    <row r="59" spans="1:8" ht="12.75">
      <c r="A59" s="617" t="s">
        <v>155</v>
      </c>
      <c r="B59" s="103" t="s">
        <v>385</v>
      </c>
      <c r="C59" s="118">
        <f>+INGRESOS!C44</f>
        <v>220000000</v>
      </c>
      <c r="D59" s="145">
        <v>1</v>
      </c>
      <c r="E59" s="166" t="s">
        <v>98</v>
      </c>
      <c r="F59" s="625" t="s">
        <v>98</v>
      </c>
      <c r="G59" s="103" t="s">
        <v>617</v>
      </c>
      <c r="H59" s="809">
        <v>22000000</v>
      </c>
    </row>
    <row r="60" spans="1:8" ht="13.5" thickBot="1">
      <c r="A60" s="622"/>
      <c r="B60" s="605"/>
      <c r="C60" s="614"/>
      <c r="D60" s="615">
        <v>2</v>
      </c>
      <c r="E60" s="616" t="s">
        <v>103</v>
      </c>
      <c r="F60" s="615"/>
      <c r="G60" s="605" t="s">
        <v>1231</v>
      </c>
      <c r="H60" s="810">
        <v>198000000</v>
      </c>
    </row>
    <row r="61" spans="1:8" ht="14.25" thickBot="1" thickTop="1">
      <c r="A61" s="167"/>
      <c r="B61" s="122"/>
      <c r="C61" s="123"/>
      <c r="D61" s="124"/>
      <c r="E61" s="125"/>
      <c r="F61" s="124"/>
      <c r="G61" s="122"/>
      <c r="H61" s="835">
        <f>SUM(H59:H60)</f>
        <v>220000000</v>
      </c>
    </row>
    <row r="62" spans="1:8" ht="13.5" thickBot="1">
      <c r="A62" s="574" t="s">
        <v>499</v>
      </c>
      <c r="B62" s="126" t="s">
        <v>386</v>
      </c>
      <c r="C62" s="570">
        <f>+INGRESOS!C45</f>
        <v>500000</v>
      </c>
      <c r="D62" s="128">
        <v>2</v>
      </c>
      <c r="E62" s="571" t="s">
        <v>98</v>
      </c>
      <c r="F62" s="128"/>
      <c r="G62" s="126" t="s">
        <v>386</v>
      </c>
      <c r="H62" s="840">
        <v>500000</v>
      </c>
    </row>
    <row r="63" spans="1:8" ht="14.25" thickBot="1" thickTop="1">
      <c r="A63" s="134"/>
      <c r="B63" s="122"/>
      <c r="C63" s="610"/>
      <c r="D63" s="124"/>
      <c r="E63" s="611"/>
      <c r="F63" s="124"/>
      <c r="G63" s="122"/>
      <c r="H63" s="756">
        <f>H62</f>
        <v>500000</v>
      </c>
    </row>
    <row r="64" spans="1:8" ht="13.5" thickBot="1">
      <c r="A64" s="574" t="s">
        <v>1422</v>
      </c>
      <c r="B64" s="126" t="s">
        <v>1385</v>
      </c>
      <c r="C64" s="570">
        <f>+INGRESOS!C48</f>
        <v>16000000</v>
      </c>
      <c r="D64" s="128">
        <v>1</v>
      </c>
      <c r="E64" s="618" t="s">
        <v>98</v>
      </c>
      <c r="F64" s="128"/>
      <c r="G64" s="619" t="s">
        <v>617</v>
      </c>
      <c r="H64" s="840">
        <v>16000000</v>
      </c>
    </row>
    <row r="65" spans="1:8" ht="14.25" thickBot="1" thickTop="1">
      <c r="A65" s="500"/>
      <c r="B65" s="113"/>
      <c r="C65" s="572"/>
      <c r="D65" s="146"/>
      <c r="E65" s="573"/>
      <c r="F65" s="146"/>
      <c r="G65" s="99"/>
      <c r="H65" s="834">
        <f>H64</f>
        <v>16000000</v>
      </c>
    </row>
    <row r="66" spans="1:8" ht="13.5" thickBot="1">
      <c r="A66" s="169" t="s">
        <v>1212</v>
      </c>
      <c r="B66" s="172" t="s">
        <v>1228</v>
      </c>
      <c r="C66" s="570">
        <f>+INGRESOS!C53</f>
        <v>45000000</v>
      </c>
      <c r="D66" s="128">
        <v>1</v>
      </c>
      <c r="E66" s="571" t="s">
        <v>98</v>
      </c>
      <c r="F66" s="128"/>
      <c r="G66" s="126" t="s">
        <v>617</v>
      </c>
      <c r="H66" s="841">
        <v>45000000</v>
      </c>
    </row>
    <row r="67" spans="1:8" ht="14.25" thickBot="1" thickTop="1">
      <c r="A67" s="167"/>
      <c r="B67" s="173"/>
      <c r="C67" s="610"/>
      <c r="D67" s="124"/>
      <c r="E67" s="611"/>
      <c r="F67" s="124"/>
      <c r="G67" s="122"/>
      <c r="H67" s="832">
        <f>H66</f>
        <v>45000000</v>
      </c>
    </row>
    <row r="68" spans="1:8" ht="13.5" thickBot="1">
      <c r="A68" s="169" t="s">
        <v>1229</v>
      </c>
      <c r="B68" s="172" t="s">
        <v>1230</v>
      </c>
      <c r="C68" s="570">
        <f>+INGRESOS!C58</f>
        <v>8000000</v>
      </c>
      <c r="D68" s="128">
        <v>1</v>
      </c>
      <c r="E68" s="618" t="s">
        <v>98</v>
      </c>
      <c r="F68" s="128"/>
      <c r="G68" s="619" t="s">
        <v>617</v>
      </c>
      <c r="H68" s="837">
        <v>8000000</v>
      </c>
    </row>
    <row r="69" spans="1:8" ht="14.25" thickBot="1" thickTop="1">
      <c r="A69" s="167"/>
      <c r="B69" s="173"/>
      <c r="C69" s="610"/>
      <c r="D69" s="124"/>
      <c r="E69" s="611"/>
      <c r="F69" s="124"/>
      <c r="G69" s="122"/>
      <c r="H69" s="756">
        <f>H68</f>
        <v>8000000</v>
      </c>
    </row>
    <row r="70" spans="1:8" ht="13.5" thickBot="1">
      <c r="A70" s="61" t="s">
        <v>157</v>
      </c>
      <c r="B70" s="174" t="s">
        <v>387</v>
      </c>
      <c r="C70" s="59">
        <f>+INGRESOS!C61</f>
        <v>40000000</v>
      </c>
      <c r="D70" s="180">
        <v>1</v>
      </c>
      <c r="E70" s="184" t="s">
        <v>98</v>
      </c>
      <c r="F70" s="180" t="s">
        <v>761</v>
      </c>
      <c r="G70" s="174" t="s">
        <v>617</v>
      </c>
      <c r="H70" s="814">
        <v>40000000</v>
      </c>
    </row>
    <row r="71" spans="1:8" ht="14.25" thickBot="1" thickTop="1">
      <c r="A71" s="167"/>
      <c r="B71" s="173"/>
      <c r="C71" s="123"/>
      <c r="D71" s="179"/>
      <c r="E71" s="183"/>
      <c r="F71" s="179"/>
      <c r="G71" s="173"/>
      <c r="H71" s="832">
        <f>SUM(H70:H70)</f>
        <v>40000000</v>
      </c>
    </row>
    <row r="72" spans="1:8" ht="12.75">
      <c r="A72" s="61" t="s">
        <v>183</v>
      </c>
      <c r="B72" s="174" t="s">
        <v>750</v>
      </c>
      <c r="C72" s="59">
        <f>+INGRESOS!C66</f>
        <v>6132213.52</v>
      </c>
      <c r="D72" s="180">
        <v>2</v>
      </c>
      <c r="E72" s="184" t="s">
        <v>752</v>
      </c>
      <c r="F72" s="180"/>
      <c r="G72" s="41" t="s">
        <v>381</v>
      </c>
      <c r="H72" s="812">
        <v>6132213.52</v>
      </c>
    </row>
    <row r="73" spans="1:8" ht="13.5" thickBot="1">
      <c r="A73" s="168"/>
      <c r="B73" s="175" t="s">
        <v>751</v>
      </c>
      <c r="C73" s="120"/>
      <c r="D73" s="171"/>
      <c r="E73" s="185"/>
      <c r="F73" s="171"/>
      <c r="G73" s="177"/>
      <c r="H73" s="813"/>
    </row>
    <row r="74" spans="1:8" ht="14.25" thickBot="1" thickTop="1">
      <c r="A74" s="167"/>
      <c r="B74" s="173"/>
      <c r="C74" s="123"/>
      <c r="D74" s="179"/>
      <c r="E74" s="183"/>
      <c r="F74" s="179"/>
      <c r="G74" s="173"/>
      <c r="H74" s="832">
        <f>H72</f>
        <v>6132213.52</v>
      </c>
    </row>
    <row r="75" spans="1:8" ht="12.75">
      <c r="A75" s="61" t="s">
        <v>161</v>
      </c>
      <c r="B75" s="174" t="s">
        <v>114</v>
      </c>
      <c r="C75" s="59">
        <f>+INGRESOS!C70</f>
        <v>5229381.99</v>
      </c>
      <c r="D75" s="180">
        <v>1</v>
      </c>
      <c r="E75" s="184" t="s">
        <v>98</v>
      </c>
      <c r="F75" s="180" t="s">
        <v>761</v>
      </c>
      <c r="G75" s="621" t="s">
        <v>617</v>
      </c>
      <c r="H75" s="814">
        <v>5229381.99</v>
      </c>
    </row>
    <row r="76" spans="1:8" ht="13.5" thickBot="1">
      <c r="A76" s="61"/>
      <c r="B76" s="174" t="s">
        <v>115</v>
      </c>
      <c r="C76" s="59"/>
      <c r="D76" s="171"/>
      <c r="E76" s="185"/>
      <c r="F76" s="171"/>
      <c r="G76" s="620"/>
      <c r="H76" s="815"/>
    </row>
    <row r="77" spans="1:8" ht="14.25" thickBot="1" thickTop="1">
      <c r="A77" s="167"/>
      <c r="B77" s="173"/>
      <c r="C77" s="123"/>
      <c r="D77" s="179"/>
      <c r="E77" s="183"/>
      <c r="F77" s="179"/>
      <c r="G77" s="173"/>
      <c r="H77" s="832">
        <f>SUM(H75:H76)</f>
        <v>5229381.99</v>
      </c>
    </row>
    <row r="78" spans="1:8" ht="13.5" thickBot="1">
      <c r="A78" s="169" t="s">
        <v>1542</v>
      </c>
      <c r="B78" s="172" t="s">
        <v>1543</v>
      </c>
      <c r="C78" s="127">
        <f>+INGRESOS!C75</f>
        <v>500000</v>
      </c>
      <c r="D78" s="181">
        <v>2</v>
      </c>
      <c r="E78" s="182" t="s">
        <v>111</v>
      </c>
      <c r="F78" s="181"/>
      <c r="G78" s="737" t="s">
        <v>265</v>
      </c>
      <c r="H78" s="841">
        <v>500000</v>
      </c>
    </row>
    <row r="79" spans="1:8" ht="14.25" thickBot="1" thickTop="1">
      <c r="A79" s="61"/>
      <c r="B79" s="41"/>
      <c r="C79" s="59"/>
      <c r="D79" s="180"/>
      <c r="E79" s="184"/>
      <c r="F79" s="180"/>
      <c r="G79" s="41"/>
      <c r="H79" s="833">
        <f>SUM(H78)</f>
        <v>500000</v>
      </c>
    </row>
    <row r="80" spans="1:8" ht="13.5" thickBot="1">
      <c r="A80" s="169" t="s">
        <v>1423</v>
      </c>
      <c r="B80" s="172" t="s">
        <v>803</v>
      </c>
      <c r="C80" s="127">
        <f>+INGRESOS!C27</f>
        <v>17000000</v>
      </c>
      <c r="D80" s="181">
        <v>1</v>
      </c>
      <c r="E80" s="182" t="s">
        <v>98</v>
      </c>
      <c r="F80" s="181" t="s">
        <v>761</v>
      </c>
      <c r="G80" s="843" t="s">
        <v>617</v>
      </c>
      <c r="H80" s="840">
        <v>17000000</v>
      </c>
    </row>
    <row r="81" spans="1:8" ht="14.25" thickBot="1" thickTop="1">
      <c r="A81" s="738"/>
      <c r="B81" s="83"/>
      <c r="C81" s="734"/>
      <c r="D81" s="735"/>
      <c r="E81" s="736"/>
      <c r="F81" s="735"/>
      <c r="G81" s="83"/>
      <c r="H81" s="756">
        <f>H80</f>
        <v>17000000</v>
      </c>
    </row>
    <row r="82" spans="1:8" ht="13.5" thickBot="1">
      <c r="A82" s="169" t="s">
        <v>586</v>
      </c>
      <c r="B82" s="737" t="s">
        <v>1688</v>
      </c>
      <c r="C82" s="127">
        <f>+INGRESOS!C80</f>
        <v>381810731.46</v>
      </c>
      <c r="D82" s="181">
        <v>3</v>
      </c>
      <c r="E82" s="182" t="s">
        <v>103</v>
      </c>
      <c r="F82" s="181">
        <v>1</v>
      </c>
      <c r="G82" s="176" t="s">
        <v>1690</v>
      </c>
      <c r="H82" s="840">
        <v>381810731.46</v>
      </c>
    </row>
    <row r="83" spans="1:8" ht="14.25" thickBot="1" thickTop="1">
      <c r="A83" s="167"/>
      <c r="B83" s="173"/>
      <c r="C83" s="123"/>
      <c r="D83" s="179"/>
      <c r="E83" s="183"/>
      <c r="F83" s="179"/>
      <c r="G83" s="173"/>
      <c r="H83" s="832">
        <f>H82</f>
        <v>381810731.46</v>
      </c>
    </row>
    <row r="84" spans="1:8" ht="13.5" thickBot="1">
      <c r="A84" s="169" t="s">
        <v>1381</v>
      </c>
      <c r="B84" s="737" t="s">
        <v>1433</v>
      </c>
      <c r="C84" s="127">
        <f>+INGRESOS!C46</f>
        <v>90000000</v>
      </c>
      <c r="D84" s="181">
        <v>3</v>
      </c>
      <c r="E84" s="182" t="s">
        <v>111</v>
      </c>
      <c r="F84" s="181"/>
      <c r="G84" s="737" t="s">
        <v>1424</v>
      </c>
      <c r="H84" s="841">
        <v>90000000</v>
      </c>
    </row>
    <row r="85" spans="1:8" ht="14.25" thickBot="1" thickTop="1">
      <c r="A85" s="167"/>
      <c r="B85" s="173"/>
      <c r="C85" s="123"/>
      <c r="D85" s="179"/>
      <c r="E85" s="183"/>
      <c r="F85" s="179"/>
      <c r="G85" s="173"/>
      <c r="H85" s="832">
        <f>H84</f>
        <v>90000000</v>
      </c>
    </row>
    <row r="86" spans="1:8" ht="13.5" thickBot="1">
      <c r="A86" s="168" t="s">
        <v>589</v>
      </c>
      <c r="B86" s="177" t="s">
        <v>807</v>
      </c>
      <c r="C86" s="120">
        <f>+INGRESOS!C84</f>
        <v>1984785.73</v>
      </c>
      <c r="D86" s="171">
        <v>2</v>
      </c>
      <c r="E86" s="185" t="s">
        <v>102</v>
      </c>
      <c r="F86" s="171" t="s">
        <v>761</v>
      </c>
      <c r="G86" s="177" t="s">
        <v>379</v>
      </c>
      <c r="H86" s="815">
        <v>1984785.73</v>
      </c>
    </row>
    <row r="87" spans="1:8" ht="14.25" thickBot="1" thickTop="1">
      <c r="A87" s="167"/>
      <c r="B87" s="173"/>
      <c r="C87" s="123"/>
      <c r="D87" s="179"/>
      <c r="E87" s="183"/>
      <c r="F87" s="179"/>
      <c r="G87" s="173"/>
      <c r="H87" s="832">
        <f>H86</f>
        <v>1984785.73</v>
      </c>
    </row>
    <row r="88" spans="1:8" ht="13.5" thickBot="1">
      <c r="A88" s="738"/>
      <c r="B88" s="83"/>
      <c r="C88" s="734"/>
      <c r="D88" s="735"/>
      <c r="E88" s="736"/>
      <c r="F88" s="735"/>
      <c r="G88" s="83"/>
      <c r="H88" s="756">
        <v>0</v>
      </c>
    </row>
    <row r="89" spans="1:8" ht="13.5" thickBot="1">
      <c r="A89" s="138" t="s">
        <v>86</v>
      </c>
      <c r="B89" s="83"/>
      <c r="C89" s="178">
        <f>C8+C32+C34+C36+C38+C44+C47+C49+C56+C59+C62+C64+C66+C68+C70+C72+C75+C78+C80+C82+C84+C86</f>
        <v>2318001800.33</v>
      </c>
      <c r="D89" s="135"/>
      <c r="E89" s="136"/>
      <c r="F89" s="135"/>
      <c r="G89" s="83"/>
      <c r="H89" s="137">
        <f>H31+H33+H35+H37+H43+H46+H48+H49+H58+H61+H63+H65+H67+H69+H71+H74+H77+H81+H83+H85+H87+H88+H79</f>
        <v>2318001800.3311996</v>
      </c>
    </row>
    <row r="90" spans="3:8" ht="13.5" thickBot="1">
      <c r="C90" s="3"/>
      <c r="D90" s="131"/>
      <c r="E90" s="132"/>
      <c r="F90" s="131"/>
      <c r="H90" s="3"/>
    </row>
    <row r="91" spans="1:8" ht="12.75">
      <c r="A91" s="575" t="s">
        <v>1694</v>
      </c>
      <c r="B91" s="576"/>
      <c r="C91" s="577"/>
      <c r="D91" s="578"/>
      <c r="E91" s="579"/>
      <c r="F91" s="578"/>
      <c r="G91" s="576"/>
      <c r="H91" s="580"/>
    </row>
    <row r="92" spans="1:8" ht="12.75">
      <c r="A92" s="770" t="s">
        <v>1692</v>
      </c>
      <c r="B92" s="581"/>
      <c r="C92" s="582"/>
      <c r="D92" s="583"/>
      <c r="E92" s="584"/>
      <c r="F92" s="583"/>
      <c r="G92" s="581"/>
      <c r="H92" s="585"/>
    </row>
    <row r="93" spans="1:8" ht="13.5" thickBot="1">
      <c r="A93" s="586" t="s">
        <v>761</v>
      </c>
      <c r="B93" s="587"/>
      <c r="C93" s="588"/>
      <c r="D93" s="587"/>
      <c r="E93" s="589"/>
      <c r="F93" s="587"/>
      <c r="G93" s="587"/>
      <c r="H93" s="590"/>
    </row>
    <row r="94" spans="3:8" ht="12.75">
      <c r="C94" s="3"/>
      <c r="E94" s="133"/>
      <c r="H94" s="3"/>
    </row>
    <row r="95" spans="3:8" ht="12.75">
      <c r="C95" s="3"/>
      <c r="E95" s="133"/>
      <c r="H95" s="3"/>
    </row>
    <row r="96" spans="1:5" ht="12.75">
      <c r="A96" t="s">
        <v>388</v>
      </c>
      <c r="C96" s="3"/>
      <c r="E96" s="133"/>
    </row>
    <row r="97" spans="1:5" ht="12.75">
      <c r="A97" t="s">
        <v>1691</v>
      </c>
      <c r="C97" s="3"/>
      <c r="E97" s="13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</sheetData>
  <sheetProtection/>
  <mergeCells count="4">
    <mergeCell ref="A1:H1"/>
    <mergeCell ref="A2:H2"/>
    <mergeCell ref="A3:H3"/>
    <mergeCell ref="A4:H4"/>
  </mergeCells>
  <printOptions/>
  <pageMargins left="0" right="0" top="0" bottom="0" header="0" footer="0"/>
  <pageSetup horizontalDpi="300" verticalDpi="3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C66" sqref="C66"/>
    </sheetView>
  </sheetViews>
  <sheetFormatPr defaultColWidth="11.421875" defaultRowHeight="12.75"/>
  <cols>
    <col min="1" max="1" width="44.7109375" style="0" customWidth="1"/>
    <col min="2" max="2" width="12.7109375" style="0" customWidth="1"/>
    <col min="3" max="3" width="14.7109375" style="0" customWidth="1"/>
    <col min="4" max="4" width="15.7109375" style="0" customWidth="1"/>
    <col min="5" max="5" width="3.00390625" style="0" customWidth="1"/>
  </cols>
  <sheetData>
    <row r="1" spans="1:5" ht="15.75">
      <c r="A1" s="860" t="s">
        <v>808</v>
      </c>
      <c r="B1" s="860"/>
      <c r="C1" s="860"/>
      <c r="D1" s="860"/>
      <c r="E1" s="860"/>
    </row>
    <row r="2" spans="1:5" ht="15.75">
      <c r="A2" s="860" t="s">
        <v>329</v>
      </c>
      <c r="B2" s="860"/>
      <c r="C2" s="860"/>
      <c r="D2" s="860"/>
      <c r="E2" s="860"/>
    </row>
    <row r="3" spans="1:5" ht="15.75">
      <c r="A3" s="860" t="s">
        <v>330</v>
      </c>
      <c r="B3" s="860"/>
      <c r="C3" s="860"/>
      <c r="D3" s="860"/>
      <c r="E3" s="860"/>
    </row>
    <row r="4" ht="13.5" thickBot="1"/>
    <row r="5" spans="1:5" ht="13.5" thickBot="1">
      <c r="A5" s="256" t="s">
        <v>331</v>
      </c>
      <c r="B5" s="257"/>
      <c r="C5" s="257"/>
      <c r="D5" s="258"/>
      <c r="E5" s="259"/>
    </row>
    <row r="6" spans="1:5" ht="13.5" thickBot="1">
      <c r="A6" s="260"/>
      <c r="B6" s="261"/>
      <c r="C6" s="261"/>
      <c r="D6" s="262"/>
      <c r="E6" s="263"/>
    </row>
    <row r="7" spans="1:5" ht="13.5" thickBot="1">
      <c r="A7" s="264" t="s">
        <v>332</v>
      </c>
      <c r="B7" s="261"/>
      <c r="C7" s="261"/>
      <c r="D7" s="265">
        <f>+INGRESOS!C9</f>
        <v>2318001800.33</v>
      </c>
      <c r="E7" s="266"/>
    </row>
    <row r="8" spans="1:5" ht="12.75">
      <c r="A8" s="260"/>
      <c r="B8" s="261"/>
      <c r="C8" s="261"/>
      <c r="D8" s="262"/>
      <c r="E8" s="263"/>
    </row>
    <row r="9" spans="1:5" ht="12.75">
      <c r="A9" s="264" t="s">
        <v>333</v>
      </c>
      <c r="B9" s="261"/>
      <c r="C9" s="261"/>
      <c r="D9" s="262"/>
      <c r="E9" s="263"/>
    </row>
    <row r="10" spans="1:5" ht="12.75">
      <c r="A10" s="260"/>
      <c r="B10" s="261"/>
      <c r="C10" s="261"/>
      <c r="D10" s="262"/>
      <c r="E10" s="263"/>
    </row>
    <row r="11" spans="1:5" ht="12.75">
      <c r="A11" s="260" t="s">
        <v>334</v>
      </c>
      <c r="B11" s="261"/>
      <c r="C11" s="261"/>
      <c r="D11" s="267">
        <v>0</v>
      </c>
      <c r="E11" s="268"/>
    </row>
    <row r="12" spans="1:5" ht="12.75">
      <c r="A12" s="260" t="s">
        <v>335</v>
      </c>
      <c r="B12" s="261"/>
      <c r="C12" s="261"/>
      <c r="D12" s="267">
        <f>+INGRESOS!C15*14%</f>
        <v>88063456.26820001</v>
      </c>
      <c r="E12" s="268"/>
    </row>
    <row r="13" spans="1:5" ht="12.75">
      <c r="A13" s="260" t="s">
        <v>336</v>
      </c>
      <c r="B13" s="261"/>
      <c r="C13" s="261"/>
      <c r="D13" s="267">
        <v>0</v>
      </c>
      <c r="E13" s="268"/>
    </row>
    <row r="14" spans="1:5" ht="12.75">
      <c r="A14" s="260" t="s">
        <v>337</v>
      </c>
      <c r="B14" s="261"/>
      <c r="C14" s="261"/>
      <c r="D14" s="267">
        <v>0</v>
      </c>
      <c r="E14" s="268"/>
    </row>
    <row r="15" spans="1:5" ht="12.75">
      <c r="A15" s="260" t="s">
        <v>338</v>
      </c>
      <c r="B15" s="261"/>
      <c r="C15" s="261"/>
      <c r="D15" s="267">
        <v>0</v>
      </c>
      <c r="E15" s="268"/>
    </row>
    <row r="16" spans="1:5" ht="12.75">
      <c r="A16" s="260" t="s">
        <v>339</v>
      </c>
      <c r="B16" s="261"/>
      <c r="C16" s="261"/>
      <c r="D16" s="269">
        <v>0</v>
      </c>
      <c r="E16" s="270"/>
    </row>
    <row r="17" spans="1:5" ht="12.75">
      <c r="A17" s="260" t="s">
        <v>340</v>
      </c>
      <c r="B17" s="261"/>
      <c r="C17" s="261"/>
      <c r="D17" s="267">
        <f>+INGRESOS!C27*51%</f>
        <v>8670000</v>
      </c>
      <c r="E17" s="268"/>
    </row>
    <row r="18" spans="1:5" ht="12.75">
      <c r="A18" s="260" t="s">
        <v>341</v>
      </c>
      <c r="B18" s="261"/>
      <c r="C18" s="261"/>
      <c r="D18" s="267">
        <v>0</v>
      </c>
      <c r="E18" s="268"/>
    </row>
    <row r="19" spans="1:5" ht="12.75">
      <c r="A19" s="260" t="s">
        <v>342</v>
      </c>
      <c r="B19" s="261"/>
      <c r="C19" s="261"/>
      <c r="D19" s="267">
        <f>+INGRESOS!C32</f>
        <v>15000000</v>
      </c>
      <c r="E19" s="268"/>
    </row>
    <row r="20" spans="1:5" ht="12.75">
      <c r="A20" s="260" t="s">
        <v>343</v>
      </c>
      <c r="B20" s="261"/>
      <c r="C20" s="261"/>
      <c r="D20" s="269">
        <v>0</v>
      </c>
      <c r="E20" s="270"/>
    </row>
    <row r="21" spans="1:5" ht="12.75">
      <c r="A21" s="260" t="s">
        <v>344</v>
      </c>
      <c r="B21" s="261"/>
      <c r="C21" s="261"/>
      <c r="D21" s="267">
        <v>0</v>
      </c>
      <c r="E21" s="268"/>
    </row>
    <row r="22" spans="1:5" ht="12.75">
      <c r="A22" s="260" t="s">
        <v>345</v>
      </c>
      <c r="B22" s="261"/>
      <c r="C22" s="261"/>
      <c r="D22" s="267">
        <v>0</v>
      </c>
      <c r="E22" s="268"/>
    </row>
    <row r="23" spans="1:5" ht="12.75">
      <c r="A23" s="260" t="s">
        <v>346</v>
      </c>
      <c r="B23" s="261"/>
      <c r="C23" s="261"/>
      <c r="D23" s="267">
        <v>0</v>
      </c>
      <c r="E23" s="268"/>
    </row>
    <row r="24" spans="1:5" ht="12.75">
      <c r="A24" s="260" t="s">
        <v>347</v>
      </c>
      <c r="B24" s="261"/>
      <c r="C24" s="261"/>
      <c r="D24" s="267">
        <f>+INGRESOS!C84</f>
        <v>1984785.73</v>
      </c>
      <c r="E24" s="268"/>
    </row>
    <row r="25" spans="1:5" ht="12.75">
      <c r="A25" s="260" t="s">
        <v>348</v>
      </c>
      <c r="B25" s="261"/>
      <c r="C25" s="261"/>
      <c r="D25" s="267">
        <v>0</v>
      </c>
      <c r="E25" s="268"/>
    </row>
    <row r="26" spans="1:5" ht="12.75">
      <c r="A26" s="260" t="s">
        <v>349</v>
      </c>
      <c r="B26" s="261"/>
      <c r="C26" s="261"/>
      <c r="D26" s="269">
        <f>+INGRESOS!C63</f>
        <v>11361595.51</v>
      </c>
      <c r="E26" s="270"/>
    </row>
    <row r="27" spans="1:5" ht="12.75">
      <c r="A27" s="260" t="s">
        <v>350</v>
      </c>
      <c r="B27" s="261"/>
      <c r="C27" s="261"/>
      <c r="D27" s="269">
        <f>+INGRESOS!C77-INGRESOS!C84</f>
        <v>381810731.46</v>
      </c>
      <c r="E27" s="270"/>
    </row>
    <row r="28" spans="1:5" ht="12.75">
      <c r="A28" s="260" t="s">
        <v>351</v>
      </c>
      <c r="B28" s="261"/>
      <c r="C28" s="261"/>
      <c r="D28" s="267">
        <v>0</v>
      </c>
      <c r="E28" s="268"/>
    </row>
    <row r="29" spans="1:5" ht="12.75">
      <c r="A29" s="260" t="s">
        <v>352</v>
      </c>
      <c r="B29" s="261"/>
      <c r="C29" s="261"/>
      <c r="D29" s="269">
        <v>0</v>
      </c>
      <c r="E29" s="270"/>
    </row>
    <row r="30" spans="1:5" ht="12.75">
      <c r="A30" s="260" t="s">
        <v>353</v>
      </c>
      <c r="B30" s="261"/>
      <c r="C30" s="261"/>
      <c r="D30" s="269">
        <v>0</v>
      </c>
      <c r="E30" s="270"/>
    </row>
    <row r="31" spans="1:5" ht="12.75">
      <c r="A31" s="260" t="s">
        <v>354</v>
      </c>
      <c r="B31" s="261"/>
      <c r="C31" s="261"/>
      <c r="D31" s="269">
        <v>0</v>
      </c>
      <c r="E31" s="270"/>
    </row>
    <row r="32" spans="1:5" ht="12.75">
      <c r="A32" s="260" t="s">
        <v>389</v>
      </c>
      <c r="B32" s="261"/>
      <c r="C32" s="261"/>
      <c r="D32" s="269">
        <v>0</v>
      </c>
      <c r="E32" s="270"/>
    </row>
    <row r="33" spans="1:5" ht="12.75">
      <c r="A33" s="260" t="s">
        <v>390</v>
      </c>
      <c r="B33" s="261"/>
      <c r="C33" s="261"/>
      <c r="D33" s="267">
        <v>0</v>
      </c>
      <c r="E33" s="268"/>
    </row>
    <row r="34" spans="1:5" ht="12.75">
      <c r="A34" s="271" t="s">
        <v>391</v>
      </c>
      <c r="B34" s="272"/>
      <c r="C34" s="272"/>
      <c r="D34" s="267">
        <v>0</v>
      </c>
      <c r="E34" s="268"/>
    </row>
    <row r="35" spans="1:5" ht="12.75">
      <c r="A35" s="271" t="s">
        <v>391</v>
      </c>
      <c r="B35" s="272"/>
      <c r="C35" s="272"/>
      <c r="D35" s="267">
        <v>0</v>
      </c>
      <c r="E35" s="268"/>
    </row>
    <row r="36" spans="1:5" ht="13.5" thickBot="1">
      <c r="A36" s="273" t="s">
        <v>392</v>
      </c>
      <c r="B36" s="274"/>
      <c r="C36" s="274"/>
      <c r="D36" s="275">
        <v>0</v>
      </c>
      <c r="E36" s="276"/>
    </row>
    <row r="37" spans="1:5" ht="13.5" thickTop="1">
      <c r="A37" s="277" t="s">
        <v>393</v>
      </c>
      <c r="B37" s="278"/>
      <c r="C37" s="278"/>
      <c r="D37" s="279">
        <f>SUM(D11:D36)</f>
        <v>506890568.96819997</v>
      </c>
      <c r="E37" s="280"/>
    </row>
    <row r="38" spans="1:5" ht="12.75">
      <c r="A38" s="264" t="s">
        <v>394</v>
      </c>
      <c r="B38" s="281"/>
      <c r="C38" s="281"/>
      <c r="D38" s="282">
        <f>D7-D37</f>
        <v>1811111231.3618</v>
      </c>
      <c r="E38" s="263"/>
    </row>
    <row r="39" spans="1:5" ht="12.75">
      <c r="A39" s="260"/>
      <c r="B39" s="261"/>
      <c r="C39" s="261"/>
      <c r="D39" s="262"/>
      <c r="E39" s="263"/>
    </row>
    <row r="40" spans="1:5" ht="12.75">
      <c r="A40" s="283" t="s">
        <v>395</v>
      </c>
      <c r="B40" s="284"/>
      <c r="C40" s="284"/>
      <c r="D40" s="285">
        <f>D38*0.2</f>
        <v>362222246.27236</v>
      </c>
      <c r="E40" s="286"/>
    </row>
    <row r="41" spans="1:5" ht="12.75">
      <c r="A41" s="287" t="s">
        <v>396</v>
      </c>
      <c r="B41" s="288"/>
      <c r="C41" s="288"/>
      <c r="D41" s="289">
        <f>SUM(C45:C58)</f>
        <v>666266199.9973598</v>
      </c>
      <c r="E41" s="290"/>
    </row>
    <row r="42" spans="1:5" ht="12.75">
      <c r="A42" s="264"/>
      <c r="B42" s="261"/>
      <c r="C42" s="261"/>
      <c r="D42" s="262"/>
      <c r="E42" s="263"/>
    </row>
    <row r="43" spans="1:5" ht="12.75">
      <c r="A43" s="291" t="s">
        <v>397</v>
      </c>
      <c r="B43" s="292" t="s">
        <v>398</v>
      </c>
      <c r="C43" s="292" t="s">
        <v>399</v>
      </c>
      <c r="D43" s="262"/>
      <c r="E43" s="263"/>
    </row>
    <row r="44" spans="1:5" ht="12.75">
      <c r="A44" s="293" t="s">
        <v>400</v>
      </c>
      <c r="B44" s="294" t="s">
        <v>401</v>
      </c>
      <c r="C44" s="295" t="s">
        <v>402</v>
      </c>
      <c r="D44" s="262"/>
      <c r="E44" s="263"/>
    </row>
    <row r="45" spans="1:5" ht="12.75">
      <c r="A45" s="260" t="s">
        <v>403</v>
      </c>
      <c r="B45" s="217" t="s">
        <v>404</v>
      </c>
      <c r="C45" s="296">
        <f>+'PROGRAMA 2'!D189</f>
        <v>500000</v>
      </c>
      <c r="D45" s="262"/>
      <c r="E45" s="263"/>
    </row>
    <row r="46" spans="1:5" ht="12.75">
      <c r="A46" s="260" t="s">
        <v>405</v>
      </c>
      <c r="B46" s="217" t="s">
        <v>406</v>
      </c>
      <c r="C46" s="296">
        <f>+'PROGRAMA 2'!D221</f>
        <v>220000000.00262263</v>
      </c>
      <c r="D46" s="262"/>
      <c r="E46" s="263"/>
    </row>
    <row r="47" spans="1:5" ht="12.75">
      <c r="A47" s="260" t="s">
        <v>265</v>
      </c>
      <c r="B47" s="217" t="s">
        <v>407</v>
      </c>
      <c r="C47" s="296">
        <f>+'PROGRAMA 2'!D451</f>
        <v>329999999.9982577</v>
      </c>
      <c r="D47" s="262"/>
      <c r="E47" s="263"/>
    </row>
    <row r="48" spans="1:5" ht="12.75">
      <c r="A48" s="260" t="s">
        <v>105</v>
      </c>
      <c r="B48" s="217" t="s">
        <v>408</v>
      </c>
      <c r="C48" s="296">
        <f>+'PROGRAMA 2'!D348</f>
        <v>35999999.99647933</v>
      </c>
      <c r="D48" s="262"/>
      <c r="E48" s="263"/>
    </row>
    <row r="49" spans="1:5" ht="12.75">
      <c r="A49" s="260" t="s">
        <v>409</v>
      </c>
      <c r="B49" s="217" t="s">
        <v>410</v>
      </c>
      <c r="C49" s="296">
        <v>0</v>
      </c>
      <c r="D49" s="262"/>
      <c r="E49" s="263"/>
    </row>
    <row r="50" spans="1:5" ht="12.75">
      <c r="A50" s="297" t="s">
        <v>814</v>
      </c>
      <c r="B50" s="298" t="s">
        <v>815</v>
      </c>
      <c r="C50" s="299">
        <v>0</v>
      </c>
      <c r="D50" s="262"/>
      <c r="E50" s="263"/>
    </row>
    <row r="51" spans="1:5" ht="12.75">
      <c r="A51" s="271" t="s">
        <v>816</v>
      </c>
      <c r="B51" s="298" t="s">
        <v>817</v>
      </c>
      <c r="C51" s="299">
        <f>+'PROGRAMA 2'!D611</f>
        <v>2450000</v>
      </c>
      <c r="D51" s="262"/>
      <c r="E51" s="263"/>
    </row>
    <row r="52" spans="1:5" ht="12.75">
      <c r="A52" s="271" t="s">
        <v>412</v>
      </c>
      <c r="B52" s="298" t="s">
        <v>411</v>
      </c>
      <c r="C52" s="299">
        <v>0</v>
      </c>
      <c r="D52" s="262"/>
      <c r="E52" s="263"/>
    </row>
    <row r="53" spans="1:5" ht="12.75">
      <c r="A53" s="297" t="s">
        <v>270</v>
      </c>
      <c r="B53" s="298" t="s">
        <v>411</v>
      </c>
      <c r="C53" s="299">
        <v>0</v>
      </c>
      <c r="D53" s="262"/>
      <c r="E53" s="263"/>
    </row>
    <row r="54" spans="1:5" ht="12.75">
      <c r="A54" s="300" t="s">
        <v>413</v>
      </c>
      <c r="B54" s="217" t="s">
        <v>362</v>
      </c>
      <c r="C54" s="299">
        <f>+'PROGRAMA 1'!C340</f>
        <v>57699600</v>
      </c>
      <c r="D54" s="262"/>
      <c r="E54" s="263"/>
    </row>
    <row r="55" spans="1:5" ht="12.75">
      <c r="A55" s="260" t="s">
        <v>414</v>
      </c>
      <c r="B55" s="217" t="s">
        <v>363</v>
      </c>
      <c r="C55" s="299">
        <v>0</v>
      </c>
      <c r="D55" s="261"/>
      <c r="E55" s="301"/>
    </row>
    <row r="56" spans="1:5" ht="12.75">
      <c r="A56" s="260" t="s">
        <v>415</v>
      </c>
      <c r="B56" s="217" t="s">
        <v>362</v>
      </c>
      <c r="C56" s="299">
        <f>+'PROGRAMA 1'!C337</f>
        <v>9616600</v>
      </c>
      <c r="D56" s="262"/>
      <c r="E56" s="263"/>
    </row>
    <row r="57" spans="1:5" ht="12.75">
      <c r="A57" s="271" t="s">
        <v>383</v>
      </c>
      <c r="B57" s="217"/>
      <c r="C57" s="299">
        <f>+INGRESOS!C40</f>
        <v>10000000</v>
      </c>
      <c r="D57" s="262"/>
      <c r="E57" s="263"/>
    </row>
    <row r="58" spans="1:5" ht="13.5" thickBot="1">
      <c r="A58" s="302" t="s">
        <v>416</v>
      </c>
      <c r="B58" s="303"/>
      <c r="C58" s="304">
        <v>0</v>
      </c>
      <c r="D58" s="262"/>
      <c r="E58" s="263"/>
    </row>
    <row r="59" spans="1:5" ht="13.5" thickTop="1">
      <c r="A59" s="264" t="s">
        <v>417</v>
      </c>
      <c r="B59" s="281"/>
      <c r="C59" s="282">
        <f>SUM(C45:C58)</f>
        <v>666266199.9973598</v>
      </c>
      <c r="D59" s="262"/>
      <c r="E59" s="263"/>
    </row>
    <row r="60" spans="1:5" ht="12.75">
      <c r="A60" s="305"/>
      <c r="B60" s="306"/>
      <c r="C60" s="307"/>
      <c r="D60" s="306"/>
      <c r="E60" s="308"/>
    </row>
    <row r="61" spans="1:5" ht="13.5" thickBot="1">
      <c r="A61" s="309" t="s">
        <v>418</v>
      </c>
      <c r="B61" s="310"/>
      <c r="C61" s="310"/>
      <c r="D61" s="311">
        <f>+D40-D41</f>
        <v>-304043953.7249997</v>
      </c>
      <c r="E61" s="312" t="s">
        <v>419</v>
      </c>
    </row>
    <row r="62" ht="12.75">
      <c r="A62" s="24" t="s">
        <v>420</v>
      </c>
    </row>
    <row r="63" ht="12.75">
      <c r="A63" t="s">
        <v>421</v>
      </c>
    </row>
    <row r="65" spans="1:5" ht="12.75">
      <c r="A65" s="30" t="s">
        <v>422</v>
      </c>
      <c r="B65" s="26"/>
      <c r="C65" s="26"/>
      <c r="D65" s="26"/>
      <c r="E65" s="26"/>
    </row>
    <row r="66" spans="1:5" ht="12.75">
      <c r="A66" s="30" t="s">
        <v>1686</v>
      </c>
      <c r="B66" s="26"/>
      <c r="C66" s="26"/>
      <c r="D66" s="26"/>
      <c r="E66" s="26"/>
    </row>
    <row r="67" spans="1:5" ht="12.75">
      <c r="A67" s="30"/>
      <c r="B67" s="26"/>
      <c r="C67" s="26"/>
      <c r="D67" s="26"/>
      <c r="E67" s="26"/>
    </row>
    <row r="68" spans="1:5" ht="12.75">
      <c r="A68" s="30" t="s">
        <v>423</v>
      </c>
      <c r="B68" s="26"/>
      <c r="C68" s="26"/>
      <c r="D68" s="26"/>
      <c r="E68" s="26"/>
    </row>
    <row r="69" spans="1:5" ht="12.75">
      <c r="A69" s="30" t="s">
        <v>424</v>
      </c>
      <c r="B69" s="26"/>
      <c r="C69" s="26"/>
      <c r="D69" s="26"/>
      <c r="E69" s="26"/>
    </row>
  </sheetData>
  <sheetProtection/>
  <mergeCells count="3">
    <mergeCell ref="A1:E1"/>
    <mergeCell ref="A2:E2"/>
    <mergeCell ref="A3:E3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4.7109375" style="0" customWidth="1"/>
    <col min="2" max="2" width="16.140625" style="0" customWidth="1"/>
    <col min="3" max="3" width="16.57421875" style="0" customWidth="1"/>
    <col min="4" max="4" width="21.00390625" style="0" customWidth="1"/>
    <col min="5" max="5" width="15.421875" style="0" customWidth="1"/>
    <col min="6" max="6" width="15.8515625" style="0" customWidth="1"/>
    <col min="7" max="7" width="18.28125" style="0" customWidth="1"/>
  </cols>
  <sheetData>
    <row r="1" spans="2:7" ht="15.75">
      <c r="B1" s="848" t="s">
        <v>808</v>
      </c>
      <c r="C1" s="848"/>
      <c r="D1" s="848"/>
      <c r="E1" s="848"/>
      <c r="F1" s="848"/>
      <c r="G1" s="848"/>
    </row>
    <row r="2" spans="2:7" ht="15.75">
      <c r="B2" s="848" t="s">
        <v>425</v>
      </c>
      <c r="C2" s="848"/>
      <c r="D2" s="848"/>
      <c r="E2" s="848"/>
      <c r="F2" s="848"/>
      <c r="G2" s="848"/>
    </row>
    <row r="3" spans="2:7" ht="15.75">
      <c r="B3" s="848" t="s">
        <v>426</v>
      </c>
      <c r="C3" s="848"/>
      <c r="D3" s="848"/>
      <c r="E3" s="848"/>
      <c r="F3" s="848"/>
      <c r="G3" s="848"/>
    </row>
    <row r="4" spans="1:7" ht="12.75">
      <c r="A4" s="26"/>
      <c r="B4" s="26"/>
      <c r="C4" s="26"/>
      <c r="D4" s="26"/>
      <c r="E4" s="26"/>
      <c r="F4" s="26"/>
      <c r="G4" s="26"/>
    </row>
    <row r="5" spans="1:7" ht="12.75">
      <c r="A5" s="26"/>
      <c r="B5" s="26"/>
      <c r="C5" s="26"/>
      <c r="D5" s="26"/>
      <c r="E5" s="26"/>
      <c r="F5" s="26"/>
      <c r="G5" s="26"/>
    </row>
    <row r="6" ht="12.75">
      <c r="A6" s="26"/>
    </row>
    <row r="7" ht="13.5" thickBot="1"/>
    <row r="8" spans="2:7" ht="12.75">
      <c r="B8" s="313" t="s">
        <v>427</v>
      </c>
      <c r="C8" s="314"/>
      <c r="D8" s="314"/>
      <c r="E8" s="170"/>
      <c r="F8" s="170"/>
      <c r="G8" s="315">
        <v>2163812613.52</v>
      </c>
    </row>
    <row r="9" spans="2:7" ht="12.75">
      <c r="B9" s="316" t="s">
        <v>428</v>
      </c>
      <c r="C9" s="317"/>
      <c r="D9" s="317"/>
      <c r="E9" s="19"/>
      <c r="F9" s="19"/>
      <c r="G9" s="318">
        <f>+INGRESOS!C9-INGRESOS!C80</f>
        <v>1936191068.87</v>
      </c>
    </row>
    <row r="10" spans="2:7" ht="13.5" thickBot="1">
      <c r="B10" s="319" t="s">
        <v>429</v>
      </c>
      <c r="C10" s="320"/>
      <c r="D10" s="320"/>
      <c r="E10" s="99"/>
      <c r="F10" s="99"/>
      <c r="G10" s="771">
        <v>0</v>
      </c>
    </row>
    <row r="11" spans="2:7" ht="12.75">
      <c r="B11" s="321" t="s">
        <v>430</v>
      </c>
      <c r="C11" s="322"/>
      <c r="D11" s="322"/>
      <c r="E11" s="323">
        <f>+G10</f>
        <v>0</v>
      </c>
      <c r="F11" s="324"/>
      <c r="G11" s="325"/>
    </row>
    <row r="12" spans="2:7" ht="12.75">
      <c r="B12" s="326" t="s">
        <v>431</v>
      </c>
      <c r="C12" s="327" t="s">
        <v>432</v>
      </c>
      <c r="D12" s="328" t="s">
        <v>433</v>
      </c>
      <c r="E12" s="329" t="s">
        <v>434</v>
      </c>
      <c r="F12" s="328" t="s">
        <v>435</v>
      </c>
      <c r="G12" s="330" t="s">
        <v>436</v>
      </c>
    </row>
    <row r="13" spans="2:7" ht="12.75">
      <c r="B13" s="331" t="s">
        <v>437</v>
      </c>
      <c r="C13" s="332" t="s">
        <v>438</v>
      </c>
      <c r="D13" s="332" t="s">
        <v>439</v>
      </c>
      <c r="E13" s="333" t="s">
        <v>440</v>
      </c>
      <c r="F13" s="332"/>
      <c r="G13" s="334"/>
    </row>
    <row r="14" spans="2:7" ht="12.75">
      <c r="B14" s="335">
        <v>5</v>
      </c>
      <c r="C14" s="336">
        <v>29962.5</v>
      </c>
      <c r="D14" s="337">
        <v>29962.5</v>
      </c>
      <c r="E14" s="338">
        <v>72</v>
      </c>
      <c r="F14" s="337">
        <f>+B14*D14*6.33333333333333</f>
        <v>948812.4999999995</v>
      </c>
      <c r="G14" s="339">
        <f>+B14*D14*E14</f>
        <v>10786500</v>
      </c>
    </row>
    <row r="15" spans="2:7" ht="12.75">
      <c r="B15" s="335">
        <v>5</v>
      </c>
      <c r="C15" s="336">
        <v>14981.25</v>
      </c>
      <c r="D15" s="337">
        <v>14981.25</v>
      </c>
      <c r="E15" s="338">
        <v>72</v>
      </c>
      <c r="F15" s="337">
        <f>+B15*D15*6.33333333333333</f>
        <v>474406.24999999977</v>
      </c>
      <c r="G15" s="339">
        <f>+B15*D15*E15</f>
        <v>5393250</v>
      </c>
    </row>
    <row r="16" spans="2:7" ht="12.75">
      <c r="B16" s="335">
        <v>3</v>
      </c>
      <c r="C16" s="336">
        <v>14981.25</v>
      </c>
      <c r="D16" s="337">
        <v>14981.25</v>
      </c>
      <c r="E16" s="338">
        <v>72</v>
      </c>
      <c r="F16" s="337">
        <f>+B16*D16*6.33333333333333</f>
        <v>284643.7499999999</v>
      </c>
      <c r="G16" s="339">
        <f>+B16*D16*E16</f>
        <v>3235950</v>
      </c>
    </row>
    <row r="17" spans="2:7" ht="12.75">
      <c r="B17" s="335">
        <v>3</v>
      </c>
      <c r="C17" s="336">
        <v>7490.63</v>
      </c>
      <c r="D17" s="337">
        <v>7490.63</v>
      </c>
      <c r="E17" s="338">
        <v>72</v>
      </c>
      <c r="F17" s="337">
        <f>+B17*D17*6.33333333333333</f>
        <v>142321.96999999994</v>
      </c>
      <c r="G17" s="339">
        <f>+B17*D17*E17</f>
        <v>1617976.08</v>
      </c>
    </row>
    <row r="18" spans="2:7" ht="12.75">
      <c r="B18" s="340"/>
      <c r="C18" s="341"/>
      <c r="D18" s="342"/>
      <c r="E18" s="317"/>
      <c r="F18" s="342"/>
      <c r="G18" s="343"/>
    </row>
    <row r="19" spans="2:7" ht="12.75">
      <c r="B19" s="344" t="s">
        <v>441</v>
      </c>
      <c r="C19" s="345"/>
      <c r="D19" s="346"/>
      <c r="E19" s="346"/>
      <c r="F19" s="346"/>
      <c r="G19" s="347">
        <v>0</v>
      </c>
    </row>
    <row r="20" spans="2:7" ht="13.5" thickBot="1">
      <c r="B20" s="348" t="s">
        <v>811</v>
      </c>
      <c r="C20" s="349"/>
      <c r="D20" s="349"/>
      <c r="E20" s="349"/>
      <c r="F20" s="350">
        <f>SUM(F14:F18)</f>
        <v>1850184.469999999</v>
      </c>
      <c r="G20" s="351">
        <f>SUM(G14:G18)+G19</f>
        <v>21033676.08</v>
      </c>
    </row>
    <row r="21" spans="2:7" ht="12.75">
      <c r="B21" s="352"/>
      <c r="C21" s="352"/>
      <c r="D21" s="352"/>
      <c r="E21" s="352"/>
      <c r="F21" s="352"/>
      <c r="G21" s="352"/>
    </row>
    <row r="22" ht="12.75">
      <c r="B22" t="s">
        <v>442</v>
      </c>
    </row>
    <row r="24" spans="1:7" ht="12.75">
      <c r="A24" s="30" t="s">
        <v>443</v>
      </c>
      <c r="B24" s="26"/>
      <c r="C24" s="26"/>
      <c r="D24" s="26"/>
      <c r="E24" s="26"/>
      <c r="F24" s="26"/>
      <c r="G24" s="26" t="s">
        <v>761</v>
      </c>
    </row>
    <row r="25" spans="1:7" ht="12.75">
      <c r="A25" s="30" t="s">
        <v>1686</v>
      </c>
      <c r="B25" s="26"/>
      <c r="C25" s="26"/>
      <c r="D25" s="26"/>
      <c r="E25" s="26"/>
      <c r="F25" s="26"/>
      <c r="G25" s="26"/>
    </row>
  </sheetData>
  <sheetProtection/>
  <mergeCells count="3">
    <mergeCell ref="B1:G1"/>
    <mergeCell ref="B2:G2"/>
    <mergeCell ref="B3:G3"/>
  </mergeCells>
  <printOptions/>
  <pageMargins left="0.75" right="0.75" top="1" bottom="1" header="0" footer="0"/>
  <pageSetup horizontalDpi="300" verticalDpi="300" orientation="landscape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17.140625" style="0" customWidth="1"/>
    <col min="2" max="2" width="15.28125" style="0" customWidth="1"/>
    <col min="3" max="3" width="3.140625" style="0" customWidth="1"/>
    <col min="4" max="4" width="13.421875" style="0" customWidth="1"/>
    <col min="5" max="5" width="2.7109375" style="0" customWidth="1"/>
    <col min="6" max="6" width="15.7109375" style="0" customWidth="1"/>
    <col min="7" max="7" width="2.8515625" style="0" customWidth="1"/>
    <col min="8" max="8" width="15.57421875" style="0" customWidth="1"/>
    <col min="9" max="9" width="2.7109375" style="0" customWidth="1"/>
    <col min="10" max="10" width="13.421875" style="0" customWidth="1"/>
    <col min="11" max="11" width="3.28125" style="0" customWidth="1"/>
    <col min="12" max="12" width="13.57421875" style="0" customWidth="1"/>
  </cols>
  <sheetData>
    <row r="1" spans="1:12" ht="1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5.75">
      <c r="A2" s="848" t="str">
        <f>'[3]ANEXO 1'!A2</f>
        <v>MUNICIPALIDAD DE FLORES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</row>
    <row r="3" spans="1:12" ht="15.75">
      <c r="A3" s="848" t="s">
        <v>444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</row>
    <row r="4" spans="1:12" ht="15.75">
      <c r="A4" s="848" t="s">
        <v>445</v>
      </c>
      <c r="B4" s="848"/>
      <c r="C4" s="848"/>
      <c r="D4" s="848"/>
      <c r="E4" s="848"/>
      <c r="F4" s="848"/>
      <c r="G4" s="848"/>
      <c r="H4" s="848"/>
      <c r="I4" s="848"/>
      <c r="J4" s="848"/>
      <c r="K4" s="848"/>
      <c r="L4" s="848"/>
    </row>
    <row r="6" spans="1:12" ht="13.5" thickBot="1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12" ht="18.75" thickBot="1">
      <c r="A7" s="884" t="s">
        <v>446</v>
      </c>
      <c r="B7" s="885"/>
      <c r="C7" s="885"/>
      <c r="D7" s="885"/>
      <c r="E7" s="885"/>
      <c r="F7" s="885"/>
      <c r="G7" s="885"/>
      <c r="H7" s="885"/>
      <c r="I7" s="885"/>
      <c r="J7" s="885"/>
      <c r="K7" s="885"/>
      <c r="L7" s="886"/>
    </row>
    <row r="8" spans="1:12" ht="12.75">
      <c r="A8" s="887" t="s">
        <v>447</v>
      </c>
      <c r="B8" s="889" t="s">
        <v>448</v>
      </c>
      <c r="C8" s="890"/>
      <c r="D8" s="890"/>
      <c r="E8" s="891"/>
      <c r="F8" s="892" t="s">
        <v>449</v>
      </c>
      <c r="G8" s="869"/>
      <c r="H8" s="892" t="s">
        <v>450</v>
      </c>
      <c r="I8" s="869"/>
      <c r="J8" s="892" t="s">
        <v>451</v>
      </c>
      <c r="K8" s="869"/>
      <c r="L8" s="354" t="s">
        <v>811</v>
      </c>
    </row>
    <row r="9" spans="1:12" ht="13.5" thickBot="1">
      <c r="A9" s="888"/>
      <c r="B9" s="878" t="s">
        <v>452</v>
      </c>
      <c r="C9" s="879"/>
      <c r="D9" s="878" t="s">
        <v>453</v>
      </c>
      <c r="E9" s="879"/>
      <c r="F9" s="870"/>
      <c r="G9" s="871"/>
      <c r="H9" s="870"/>
      <c r="I9" s="871"/>
      <c r="J9" s="870"/>
      <c r="K9" s="871"/>
      <c r="L9" s="355"/>
    </row>
    <row r="10" spans="1:12" ht="12.75">
      <c r="A10" s="356"/>
      <c r="B10" s="880">
        <v>0.0508</v>
      </c>
      <c r="C10" s="881"/>
      <c r="D10" s="880">
        <v>0.0925</v>
      </c>
      <c r="E10" s="881"/>
      <c r="F10" s="880">
        <v>0.005</v>
      </c>
      <c r="G10" s="881"/>
      <c r="H10" s="880">
        <v>0.015</v>
      </c>
      <c r="I10" s="881"/>
      <c r="J10" s="882">
        <v>0.03</v>
      </c>
      <c r="K10" s="883"/>
      <c r="L10" s="357"/>
    </row>
    <row r="11" spans="1:12" ht="12.75">
      <c r="A11" s="358">
        <f>+'PROGRAMA 1'!C7+'PROGRAMA 1'!C8+'PROGRAMA 1'!C9+'PROGRAMA 1'!C12+'PROGRAMA 1'!C16+'PROGRAMA 1'!C17+'PROGRAMA 2'!C7+'PROGRAMA 2'!C11+'PROGRAMA 2'!C14+'PROGRAMA 3'!C6+'PROGRAMA 2'!C15+'PROGRAMA 3'!C12+'PROGRAMA 3'!C13+'PROGRAMA 2'!C8+'PROGRAMA 3'!C9+'PROGRAMA 1'!C19+'PROGRAMA 2'!C17+'PROGRAMA 3'!C15</f>
        <v>764593835.6499999</v>
      </c>
      <c r="B11" s="861">
        <f>+A11*B10</f>
        <v>38841366.85101999</v>
      </c>
      <c r="C11" s="862"/>
      <c r="D11" s="861">
        <f>+A11*D10</f>
        <v>70724929.79762499</v>
      </c>
      <c r="E11" s="862"/>
      <c r="F11" s="359">
        <f>+A11*F10</f>
        <v>3822969.1782499994</v>
      </c>
      <c r="G11" s="360"/>
      <c r="H11" s="361">
        <f>+A11*H10</f>
        <v>11468907.534749998</v>
      </c>
      <c r="I11" s="360"/>
      <c r="J11" s="359">
        <f>A11*J10</f>
        <v>22937815.069499996</v>
      </c>
      <c r="K11" s="360"/>
      <c r="L11" s="362">
        <f>SUM(B11:K11)</f>
        <v>147795988.43114498</v>
      </c>
    </row>
    <row r="12" spans="1:12" ht="12.75">
      <c r="A12" s="363"/>
      <c r="B12" s="324"/>
      <c r="C12" s="364"/>
      <c r="D12" s="365"/>
      <c r="E12" s="364"/>
      <c r="F12" s="324"/>
      <c r="G12" s="364"/>
      <c r="H12" s="324"/>
      <c r="I12" s="364"/>
      <c r="J12" s="324"/>
      <c r="K12" s="364"/>
      <c r="L12" s="325"/>
    </row>
    <row r="13" spans="1:12" ht="13.5" thickBot="1">
      <c r="A13" s="366"/>
      <c r="B13" s="367">
        <f>+A11*B10</f>
        <v>38841366.85101999</v>
      </c>
      <c r="C13" s="368" t="s">
        <v>454</v>
      </c>
      <c r="D13" s="369">
        <f>D11</f>
        <v>70724929.79762499</v>
      </c>
      <c r="E13" s="368" t="s">
        <v>419</v>
      </c>
      <c r="F13" s="367">
        <f>F11</f>
        <v>3822969.1782499994</v>
      </c>
      <c r="G13" s="368" t="s">
        <v>455</v>
      </c>
      <c r="H13" s="367">
        <f>H11</f>
        <v>11468907.534749998</v>
      </c>
      <c r="I13" s="368" t="s">
        <v>456</v>
      </c>
      <c r="J13" s="369">
        <f>J11</f>
        <v>22937815.069499996</v>
      </c>
      <c r="K13" s="368" t="s">
        <v>457</v>
      </c>
      <c r="L13" s="370">
        <f>L11</f>
        <v>147795988.43114498</v>
      </c>
    </row>
    <row r="14" spans="1:12" ht="12.75">
      <c r="A14" s="371"/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</row>
    <row r="15" spans="1:12" ht="12.75">
      <c r="A15" t="s">
        <v>458</v>
      </c>
      <c r="L15" s="371"/>
    </row>
    <row r="16" spans="1:12" ht="12.75">
      <c r="A16" t="s">
        <v>459</v>
      </c>
      <c r="L16" s="371"/>
    </row>
    <row r="17" spans="1:12" ht="12.75">
      <c r="A17" t="s">
        <v>460</v>
      </c>
      <c r="L17" s="371"/>
    </row>
    <row r="18" spans="1:12" ht="12.75">
      <c r="A18" t="s">
        <v>461</v>
      </c>
      <c r="L18" s="371"/>
    </row>
    <row r="19" spans="1:12" ht="12.75">
      <c r="A19" s="371" t="s">
        <v>462</v>
      </c>
      <c r="B19" s="371"/>
      <c r="C19" s="371"/>
      <c r="L19" s="371"/>
    </row>
    <row r="20" spans="1:12" ht="13.5" thickBot="1">
      <c r="A20" s="371"/>
      <c r="B20" s="371"/>
      <c r="C20" s="371"/>
      <c r="L20" s="371"/>
    </row>
    <row r="21" spans="3:12" ht="18.75" thickBot="1">
      <c r="C21" s="352"/>
      <c r="D21" s="863" t="s">
        <v>463</v>
      </c>
      <c r="E21" s="864"/>
      <c r="F21" s="864"/>
      <c r="G21" s="865"/>
      <c r="I21" s="863" t="s">
        <v>810</v>
      </c>
      <c r="J21" s="864"/>
      <c r="K21" s="864"/>
      <c r="L21" s="865"/>
    </row>
    <row r="22" spans="4:12" ht="12.75">
      <c r="D22" s="866" t="s">
        <v>758</v>
      </c>
      <c r="E22" s="867"/>
      <c r="F22" s="868">
        <v>0.08333333</v>
      </c>
      <c r="G22" s="869"/>
      <c r="I22" s="872"/>
      <c r="J22" s="873"/>
      <c r="K22" s="19"/>
      <c r="L22" s="80"/>
    </row>
    <row r="23" spans="4:12" ht="13.5" thickBot="1">
      <c r="D23" s="874" t="s">
        <v>464</v>
      </c>
      <c r="E23" s="875"/>
      <c r="F23" s="870"/>
      <c r="G23" s="871"/>
      <c r="I23" s="876">
        <f>+'PROGRAMA 1'!C59+'PROGRAMA 2'!C52+'PROGRAMA 3'!C32</f>
        <v>19024694.12</v>
      </c>
      <c r="J23" s="877"/>
      <c r="K23" s="877"/>
      <c r="L23" s="372" t="s">
        <v>465</v>
      </c>
    </row>
    <row r="24" spans="4:11" ht="12.75">
      <c r="D24" s="373">
        <f>+'PROGRAMA 1'!C7+'PROGRAMA 1'!C8+'PROGRAMA 1'!C9+'PROGRAMA 1'!C12+'PROGRAMA 1'!C16+'PROGRAMA 1'!C17+'PROGRAMA 2'!C7+'PROGRAMA 2'!C8+'PROGRAMA 2'!C11+'PROGRAMA 2'!C14+'PROGRAMA 2'!C15+'PROGRAMA 3'!C6+'PROGRAMA 3'!C9+'PROGRAMA 3'!C13+'PROGRAMA 3'!C12</f>
        <v>717327804.7699999</v>
      </c>
      <c r="E24" s="374"/>
      <c r="F24" s="788">
        <f>+D24*F22</f>
        <v>59777314.67307397</v>
      </c>
      <c r="G24" s="375"/>
      <c r="I24" t="s">
        <v>466</v>
      </c>
      <c r="J24" s="376"/>
      <c r="K24" s="19"/>
    </row>
    <row r="25" spans="4:12" ht="13.5" thickBot="1">
      <c r="D25" s="319" t="s">
        <v>811</v>
      </c>
      <c r="E25" s="83"/>
      <c r="F25" s="789">
        <f>+F24</f>
        <v>59777314.67307397</v>
      </c>
      <c r="G25" s="377" t="s">
        <v>456</v>
      </c>
      <c r="L25" s="371"/>
    </row>
    <row r="26" spans="4:12" ht="12.75">
      <c r="D26" t="s">
        <v>467</v>
      </c>
      <c r="L26" s="371"/>
    </row>
    <row r="27" ht="12.75">
      <c r="K27" s="378"/>
    </row>
    <row r="28" ht="12.75">
      <c r="K28" s="317"/>
    </row>
    <row r="29" spans="1:12" ht="12.75">
      <c r="A29" s="30" t="s">
        <v>422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30" t="s">
        <v>1687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</sheetData>
  <sheetProtection/>
  <mergeCells count="25">
    <mergeCell ref="A2:L2"/>
    <mergeCell ref="A3:L3"/>
    <mergeCell ref="A4:L4"/>
    <mergeCell ref="A7:L7"/>
    <mergeCell ref="A8:A9"/>
    <mergeCell ref="B8:E8"/>
    <mergeCell ref="F8:G9"/>
    <mergeCell ref="H8:I9"/>
    <mergeCell ref="J8:K9"/>
    <mergeCell ref="B9:C9"/>
    <mergeCell ref="D9:E9"/>
    <mergeCell ref="B10:C10"/>
    <mergeCell ref="D10:E10"/>
    <mergeCell ref="F10:G10"/>
    <mergeCell ref="H10:I10"/>
    <mergeCell ref="J10:K10"/>
    <mergeCell ref="B11:C11"/>
    <mergeCell ref="D11:E11"/>
    <mergeCell ref="D21:G21"/>
    <mergeCell ref="I21:L21"/>
    <mergeCell ref="D22:E22"/>
    <mergeCell ref="F22:G23"/>
    <mergeCell ref="I22:J22"/>
    <mergeCell ref="D23:E23"/>
    <mergeCell ref="I23:K23"/>
  </mergeCells>
  <printOptions/>
  <pageMargins left="0.75" right="0.75" top="1" bottom="1" header="0" footer="0"/>
  <pageSetup horizontalDpi="300" verticalDpi="300" orientation="landscape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41">
      <selection activeCell="O19" sqref="O19"/>
    </sheetView>
  </sheetViews>
  <sheetFormatPr defaultColWidth="11.57421875" defaultRowHeight="12.75"/>
  <cols>
    <col min="1" max="1" width="20.7109375" style="255" customWidth="1"/>
    <col min="2" max="2" width="13.57421875" style="255" customWidth="1"/>
    <col min="3" max="3" width="12.8515625" style="255" customWidth="1"/>
    <col min="4" max="8" width="4.8515625" style="255" customWidth="1"/>
    <col min="9" max="9" width="4.140625" style="255" customWidth="1"/>
    <col min="10" max="10" width="13.140625" style="255" customWidth="1"/>
    <col min="11" max="11" width="9.421875" style="255" customWidth="1"/>
    <col min="12" max="12" width="7.57421875" style="592" customWidth="1"/>
    <col min="13" max="16" width="4.421875" style="255" customWidth="1"/>
    <col min="17" max="17" width="4.8515625" style="255" customWidth="1"/>
    <col min="18" max="16384" width="11.57421875" style="255" customWidth="1"/>
  </cols>
  <sheetData>
    <row r="1" spans="1:16" ht="15.75">
      <c r="A1" s="860" t="s">
        <v>808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</row>
    <row r="2" spans="1:16" ht="15.75">
      <c r="A2" s="860" t="s">
        <v>662</v>
      </c>
      <c r="B2" s="860"/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</row>
    <row r="3" spans="1:16" ht="18">
      <c r="A3" s="909" t="s">
        <v>663</v>
      </c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</row>
    <row r="4" spans="2:16" ht="12.75"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</row>
    <row r="5" spans="1:16" ht="20.25">
      <c r="A5" s="388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2:17" s="387" customFormat="1" ht="13.5" thickBot="1">
      <c r="B6" s="910" t="s">
        <v>664</v>
      </c>
      <c r="C6" s="910"/>
      <c r="D6" s="389"/>
      <c r="E6" s="911" t="s">
        <v>665</v>
      </c>
      <c r="F6" s="912"/>
      <c r="G6" s="912"/>
      <c r="H6" s="913"/>
      <c r="J6" s="910" t="s">
        <v>666</v>
      </c>
      <c r="K6" s="910"/>
      <c r="L6" s="389"/>
      <c r="M6" s="389"/>
      <c r="N6" s="911" t="s">
        <v>665</v>
      </c>
      <c r="O6" s="912"/>
      <c r="P6" s="912"/>
      <c r="Q6" s="913"/>
    </row>
    <row r="7" spans="1:17" s="387" customFormat="1" ht="26.25" customHeight="1" thickBot="1">
      <c r="A7" s="901" t="s">
        <v>667</v>
      </c>
      <c r="B7" s="903" t="s">
        <v>820</v>
      </c>
      <c r="C7" s="899" t="s">
        <v>668</v>
      </c>
      <c r="D7" s="905" t="s">
        <v>418</v>
      </c>
      <c r="E7" s="899" t="s">
        <v>812</v>
      </c>
      <c r="F7" s="899" t="s">
        <v>813</v>
      </c>
      <c r="G7" s="899" t="s">
        <v>661</v>
      </c>
      <c r="H7" s="899" t="s">
        <v>669</v>
      </c>
      <c r="I7" s="390"/>
      <c r="J7" s="899" t="s">
        <v>820</v>
      </c>
      <c r="K7" s="915" t="s">
        <v>668</v>
      </c>
      <c r="L7" s="915"/>
      <c r="M7" s="905" t="s">
        <v>418</v>
      </c>
      <c r="N7" s="899" t="s">
        <v>812</v>
      </c>
      <c r="O7" s="899" t="s">
        <v>813</v>
      </c>
      <c r="P7" s="899" t="s">
        <v>661</v>
      </c>
      <c r="Q7" s="899" t="s">
        <v>669</v>
      </c>
    </row>
    <row r="8" spans="1:17" s="387" customFormat="1" ht="34.5" thickBot="1">
      <c r="A8" s="902"/>
      <c r="B8" s="904"/>
      <c r="C8" s="900"/>
      <c r="D8" s="906"/>
      <c r="E8" s="900"/>
      <c r="F8" s="900"/>
      <c r="G8" s="900"/>
      <c r="H8" s="900"/>
      <c r="I8" s="390"/>
      <c r="J8" s="900"/>
      <c r="K8" s="391" t="s">
        <v>689</v>
      </c>
      <c r="L8" s="392" t="s">
        <v>690</v>
      </c>
      <c r="M8" s="906"/>
      <c r="N8" s="900"/>
      <c r="O8" s="900"/>
      <c r="P8" s="900"/>
      <c r="Q8" s="900"/>
    </row>
    <row r="9" s="387" customFormat="1" ht="12.75"/>
    <row r="10" spans="1:17" s="387" customFormat="1" ht="12.75">
      <c r="A10" s="393" t="s">
        <v>670</v>
      </c>
      <c r="B10" s="394"/>
      <c r="C10" s="394"/>
      <c r="D10" s="395">
        <f>(B10+C10)-(E10+F10+G10+H10)</f>
        <v>0</v>
      </c>
      <c r="E10" s="394"/>
      <c r="F10" s="394"/>
      <c r="G10" s="394"/>
      <c r="H10" s="394"/>
      <c r="I10" s="396"/>
      <c r="J10" s="394">
        <v>2</v>
      </c>
      <c r="K10" s="394"/>
      <c r="L10" s="394"/>
      <c r="M10" s="395">
        <f>(J10+K10+L10)-(N10+O10+P10+Q10)</f>
        <v>0</v>
      </c>
      <c r="N10" s="394">
        <v>2</v>
      </c>
      <c r="O10" s="394"/>
      <c r="P10" s="394"/>
      <c r="Q10" s="394"/>
    </row>
    <row r="11" spans="1:17" s="387" customFormat="1" ht="12.75">
      <c r="A11" s="393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</row>
    <row r="12" spans="1:17" s="387" customFormat="1" ht="12.75">
      <c r="A12" s="393" t="s">
        <v>671</v>
      </c>
      <c r="B12" s="394">
        <v>8</v>
      </c>
      <c r="C12" s="394"/>
      <c r="D12" s="395">
        <f>(B12+C12)-(E12+F12+G12+H12)</f>
        <v>0</v>
      </c>
      <c r="E12" s="394">
        <v>4</v>
      </c>
      <c r="F12" s="394">
        <v>2</v>
      </c>
      <c r="G12" s="394">
        <v>2</v>
      </c>
      <c r="H12" s="394"/>
      <c r="I12" s="396"/>
      <c r="J12" s="394">
        <v>13</v>
      </c>
      <c r="K12" s="394">
        <v>2</v>
      </c>
      <c r="L12" s="394"/>
      <c r="M12" s="395">
        <f>(J12+K12+L12)-(N12+O12+P12+Q12)</f>
        <v>0</v>
      </c>
      <c r="N12" s="394">
        <v>14</v>
      </c>
      <c r="O12" s="394">
        <v>1</v>
      </c>
      <c r="P12" s="394"/>
      <c r="Q12" s="394"/>
    </row>
    <row r="13" spans="1:17" s="387" customFormat="1" ht="12.75">
      <c r="A13" s="393"/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</row>
    <row r="14" spans="1:17" s="387" customFormat="1" ht="12.75">
      <c r="A14" s="393" t="s">
        <v>672</v>
      </c>
      <c r="B14" s="394">
        <v>2</v>
      </c>
      <c r="C14" s="394"/>
      <c r="D14" s="395">
        <f>(B14+C14)-(E14+F14+G14+H14)</f>
        <v>0</v>
      </c>
      <c r="E14" s="394">
        <v>1</v>
      </c>
      <c r="F14" s="394">
        <v>1</v>
      </c>
      <c r="G14" s="394"/>
      <c r="H14" s="394"/>
      <c r="I14" s="396"/>
      <c r="J14" s="394">
        <v>5</v>
      </c>
      <c r="K14" s="394"/>
      <c r="L14" s="394"/>
      <c r="M14" s="395">
        <f>(J14+K14+L14)-(N14+O14+P14+Q14)</f>
        <v>0</v>
      </c>
      <c r="N14" s="394">
        <v>5</v>
      </c>
      <c r="O14" s="394"/>
      <c r="P14" s="394"/>
      <c r="Q14" s="394"/>
    </row>
    <row r="15" spans="1:17" s="387" customFormat="1" ht="12.75">
      <c r="A15" s="393"/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</row>
    <row r="16" spans="1:17" s="387" customFormat="1" ht="12.75">
      <c r="A16" s="393" t="s">
        <v>673</v>
      </c>
      <c r="B16" s="394">
        <v>2</v>
      </c>
      <c r="C16" s="394"/>
      <c r="D16" s="395">
        <f>(B16+C16)-(E16+F16+G16+H16)</f>
        <v>0</v>
      </c>
      <c r="E16" s="394"/>
      <c r="F16" s="394">
        <v>2</v>
      </c>
      <c r="G16" s="394"/>
      <c r="H16" s="394"/>
      <c r="I16" s="396"/>
      <c r="J16" s="394">
        <v>9</v>
      </c>
      <c r="K16" s="394">
        <v>2</v>
      </c>
      <c r="L16" s="394"/>
      <c r="M16" s="395">
        <f>(J16+K16+L16)-(N16+O16+P16+Q16)</f>
        <v>0</v>
      </c>
      <c r="N16" s="394">
        <v>10</v>
      </c>
      <c r="O16" s="394">
        <v>1</v>
      </c>
      <c r="P16" s="394"/>
      <c r="Q16" s="394"/>
    </row>
    <row r="17" spans="1:17" s="387" customFormat="1" ht="12.75">
      <c r="A17" s="393"/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</row>
    <row r="18" spans="1:17" s="387" customFormat="1" ht="12.75">
      <c r="A18" s="393" t="s">
        <v>674</v>
      </c>
      <c r="B18" s="394">
        <v>21</v>
      </c>
      <c r="C18" s="394"/>
      <c r="D18" s="395">
        <f>(B18+C18)-(E18+F18+G18+H18)</f>
        <v>0</v>
      </c>
      <c r="E18" s="394"/>
      <c r="F18" s="394">
        <v>21</v>
      </c>
      <c r="G18" s="394"/>
      <c r="H18" s="394"/>
      <c r="I18" s="396"/>
      <c r="J18" s="394">
        <v>3</v>
      </c>
      <c r="K18" s="394"/>
      <c r="L18" s="394"/>
      <c r="M18" s="395">
        <f>(J18+K18+L18)-(N18+O18+P18+Q18)</f>
        <v>0</v>
      </c>
      <c r="N18" s="394">
        <v>3</v>
      </c>
      <c r="O18" s="394"/>
      <c r="P18" s="394"/>
      <c r="Q18" s="394"/>
    </row>
    <row r="19" s="387" customFormat="1" ht="13.5" thickBot="1">
      <c r="A19" s="371"/>
    </row>
    <row r="20" spans="1:17" s="387" customFormat="1" ht="15.75" thickBot="1">
      <c r="A20" s="397" t="s">
        <v>675</v>
      </c>
      <c r="B20" s="398">
        <f>SUM(B10:B19)</f>
        <v>33</v>
      </c>
      <c r="C20" s="399">
        <f>SUM(C10:C18)</f>
        <v>0</v>
      </c>
      <c r="D20" s="400">
        <f>(B20+C20)-(E20+F20+G20+H20)</f>
        <v>0</v>
      </c>
      <c r="E20" s="398">
        <f>SUM(E10:E18)</f>
        <v>5</v>
      </c>
      <c r="F20" s="399">
        <f>SUM(F10:F18)</f>
        <v>26</v>
      </c>
      <c r="G20" s="399">
        <f>SUM(G10:G18)</f>
        <v>2</v>
      </c>
      <c r="H20" s="399">
        <f>SUM(H10:H18)</f>
        <v>0</v>
      </c>
      <c r="I20" s="401"/>
      <c r="J20" s="398">
        <f>SUM(J10:J18)</f>
        <v>32</v>
      </c>
      <c r="K20" s="399">
        <f>SUM(K10:K18)</f>
        <v>4</v>
      </c>
      <c r="L20" s="399">
        <f>SUM(L10:L18)</f>
        <v>0</v>
      </c>
      <c r="M20" s="402">
        <f>(J20+K20+L20)-(N20+O20+P20+Q20)</f>
        <v>0</v>
      </c>
      <c r="N20" s="398">
        <f>SUM(N10:N18)</f>
        <v>34</v>
      </c>
      <c r="O20" s="399">
        <f>SUM(O10:O18)</f>
        <v>2</v>
      </c>
      <c r="P20" s="399">
        <f>SUM(P10:P18)</f>
        <v>0</v>
      </c>
      <c r="Q20" s="399">
        <f>SUM(Q10:Q18)</f>
        <v>0</v>
      </c>
    </row>
    <row r="21" spans="1:16" ht="12.75">
      <c r="A21" s="387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</row>
    <row r="22" spans="1:16" ht="13.5" thickBot="1">
      <c r="A22" s="387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</row>
    <row r="23" spans="1:16" ht="13.5" thickBot="1">
      <c r="A23" s="403" t="s">
        <v>676</v>
      </c>
      <c r="B23" s="404"/>
      <c r="C23" s="405"/>
      <c r="D23" s="406"/>
      <c r="E23" s="387"/>
      <c r="F23" s="403" t="s">
        <v>677</v>
      </c>
      <c r="G23" s="404"/>
      <c r="H23" s="407"/>
      <c r="I23" s="407"/>
      <c r="J23" s="407"/>
      <c r="K23" s="407"/>
      <c r="L23" s="407"/>
      <c r="M23" s="405"/>
      <c r="N23" s="387"/>
      <c r="O23" s="387"/>
      <c r="P23" s="387"/>
    </row>
    <row r="24" spans="1:16" ht="12.75">
      <c r="A24" s="387" t="s">
        <v>678</v>
      </c>
      <c r="B24" s="387"/>
      <c r="C24" s="387">
        <f>B20+J20</f>
        <v>65</v>
      </c>
      <c r="D24" s="387"/>
      <c r="E24" s="387"/>
      <c r="F24" s="387" t="s">
        <v>679</v>
      </c>
      <c r="G24" s="387"/>
      <c r="H24" s="387"/>
      <c r="I24" s="387"/>
      <c r="J24" s="387"/>
      <c r="K24" s="387"/>
      <c r="L24" s="387"/>
      <c r="M24" s="387">
        <f>E20+N20</f>
        <v>39</v>
      </c>
      <c r="N24" s="387"/>
      <c r="O24" s="387"/>
      <c r="P24" s="387"/>
    </row>
    <row r="25" spans="1:16" ht="12.75">
      <c r="A25" s="387" t="s">
        <v>680</v>
      </c>
      <c r="B25" s="387"/>
      <c r="C25" s="387">
        <f>C20+K20+L20</f>
        <v>4</v>
      </c>
      <c r="D25" s="387"/>
      <c r="E25" s="387"/>
      <c r="F25" s="387" t="s">
        <v>681</v>
      </c>
      <c r="G25" s="387"/>
      <c r="H25" s="387"/>
      <c r="I25" s="387"/>
      <c r="J25" s="387"/>
      <c r="K25" s="387"/>
      <c r="L25" s="387"/>
      <c r="M25" s="387">
        <f>F20+O20</f>
        <v>28</v>
      </c>
      <c r="N25" s="387"/>
      <c r="O25" s="387"/>
      <c r="P25" s="387"/>
    </row>
    <row r="26" spans="1:16" ht="12.75">
      <c r="A26" s="387" t="s">
        <v>682</v>
      </c>
      <c r="B26" s="387"/>
      <c r="C26" s="387">
        <f>B20+C20</f>
        <v>33</v>
      </c>
      <c r="D26" s="387"/>
      <c r="E26" s="387"/>
      <c r="F26" s="387" t="s">
        <v>683</v>
      </c>
      <c r="G26" s="387"/>
      <c r="H26" s="387"/>
      <c r="I26" s="387"/>
      <c r="J26" s="387"/>
      <c r="K26" s="387"/>
      <c r="L26" s="387"/>
      <c r="M26" s="387">
        <f>G20+P20</f>
        <v>2</v>
      </c>
      <c r="N26" s="387"/>
      <c r="O26" s="387"/>
      <c r="P26" s="387"/>
    </row>
    <row r="27" spans="1:16" ht="13.5" thickBot="1">
      <c r="A27" s="387" t="s">
        <v>684</v>
      </c>
      <c r="B27" s="387"/>
      <c r="C27" s="387">
        <f>J20+K20+L20</f>
        <v>36</v>
      </c>
      <c r="D27" s="387"/>
      <c r="E27" s="387"/>
      <c r="F27" s="387" t="s">
        <v>685</v>
      </c>
      <c r="G27" s="387"/>
      <c r="H27" s="387"/>
      <c r="I27" s="387"/>
      <c r="J27" s="387"/>
      <c r="K27" s="387"/>
      <c r="L27" s="387"/>
      <c r="M27" s="387">
        <f>H20+Q20</f>
        <v>0</v>
      </c>
      <c r="N27" s="387"/>
      <c r="O27" s="387"/>
      <c r="P27" s="387"/>
    </row>
    <row r="28" spans="1:16" ht="13.5" thickBot="1">
      <c r="A28" s="403" t="s">
        <v>686</v>
      </c>
      <c r="B28" s="404"/>
      <c r="C28" s="405">
        <f>B20+C20+J20+K20+L20</f>
        <v>69</v>
      </c>
      <c r="D28" s="406"/>
      <c r="E28" s="387"/>
      <c r="F28" s="403" t="s">
        <v>686</v>
      </c>
      <c r="G28" s="404"/>
      <c r="H28" s="407"/>
      <c r="I28" s="407"/>
      <c r="J28" s="407"/>
      <c r="K28" s="407"/>
      <c r="L28" s="407"/>
      <c r="M28" s="405">
        <f>SUM(M24:M27)</f>
        <v>69</v>
      </c>
      <c r="N28" s="387"/>
      <c r="O28" s="387"/>
      <c r="P28" s="387"/>
    </row>
    <row r="29" spans="1:16" ht="12.75">
      <c r="A29" s="406"/>
      <c r="B29" s="406"/>
      <c r="C29" s="406"/>
      <c r="D29" s="406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</row>
    <row r="30" spans="1:16" ht="12.75">
      <c r="A30" s="406"/>
      <c r="B30" s="406"/>
      <c r="C30" s="406"/>
      <c r="D30" s="406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</row>
    <row r="31" spans="1:16" ht="12.75">
      <c r="A31" s="406"/>
      <c r="B31" s="406"/>
      <c r="C31" s="406"/>
      <c r="D31" s="406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</row>
    <row r="32" spans="1:16" ht="12.75">
      <c r="A32" s="406"/>
      <c r="B32" s="406"/>
      <c r="C32" s="406"/>
      <c r="D32" s="406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</row>
    <row r="33" spans="1:16" ht="12.75">
      <c r="A33" s="406"/>
      <c r="B33" s="406"/>
      <c r="C33" s="406"/>
      <c r="D33" s="406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</row>
    <row r="34" spans="1:16" ht="12.75">
      <c r="A34" s="387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</row>
    <row r="35" spans="1:16" ht="12.75">
      <c r="A35" s="387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</row>
    <row r="36" spans="1:16" ht="12.75">
      <c r="A36" s="387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</row>
    <row r="37" spans="1:16" ht="12.75">
      <c r="A37" s="387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</row>
    <row r="38" spans="1:16" ht="12.75">
      <c r="A38" s="387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</row>
    <row r="39" spans="1:16" ht="12.75">
      <c r="A39" s="387"/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</row>
    <row r="40" spans="1:16" ht="12.75">
      <c r="A40" s="387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</row>
    <row r="41" spans="1:16" ht="12.75">
      <c r="A41" s="387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</row>
    <row r="42" spans="1:16" ht="12.75">
      <c r="A42" s="387"/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</row>
    <row r="43" spans="1:16" ht="12.75">
      <c r="A43" s="387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</row>
    <row r="44" spans="1:16" ht="12.75">
      <c r="A44" s="387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</row>
    <row r="45" spans="1:16" ht="12.75">
      <c r="A45" s="387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</row>
    <row r="46" spans="1:16" ht="12.75">
      <c r="A46" s="387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</row>
    <row r="47" spans="1:16" ht="12.75">
      <c r="A47" s="387"/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</row>
    <row r="48" spans="1:16" ht="12.75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</row>
    <row r="49" spans="1:16" ht="12.75">
      <c r="A49" s="387"/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</row>
    <row r="50" spans="1:16" ht="12.75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</row>
    <row r="51" spans="1:16" ht="12.75">
      <c r="A51" s="387"/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</row>
    <row r="52" spans="1:16" ht="12.75">
      <c r="A52" s="387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</row>
    <row r="53" spans="1:16" ht="12.75">
      <c r="A53" s="387"/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</row>
    <row r="54" spans="1:16" ht="12.75">
      <c r="A54" s="387"/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</row>
    <row r="55" spans="1:16" ht="12.75">
      <c r="A55" s="914" t="s">
        <v>687</v>
      </c>
      <c r="B55" s="914"/>
      <c r="C55" s="408"/>
      <c r="D55" s="408"/>
      <c r="E55" s="387"/>
      <c r="F55" s="387"/>
      <c r="G55" s="387"/>
      <c r="H55" s="387"/>
      <c r="I55" s="408"/>
      <c r="J55" s="408"/>
      <c r="K55" s="387"/>
      <c r="L55" s="387"/>
      <c r="M55" s="387"/>
      <c r="N55" s="387"/>
      <c r="O55" s="387"/>
      <c r="P55" s="387"/>
    </row>
    <row r="56" spans="1:16" ht="13.5" thickBot="1">
      <c r="A56" s="408"/>
      <c r="B56" s="408"/>
      <c r="C56" s="408"/>
      <c r="D56" s="408"/>
      <c r="E56" s="387"/>
      <c r="F56" s="387"/>
      <c r="G56" s="387"/>
      <c r="H56" s="387"/>
      <c r="I56" s="408"/>
      <c r="J56" s="408"/>
      <c r="K56" s="387"/>
      <c r="L56" s="387"/>
      <c r="M56" s="387"/>
      <c r="N56" s="387"/>
      <c r="O56" s="387"/>
      <c r="P56" s="387"/>
    </row>
    <row r="57" spans="1:16" ht="13.5" thickBot="1">
      <c r="A57" s="893"/>
      <c r="B57" s="894"/>
      <c r="C57" s="894"/>
      <c r="D57" s="894"/>
      <c r="E57" s="894"/>
      <c r="F57" s="894"/>
      <c r="G57" s="894"/>
      <c r="H57" s="894"/>
      <c r="I57" s="894"/>
      <c r="J57" s="895"/>
      <c r="K57" s="409"/>
      <c r="L57" s="409"/>
      <c r="M57" s="409"/>
      <c r="N57" s="409"/>
      <c r="O57" s="409"/>
      <c r="P57" s="387"/>
    </row>
    <row r="58" spans="1:16" ht="12.75">
      <c r="A58" s="409"/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387"/>
    </row>
    <row r="59" spans="1:16" ht="13.5" thickBot="1">
      <c r="A59" s="409"/>
      <c r="B59" s="409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387"/>
    </row>
    <row r="60" spans="1:16" ht="13.5" thickBot="1">
      <c r="A60" s="410" t="s">
        <v>688</v>
      </c>
      <c r="B60" s="409"/>
      <c r="C60" s="896" t="s">
        <v>1697</v>
      </c>
      <c r="D60" s="897"/>
      <c r="E60" s="897"/>
      <c r="F60" s="897"/>
      <c r="G60" s="897"/>
      <c r="H60" s="897"/>
      <c r="I60" s="897"/>
      <c r="J60" s="898"/>
      <c r="K60" s="409"/>
      <c r="L60" s="409"/>
      <c r="M60" s="409"/>
      <c r="N60" s="409"/>
      <c r="O60" s="409"/>
      <c r="P60" s="387"/>
    </row>
    <row r="61" spans="1:16" ht="13.5" thickBot="1">
      <c r="A61" s="410"/>
      <c r="B61" s="410"/>
      <c r="C61" s="410"/>
      <c r="D61" s="410"/>
      <c r="E61" s="409"/>
      <c r="F61" s="409"/>
      <c r="G61" s="409"/>
      <c r="H61" s="409"/>
      <c r="I61" s="410"/>
      <c r="J61" s="409"/>
      <c r="K61" s="409"/>
      <c r="L61" s="409"/>
      <c r="M61" s="409"/>
      <c r="N61" s="409"/>
      <c r="O61" s="409"/>
      <c r="P61" s="387"/>
    </row>
    <row r="62" spans="1:16" ht="13.5" thickBot="1">
      <c r="A62" s="410" t="s">
        <v>53</v>
      </c>
      <c r="B62" s="907">
        <v>42972</v>
      </c>
      <c r="C62" s="908"/>
      <c r="D62" s="591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387"/>
    </row>
    <row r="63" spans="1:16" ht="12.75">
      <c r="A63" s="409"/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387"/>
    </row>
    <row r="64" spans="1:16" ht="12.75">
      <c r="A64" s="409"/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387"/>
    </row>
    <row r="65" spans="1:16" ht="12.75">
      <c r="A65" s="409"/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387"/>
    </row>
  </sheetData>
  <sheetProtection/>
  <mergeCells count="26">
    <mergeCell ref="Q7:Q8"/>
    <mergeCell ref="A55:B55"/>
    <mergeCell ref="M7:M8"/>
    <mergeCell ref="N7:N8"/>
    <mergeCell ref="J7:J8"/>
    <mergeCell ref="K7:L7"/>
    <mergeCell ref="B62:C62"/>
    <mergeCell ref="A1:P1"/>
    <mergeCell ref="A2:P2"/>
    <mergeCell ref="A3:P3"/>
    <mergeCell ref="B6:C6"/>
    <mergeCell ref="E6:H6"/>
    <mergeCell ref="J6:K6"/>
    <mergeCell ref="N6:Q6"/>
    <mergeCell ref="G7:G8"/>
    <mergeCell ref="H7:H8"/>
    <mergeCell ref="A57:J57"/>
    <mergeCell ref="C60:J60"/>
    <mergeCell ref="O7:O8"/>
    <mergeCell ref="P7:P8"/>
    <mergeCell ref="A7:A8"/>
    <mergeCell ref="B7:B8"/>
    <mergeCell ref="C7:C8"/>
    <mergeCell ref="D7:D8"/>
    <mergeCell ref="E7:E8"/>
    <mergeCell ref="F7:F8"/>
  </mergeCells>
  <printOptions horizontalCentered="1"/>
  <pageMargins left="0.1968503937007874" right="0.1968503937007874" top="0.5905511811023623" bottom="0.984251968503937" header="0" footer="0"/>
  <pageSetup horizontalDpi="300" verticalDpi="300" orientation="portrait" scale="7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0"/>
  <sheetViews>
    <sheetView zoomScalePageLayoutView="0" workbookViewId="0" topLeftCell="A4">
      <selection activeCell="A39" sqref="A39:F39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5" width="25.7109375" style="0" customWidth="1"/>
    <col min="6" max="6" width="20.7109375" style="0" customWidth="1"/>
  </cols>
  <sheetData>
    <row r="1" spans="1:6" ht="15">
      <c r="A1" s="859" t="s">
        <v>1660</v>
      </c>
      <c r="B1" s="916"/>
      <c r="C1" s="916"/>
      <c r="D1" s="916"/>
      <c r="E1" s="916"/>
      <c r="F1" s="916"/>
    </row>
    <row r="2" spans="1:6" ht="15">
      <c r="A2" s="916" t="s">
        <v>509</v>
      </c>
      <c r="B2" s="916"/>
      <c r="C2" s="916"/>
      <c r="D2" s="916"/>
      <c r="E2" s="916"/>
      <c r="F2" s="916"/>
    </row>
    <row r="3" spans="1:6" ht="15">
      <c r="A3" s="916" t="s">
        <v>510</v>
      </c>
      <c r="B3" s="916"/>
      <c r="C3" s="916"/>
      <c r="D3" s="916"/>
      <c r="E3" s="916"/>
      <c r="F3" s="916"/>
    </row>
    <row r="4" ht="13.5" thickBot="1"/>
    <row r="5" spans="3:6" ht="12.75">
      <c r="C5" s="139" t="s">
        <v>504</v>
      </c>
      <c r="D5" s="139" t="s">
        <v>505</v>
      </c>
      <c r="E5" s="139" t="s">
        <v>507</v>
      </c>
      <c r="F5" s="139" t="s">
        <v>86</v>
      </c>
    </row>
    <row r="6" spans="3:6" ht="13.5" thickBot="1">
      <c r="C6" s="140" t="s">
        <v>1030</v>
      </c>
      <c r="D6" s="140" t="s">
        <v>506</v>
      </c>
      <c r="E6" s="140" t="s">
        <v>508</v>
      </c>
      <c r="F6" s="386"/>
    </row>
    <row r="7" spans="1:6" ht="13.5" thickBot="1">
      <c r="A7" s="415"/>
      <c r="B7" s="418" t="s">
        <v>502</v>
      </c>
      <c r="C7" s="419" t="e">
        <f>SUM(C9:C25)</f>
        <v>#REF!</v>
      </c>
      <c r="D7" s="419">
        <f>SUM(D9:D25)</f>
        <v>851276072.5410703</v>
      </c>
      <c r="E7" s="419">
        <f>SUM(E9:E25)</f>
        <v>518843711.1221713</v>
      </c>
      <c r="F7" s="414" t="e">
        <f>SUM(F9:F25)</f>
        <v>#REF!</v>
      </c>
    </row>
    <row r="8" spans="1:6" ht="12.75">
      <c r="A8" s="386"/>
      <c r="B8" s="415"/>
      <c r="C8" s="415"/>
      <c r="D8" s="415"/>
      <c r="E8" s="415"/>
      <c r="F8" s="415"/>
    </row>
    <row r="9" spans="1:6" ht="12.75">
      <c r="A9" s="140">
        <v>0</v>
      </c>
      <c r="B9" s="386" t="s">
        <v>818</v>
      </c>
      <c r="C9" s="416">
        <f>C47</f>
        <v>638273136.4987366</v>
      </c>
      <c r="D9" s="416">
        <f>D47</f>
        <v>295613071.8510703</v>
      </c>
      <c r="E9" s="416">
        <f>E47</f>
        <v>63253444.78217134</v>
      </c>
      <c r="F9" s="416">
        <f>C9+D9+E9</f>
        <v>997139653.1319783</v>
      </c>
    </row>
    <row r="10" spans="1:6" ht="12.75">
      <c r="A10" s="140"/>
      <c r="B10" s="386"/>
      <c r="C10" s="386"/>
      <c r="D10" s="386"/>
      <c r="E10" s="386"/>
      <c r="F10" s="386"/>
    </row>
    <row r="11" spans="1:6" ht="12.75">
      <c r="A11" s="140">
        <v>1</v>
      </c>
      <c r="B11" s="386" t="s">
        <v>852</v>
      </c>
      <c r="C11" s="416">
        <f>C68</f>
        <v>90278859.4</v>
      </c>
      <c r="D11" s="416">
        <f>D68</f>
        <v>342724241.08000004</v>
      </c>
      <c r="E11" s="416">
        <f>E68</f>
        <v>91077601.82</v>
      </c>
      <c r="F11" s="416">
        <f>C11+D11+E11</f>
        <v>524080702.3</v>
      </c>
    </row>
    <row r="12" spans="1:6" ht="12.75">
      <c r="A12" s="140"/>
      <c r="B12" s="386"/>
      <c r="C12" s="386"/>
      <c r="D12" s="386"/>
      <c r="E12" s="386"/>
      <c r="F12" s="386"/>
    </row>
    <row r="13" spans="1:6" ht="12.75">
      <c r="A13" s="140">
        <v>2</v>
      </c>
      <c r="B13" s="386" t="s">
        <v>874</v>
      </c>
      <c r="C13" s="416">
        <f>C132</f>
        <v>10700000</v>
      </c>
      <c r="D13" s="416">
        <f>D132</f>
        <v>65570118.09</v>
      </c>
      <c r="E13" s="416">
        <f>E132</f>
        <v>0</v>
      </c>
      <c r="F13" s="416">
        <f>C13+D13+E13</f>
        <v>76270118.09</v>
      </c>
    </row>
    <row r="14" spans="1:6" ht="12.75">
      <c r="A14" s="140"/>
      <c r="B14" s="386"/>
      <c r="C14" s="386"/>
      <c r="D14" s="386"/>
      <c r="E14" s="386"/>
      <c r="F14" s="386"/>
    </row>
    <row r="15" spans="1:6" ht="12.75">
      <c r="A15" s="140">
        <v>3</v>
      </c>
      <c r="B15" s="386" t="s">
        <v>896</v>
      </c>
      <c r="C15" s="416">
        <f>C163</f>
        <v>2643142.59</v>
      </c>
      <c r="D15" s="416">
        <f>D163</f>
        <v>51470.4</v>
      </c>
      <c r="E15" s="416">
        <f>E163</f>
        <v>0</v>
      </c>
      <c r="F15" s="416">
        <f>C15+D15+E15</f>
        <v>2694612.9899999998</v>
      </c>
    </row>
    <row r="16" spans="1:6" ht="12.75">
      <c r="A16" s="140"/>
      <c r="B16" s="386"/>
      <c r="C16" s="386"/>
      <c r="D16" s="386"/>
      <c r="E16" s="386"/>
      <c r="F16" s="386"/>
    </row>
    <row r="17" spans="1:6" ht="12.75">
      <c r="A17" s="140">
        <v>5</v>
      </c>
      <c r="B17" s="386" t="s">
        <v>898</v>
      </c>
      <c r="C17" s="416" t="e">
        <f>C167</f>
        <v>#REF!</v>
      </c>
      <c r="D17" s="416">
        <f>D167</f>
        <v>126399996.42</v>
      </c>
      <c r="E17" s="416">
        <f>E167</f>
        <v>353125390.13</v>
      </c>
      <c r="F17" s="416" t="e">
        <f>C17+D17+E17</f>
        <v>#REF!</v>
      </c>
    </row>
    <row r="18" spans="1:6" ht="12.75">
      <c r="A18" s="140"/>
      <c r="B18" s="386"/>
      <c r="C18" s="386"/>
      <c r="D18" s="386"/>
      <c r="E18" s="386"/>
      <c r="F18" s="386"/>
    </row>
    <row r="19" spans="1:6" ht="12.75">
      <c r="A19" s="140">
        <v>6</v>
      </c>
      <c r="B19" s="386" t="s">
        <v>797</v>
      </c>
      <c r="C19" s="416">
        <f>C184</f>
        <v>189746256.2682</v>
      </c>
      <c r="D19" s="416">
        <f>D184</f>
        <v>18750000</v>
      </c>
      <c r="E19" s="416">
        <f>E184</f>
        <v>0</v>
      </c>
      <c r="F19" s="416">
        <f>C19+D19+E19</f>
        <v>208496256.2682</v>
      </c>
    </row>
    <row r="20" spans="1:6" ht="12.75">
      <c r="A20" s="140"/>
      <c r="B20" s="386"/>
      <c r="C20" s="386"/>
      <c r="D20" s="386"/>
      <c r="E20" s="386"/>
      <c r="F20" s="386"/>
    </row>
    <row r="21" spans="1:6" ht="12.75">
      <c r="A21" s="140">
        <v>7</v>
      </c>
      <c r="B21" s="386" t="s">
        <v>804</v>
      </c>
      <c r="C21" s="416">
        <f>C197</f>
        <v>0</v>
      </c>
      <c r="D21" s="416">
        <f>D197</f>
        <v>0</v>
      </c>
      <c r="E21" s="416">
        <f>E197</f>
        <v>0</v>
      </c>
      <c r="F21" s="416">
        <f>C21+D21+E21</f>
        <v>0</v>
      </c>
    </row>
    <row r="22" spans="1:6" ht="12.75">
      <c r="A22" s="140"/>
      <c r="B22" s="386"/>
      <c r="C22" s="386"/>
      <c r="D22" s="386"/>
      <c r="E22" s="386"/>
      <c r="F22" s="386"/>
    </row>
    <row r="23" spans="1:6" ht="12.75">
      <c r="A23" s="140">
        <v>8</v>
      </c>
      <c r="B23" s="386" t="s">
        <v>1009</v>
      </c>
      <c r="C23" s="416">
        <f>C204</f>
        <v>14410692.09</v>
      </c>
      <c r="D23" s="416">
        <f>D204</f>
        <v>2167174.7</v>
      </c>
      <c r="E23" s="416">
        <f>E204</f>
        <v>0</v>
      </c>
      <c r="F23" s="416">
        <f>C23+D23+E23</f>
        <v>16577866.79</v>
      </c>
    </row>
    <row r="24" spans="1:6" ht="12.75">
      <c r="A24" s="140"/>
      <c r="B24" s="386"/>
      <c r="C24" s="386"/>
      <c r="D24" s="386"/>
      <c r="E24" s="386"/>
      <c r="F24" s="386"/>
    </row>
    <row r="25" spans="1:6" ht="13.5" thickBot="1">
      <c r="A25" s="411">
        <v>9</v>
      </c>
      <c r="B25" s="412" t="s">
        <v>166</v>
      </c>
      <c r="C25" s="417">
        <f>C208</f>
        <v>0</v>
      </c>
      <c r="D25" s="417">
        <f>D208</f>
        <v>0</v>
      </c>
      <c r="E25" s="417">
        <f>E208</f>
        <v>11387274.39</v>
      </c>
      <c r="F25" s="417">
        <f>C25+D25+E25</f>
        <v>11387274.39</v>
      </c>
    </row>
    <row r="39" spans="1:6" ht="15.75">
      <c r="A39" s="848" t="s">
        <v>1660</v>
      </c>
      <c r="B39" s="848"/>
      <c r="C39" s="848"/>
      <c r="D39" s="848"/>
      <c r="E39" s="848"/>
      <c r="F39" s="848"/>
    </row>
    <row r="40" spans="1:6" ht="15.75">
      <c r="A40" s="848" t="s">
        <v>658</v>
      </c>
      <c r="B40" s="848"/>
      <c r="C40" s="848"/>
      <c r="D40" s="848"/>
      <c r="E40" s="848"/>
      <c r="F40" s="848"/>
    </row>
    <row r="41" spans="1:6" ht="15.75">
      <c r="A41" s="848" t="s">
        <v>510</v>
      </c>
      <c r="B41" s="848"/>
      <c r="C41" s="848"/>
      <c r="D41" s="848"/>
      <c r="E41" s="848"/>
      <c r="F41" s="848"/>
    </row>
    <row r="42" ht="13.5" thickBot="1"/>
    <row r="43" spans="3:6" ht="12.75">
      <c r="C43" s="450" t="s">
        <v>504</v>
      </c>
      <c r="D43" s="450" t="s">
        <v>512</v>
      </c>
      <c r="E43" s="450" t="s">
        <v>507</v>
      </c>
      <c r="F43" s="450" t="s">
        <v>86</v>
      </c>
    </row>
    <row r="44" spans="3:6" ht="13.5" thickBot="1">
      <c r="C44" s="451" t="s">
        <v>1030</v>
      </c>
      <c r="D44" s="451" t="s">
        <v>506</v>
      </c>
      <c r="E44" s="451" t="s">
        <v>508</v>
      </c>
      <c r="F44" s="386"/>
    </row>
    <row r="45" spans="2:6" ht="13.5" thickBot="1">
      <c r="B45" s="440" t="s">
        <v>511</v>
      </c>
      <c r="C45" s="443" t="e">
        <f>C47+C68+C132+C163+C167+C184+C197+C204+C208</f>
        <v>#REF!</v>
      </c>
      <c r="D45" s="443">
        <f>D47+D68+D132+D163+D167+D184+D197+D204+D208</f>
        <v>851276072.5410703</v>
      </c>
      <c r="E45" s="443">
        <f>E47+E68+E132+E163+E167+E184+E197+E204+E208</f>
        <v>518843711.1221713</v>
      </c>
      <c r="F45" s="420" t="e">
        <f>F47+F68+F132+F163+F167+F184+F197+F204+F208</f>
        <v>#REF!</v>
      </c>
    </row>
    <row r="46" spans="1:6" ht="12.75">
      <c r="A46" s="421"/>
      <c r="B46" s="103"/>
      <c r="C46" s="444"/>
      <c r="D46" s="444"/>
      <c r="E46" s="444"/>
      <c r="F46" s="422"/>
    </row>
    <row r="47" spans="1:6" ht="13.5" thickBot="1">
      <c r="A47" s="423">
        <v>0</v>
      </c>
      <c r="B47" s="441" t="s">
        <v>818</v>
      </c>
      <c r="C47" s="445">
        <f>C48+C52+C56+C61+C64</f>
        <v>638273136.4987366</v>
      </c>
      <c r="D47" s="445">
        <f>D48+D52+D56+D61+D64</f>
        <v>295613071.8510703</v>
      </c>
      <c r="E47" s="445">
        <f>E48+E52+E56+E61+E64</f>
        <v>63253444.78217134</v>
      </c>
      <c r="F47" s="424">
        <f>F48+F52+F56+F61+F64</f>
        <v>997139653.1319783</v>
      </c>
    </row>
    <row r="48" spans="1:6" ht="14.25" thickBot="1" thickTop="1">
      <c r="A48" s="425">
        <v>0.01</v>
      </c>
      <c r="B48" s="115" t="s">
        <v>819</v>
      </c>
      <c r="C48" s="446">
        <f>C49+C50+C51</f>
        <v>286523222.9</v>
      </c>
      <c r="D48" s="446">
        <f>D49+D50+D51</f>
        <v>144504897.70999998</v>
      </c>
      <c r="E48" s="446">
        <f>E49+E51</f>
        <v>33792975.45</v>
      </c>
      <c r="F48" s="426">
        <f>F49+F50+F51</f>
        <v>464821096.05999994</v>
      </c>
    </row>
    <row r="49" spans="1:6" ht="12.75">
      <c r="A49" s="427" t="s">
        <v>513</v>
      </c>
      <c r="B49" s="73" t="s">
        <v>514</v>
      </c>
      <c r="C49" s="447">
        <f>+'PROGRAMA 1'!C7</f>
        <v>269023222.9</v>
      </c>
      <c r="D49" s="447">
        <f>+'PROGRAMA 2'!C7</f>
        <v>136804897.70999998</v>
      </c>
      <c r="E49" s="447">
        <f>+'PROGRAMA 3'!C6</f>
        <v>33792975.45</v>
      </c>
      <c r="F49" s="428">
        <f>C49+D49+E49</f>
        <v>439621096.05999994</v>
      </c>
    </row>
    <row r="50" spans="1:6" ht="12.75">
      <c r="A50" s="427" t="s">
        <v>1039</v>
      </c>
      <c r="B50" s="73" t="s">
        <v>668</v>
      </c>
      <c r="C50" s="447">
        <f>+'PROGRAMA 1'!C8</f>
        <v>15000000</v>
      </c>
      <c r="D50" s="447">
        <v>0</v>
      </c>
      <c r="E50" s="447">
        <v>0</v>
      </c>
      <c r="F50" s="428">
        <f>C50+D50+E50</f>
        <v>15000000</v>
      </c>
    </row>
    <row r="51" spans="1:6" ht="12.75">
      <c r="A51" s="427" t="s">
        <v>515</v>
      </c>
      <c r="B51" s="73" t="s">
        <v>821</v>
      </c>
      <c r="C51" s="447">
        <f>+'PROGRAMA 1'!C9</f>
        <v>2500000</v>
      </c>
      <c r="D51" s="447">
        <f>+'PROGRAMA 2'!C8</f>
        <v>7700000</v>
      </c>
      <c r="E51" s="447">
        <v>0</v>
      </c>
      <c r="F51" s="428">
        <f>C51+D51+E51</f>
        <v>10200000</v>
      </c>
    </row>
    <row r="52" spans="1:6" ht="13.5" thickBot="1">
      <c r="A52" s="425">
        <v>0.02</v>
      </c>
      <c r="B52" s="115" t="s">
        <v>822</v>
      </c>
      <c r="C52" s="446">
        <f>C53+C55+C54</f>
        <v>23533676.08</v>
      </c>
      <c r="D52" s="446">
        <f>D53+D55+D54</f>
        <v>9600000</v>
      </c>
      <c r="E52" s="446">
        <f>E53+E55+E54</f>
        <v>2000000</v>
      </c>
      <c r="F52" s="426">
        <f>F53+F55+F54</f>
        <v>35133676.08</v>
      </c>
    </row>
    <row r="53" spans="1:6" ht="12.75">
      <c r="A53" s="429" t="s">
        <v>516</v>
      </c>
      <c r="B53" s="73" t="s">
        <v>517</v>
      </c>
      <c r="C53" s="447">
        <f>+'PROGRAMA 1'!C12</f>
        <v>2500000</v>
      </c>
      <c r="D53" s="447">
        <f>+'PROGRAMA 2'!C11</f>
        <v>9600000</v>
      </c>
      <c r="E53" s="447">
        <f>+'PROGRAMA 3'!C9</f>
        <v>2000000</v>
      </c>
      <c r="F53" s="428">
        <f>C53+D53+E53</f>
        <v>14100000</v>
      </c>
    </row>
    <row r="54" spans="1:6" ht="12.75">
      <c r="A54" s="429" t="s">
        <v>1625</v>
      </c>
      <c r="B54" s="800" t="s">
        <v>1626</v>
      </c>
      <c r="C54" s="801">
        <v>0</v>
      </c>
      <c r="D54" s="447">
        <v>0</v>
      </c>
      <c r="E54" s="801">
        <v>0</v>
      </c>
      <c r="F54" s="802">
        <f>C54+D54+E54</f>
        <v>0</v>
      </c>
    </row>
    <row r="55" spans="1:6" ht="12.75">
      <c r="A55" s="429" t="s">
        <v>518</v>
      </c>
      <c r="B55" s="73" t="s">
        <v>831</v>
      </c>
      <c r="C55" s="447">
        <f>+'PROGRAMA 1'!C13</f>
        <v>21033676.08</v>
      </c>
      <c r="D55" s="447">
        <v>0</v>
      </c>
      <c r="E55" s="447">
        <v>0</v>
      </c>
      <c r="F55" s="428">
        <f>C55+D55+E55</f>
        <v>21033676.08</v>
      </c>
    </row>
    <row r="56" spans="1:6" ht="13.5" thickBot="1">
      <c r="A56" s="425">
        <v>0.03</v>
      </c>
      <c r="B56" s="115" t="s">
        <v>833</v>
      </c>
      <c r="C56" s="446">
        <f>SUM(C57:C60)</f>
        <v>234757618.99166667</v>
      </c>
      <c r="D56" s="446">
        <f>SUM(D57:D60)</f>
        <v>96748253.42083332</v>
      </c>
      <c r="E56" s="446">
        <f>SUM(E57:E60)</f>
        <v>17883020.148333333</v>
      </c>
      <c r="F56" s="426">
        <f>SUM(F57:F60)</f>
        <v>349388892.56083333</v>
      </c>
    </row>
    <row r="57" spans="1:6" ht="12.75">
      <c r="A57" s="429" t="s">
        <v>519</v>
      </c>
      <c r="B57" s="73" t="s">
        <v>520</v>
      </c>
      <c r="C57" s="447">
        <f>+'PROGRAMA 1'!C16</f>
        <v>76668167</v>
      </c>
      <c r="D57" s="447">
        <f>+'PROGRAMA 2'!C14</f>
        <v>54989406.54999999</v>
      </c>
      <c r="E57" s="447">
        <f>+'PROGRAMA 3'!C12</f>
        <v>3049397.77</v>
      </c>
      <c r="F57" s="428">
        <f>C57+D57+E57</f>
        <v>134706971.32</v>
      </c>
    </row>
    <row r="58" spans="1:6" ht="12.75">
      <c r="A58" s="429" t="s">
        <v>521</v>
      </c>
      <c r="B58" s="73" t="s">
        <v>522</v>
      </c>
      <c r="C58" s="447">
        <f>+'PROGRAMA 1'!C17</f>
        <v>86386290</v>
      </c>
      <c r="D58" s="447">
        <f>+'PROGRAMA 2'!C15</f>
        <v>9146905.219999999</v>
      </c>
      <c r="E58" s="447">
        <f>+'PROGRAMA 3'!C13</f>
        <v>8166542.17</v>
      </c>
      <c r="F58" s="428">
        <f>C58+D58+E58</f>
        <v>103699737.39</v>
      </c>
    </row>
    <row r="59" spans="1:6" ht="12.75">
      <c r="A59" s="429" t="s">
        <v>523</v>
      </c>
      <c r="B59" s="73" t="s">
        <v>524</v>
      </c>
      <c r="C59" s="447">
        <f>+'PROGRAMA 1'!C18</f>
        <v>40290833.99166667</v>
      </c>
      <c r="D59" s="447">
        <f>+'PROGRAMA 2'!C16</f>
        <v>19296396.240833335</v>
      </c>
      <c r="E59" s="447">
        <f>+'PROGRAMA 3'!C14</f>
        <v>4128922.7383333333</v>
      </c>
      <c r="F59" s="428">
        <f>C59+D59+E59</f>
        <v>63716152.97083333</v>
      </c>
    </row>
    <row r="60" spans="1:6" ht="12.75">
      <c r="A60" s="429" t="s">
        <v>1488</v>
      </c>
      <c r="B60" s="73" t="s">
        <v>1477</v>
      </c>
      <c r="C60" s="447">
        <f>+'PROGRAMA 1'!C19</f>
        <v>31412328</v>
      </c>
      <c r="D60" s="447">
        <f>+'PROGRAMA 2'!C17</f>
        <v>13315545.409999998</v>
      </c>
      <c r="E60" s="447">
        <f>+'PROGRAMA 3'!C15</f>
        <v>2538157.4699999997</v>
      </c>
      <c r="F60" s="428">
        <f>C60+D60+E60</f>
        <v>47266030.879999995</v>
      </c>
    </row>
    <row r="61" spans="1:6" ht="13.5" thickBot="1">
      <c r="A61" s="425">
        <v>0.04</v>
      </c>
      <c r="B61" s="115" t="s">
        <v>525</v>
      </c>
      <c r="C61" s="446">
        <f>C62+C63</f>
        <v>71701568.17157</v>
      </c>
      <c r="D61" s="446">
        <f>D62+D63</f>
        <v>34339866.750187</v>
      </c>
      <c r="E61" s="446">
        <f>SUM(E62:E63)</f>
        <v>7347830.905138</v>
      </c>
      <c r="F61" s="426">
        <f>F62+F63</f>
        <v>113389265.82689501</v>
      </c>
    </row>
    <row r="62" spans="1:6" ht="12.75">
      <c r="A62" s="429" t="s">
        <v>526</v>
      </c>
      <c r="B62" s="73" t="s">
        <v>527</v>
      </c>
      <c r="C62" s="447">
        <f>+'PROGRAMA 1'!C23</f>
        <v>69284118.13207</v>
      </c>
      <c r="D62" s="447">
        <f>+'PROGRAMA 2'!C21</f>
        <v>33182082.975737</v>
      </c>
      <c r="E62" s="447">
        <f>+'PROGRAMA 3'!C19</f>
        <v>7100095.540838</v>
      </c>
      <c r="F62" s="428">
        <f>C62+D62+E62</f>
        <v>109566296.64864501</v>
      </c>
    </row>
    <row r="63" spans="1:6" ht="12.75">
      <c r="A63" s="429" t="s">
        <v>528</v>
      </c>
      <c r="B63" s="73" t="s">
        <v>529</v>
      </c>
      <c r="C63" s="447">
        <f>+'PROGRAMA 1'!C24</f>
        <v>2417450.0395</v>
      </c>
      <c r="D63" s="447">
        <f>+'PROGRAMA 2'!C22</f>
        <v>1157783.77445</v>
      </c>
      <c r="E63" s="447">
        <f>+'PROGRAMA 3'!C20</f>
        <v>247735.3643</v>
      </c>
      <c r="F63" s="428">
        <f>C63+D63+E63</f>
        <v>3822969.17825</v>
      </c>
    </row>
    <row r="64" spans="1:6" ht="13.5" thickBot="1">
      <c r="A64" s="425">
        <v>0.05</v>
      </c>
      <c r="B64" s="115" t="s">
        <v>530</v>
      </c>
      <c r="C64" s="446">
        <f>C65+C66</f>
        <v>21757050.355499998</v>
      </c>
      <c r="D64" s="446">
        <f>D65+D66</f>
        <v>10420053.97005</v>
      </c>
      <c r="E64" s="446">
        <f>SUM(E65:E66)</f>
        <v>2229618.2786999997</v>
      </c>
      <c r="F64" s="426">
        <f>F65+F66</f>
        <v>34406722.60425</v>
      </c>
    </row>
    <row r="65" spans="1:6" ht="12.75">
      <c r="A65" s="429" t="s">
        <v>531</v>
      </c>
      <c r="B65" s="73" t="s">
        <v>532</v>
      </c>
      <c r="C65" s="447">
        <f>+'PROGRAMA 1'!C28</f>
        <v>7252350.1185</v>
      </c>
      <c r="D65" s="447">
        <f>+'PROGRAMA 2'!C26</f>
        <v>3473351.3233499997</v>
      </c>
      <c r="E65" s="447">
        <f>+'PROGRAMA 3'!C24</f>
        <v>743206.0928999999</v>
      </c>
      <c r="F65" s="428">
        <f>C65+D65+E65</f>
        <v>11468907.53475</v>
      </c>
    </row>
    <row r="66" spans="1:6" ht="12.75">
      <c r="A66" s="429" t="s">
        <v>533</v>
      </c>
      <c r="B66" s="73" t="s">
        <v>534</v>
      </c>
      <c r="C66" s="447">
        <f>+'PROGRAMA 1'!C29</f>
        <v>14504700.237</v>
      </c>
      <c r="D66" s="447">
        <f>+'PROGRAMA 2'!C27</f>
        <v>6946702.646699999</v>
      </c>
      <c r="E66" s="447">
        <f>+'PROGRAMA 3'!C25</f>
        <v>1486412.1857999999</v>
      </c>
      <c r="F66" s="428">
        <f>C66+D66+E66</f>
        <v>22937815.0695</v>
      </c>
    </row>
    <row r="67" spans="1:6" ht="12.75">
      <c r="A67" s="429"/>
      <c r="B67" s="73"/>
      <c r="C67" s="447"/>
      <c r="D67" s="447"/>
      <c r="E67" s="447"/>
      <c r="F67" s="428"/>
    </row>
    <row r="68" spans="1:6" ht="13.5" thickBot="1">
      <c r="A68" s="423">
        <v>1</v>
      </c>
      <c r="B68" s="441" t="s">
        <v>852</v>
      </c>
      <c r="C68" s="445">
        <f>C69+C77+C84+C90+C98+C103+C105+C116+C126+C128</f>
        <v>90278859.4</v>
      </c>
      <c r="D68" s="445">
        <f>D69+D77+D84+D90+D98+D103+D105+D116+D126+D128</f>
        <v>342724241.08000004</v>
      </c>
      <c r="E68" s="445">
        <f>E69+E77+E84+E90+E98+E103+E105+E116+E126+E128</f>
        <v>91077601.82</v>
      </c>
      <c r="F68" s="424">
        <f>F69+F77+F84+F90+F98+F103+F105+F116+F126+F128</f>
        <v>524080702.3</v>
      </c>
    </row>
    <row r="69" spans="1:6" ht="14.25" thickBot="1" thickTop="1">
      <c r="A69" s="430">
        <v>1.01</v>
      </c>
      <c r="B69" s="442" t="s">
        <v>962</v>
      </c>
      <c r="C69" s="448">
        <f>SUM(C70:C72)</f>
        <v>19020000</v>
      </c>
      <c r="D69" s="448">
        <f>SUM(D70:D72)</f>
        <v>2061276.57</v>
      </c>
      <c r="E69" s="448">
        <f>SUM(E70:E72)</f>
        <v>0</v>
      </c>
      <c r="F69" s="431">
        <f>SUM(F70:F72)</f>
        <v>21081276.57</v>
      </c>
    </row>
    <row r="70" spans="1:6" ht="12.75">
      <c r="A70" s="429" t="s">
        <v>535</v>
      </c>
      <c r="B70" s="73" t="s">
        <v>536</v>
      </c>
      <c r="C70" s="447">
        <f>+'PROGRAMA 1'!C33</f>
        <v>11520000</v>
      </c>
      <c r="D70" s="447">
        <v>0</v>
      </c>
      <c r="E70" s="447">
        <v>0</v>
      </c>
      <c r="F70" s="428">
        <f>C70+D70+E70</f>
        <v>11520000</v>
      </c>
    </row>
    <row r="71" spans="1:6" ht="12.75">
      <c r="A71" s="429" t="s">
        <v>1378</v>
      </c>
      <c r="B71" s="73" t="s">
        <v>1379</v>
      </c>
      <c r="C71" s="447">
        <v>0</v>
      </c>
      <c r="D71" s="447">
        <f>+'PROGRAMA 2'!C31</f>
        <v>2061276.57</v>
      </c>
      <c r="E71" s="447">
        <v>0</v>
      </c>
      <c r="F71" s="428">
        <f>C71+D71+E71</f>
        <v>2061276.57</v>
      </c>
    </row>
    <row r="72" spans="1:6" ht="13.5" thickBot="1">
      <c r="A72" s="432" t="s">
        <v>1333</v>
      </c>
      <c r="B72" s="113" t="s">
        <v>1251</v>
      </c>
      <c r="C72" s="449">
        <f>+'PROGRAMA 1'!C34</f>
        <v>7500000</v>
      </c>
      <c r="D72" s="449">
        <v>0</v>
      </c>
      <c r="E72" s="449">
        <v>0</v>
      </c>
      <c r="F72" s="433">
        <f>C72+D72+E72</f>
        <v>7500000</v>
      </c>
    </row>
    <row r="73" spans="1:6" ht="12.75">
      <c r="A73" s="487"/>
      <c r="B73" s="19"/>
      <c r="C73" s="488"/>
      <c r="D73" s="488"/>
      <c r="E73" s="488"/>
      <c r="F73" s="488"/>
    </row>
    <row r="74" spans="1:6" ht="12.75">
      <c r="A74" s="487"/>
      <c r="B74" s="19"/>
      <c r="C74" s="488"/>
      <c r="D74" s="488"/>
      <c r="E74" s="488"/>
      <c r="F74" s="488"/>
    </row>
    <row r="75" spans="1:6" ht="12.75">
      <c r="A75" s="487"/>
      <c r="B75" s="19"/>
      <c r="C75" s="488"/>
      <c r="D75" s="488"/>
      <c r="E75" s="488"/>
      <c r="F75" s="488"/>
    </row>
    <row r="76" spans="1:6" ht="13.5" thickBot="1">
      <c r="A76" s="487"/>
      <c r="B76" s="19"/>
      <c r="C76" s="488"/>
      <c r="D76" s="488"/>
      <c r="E76" s="488"/>
      <c r="F76" s="488"/>
    </row>
    <row r="77" spans="1:6" ht="13.5" thickBot="1">
      <c r="A77" s="434">
        <v>1.02</v>
      </c>
      <c r="B77" s="9" t="s">
        <v>854</v>
      </c>
      <c r="C77" s="452">
        <f>SUM(C79:C82)</f>
        <v>18015000</v>
      </c>
      <c r="D77" s="452">
        <f>SUM(D78:D82)</f>
        <v>61768436.18</v>
      </c>
      <c r="E77" s="452">
        <f>SUM(E79:E82)</f>
        <v>0</v>
      </c>
      <c r="F77" s="435">
        <f>SUM(F78:F82)</f>
        <v>79783436.18</v>
      </c>
    </row>
    <row r="78" spans="1:6" ht="12.75">
      <c r="A78" s="429" t="s">
        <v>1561</v>
      </c>
      <c r="B78" s="482" t="s">
        <v>1492</v>
      </c>
      <c r="C78" s="483">
        <v>0</v>
      </c>
      <c r="D78" s="483">
        <f>+'PROGRAMA 2'!C34</f>
        <v>1000000</v>
      </c>
      <c r="E78" s="483">
        <v>0</v>
      </c>
      <c r="F78" s="428">
        <f>C78+D78+E78</f>
        <v>1000000</v>
      </c>
    </row>
    <row r="79" spans="1:6" ht="12.75">
      <c r="A79" s="429" t="s">
        <v>537</v>
      </c>
      <c r="B79" s="73" t="s">
        <v>538</v>
      </c>
      <c r="C79" s="447">
        <f>+'PROGRAMA 1'!C37</f>
        <v>6500000</v>
      </c>
      <c r="D79" s="447">
        <f>+'PROGRAMA 2'!C35</f>
        <v>60668436.18</v>
      </c>
      <c r="E79" s="447">
        <v>0</v>
      </c>
      <c r="F79" s="428">
        <f>C79+D79+E79</f>
        <v>67168436.18</v>
      </c>
    </row>
    <row r="80" spans="1:6" ht="12.75">
      <c r="A80" s="429" t="s">
        <v>1335</v>
      </c>
      <c r="B80" s="73" t="s">
        <v>1254</v>
      </c>
      <c r="C80" s="447">
        <f>+'PROGRAMA 1'!C38</f>
        <v>15000</v>
      </c>
      <c r="D80" s="447">
        <v>0</v>
      </c>
      <c r="E80" s="447">
        <v>0</v>
      </c>
      <c r="F80" s="428">
        <f>C80+D80+E80</f>
        <v>15000</v>
      </c>
    </row>
    <row r="81" spans="1:6" ht="12.75">
      <c r="A81" s="429" t="s">
        <v>539</v>
      </c>
      <c r="B81" s="73" t="s">
        <v>540</v>
      </c>
      <c r="C81" s="447">
        <f>+'PROGRAMA 1'!C39</f>
        <v>11500000</v>
      </c>
      <c r="D81" s="447">
        <v>0</v>
      </c>
      <c r="E81" s="447">
        <v>0</v>
      </c>
      <c r="F81" s="428">
        <f>C81+D81+E81</f>
        <v>11500000</v>
      </c>
    </row>
    <row r="82" spans="1:6" ht="13.5" thickBot="1">
      <c r="A82" s="432" t="s">
        <v>541</v>
      </c>
      <c r="B82" s="113" t="s">
        <v>542</v>
      </c>
      <c r="C82" s="449">
        <v>0</v>
      </c>
      <c r="D82" s="449">
        <f>+'PROGRAMA 2'!C36</f>
        <v>100000</v>
      </c>
      <c r="E82" s="449">
        <v>0</v>
      </c>
      <c r="F82" s="433">
        <f>C82+D82+E82</f>
        <v>100000</v>
      </c>
    </row>
    <row r="83" spans="1:6" ht="13.5" thickBot="1">
      <c r="A83" s="429"/>
      <c r="B83" s="19"/>
      <c r="C83" s="488"/>
      <c r="D83" s="488"/>
      <c r="E83" s="488"/>
      <c r="F83" s="428"/>
    </row>
    <row r="84" spans="1:6" ht="13.5" thickBot="1">
      <c r="A84" s="434">
        <v>1.03</v>
      </c>
      <c r="B84" s="9" t="s">
        <v>543</v>
      </c>
      <c r="C84" s="452">
        <f>SUM(C85:C89)</f>
        <v>9900000</v>
      </c>
      <c r="D84" s="452">
        <f>SUM(D85:D89)</f>
        <v>1388000</v>
      </c>
      <c r="E84" s="452">
        <f>SUM(E85:E89)</f>
        <v>0</v>
      </c>
      <c r="F84" s="435">
        <f>SUM(F85:F89)</f>
        <v>11288000</v>
      </c>
    </row>
    <row r="85" spans="1:6" ht="12.75">
      <c r="A85" s="481" t="s">
        <v>639</v>
      </c>
      <c r="B85" s="482" t="s">
        <v>491</v>
      </c>
      <c r="C85" s="483">
        <f>+'PROGRAMA 1'!C42</f>
        <v>2500000</v>
      </c>
      <c r="D85" s="483">
        <f>+'PROGRAMA 2'!C39</f>
        <v>288000</v>
      </c>
      <c r="E85" s="483">
        <v>0</v>
      </c>
      <c r="F85" s="428">
        <f>C85+D85+E85</f>
        <v>2788000</v>
      </c>
    </row>
    <row r="86" spans="1:6" ht="12.75">
      <c r="A86" s="429" t="s">
        <v>544</v>
      </c>
      <c r="B86" s="73" t="s">
        <v>545</v>
      </c>
      <c r="C86" s="447">
        <f>+'PROGRAMA 1'!C43</f>
        <v>2500000</v>
      </c>
      <c r="D86" s="447">
        <f>+'PROGRAMA 2'!C40</f>
        <v>900000</v>
      </c>
      <c r="E86" s="447">
        <v>0</v>
      </c>
      <c r="F86" s="428">
        <f>C86+D86+E86</f>
        <v>3400000</v>
      </c>
    </row>
    <row r="87" spans="1:6" ht="12.75">
      <c r="A87" s="429" t="s">
        <v>546</v>
      </c>
      <c r="B87" s="73" t="s">
        <v>547</v>
      </c>
      <c r="C87" s="447">
        <f>+'PROGRAMA 1'!C44</f>
        <v>800000</v>
      </c>
      <c r="D87" s="447">
        <f>+'PROGRAMA 2'!C41</f>
        <v>200000</v>
      </c>
      <c r="E87" s="447">
        <v>0</v>
      </c>
      <c r="F87" s="428">
        <f>C87+D87+E87</f>
        <v>1000000</v>
      </c>
    </row>
    <row r="88" spans="1:6" ht="12.75">
      <c r="A88" s="429" t="s">
        <v>640</v>
      </c>
      <c r="B88" s="73" t="s">
        <v>641</v>
      </c>
      <c r="C88" s="447">
        <f>+'PROGRAMA 1'!C45</f>
        <v>100000</v>
      </c>
      <c r="D88" s="447">
        <v>0</v>
      </c>
      <c r="E88" s="447">
        <v>0</v>
      </c>
      <c r="F88" s="428">
        <f>C88+D88+E88</f>
        <v>100000</v>
      </c>
    </row>
    <row r="89" spans="1:6" ht="13.5" thickBot="1">
      <c r="A89" s="429" t="s">
        <v>548</v>
      </c>
      <c r="B89" s="73" t="s">
        <v>549</v>
      </c>
      <c r="C89" s="447">
        <f>+'PROGRAMA 1'!C46</f>
        <v>4000000</v>
      </c>
      <c r="D89" s="447">
        <v>0</v>
      </c>
      <c r="E89" s="447">
        <v>0</v>
      </c>
      <c r="F89" s="428">
        <f>C89+D89+E89</f>
        <v>4000000</v>
      </c>
    </row>
    <row r="90" spans="1:6" ht="13.5" thickBot="1">
      <c r="A90" s="434">
        <v>1.04</v>
      </c>
      <c r="B90" s="9" t="s">
        <v>864</v>
      </c>
      <c r="C90" s="452">
        <f>SUM(C92:C97)</f>
        <v>20734006.33</v>
      </c>
      <c r="D90" s="452">
        <f>SUM(D91:D97)</f>
        <v>233739289.1</v>
      </c>
      <c r="E90" s="452">
        <f>SUM(E92:E97)</f>
        <v>90000000</v>
      </c>
      <c r="F90" s="435">
        <f>SUM(F91:F97)</f>
        <v>344473295.43</v>
      </c>
    </row>
    <row r="91" spans="1:6" ht="12.75">
      <c r="A91" s="481" t="s">
        <v>1045</v>
      </c>
      <c r="B91" s="482" t="s">
        <v>4</v>
      </c>
      <c r="C91" s="483">
        <v>0</v>
      </c>
      <c r="D91" s="483">
        <v>0</v>
      </c>
      <c r="E91" s="483">
        <v>0</v>
      </c>
      <c r="F91" s="484">
        <f>C91+D91+E91</f>
        <v>0</v>
      </c>
    </row>
    <row r="92" spans="1:6" ht="12.75">
      <c r="A92" s="429" t="s">
        <v>550</v>
      </c>
      <c r="B92" s="73" t="s">
        <v>551</v>
      </c>
      <c r="C92" s="447">
        <f>+'PROGRAMA 1'!C49</f>
        <v>8500000</v>
      </c>
      <c r="D92" s="447">
        <v>0</v>
      </c>
      <c r="E92" s="447">
        <v>0</v>
      </c>
      <c r="F92" s="428">
        <f aca="true" t="shared" si="0" ref="F92:F97">C92+D92+E92</f>
        <v>8500000</v>
      </c>
    </row>
    <row r="93" spans="1:6" ht="12.75">
      <c r="A93" s="429" t="s">
        <v>1040</v>
      </c>
      <c r="B93" s="73" t="s">
        <v>1041</v>
      </c>
      <c r="C93" s="447">
        <v>0</v>
      </c>
      <c r="D93" s="447">
        <f>+'PROGRAMA 2'!C44</f>
        <v>5000000</v>
      </c>
      <c r="E93" s="447">
        <v>0</v>
      </c>
      <c r="F93" s="428">
        <f t="shared" si="0"/>
        <v>5000000</v>
      </c>
    </row>
    <row r="94" spans="1:6" ht="12.75">
      <c r="A94" s="429" t="s">
        <v>552</v>
      </c>
      <c r="B94" s="73" t="s">
        <v>553</v>
      </c>
      <c r="C94" s="447">
        <v>0</v>
      </c>
      <c r="D94" s="447">
        <v>0</v>
      </c>
      <c r="E94" s="447">
        <v>0</v>
      </c>
      <c r="F94" s="428">
        <f t="shared" si="0"/>
        <v>0</v>
      </c>
    </row>
    <row r="95" spans="1:6" ht="12.75">
      <c r="A95" s="429" t="s">
        <v>659</v>
      </c>
      <c r="B95" s="73" t="s">
        <v>660</v>
      </c>
      <c r="C95" s="447">
        <v>0</v>
      </c>
      <c r="D95" s="447">
        <v>0</v>
      </c>
      <c r="E95" s="447">
        <v>0</v>
      </c>
      <c r="F95" s="428">
        <f t="shared" si="0"/>
        <v>0</v>
      </c>
    </row>
    <row r="96" spans="1:6" ht="12.75">
      <c r="A96" s="429" t="s">
        <v>554</v>
      </c>
      <c r="B96" s="73" t="s">
        <v>555</v>
      </c>
      <c r="C96" s="447">
        <f>+'PROGRAMA 1'!C50</f>
        <v>11354006.33</v>
      </c>
      <c r="D96" s="447">
        <f>+'PROGRAMA 2'!C45</f>
        <v>228479289.1</v>
      </c>
      <c r="E96" s="447">
        <f>+'PROGRAMA 3'!C29</f>
        <v>90000000</v>
      </c>
      <c r="F96" s="428">
        <f t="shared" si="0"/>
        <v>329833295.43</v>
      </c>
    </row>
    <row r="97" spans="1:6" ht="13.5" thickBot="1">
      <c r="A97" s="429" t="s">
        <v>556</v>
      </c>
      <c r="B97" s="73" t="s">
        <v>557</v>
      </c>
      <c r="C97" s="447">
        <f>+'PROGRAMA 1'!C51</f>
        <v>880000</v>
      </c>
      <c r="D97" s="447">
        <f>+'PROGRAMA 2'!C46</f>
        <v>260000</v>
      </c>
      <c r="E97" s="447">
        <v>0</v>
      </c>
      <c r="F97" s="428">
        <f t="shared" si="0"/>
        <v>1140000</v>
      </c>
    </row>
    <row r="98" spans="1:6" ht="13.5" thickBot="1">
      <c r="A98" s="434">
        <v>1.05</v>
      </c>
      <c r="B98" s="9" t="s">
        <v>558</v>
      </c>
      <c r="C98" s="452">
        <f>SUM(C99:C102)</f>
        <v>100000</v>
      </c>
      <c r="D98" s="452">
        <f>SUM(D99:D102)</f>
        <v>650000</v>
      </c>
      <c r="E98" s="452">
        <f>SUM(E99:E102)</f>
        <v>0</v>
      </c>
      <c r="F98" s="742">
        <f>SUM(F99:F102)</f>
        <v>750000</v>
      </c>
    </row>
    <row r="99" spans="1:6" ht="12.75">
      <c r="A99" s="481" t="s">
        <v>644</v>
      </c>
      <c r="B99" s="482" t="s">
        <v>47</v>
      </c>
      <c r="C99" s="483">
        <f>+'PROGRAMA 1'!C54</f>
        <v>50000</v>
      </c>
      <c r="D99" s="483">
        <f>+'PROGRAMA 2'!C49</f>
        <v>650000</v>
      </c>
      <c r="E99" s="483">
        <v>0</v>
      </c>
      <c r="F99" s="428">
        <f>C99+D99+E99</f>
        <v>700000</v>
      </c>
    </row>
    <row r="100" spans="1:6" ht="12.75">
      <c r="A100" s="427" t="s">
        <v>559</v>
      </c>
      <c r="B100" s="73" t="s">
        <v>191</v>
      </c>
      <c r="C100" s="447">
        <f>+'PROGRAMA 1'!C55</f>
        <v>50000</v>
      </c>
      <c r="D100" s="447">
        <v>0</v>
      </c>
      <c r="E100" s="447">
        <v>0</v>
      </c>
      <c r="F100" s="428">
        <f>C100+D100+E100</f>
        <v>50000</v>
      </c>
    </row>
    <row r="101" spans="1:6" ht="12.75">
      <c r="A101" s="427" t="s">
        <v>642</v>
      </c>
      <c r="B101" s="73" t="s">
        <v>73</v>
      </c>
      <c r="C101" s="447">
        <v>0</v>
      </c>
      <c r="D101" s="447">
        <v>0</v>
      </c>
      <c r="E101" s="447">
        <v>0</v>
      </c>
      <c r="F101" s="428">
        <f>C101+D101+E101</f>
        <v>0</v>
      </c>
    </row>
    <row r="102" spans="1:6" ht="13.5" thickBot="1">
      <c r="A102" s="427" t="s">
        <v>643</v>
      </c>
      <c r="B102" s="73" t="s">
        <v>283</v>
      </c>
      <c r="C102" s="447">
        <v>0</v>
      </c>
      <c r="D102" s="447">
        <v>0</v>
      </c>
      <c r="E102" s="447">
        <v>0</v>
      </c>
      <c r="F102" s="428">
        <f>C102+D102+E102</f>
        <v>0</v>
      </c>
    </row>
    <row r="103" spans="1:6" ht="13.5" thickBot="1">
      <c r="A103" s="434">
        <v>1.06</v>
      </c>
      <c r="B103" s="9" t="s">
        <v>560</v>
      </c>
      <c r="C103" s="452">
        <f>C104</f>
        <v>10609853.07</v>
      </c>
      <c r="D103" s="452">
        <f>D104</f>
        <v>7437239.23</v>
      </c>
      <c r="E103" s="452">
        <f>E104</f>
        <v>977601.82</v>
      </c>
      <c r="F103" s="435">
        <f>F104</f>
        <v>19024694.12</v>
      </c>
    </row>
    <row r="104" spans="1:6" ht="13.5" thickBot="1">
      <c r="A104" s="429" t="s">
        <v>561</v>
      </c>
      <c r="B104" s="73" t="s">
        <v>562</v>
      </c>
      <c r="C104" s="447">
        <f>+'PROGRAMA 1'!C59</f>
        <v>10609853.07</v>
      </c>
      <c r="D104" s="447">
        <f>+'PROGRAMA 2'!C52</f>
        <v>7437239.23</v>
      </c>
      <c r="E104" s="447">
        <f>+'PROGRAMA 3'!C32</f>
        <v>977601.82</v>
      </c>
      <c r="F104" s="428">
        <f>C104+D104+E104</f>
        <v>19024694.12</v>
      </c>
    </row>
    <row r="105" spans="1:6" ht="13.5" thickBot="1">
      <c r="A105" s="434">
        <v>1.07</v>
      </c>
      <c r="B105" s="9" t="s">
        <v>974</v>
      </c>
      <c r="C105" s="452">
        <f>SUM(C106:C108)</f>
        <v>3500000</v>
      </c>
      <c r="D105" s="452">
        <f>SUM(D106:D107)</f>
        <v>17600000</v>
      </c>
      <c r="E105" s="452">
        <f>SUM(E106:E107)</f>
        <v>0</v>
      </c>
      <c r="F105" s="435">
        <f>SUM(F106:F108)</f>
        <v>21100000</v>
      </c>
    </row>
    <row r="106" spans="1:6" ht="12.75">
      <c r="A106" s="429" t="s">
        <v>563</v>
      </c>
      <c r="B106" s="73" t="s">
        <v>564</v>
      </c>
      <c r="C106" s="447">
        <f>+'PROGRAMA 1'!C62</f>
        <v>3000000</v>
      </c>
      <c r="D106" s="447">
        <f>+'PROGRAMA 2'!C55</f>
        <v>7200000</v>
      </c>
      <c r="E106" s="447">
        <v>0</v>
      </c>
      <c r="F106" s="428">
        <f>C106+D106+E106</f>
        <v>10200000</v>
      </c>
    </row>
    <row r="107" spans="1:6" ht="12.75">
      <c r="A107" s="429" t="s">
        <v>565</v>
      </c>
      <c r="B107" s="73" t="s">
        <v>976</v>
      </c>
      <c r="C107" s="447">
        <f>+'PROGRAMA 1'!C63</f>
        <v>500000</v>
      </c>
      <c r="D107" s="447">
        <f>+'PROGRAMA 2'!C56</f>
        <v>10400000</v>
      </c>
      <c r="E107" s="447">
        <v>0</v>
      </c>
      <c r="F107" s="428">
        <f>C107+D107+E107</f>
        <v>10900000</v>
      </c>
    </row>
    <row r="108" spans="1:6" ht="13.5" thickBot="1">
      <c r="A108" s="432" t="s">
        <v>1043</v>
      </c>
      <c r="B108" s="113" t="s">
        <v>1044</v>
      </c>
      <c r="C108" s="449">
        <v>0</v>
      </c>
      <c r="D108" s="449">
        <v>0</v>
      </c>
      <c r="E108" s="449">
        <v>0</v>
      </c>
      <c r="F108" s="433">
        <f>C108+D108+E108</f>
        <v>0</v>
      </c>
    </row>
    <row r="109" spans="1:6" ht="12.75">
      <c r="A109" s="487"/>
      <c r="B109" s="19"/>
      <c r="C109" s="488"/>
      <c r="D109" s="488"/>
      <c r="E109" s="488"/>
      <c r="F109" s="488"/>
    </row>
    <row r="110" spans="1:6" ht="12.75">
      <c r="A110" s="487"/>
      <c r="B110" s="19"/>
      <c r="C110" s="488"/>
      <c r="D110" s="488"/>
      <c r="E110" s="488"/>
      <c r="F110" s="488"/>
    </row>
    <row r="111" spans="1:6" ht="12.75">
      <c r="A111" s="487"/>
      <c r="B111" s="19"/>
      <c r="C111" s="488"/>
      <c r="D111" s="488"/>
      <c r="E111" s="488"/>
      <c r="F111" s="488"/>
    </row>
    <row r="112" spans="1:6" ht="12.75">
      <c r="A112" s="487"/>
      <c r="B112" s="19"/>
      <c r="C112" s="488"/>
      <c r="D112" s="488"/>
      <c r="E112" s="488"/>
      <c r="F112" s="488"/>
    </row>
    <row r="113" spans="1:6" ht="12.75">
      <c r="A113" s="487"/>
      <c r="B113" s="19"/>
      <c r="C113" s="488"/>
      <c r="D113" s="488"/>
      <c r="E113" s="488"/>
      <c r="F113" s="488"/>
    </row>
    <row r="114" spans="1:6" ht="12.75">
      <c r="A114" s="487"/>
      <c r="B114" s="19"/>
      <c r="C114" s="488"/>
      <c r="D114" s="488"/>
      <c r="E114" s="488"/>
      <c r="F114" s="488"/>
    </row>
    <row r="115" spans="1:6" ht="13.5" thickBot="1">
      <c r="A115" s="487"/>
      <c r="B115" s="19"/>
      <c r="C115" s="488"/>
      <c r="D115" s="488"/>
      <c r="E115" s="488"/>
      <c r="F115" s="488"/>
    </row>
    <row r="116" spans="1:6" ht="13.5" thickBot="1">
      <c r="A116" s="434">
        <v>1.08</v>
      </c>
      <c r="B116" s="9" t="s">
        <v>870</v>
      </c>
      <c r="C116" s="452">
        <f>SUM(C117:C125)</f>
        <v>7700000</v>
      </c>
      <c r="D116" s="452">
        <f>SUM(D117:D125)</f>
        <v>15050000</v>
      </c>
      <c r="E116" s="452">
        <f>SUM(E117:E125)</f>
        <v>0</v>
      </c>
      <c r="F116" s="742">
        <f>SUM(F117:F125)</f>
        <v>22750000</v>
      </c>
    </row>
    <row r="117" spans="1:6" ht="12.75">
      <c r="A117" s="595" t="s">
        <v>566</v>
      </c>
      <c r="B117" s="103" t="s">
        <v>567</v>
      </c>
      <c r="C117" s="444">
        <f>+'PROGRAMA 1'!C66</f>
        <v>500000</v>
      </c>
      <c r="D117" s="444">
        <v>0</v>
      </c>
      <c r="E117" s="444">
        <v>0</v>
      </c>
      <c r="F117" s="422">
        <f>C117+D117+E117</f>
        <v>500000</v>
      </c>
    </row>
    <row r="118" spans="1:6" ht="12.75">
      <c r="A118" s="429" t="s">
        <v>568</v>
      </c>
      <c r="B118" s="73" t="s">
        <v>569</v>
      </c>
      <c r="C118" s="447">
        <v>0</v>
      </c>
      <c r="D118" s="447">
        <v>0</v>
      </c>
      <c r="E118" s="447">
        <v>0</v>
      </c>
      <c r="F118" s="428">
        <f aca="true" t="shared" si="1" ref="F118:F127">C118+D118+E118</f>
        <v>0</v>
      </c>
    </row>
    <row r="119" spans="1:6" ht="12.75">
      <c r="A119" s="429" t="s">
        <v>570</v>
      </c>
      <c r="B119" s="73" t="s">
        <v>571</v>
      </c>
      <c r="C119" s="447">
        <v>0</v>
      </c>
      <c r="D119" s="447">
        <v>0</v>
      </c>
      <c r="E119" s="447">
        <v>0</v>
      </c>
      <c r="F119" s="428">
        <f t="shared" si="1"/>
        <v>0</v>
      </c>
    </row>
    <row r="120" spans="1:6" ht="12.75">
      <c r="A120" s="429" t="s">
        <v>1046</v>
      </c>
      <c r="B120" s="73" t="s">
        <v>1047</v>
      </c>
      <c r="C120" s="447">
        <v>0</v>
      </c>
      <c r="D120" s="447">
        <f>+'PROGRAMA 2'!C61</f>
        <v>5000000</v>
      </c>
      <c r="E120" s="447">
        <v>0</v>
      </c>
      <c r="F120" s="428">
        <f>C120+D120+E120</f>
        <v>5000000</v>
      </c>
    </row>
    <row r="121" spans="1:6" ht="12.75">
      <c r="A121" s="429" t="s">
        <v>573</v>
      </c>
      <c r="B121" s="73" t="s">
        <v>574</v>
      </c>
      <c r="C121" s="447">
        <f>+'PROGRAMA 1'!C67</f>
        <v>1500000</v>
      </c>
      <c r="D121" s="447">
        <f>+'PROGRAMA 2'!C62</f>
        <v>6750000</v>
      </c>
      <c r="E121" s="447">
        <v>0</v>
      </c>
      <c r="F121" s="428">
        <f t="shared" si="1"/>
        <v>8250000</v>
      </c>
    </row>
    <row r="122" spans="1:6" ht="12.75">
      <c r="A122" s="429" t="s">
        <v>575</v>
      </c>
      <c r="B122" s="73" t="s">
        <v>576</v>
      </c>
      <c r="C122" s="447">
        <f>+'PROGRAMA 1'!C68</f>
        <v>500000</v>
      </c>
      <c r="D122" s="447">
        <v>0</v>
      </c>
      <c r="E122" s="447">
        <v>0</v>
      </c>
      <c r="F122" s="428">
        <f t="shared" si="1"/>
        <v>500000</v>
      </c>
    </row>
    <row r="123" spans="1:6" ht="12.75">
      <c r="A123" s="429" t="s">
        <v>578</v>
      </c>
      <c r="B123" s="73" t="s">
        <v>590</v>
      </c>
      <c r="C123" s="447">
        <f>+'PROGRAMA 1'!C69</f>
        <v>200000</v>
      </c>
      <c r="D123" s="447">
        <v>0</v>
      </c>
      <c r="E123" s="447">
        <v>0</v>
      </c>
      <c r="F123" s="428">
        <f t="shared" si="1"/>
        <v>200000</v>
      </c>
    </row>
    <row r="124" spans="1:6" ht="12.75">
      <c r="A124" s="429" t="s">
        <v>572</v>
      </c>
      <c r="B124" s="73" t="s">
        <v>591</v>
      </c>
      <c r="C124" s="447">
        <f>+'PROGRAMA 1'!C70</f>
        <v>5000000</v>
      </c>
      <c r="D124" s="447">
        <f>+'PROGRAMA 2'!C63</f>
        <v>100000</v>
      </c>
      <c r="E124" s="447">
        <v>0</v>
      </c>
      <c r="F124" s="428">
        <f t="shared" si="1"/>
        <v>5100000</v>
      </c>
    </row>
    <row r="125" spans="1:6" ht="13.5" thickBot="1">
      <c r="A125" s="429" t="s">
        <v>645</v>
      </c>
      <c r="B125" s="73" t="s">
        <v>646</v>
      </c>
      <c r="C125" s="447">
        <v>0</v>
      </c>
      <c r="D125" s="447">
        <f>+'PROGRAMA 2'!C64</f>
        <v>3200000</v>
      </c>
      <c r="E125" s="447">
        <v>0</v>
      </c>
      <c r="F125" s="428">
        <f t="shared" si="1"/>
        <v>3200000</v>
      </c>
    </row>
    <row r="126" spans="1:6" ht="13.5" thickBot="1">
      <c r="A126" s="434">
        <v>1.09</v>
      </c>
      <c r="B126" s="9" t="s">
        <v>1267</v>
      </c>
      <c r="C126" s="452">
        <f>C127</f>
        <v>500000</v>
      </c>
      <c r="D126" s="452">
        <f>D127</f>
        <v>450000</v>
      </c>
      <c r="E126" s="452">
        <f>E127</f>
        <v>100000</v>
      </c>
      <c r="F126" s="742">
        <f>F127</f>
        <v>1050000</v>
      </c>
    </row>
    <row r="127" spans="1:6" ht="13.5" thickBot="1">
      <c r="A127" s="429" t="s">
        <v>1334</v>
      </c>
      <c r="B127" s="73" t="s">
        <v>1269</v>
      </c>
      <c r="C127" s="447">
        <f>+'PROGRAMA 1'!C73</f>
        <v>500000</v>
      </c>
      <c r="D127" s="447">
        <f>+'PROGRAMA 2'!C67</f>
        <v>450000</v>
      </c>
      <c r="E127" s="447">
        <f>+'PROGRAMA 3'!C35</f>
        <v>100000</v>
      </c>
      <c r="F127" s="428">
        <f t="shared" si="1"/>
        <v>1050000</v>
      </c>
    </row>
    <row r="128" spans="1:6" ht="13.5" thickBot="1">
      <c r="A128" s="434">
        <v>1.99</v>
      </c>
      <c r="B128" s="9" t="s">
        <v>980</v>
      </c>
      <c r="C128" s="452">
        <f>C129+C130</f>
        <v>200000</v>
      </c>
      <c r="D128" s="452">
        <f>D129+D130</f>
        <v>2580000</v>
      </c>
      <c r="E128" s="452">
        <f>E129+E130</f>
        <v>0</v>
      </c>
      <c r="F128" s="435">
        <f>F129+F130</f>
        <v>2780000</v>
      </c>
    </row>
    <row r="129" spans="1:6" ht="12.75">
      <c r="A129" s="429" t="s">
        <v>592</v>
      </c>
      <c r="B129" s="73" t="s">
        <v>593</v>
      </c>
      <c r="C129" s="447">
        <v>0</v>
      </c>
      <c r="D129" s="447">
        <f>+'PROGRAMA 2'!C70</f>
        <v>2530000</v>
      </c>
      <c r="E129" s="447">
        <v>0</v>
      </c>
      <c r="F129" s="428">
        <f>C129+D129+E129</f>
        <v>2530000</v>
      </c>
    </row>
    <row r="130" spans="1:6" ht="12.75">
      <c r="A130" s="803" t="s">
        <v>1624</v>
      </c>
      <c r="B130" s="152" t="s">
        <v>1587</v>
      </c>
      <c r="C130" s="799">
        <f>+'PROGRAMA 1'!C76</f>
        <v>200000</v>
      </c>
      <c r="D130" s="799">
        <f>+'PROGRAMA 2'!C71</f>
        <v>50000</v>
      </c>
      <c r="E130" s="799">
        <v>0</v>
      </c>
      <c r="F130" s="804">
        <f>C130+D130+E130</f>
        <v>250000</v>
      </c>
    </row>
    <row r="131" spans="1:6" ht="13.5" thickBot="1">
      <c r="A131" s="429"/>
      <c r="B131" s="19"/>
      <c r="C131" s="488"/>
      <c r="D131" s="488"/>
      <c r="E131" s="488"/>
      <c r="F131" s="428"/>
    </row>
    <row r="132" spans="1:6" ht="13.5" thickBot="1">
      <c r="A132" s="436">
        <v>2</v>
      </c>
      <c r="B132" s="453" t="s">
        <v>874</v>
      </c>
      <c r="C132" s="454">
        <f>C133+C138+C141+C149+C154</f>
        <v>10700000</v>
      </c>
      <c r="D132" s="454">
        <f>D133+D138+D141+D149+D154</f>
        <v>65570118.09</v>
      </c>
      <c r="E132" s="454">
        <f>E133+E138+E141+E149+E154</f>
        <v>0</v>
      </c>
      <c r="F132" s="437">
        <f>F133+F138+F141+F149+F154</f>
        <v>76270118.09</v>
      </c>
    </row>
    <row r="133" spans="1:6" ht="14.25" thickBot="1" thickTop="1">
      <c r="A133" s="430">
        <v>2.01</v>
      </c>
      <c r="B133" s="442" t="s">
        <v>694</v>
      </c>
      <c r="C133" s="448">
        <f>SUM(C134:C137)</f>
        <v>2300000</v>
      </c>
      <c r="D133" s="448">
        <f>SUM(D134:D137)</f>
        <v>15540000</v>
      </c>
      <c r="E133" s="448">
        <f>SUM(E134:E137)</f>
        <v>0</v>
      </c>
      <c r="F133" s="431">
        <f>SUM(F134:F137)</f>
        <v>17840000</v>
      </c>
    </row>
    <row r="134" spans="1:6" ht="12.75">
      <c r="A134" s="429" t="s">
        <v>594</v>
      </c>
      <c r="B134" s="73" t="s">
        <v>595</v>
      </c>
      <c r="C134" s="447">
        <f>+'PROGRAMA 1'!C80</f>
        <v>1500000</v>
      </c>
      <c r="D134" s="447">
        <f>+'PROGRAMA 2'!C75</f>
        <v>7100000</v>
      </c>
      <c r="E134" s="447">
        <v>0</v>
      </c>
      <c r="F134" s="428">
        <f>C134+D134+E134</f>
        <v>8600000</v>
      </c>
    </row>
    <row r="135" spans="1:6" ht="12.75">
      <c r="A135" s="429" t="s">
        <v>1336</v>
      </c>
      <c r="B135" s="73" t="s">
        <v>1337</v>
      </c>
      <c r="C135" s="447">
        <f>+'PROGRAMA 1'!C81</f>
        <v>200000</v>
      </c>
      <c r="D135" s="447">
        <f>+'PROGRAMA 2'!C76</f>
        <v>220000</v>
      </c>
      <c r="E135" s="447">
        <v>0</v>
      </c>
      <c r="F135" s="428">
        <f>C135+D135+E135</f>
        <v>420000</v>
      </c>
    </row>
    <row r="136" spans="1:6" ht="12.75">
      <c r="A136" s="429" t="s">
        <v>596</v>
      </c>
      <c r="B136" s="73" t="s">
        <v>597</v>
      </c>
      <c r="C136" s="447">
        <f>+'PROGRAMA 1'!C82</f>
        <v>600000</v>
      </c>
      <c r="D136" s="447">
        <f>+'PROGRAMA 2'!C77</f>
        <v>5270000</v>
      </c>
      <c r="E136" s="447">
        <v>0</v>
      </c>
      <c r="F136" s="428">
        <f>C136+D136+E136</f>
        <v>5870000</v>
      </c>
    </row>
    <row r="137" spans="1:6" ht="13.5" thickBot="1">
      <c r="A137" s="432" t="s">
        <v>598</v>
      </c>
      <c r="B137" s="113" t="s">
        <v>235</v>
      </c>
      <c r="C137" s="449">
        <v>0</v>
      </c>
      <c r="D137" s="449">
        <f>+'PROGRAMA 2'!C78</f>
        <v>2950000</v>
      </c>
      <c r="E137" s="449">
        <v>0</v>
      </c>
      <c r="F137" s="433">
        <f>C137+D137+E137</f>
        <v>2950000</v>
      </c>
    </row>
    <row r="138" spans="1:6" ht="13.5" thickBot="1">
      <c r="A138" s="434">
        <v>2.02</v>
      </c>
      <c r="B138" s="9" t="s">
        <v>599</v>
      </c>
      <c r="C138" s="452">
        <f>SUM(C139:C140)</f>
        <v>100000</v>
      </c>
      <c r="D138" s="452">
        <f>SUM(D139:D140)</f>
        <v>1100000</v>
      </c>
      <c r="E138" s="452">
        <f>SUM(E139:E140)</f>
        <v>0</v>
      </c>
      <c r="F138" s="435">
        <f>SUM(F139:F140)</f>
        <v>1200000</v>
      </c>
    </row>
    <row r="139" spans="1:6" ht="12.75">
      <c r="A139" s="429" t="s">
        <v>600</v>
      </c>
      <c r="B139" s="73" t="s">
        <v>240</v>
      </c>
      <c r="C139" s="447">
        <v>0</v>
      </c>
      <c r="D139" s="447">
        <f>+'PROGRAMA 2'!C81</f>
        <v>600000</v>
      </c>
      <c r="E139" s="447">
        <v>0</v>
      </c>
      <c r="F139" s="428">
        <f>C139+D139+E139</f>
        <v>600000</v>
      </c>
    </row>
    <row r="140" spans="1:6" ht="13.5" thickBot="1">
      <c r="A140" s="596" t="s">
        <v>601</v>
      </c>
      <c r="B140" s="73" t="s">
        <v>1007</v>
      </c>
      <c r="C140" s="447">
        <f>+'PROGRAMA 1'!C85</f>
        <v>100000</v>
      </c>
      <c r="D140" s="447">
        <f>+'PROGRAMA 2'!C82</f>
        <v>500000</v>
      </c>
      <c r="E140" s="447">
        <v>0</v>
      </c>
      <c r="F140" s="428">
        <f>C140+D140+E140</f>
        <v>600000</v>
      </c>
    </row>
    <row r="141" spans="1:6" ht="13.5" thickBot="1">
      <c r="A141" s="434">
        <v>2.03</v>
      </c>
      <c r="B141" s="9" t="s">
        <v>602</v>
      </c>
      <c r="C141" s="452">
        <f>SUM(C142:C148)</f>
        <v>50000</v>
      </c>
      <c r="D141" s="452">
        <f>SUM(D142:D148)</f>
        <v>32900000</v>
      </c>
      <c r="E141" s="452">
        <f>SUM(E142:E147)</f>
        <v>0</v>
      </c>
      <c r="F141" s="435">
        <f>SUM(F142:F148)</f>
        <v>32950000</v>
      </c>
    </row>
    <row r="142" spans="1:6" ht="12.75">
      <c r="A142" s="429" t="s">
        <v>603</v>
      </c>
      <c r="B142" s="73" t="s">
        <v>205</v>
      </c>
      <c r="C142" s="447">
        <v>0</v>
      </c>
      <c r="D142" s="447">
        <f>+'PROGRAMA 2'!C85</f>
        <v>9000000</v>
      </c>
      <c r="E142" s="447">
        <v>0</v>
      </c>
      <c r="F142" s="428">
        <f aca="true" t="shared" si="2" ref="F142:F148">C142+D142+E142</f>
        <v>9000000</v>
      </c>
    </row>
    <row r="143" spans="1:6" ht="12.75">
      <c r="A143" s="429" t="s">
        <v>604</v>
      </c>
      <c r="B143" s="73" t="s">
        <v>605</v>
      </c>
      <c r="C143" s="447">
        <v>0</v>
      </c>
      <c r="D143" s="447">
        <f>+'PROGRAMA 2'!C86</f>
        <v>13000000</v>
      </c>
      <c r="E143" s="447">
        <v>0</v>
      </c>
      <c r="F143" s="428">
        <f t="shared" si="2"/>
        <v>13000000</v>
      </c>
    </row>
    <row r="144" spans="1:6" ht="12.75">
      <c r="A144" s="429" t="s">
        <v>606</v>
      </c>
      <c r="B144" s="73" t="s">
        <v>206</v>
      </c>
      <c r="C144" s="447">
        <v>0</v>
      </c>
      <c r="D144" s="447">
        <f>+'PROGRAMA 2'!C87</f>
        <v>1500000</v>
      </c>
      <c r="E144" s="447">
        <v>0</v>
      </c>
      <c r="F144" s="428">
        <f t="shared" si="2"/>
        <v>1500000</v>
      </c>
    </row>
    <row r="145" spans="1:6" ht="12.75">
      <c r="A145" s="429" t="s">
        <v>607</v>
      </c>
      <c r="B145" s="73" t="s">
        <v>608</v>
      </c>
      <c r="C145" s="447">
        <f>+'PROGRAMA 1'!C88</f>
        <v>50000</v>
      </c>
      <c r="D145" s="447">
        <f>+'PROGRAMA 2'!C88</f>
        <v>2400000</v>
      </c>
      <c r="E145" s="447">
        <v>0</v>
      </c>
      <c r="F145" s="428">
        <f t="shared" si="2"/>
        <v>2450000</v>
      </c>
    </row>
    <row r="146" spans="1:6" ht="12.75">
      <c r="A146" s="429" t="s">
        <v>1627</v>
      </c>
      <c r="B146" s="482" t="s">
        <v>1596</v>
      </c>
      <c r="C146" s="447">
        <v>0</v>
      </c>
      <c r="D146" s="447">
        <f>+'PROGRAMA 2'!C89</f>
        <v>500000</v>
      </c>
      <c r="E146" s="447">
        <v>0</v>
      </c>
      <c r="F146" s="428">
        <f t="shared" si="2"/>
        <v>500000</v>
      </c>
    </row>
    <row r="147" spans="1:6" ht="12.75">
      <c r="A147" s="429" t="s">
        <v>609</v>
      </c>
      <c r="B147" s="73" t="s">
        <v>997</v>
      </c>
      <c r="C147" s="447">
        <v>0</v>
      </c>
      <c r="D147" s="447">
        <f>+'PROGRAMA 2'!C90</f>
        <v>5000000</v>
      </c>
      <c r="E147" s="447">
        <v>0</v>
      </c>
      <c r="F147" s="428">
        <f t="shared" si="2"/>
        <v>5000000</v>
      </c>
    </row>
    <row r="148" spans="1:6" ht="13.5" thickBot="1">
      <c r="A148" s="429" t="s">
        <v>1048</v>
      </c>
      <c r="B148" s="73" t="s">
        <v>1049</v>
      </c>
      <c r="C148" s="447">
        <v>0</v>
      </c>
      <c r="D148" s="447">
        <f>+'PROGRAMA 2'!C91</f>
        <v>1500000</v>
      </c>
      <c r="E148" s="447">
        <v>0</v>
      </c>
      <c r="F148" s="428">
        <f t="shared" si="2"/>
        <v>1500000</v>
      </c>
    </row>
    <row r="149" spans="1:6" ht="13.5" thickBot="1">
      <c r="A149" s="434">
        <v>2.04</v>
      </c>
      <c r="B149" s="9" t="s">
        <v>610</v>
      </c>
      <c r="C149" s="452">
        <f>SUM(C150:C151)</f>
        <v>100000</v>
      </c>
      <c r="D149" s="452">
        <f>SUM(D150:D151)</f>
        <v>4762000</v>
      </c>
      <c r="E149" s="452">
        <f>SUM(E150:E151)</f>
        <v>0</v>
      </c>
      <c r="F149" s="435">
        <f>SUM(F150:F151)</f>
        <v>4862000</v>
      </c>
    </row>
    <row r="150" spans="1:6" ht="12.75">
      <c r="A150" s="429" t="s">
        <v>611</v>
      </c>
      <c r="B150" s="73" t="s">
        <v>212</v>
      </c>
      <c r="C150" s="447">
        <f>+'PROGRAMA 1'!C91</f>
        <v>50000</v>
      </c>
      <c r="D150" s="447">
        <f>+'PROGRAMA 2'!C94</f>
        <v>2762000</v>
      </c>
      <c r="E150" s="447">
        <v>0</v>
      </c>
      <c r="F150" s="428">
        <f>C150+D150+E150</f>
        <v>2812000</v>
      </c>
    </row>
    <row r="151" spans="1:6" ht="13.5" thickBot="1">
      <c r="A151" s="432" t="s">
        <v>612</v>
      </c>
      <c r="B151" s="113" t="s">
        <v>1003</v>
      </c>
      <c r="C151" s="449">
        <f>+'PROGRAMA 1'!C92</f>
        <v>50000</v>
      </c>
      <c r="D151" s="449">
        <f>+'PROGRAMA 2'!C95</f>
        <v>2000000</v>
      </c>
      <c r="E151" s="449">
        <v>0</v>
      </c>
      <c r="F151" s="433">
        <f>C151+D151+E151</f>
        <v>2050000</v>
      </c>
    </row>
    <row r="152" spans="1:6" ht="12.75">
      <c r="A152" s="487"/>
      <c r="B152" s="19"/>
      <c r="C152" s="488"/>
      <c r="D152" s="488"/>
      <c r="E152" s="488"/>
      <c r="F152" s="488"/>
    </row>
    <row r="153" spans="1:6" ht="13.5" thickBot="1">
      <c r="A153" s="487"/>
      <c r="B153" s="19"/>
      <c r="C153" s="488"/>
      <c r="D153" s="488"/>
      <c r="E153" s="488"/>
      <c r="F153" s="488"/>
    </row>
    <row r="154" spans="1:6" ht="13.5" thickBot="1">
      <c r="A154" s="434">
        <v>2.99</v>
      </c>
      <c r="B154" s="9" t="s">
        <v>613</v>
      </c>
      <c r="C154" s="452">
        <f>SUM(C155:C161)</f>
        <v>8150000</v>
      </c>
      <c r="D154" s="452">
        <f>SUM(D155:D161)</f>
        <v>11268118.09</v>
      </c>
      <c r="E154" s="452">
        <f>SUM(E155:E161)</f>
        <v>0</v>
      </c>
      <c r="F154" s="435">
        <f>SUM(F155:F161)</f>
        <v>19418118.09</v>
      </c>
    </row>
    <row r="155" spans="1:6" ht="12.75">
      <c r="A155" s="429" t="s">
        <v>614</v>
      </c>
      <c r="B155" s="73" t="s">
        <v>615</v>
      </c>
      <c r="C155" s="447">
        <f>+'PROGRAMA 1'!C95</f>
        <v>1600000</v>
      </c>
      <c r="D155" s="447">
        <f>+'PROGRAMA 2'!C98</f>
        <v>170000</v>
      </c>
      <c r="E155" s="447">
        <v>0</v>
      </c>
      <c r="F155" s="428">
        <f aca="true" t="shared" si="3" ref="F155:F161">C155+D155+E155</f>
        <v>1770000</v>
      </c>
    </row>
    <row r="156" spans="1:6" ht="12.75">
      <c r="A156" s="429" t="s">
        <v>1559</v>
      </c>
      <c r="B156" s="73" t="s">
        <v>1560</v>
      </c>
      <c r="C156" s="447">
        <f>+'PROGRAMA 1'!C96</f>
        <v>150000</v>
      </c>
      <c r="D156" s="447">
        <v>0</v>
      </c>
      <c r="E156" s="447">
        <v>0</v>
      </c>
      <c r="F156" s="428">
        <f t="shared" si="3"/>
        <v>150000</v>
      </c>
    </row>
    <row r="157" spans="1:6" ht="12.75">
      <c r="A157" s="429" t="s">
        <v>616</v>
      </c>
      <c r="B157" s="73" t="s">
        <v>474</v>
      </c>
      <c r="C157" s="447">
        <f>+'PROGRAMA 1'!C97</f>
        <v>1500000</v>
      </c>
      <c r="D157" s="447">
        <f>+'PROGRAMA 2'!C99</f>
        <v>200000</v>
      </c>
      <c r="E157" s="447">
        <v>0</v>
      </c>
      <c r="F157" s="428">
        <f t="shared" si="3"/>
        <v>1700000</v>
      </c>
    </row>
    <row r="158" spans="1:6" ht="12.75">
      <c r="A158" s="429" t="s">
        <v>618</v>
      </c>
      <c r="B158" s="73" t="s">
        <v>692</v>
      </c>
      <c r="C158" s="447">
        <f>+'PROGRAMA 1'!C98</f>
        <v>2500000</v>
      </c>
      <c r="D158" s="447">
        <f>+'PROGRAMA 2'!C100</f>
        <v>3705000</v>
      </c>
      <c r="E158" s="447">
        <v>0</v>
      </c>
      <c r="F158" s="428">
        <f t="shared" si="3"/>
        <v>6205000</v>
      </c>
    </row>
    <row r="159" spans="1:6" ht="12.75">
      <c r="A159" s="429" t="s">
        <v>619</v>
      </c>
      <c r="B159" s="73" t="s">
        <v>202</v>
      </c>
      <c r="C159" s="447">
        <f>+'PROGRAMA 1'!C99</f>
        <v>2000000</v>
      </c>
      <c r="D159" s="447">
        <f>+'PROGRAMA 2'!C101</f>
        <v>775000</v>
      </c>
      <c r="E159" s="447">
        <v>0</v>
      </c>
      <c r="F159" s="428">
        <f t="shared" si="3"/>
        <v>2775000</v>
      </c>
    </row>
    <row r="160" spans="1:6" ht="12.75">
      <c r="A160" s="429" t="s">
        <v>1050</v>
      </c>
      <c r="B160" s="73" t="s">
        <v>1051</v>
      </c>
      <c r="C160" s="447">
        <f>+'PROGRAMA 1'!C100</f>
        <v>50000</v>
      </c>
      <c r="D160" s="447">
        <f>+'PROGRAMA 2'!C102</f>
        <v>2668118.09</v>
      </c>
      <c r="E160" s="447">
        <v>0</v>
      </c>
      <c r="F160" s="428">
        <f t="shared" si="3"/>
        <v>2718118.09</v>
      </c>
    </row>
    <row r="161" spans="1:6" ht="12.75">
      <c r="A161" s="429" t="s">
        <v>620</v>
      </c>
      <c r="B161" s="73" t="s">
        <v>621</v>
      </c>
      <c r="C161" s="447">
        <f>+'PROGRAMA 1'!C101</f>
        <v>350000</v>
      </c>
      <c r="D161" s="447">
        <f>+'PROGRAMA 2'!C103</f>
        <v>3750000</v>
      </c>
      <c r="E161" s="447">
        <v>0</v>
      </c>
      <c r="F161" s="428">
        <f t="shared" si="3"/>
        <v>4100000</v>
      </c>
    </row>
    <row r="162" spans="1:6" ht="12.75">
      <c r="A162" s="429"/>
      <c r="B162" s="73"/>
      <c r="C162" s="447"/>
      <c r="D162" s="447"/>
      <c r="E162" s="447"/>
      <c r="F162" s="428"/>
    </row>
    <row r="163" spans="1:6" ht="13.5" thickBot="1">
      <c r="A163" s="423">
        <v>3</v>
      </c>
      <c r="B163" s="441" t="s">
        <v>896</v>
      </c>
      <c r="C163" s="445">
        <f>C164</f>
        <v>2643142.59</v>
      </c>
      <c r="D163" s="445">
        <f>D164</f>
        <v>51470.4</v>
      </c>
      <c r="E163" s="445">
        <f>E164</f>
        <v>0</v>
      </c>
      <c r="F163" s="424">
        <f>F164</f>
        <v>2694612.9899999998</v>
      </c>
    </row>
    <row r="164" spans="1:6" ht="14.25" thickBot="1" thickTop="1">
      <c r="A164" s="430">
        <v>3.02</v>
      </c>
      <c r="B164" s="442" t="s">
        <v>897</v>
      </c>
      <c r="C164" s="448">
        <f>SUM(C165:C165)</f>
        <v>2643142.59</v>
      </c>
      <c r="D164" s="448">
        <f>SUM(D165:D165)</f>
        <v>51470.4</v>
      </c>
      <c r="E164" s="448">
        <f>SUM(E165:E165)</f>
        <v>0</v>
      </c>
      <c r="F164" s="431">
        <f>SUM(F165:F165)</f>
        <v>2694612.9899999998</v>
      </c>
    </row>
    <row r="165" spans="1:6" ht="12.75">
      <c r="A165" s="429" t="s">
        <v>622</v>
      </c>
      <c r="B165" s="73" t="s">
        <v>623</v>
      </c>
      <c r="C165" s="447">
        <f>+'PROGRAMA 1'!C105</f>
        <v>2643142.59</v>
      </c>
      <c r="D165" s="447">
        <f>+'PROGRAMA 2'!C107</f>
        <v>51470.4</v>
      </c>
      <c r="E165" s="447">
        <v>0</v>
      </c>
      <c r="F165" s="428">
        <f>C165+D165+E165</f>
        <v>2694612.9899999998</v>
      </c>
    </row>
    <row r="166" spans="1:6" ht="12.75">
      <c r="A166" s="429"/>
      <c r="B166" s="73"/>
      <c r="C166" s="447"/>
      <c r="D166" s="447"/>
      <c r="E166" s="447"/>
      <c r="F166" s="428"/>
    </row>
    <row r="167" spans="1:6" ht="13.5" thickBot="1">
      <c r="A167" s="423">
        <v>5</v>
      </c>
      <c r="B167" s="441" t="s">
        <v>898</v>
      </c>
      <c r="C167" s="445" t="e">
        <f>C168+C176+C181</f>
        <v>#REF!</v>
      </c>
      <c r="D167" s="445">
        <f>D168+D176+D181</f>
        <v>126399996.42</v>
      </c>
      <c r="E167" s="445">
        <f>E168+E176+E181</f>
        <v>353125390.13</v>
      </c>
      <c r="F167" s="424" t="e">
        <f>F168+F176+F181</f>
        <v>#REF!</v>
      </c>
    </row>
    <row r="168" spans="1:6" ht="14.25" thickBot="1" thickTop="1">
      <c r="A168" s="430">
        <v>5.01</v>
      </c>
      <c r="B168" s="442" t="s">
        <v>899</v>
      </c>
      <c r="C168" s="448" t="e">
        <f>SUM(C170:C174)</f>
        <v>#REF!</v>
      </c>
      <c r="D168" s="448">
        <f>SUM(D169:D174)</f>
        <v>18600000</v>
      </c>
      <c r="E168" s="448">
        <f>SUM(E170:E174)</f>
        <v>0</v>
      </c>
      <c r="F168" s="431" t="e">
        <f>SUM(F169:F174)</f>
        <v>#REF!</v>
      </c>
    </row>
    <row r="169" spans="1:6" ht="12.75">
      <c r="A169" s="429" t="s">
        <v>1562</v>
      </c>
      <c r="B169" s="482" t="s">
        <v>1563</v>
      </c>
      <c r="C169" s="483">
        <v>0</v>
      </c>
      <c r="D169" s="483">
        <v>0</v>
      </c>
      <c r="E169" s="483">
        <v>0</v>
      </c>
      <c r="F169" s="428">
        <f aca="true" t="shared" si="4" ref="F169:F174">C169+D169+E169</f>
        <v>0</v>
      </c>
    </row>
    <row r="170" spans="1:6" ht="12.75">
      <c r="A170" s="427" t="s">
        <v>1429</v>
      </c>
      <c r="B170" s="73" t="s">
        <v>1420</v>
      </c>
      <c r="C170" s="447">
        <v>0</v>
      </c>
      <c r="D170" s="447">
        <f>+'PROGRAMA 2'!C112</f>
        <v>2000000</v>
      </c>
      <c r="E170" s="447">
        <v>0</v>
      </c>
      <c r="F170" s="428">
        <f t="shared" si="4"/>
        <v>2000000</v>
      </c>
    </row>
    <row r="171" spans="1:6" ht="12.75">
      <c r="A171" s="427" t="s">
        <v>624</v>
      </c>
      <c r="B171" s="73" t="s">
        <v>252</v>
      </c>
      <c r="C171" s="447" t="e">
        <f>+'PROGRAMA 1'!#REF!</f>
        <v>#REF!</v>
      </c>
      <c r="D171" s="447">
        <v>0</v>
      </c>
      <c r="E171" s="447">
        <v>0</v>
      </c>
      <c r="F171" s="428" t="e">
        <f t="shared" si="4"/>
        <v>#REF!</v>
      </c>
    </row>
    <row r="172" spans="1:6" ht="12.75">
      <c r="A172" s="427" t="s">
        <v>625</v>
      </c>
      <c r="B172" s="73" t="s">
        <v>900</v>
      </c>
      <c r="C172" s="447" t="e">
        <f>+'PROGRAMA 1'!#REF!</f>
        <v>#REF!</v>
      </c>
      <c r="D172" s="447">
        <f>+'PROGRAMA 2'!C113</f>
        <v>600000</v>
      </c>
      <c r="E172" s="447">
        <v>0</v>
      </c>
      <c r="F172" s="428" t="e">
        <f t="shared" si="4"/>
        <v>#REF!</v>
      </c>
    </row>
    <row r="173" spans="1:6" ht="12.75">
      <c r="A173" s="740" t="s">
        <v>1338</v>
      </c>
      <c r="B173" s="36" t="s">
        <v>1339</v>
      </c>
      <c r="C173" s="447">
        <v>0</v>
      </c>
      <c r="D173" s="447">
        <v>0</v>
      </c>
      <c r="E173" s="447">
        <v>0</v>
      </c>
      <c r="F173" s="428">
        <f t="shared" si="4"/>
        <v>0</v>
      </c>
    </row>
    <row r="174" spans="1:6" ht="13.5" thickBot="1">
      <c r="A174" s="489" t="s">
        <v>629</v>
      </c>
      <c r="B174" s="113" t="s">
        <v>630</v>
      </c>
      <c r="C174" s="449">
        <v>0</v>
      </c>
      <c r="D174" s="449">
        <f>+'PROGRAMA 2'!C114</f>
        <v>16000000</v>
      </c>
      <c r="E174" s="449">
        <v>0</v>
      </c>
      <c r="F174" s="433">
        <f t="shared" si="4"/>
        <v>16000000</v>
      </c>
    </row>
    <row r="175" spans="1:6" ht="13.5" thickBot="1">
      <c r="A175" s="427"/>
      <c r="B175" s="19"/>
      <c r="C175" s="488"/>
      <c r="D175" s="488"/>
      <c r="E175" s="488"/>
      <c r="F175" s="428"/>
    </row>
    <row r="176" spans="1:6" ht="13.5" thickBot="1">
      <c r="A176" s="434">
        <v>5.02</v>
      </c>
      <c r="B176" s="9" t="s">
        <v>626</v>
      </c>
      <c r="C176" s="452">
        <v>0</v>
      </c>
      <c r="D176" s="452">
        <f>SUM(D177:D180)</f>
        <v>107799996.42</v>
      </c>
      <c r="E176" s="452">
        <f>SUM(E177:E180)</f>
        <v>353125390.13</v>
      </c>
      <c r="F176" s="435">
        <f>SUM(F177:F180)</f>
        <v>460925386.54999995</v>
      </c>
    </row>
    <row r="177" spans="1:6" ht="12.75">
      <c r="A177" s="429" t="s">
        <v>627</v>
      </c>
      <c r="B177" s="73" t="s">
        <v>753</v>
      </c>
      <c r="C177" s="447">
        <v>0</v>
      </c>
      <c r="D177" s="447">
        <v>0</v>
      </c>
      <c r="E177" s="447">
        <v>0</v>
      </c>
      <c r="F177" s="428">
        <f>C177+D177+E177</f>
        <v>0</v>
      </c>
    </row>
    <row r="178" spans="1:6" ht="12.75">
      <c r="A178" s="429" t="s">
        <v>628</v>
      </c>
      <c r="B178" s="73" t="s">
        <v>745</v>
      </c>
      <c r="C178" s="447">
        <v>0</v>
      </c>
      <c r="D178" s="447">
        <v>0</v>
      </c>
      <c r="E178" s="447">
        <f>+'PROGRAMA 3'!C39</f>
        <v>353125390.13</v>
      </c>
      <c r="F178" s="428">
        <f>C178+D178+E178</f>
        <v>353125390.13</v>
      </c>
    </row>
    <row r="179" spans="1:6" ht="12.75">
      <c r="A179" s="429" t="s">
        <v>1052</v>
      </c>
      <c r="B179" s="73" t="s">
        <v>12</v>
      </c>
      <c r="C179" s="447">
        <v>0</v>
      </c>
      <c r="D179" s="447">
        <f>+'PROGRAMA 2'!C118</f>
        <v>69747900.58</v>
      </c>
      <c r="E179" s="447">
        <v>0</v>
      </c>
      <c r="F179" s="428">
        <f>C179+D179+E179</f>
        <v>69747900.58</v>
      </c>
    </row>
    <row r="180" spans="1:6" ht="12.75">
      <c r="A180" s="429" t="s">
        <v>1053</v>
      </c>
      <c r="B180" s="73" t="s">
        <v>13</v>
      </c>
      <c r="C180" s="447">
        <v>0</v>
      </c>
      <c r="D180" s="447">
        <f>+'PROGRAMA 2'!C119</f>
        <v>38052095.84</v>
      </c>
      <c r="E180" s="447">
        <v>0</v>
      </c>
      <c r="F180" s="428">
        <f>C180+D180+E180</f>
        <v>38052095.84</v>
      </c>
    </row>
    <row r="181" spans="1:6" ht="13.5" thickBot="1">
      <c r="A181" s="425">
        <v>5.99</v>
      </c>
      <c r="B181" s="115" t="s">
        <v>250</v>
      </c>
      <c r="C181" s="446" t="e">
        <f>C182</f>
        <v>#REF!</v>
      </c>
      <c r="D181" s="446">
        <f>D182</f>
        <v>0</v>
      </c>
      <c r="E181" s="446">
        <f>E182</f>
        <v>0</v>
      </c>
      <c r="F181" s="426" t="e">
        <f>F182</f>
        <v>#REF!</v>
      </c>
    </row>
    <row r="182" spans="1:6" ht="12.75">
      <c r="A182" s="429" t="s">
        <v>1634</v>
      </c>
      <c r="B182" s="482" t="s">
        <v>1633</v>
      </c>
      <c r="C182" s="447" t="e">
        <f>+'PROGRAMA 1'!#REF!</f>
        <v>#REF!</v>
      </c>
      <c r="D182" s="447">
        <v>0</v>
      </c>
      <c r="E182" s="447">
        <v>0</v>
      </c>
      <c r="F182" s="428" t="e">
        <f>C182+D182+E182</f>
        <v>#REF!</v>
      </c>
    </row>
    <row r="183" spans="1:6" ht="13.5" thickBot="1">
      <c r="A183" s="432"/>
      <c r="B183" s="113"/>
      <c r="C183" s="449"/>
      <c r="D183" s="449"/>
      <c r="E183" s="449"/>
      <c r="F183" s="433"/>
    </row>
    <row r="184" spans="1:6" ht="13.5" thickBot="1">
      <c r="A184" s="436">
        <v>6</v>
      </c>
      <c r="B184" s="453" t="s">
        <v>797</v>
      </c>
      <c r="C184" s="454">
        <f>C185+C192+C194</f>
        <v>189746256.2682</v>
      </c>
      <c r="D184" s="454">
        <f>D185+D192+D194</f>
        <v>18750000</v>
      </c>
      <c r="E184" s="454">
        <f>E185+E192</f>
        <v>0</v>
      </c>
      <c r="F184" s="437">
        <f>F185+F192+F194</f>
        <v>208496256.2682</v>
      </c>
    </row>
    <row r="185" spans="1:6" ht="14.25" thickBot="1" thickTop="1">
      <c r="A185" s="430">
        <v>6.01</v>
      </c>
      <c r="B185" s="442" t="s">
        <v>631</v>
      </c>
      <c r="C185" s="448">
        <f>SUM(C186:C190)</f>
        <v>179746256.2682</v>
      </c>
      <c r="D185" s="448">
        <f>SUM(D186:D189)</f>
        <v>0</v>
      </c>
      <c r="E185" s="448">
        <f>SUM(E186:E189)</f>
        <v>0</v>
      </c>
      <c r="F185" s="431">
        <f>SUM(F186:F190)</f>
        <v>179746256.2682</v>
      </c>
    </row>
    <row r="186" spans="1:6" ht="12.75">
      <c r="A186" s="429" t="s">
        <v>632</v>
      </c>
      <c r="B186" s="73" t="s">
        <v>633</v>
      </c>
      <c r="C186" s="447">
        <f>+'PROGRAMA 1'!C110</f>
        <v>6290246.8763</v>
      </c>
      <c r="D186" s="447">
        <v>0</v>
      </c>
      <c r="E186" s="447">
        <v>0</v>
      </c>
      <c r="F186" s="428">
        <f>C186+D186+E186</f>
        <v>6290246.8763</v>
      </c>
    </row>
    <row r="187" spans="1:6" ht="12.75">
      <c r="A187" s="427" t="s">
        <v>634</v>
      </c>
      <c r="B187" s="73" t="s">
        <v>635</v>
      </c>
      <c r="C187" s="447">
        <f>+'PROGRAMA 1'!C116</f>
        <v>29820740.6289</v>
      </c>
      <c r="D187" s="447">
        <v>0</v>
      </c>
      <c r="E187" s="447">
        <v>0</v>
      </c>
      <c r="F187" s="428">
        <f>C187+D187+E187</f>
        <v>29820740.6289</v>
      </c>
    </row>
    <row r="188" spans="1:6" ht="12.75">
      <c r="A188" s="429" t="s">
        <v>636</v>
      </c>
      <c r="B188" s="73" t="s">
        <v>637</v>
      </c>
      <c r="C188" s="447">
        <f>+'PROGRAMA 1'!C121</f>
        <v>72519068.76300001</v>
      </c>
      <c r="D188" s="447">
        <v>0</v>
      </c>
      <c r="E188" s="447">
        <v>0</v>
      </c>
      <c r="F188" s="428">
        <f>C188+D188+E188</f>
        <v>72519068.76300001</v>
      </c>
    </row>
    <row r="189" spans="1:6" ht="12.75">
      <c r="A189" s="429" t="s">
        <v>1042</v>
      </c>
      <c r="B189" s="73" t="s">
        <v>638</v>
      </c>
      <c r="C189" s="447">
        <f>+'PROGRAMA 1'!C125</f>
        <v>67316200</v>
      </c>
      <c r="D189" s="447">
        <v>0</v>
      </c>
      <c r="E189" s="447">
        <v>0</v>
      </c>
      <c r="F189" s="428">
        <f>C189+D189+E189</f>
        <v>67316200</v>
      </c>
    </row>
    <row r="190" spans="1:6" ht="13.5" thickBot="1">
      <c r="A190" s="432" t="s">
        <v>1060</v>
      </c>
      <c r="B190" s="113" t="s">
        <v>1061</v>
      </c>
      <c r="C190" s="449">
        <f>+'PROGRAMA 1'!C132</f>
        <v>3800000</v>
      </c>
      <c r="D190" s="449">
        <v>0</v>
      </c>
      <c r="E190" s="449">
        <v>0</v>
      </c>
      <c r="F190" s="433">
        <f>C190+D190+E190</f>
        <v>3800000</v>
      </c>
    </row>
    <row r="191" spans="1:6" ht="13.5" thickBot="1">
      <c r="A191" s="487"/>
      <c r="B191" s="19"/>
      <c r="C191" s="488"/>
      <c r="D191" s="488"/>
      <c r="E191" s="488"/>
      <c r="F191" s="488"/>
    </row>
    <row r="192" spans="1:6" ht="13.5" thickBot="1">
      <c r="A192" s="434">
        <v>6.02</v>
      </c>
      <c r="B192" s="9" t="s">
        <v>647</v>
      </c>
      <c r="C192" s="452">
        <v>0</v>
      </c>
      <c r="D192" s="452">
        <f>D193</f>
        <v>18750000</v>
      </c>
      <c r="E192" s="452">
        <f>E193</f>
        <v>0</v>
      </c>
      <c r="F192" s="435">
        <f>F193</f>
        <v>18750000</v>
      </c>
    </row>
    <row r="193" spans="1:6" ht="12.75">
      <c r="A193" s="429" t="s">
        <v>648</v>
      </c>
      <c r="B193" s="73" t="s">
        <v>732</v>
      </c>
      <c r="C193" s="447">
        <v>0</v>
      </c>
      <c r="D193" s="447">
        <f>+'PROGRAMA 2'!C123</f>
        <v>18750000</v>
      </c>
      <c r="E193" s="447">
        <v>0</v>
      </c>
      <c r="F193" s="428">
        <f>C193+D193+E193</f>
        <v>18750000</v>
      </c>
    </row>
    <row r="194" spans="1:6" ht="13.5" thickBot="1">
      <c r="A194" s="425">
        <v>6.03</v>
      </c>
      <c r="B194" s="115" t="s">
        <v>1221</v>
      </c>
      <c r="C194" s="446">
        <f>C195</f>
        <v>10000000</v>
      </c>
      <c r="D194" s="446">
        <f>D195</f>
        <v>0</v>
      </c>
      <c r="E194" s="446">
        <f>E195</f>
        <v>0</v>
      </c>
      <c r="F194" s="426">
        <f>F195</f>
        <v>10000000</v>
      </c>
    </row>
    <row r="195" spans="1:6" ht="12.75">
      <c r="A195" s="481" t="s">
        <v>1224</v>
      </c>
      <c r="B195" s="482" t="s">
        <v>1222</v>
      </c>
      <c r="C195" s="447">
        <f>+'PROGRAMA 1'!C130</f>
        <v>10000000</v>
      </c>
      <c r="D195" s="447">
        <v>0</v>
      </c>
      <c r="E195" s="447">
        <v>0</v>
      </c>
      <c r="F195" s="428">
        <f>C195+D195+E195</f>
        <v>10000000</v>
      </c>
    </row>
    <row r="196" spans="1:6" ht="12.75">
      <c r="A196" s="429"/>
      <c r="B196" s="73"/>
      <c r="C196" s="447"/>
      <c r="D196" s="447"/>
      <c r="E196" s="447"/>
      <c r="F196" s="428"/>
    </row>
    <row r="197" spans="1:6" ht="13.5" thickBot="1">
      <c r="A197" s="423">
        <v>7</v>
      </c>
      <c r="B197" s="441" t="s">
        <v>649</v>
      </c>
      <c r="C197" s="445">
        <f>C201</f>
        <v>0</v>
      </c>
      <c r="D197" s="445">
        <f>D201</f>
        <v>0</v>
      </c>
      <c r="E197" s="445">
        <f>E201+E198</f>
        <v>0</v>
      </c>
      <c r="F197" s="424">
        <f>F201+F198</f>
        <v>0</v>
      </c>
    </row>
    <row r="198" spans="1:6" s="19" customFormat="1" ht="14.25" thickBot="1" thickTop="1">
      <c r="A198" s="425" t="s">
        <v>1055</v>
      </c>
      <c r="B198" s="115" t="s">
        <v>1056</v>
      </c>
      <c r="C198" s="446">
        <f>C199</f>
        <v>0</v>
      </c>
      <c r="D198" s="446">
        <f>D199</f>
        <v>0</v>
      </c>
      <c r="E198" s="446">
        <f>E199</f>
        <v>0</v>
      </c>
      <c r="F198" s="426">
        <f>F199</f>
        <v>0</v>
      </c>
    </row>
    <row r="199" spans="1:6" ht="12.75">
      <c r="A199" s="481" t="s">
        <v>1057</v>
      </c>
      <c r="B199" s="482" t="s">
        <v>1058</v>
      </c>
      <c r="C199" s="483">
        <v>0</v>
      </c>
      <c r="D199" s="483">
        <v>0</v>
      </c>
      <c r="E199" s="483">
        <v>0</v>
      </c>
      <c r="F199" s="484">
        <f>C199+D199+E199</f>
        <v>0</v>
      </c>
    </row>
    <row r="200" spans="1:6" ht="12.75">
      <c r="A200" s="485" t="s">
        <v>1054</v>
      </c>
      <c r="B200" s="479" t="s">
        <v>650</v>
      </c>
      <c r="C200" s="480"/>
      <c r="D200" s="480"/>
      <c r="E200" s="480"/>
      <c r="F200" s="486"/>
    </row>
    <row r="201" spans="1:6" ht="13.5" thickBot="1">
      <c r="A201" s="425"/>
      <c r="B201" s="115" t="s">
        <v>257</v>
      </c>
      <c r="C201" s="446">
        <v>0</v>
      </c>
      <c r="D201" s="446">
        <v>0</v>
      </c>
      <c r="E201" s="446">
        <f>E202</f>
        <v>0</v>
      </c>
      <c r="F201" s="426">
        <f>F202</f>
        <v>0</v>
      </c>
    </row>
    <row r="202" spans="1:6" ht="12.75">
      <c r="A202" s="429" t="s">
        <v>651</v>
      </c>
      <c r="B202" s="73" t="s">
        <v>652</v>
      </c>
      <c r="C202" s="447">
        <v>0</v>
      </c>
      <c r="D202" s="447">
        <v>0</v>
      </c>
      <c r="E202" s="447">
        <v>0</v>
      </c>
      <c r="F202" s="428">
        <f>C202+D202+E202</f>
        <v>0</v>
      </c>
    </row>
    <row r="203" spans="1:6" ht="12.75">
      <c r="A203" s="429"/>
      <c r="B203" s="73"/>
      <c r="C203" s="447"/>
      <c r="D203" s="447"/>
      <c r="E203" s="447"/>
      <c r="F203" s="428"/>
    </row>
    <row r="204" spans="1:6" ht="13.5" thickBot="1">
      <c r="A204" s="423">
        <v>8</v>
      </c>
      <c r="B204" s="441" t="s">
        <v>1009</v>
      </c>
      <c r="C204" s="445">
        <f>C205</f>
        <v>14410692.09</v>
      </c>
      <c r="D204" s="445">
        <f>D205</f>
        <v>2167174.7</v>
      </c>
      <c r="E204" s="445">
        <f>E205</f>
        <v>0</v>
      </c>
      <c r="F204" s="424">
        <f>F205</f>
        <v>16577866.79</v>
      </c>
    </row>
    <row r="205" spans="1:6" ht="14.25" thickBot="1" thickTop="1">
      <c r="A205" s="430">
        <v>8.02</v>
      </c>
      <c r="B205" s="442" t="s">
        <v>1059</v>
      </c>
      <c r="C205" s="448">
        <f>SUM(C206:C206)</f>
        <v>14410692.09</v>
      </c>
      <c r="D205" s="448">
        <f>SUM(D206:D206)</f>
        <v>2167174.7</v>
      </c>
      <c r="E205" s="448">
        <f>SUM(E206:E206)</f>
        <v>0</v>
      </c>
      <c r="F205" s="431">
        <f>SUM(F206:F206)</f>
        <v>16577866.79</v>
      </c>
    </row>
    <row r="206" spans="1:6" ht="12.75">
      <c r="A206" s="429" t="s">
        <v>653</v>
      </c>
      <c r="B206" s="73" t="s">
        <v>654</v>
      </c>
      <c r="C206" s="447">
        <f>+'PROGRAMA 1'!C138</f>
        <v>14410692.09</v>
      </c>
      <c r="D206" s="447">
        <f>+'PROGRAMA 2'!C127</f>
        <v>2167174.7</v>
      </c>
      <c r="E206" s="447">
        <v>0</v>
      </c>
      <c r="F206" s="428">
        <f>C206+D206+E206</f>
        <v>16577866.79</v>
      </c>
    </row>
    <row r="207" spans="1:6" ht="12.75">
      <c r="A207" s="429"/>
      <c r="B207" s="73"/>
      <c r="C207" s="447"/>
      <c r="D207" s="447"/>
      <c r="E207" s="447"/>
      <c r="F207" s="428"/>
    </row>
    <row r="208" spans="1:6" ht="13.5" thickBot="1">
      <c r="A208" s="438"/>
      <c r="B208" s="441" t="s">
        <v>166</v>
      </c>
      <c r="C208" s="445">
        <f>C209</f>
        <v>0</v>
      </c>
      <c r="D208" s="445">
        <f>D209</f>
        <v>0</v>
      </c>
      <c r="E208" s="445">
        <f>E209</f>
        <v>11387274.39</v>
      </c>
      <c r="F208" s="424">
        <f>F209</f>
        <v>11387274.39</v>
      </c>
    </row>
    <row r="209" spans="1:6" ht="14.25" thickBot="1" thickTop="1">
      <c r="A209" s="430">
        <v>9.02</v>
      </c>
      <c r="B209" s="442" t="s">
        <v>655</v>
      </c>
      <c r="C209" s="455">
        <f>C211+C210</f>
        <v>0</v>
      </c>
      <c r="D209" s="455">
        <f>D211+D210</f>
        <v>0</v>
      </c>
      <c r="E209" s="455">
        <f>E211+E210</f>
        <v>11387274.39</v>
      </c>
      <c r="F209" s="439">
        <f>F211+F210</f>
        <v>11387274.39</v>
      </c>
    </row>
    <row r="210" spans="1:6" ht="12.75">
      <c r="A210" s="481" t="s">
        <v>1235</v>
      </c>
      <c r="B210" s="482" t="s">
        <v>1232</v>
      </c>
      <c r="C210" s="626">
        <v>0</v>
      </c>
      <c r="D210" s="626">
        <v>0</v>
      </c>
      <c r="E210" s="626">
        <v>0</v>
      </c>
      <c r="F210" s="428">
        <f>C210+D210+E210</f>
        <v>0</v>
      </c>
    </row>
    <row r="211" spans="1:6" ht="12.75">
      <c r="A211" s="429" t="s">
        <v>656</v>
      </c>
      <c r="B211" s="73" t="s">
        <v>657</v>
      </c>
      <c r="C211" s="447">
        <v>0</v>
      </c>
      <c r="D211" s="447">
        <v>0</v>
      </c>
      <c r="E211" s="447">
        <f>+'PROGRAMA 3'!C43</f>
        <v>11387274.39</v>
      </c>
      <c r="F211" s="428">
        <f>C211+D211+E211</f>
        <v>11387274.39</v>
      </c>
    </row>
    <row r="212" spans="1:6" ht="13.5" thickBot="1">
      <c r="A212" s="432"/>
      <c r="B212" s="113"/>
      <c r="C212" s="113"/>
      <c r="D212" s="113"/>
      <c r="E212" s="113"/>
      <c r="F212" s="2"/>
    </row>
    <row r="213" ht="12.75">
      <c r="A213" s="413"/>
    </row>
    <row r="214" ht="12.75">
      <c r="A214" s="413"/>
    </row>
    <row r="215" ht="12.75">
      <c r="A215" s="413"/>
    </row>
    <row r="216" ht="12.75">
      <c r="A216" s="413"/>
    </row>
    <row r="217" ht="12.75">
      <c r="A217" s="413"/>
    </row>
    <row r="218" ht="12.75">
      <c r="A218" s="413"/>
    </row>
    <row r="219" ht="12.75">
      <c r="A219" s="413"/>
    </row>
    <row r="220" ht="12.75">
      <c r="A220" s="413"/>
    </row>
  </sheetData>
  <sheetProtection/>
  <mergeCells count="6">
    <mergeCell ref="A40:F40"/>
    <mergeCell ref="A41:F41"/>
    <mergeCell ref="A1:F1"/>
    <mergeCell ref="A2:F2"/>
    <mergeCell ref="A3:F3"/>
    <mergeCell ref="A39:F39"/>
  </mergeCells>
  <printOptions/>
  <pageMargins left="0" right="0" top="0.984251968503937" bottom="0.984251968503937" header="0" footer="0"/>
  <pageSetup horizontalDpi="300" verticalDpi="3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49.7109375" style="0" customWidth="1"/>
    <col min="2" max="2" width="13.28125" style="0" customWidth="1"/>
    <col min="3" max="3" width="9.00390625" style="0" customWidth="1"/>
  </cols>
  <sheetData>
    <row r="1" spans="1:3" ht="15.75">
      <c r="A1" s="196" t="s">
        <v>808</v>
      </c>
      <c r="B1" s="197"/>
      <c r="C1" s="197"/>
    </row>
    <row r="2" spans="1:3" ht="15.75">
      <c r="A2" s="196" t="s">
        <v>46</v>
      </c>
      <c r="B2" s="197"/>
      <c r="C2" s="197"/>
    </row>
    <row r="3" spans="1:3" ht="15.75">
      <c r="A3" s="196" t="s">
        <v>48</v>
      </c>
      <c r="B3" s="197"/>
      <c r="C3" s="197"/>
    </row>
    <row r="4" spans="1:3" ht="15.75">
      <c r="A4" s="196" t="s">
        <v>49</v>
      </c>
      <c r="B4" s="197"/>
      <c r="C4" s="197"/>
    </row>
    <row r="6" ht="13.5" thickBot="1"/>
    <row r="7" spans="1:2" ht="15.75">
      <c r="A7" s="917" t="s">
        <v>48</v>
      </c>
      <c r="B7" s="918"/>
    </row>
    <row r="8" spans="1:2" ht="13.5" thickBot="1">
      <c r="A8" s="919"/>
      <c r="B8" s="920"/>
    </row>
    <row r="9" spans="1:3" ht="12.75">
      <c r="A9" s="461"/>
      <c r="B9" s="462"/>
      <c r="C9" s="463"/>
    </row>
    <row r="10" spans="1:3" ht="12.75">
      <c r="A10" s="464" t="s">
        <v>50</v>
      </c>
      <c r="B10" s="465">
        <f>SUM(B11:B12)</f>
        <v>3510000</v>
      </c>
      <c r="C10" s="466">
        <f>C11+C12</f>
        <v>1</v>
      </c>
    </row>
    <row r="11" spans="1:3" ht="12.75">
      <c r="A11" s="461" t="s">
        <v>51</v>
      </c>
      <c r="B11" s="467">
        <v>1053000</v>
      </c>
      <c r="C11" s="468">
        <f>B11/B10</f>
        <v>0.3</v>
      </c>
    </row>
    <row r="12" spans="1:3" ht="12.75">
      <c r="A12" s="461" t="s">
        <v>52</v>
      </c>
      <c r="B12" s="467">
        <v>2457000</v>
      </c>
      <c r="C12" s="468">
        <f>B12/B10</f>
        <v>0.7</v>
      </c>
    </row>
    <row r="13" spans="1:3" ht="12.75">
      <c r="A13" s="461"/>
      <c r="B13" s="469"/>
      <c r="C13" s="470"/>
    </row>
    <row r="14" spans="1:3" ht="13.5" thickBot="1">
      <c r="A14" s="471"/>
      <c r="B14" s="472"/>
      <c r="C14" s="473"/>
    </row>
    <row r="16" spans="1:4" ht="12.75">
      <c r="A16" s="30" t="s">
        <v>422</v>
      </c>
      <c r="B16" s="26"/>
      <c r="C16" s="26"/>
      <c r="D16" s="26"/>
    </row>
    <row r="17" spans="1:4" ht="12.75">
      <c r="A17" s="30" t="s">
        <v>1628</v>
      </c>
      <c r="B17" s="26"/>
      <c r="C17" s="26"/>
      <c r="D17" s="26"/>
    </row>
  </sheetData>
  <sheetProtection/>
  <mergeCells count="2">
    <mergeCell ref="A7:B7"/>
    <mergeCell ref="A8:B8"/>
  </mergeCells>
  <printOptions horizontalCentered="1"/>
  <pageMargins left="0.15748031496062992" right="0.15748031496062992" top="0.3937007874015748" bottom="0.3937007874015748" header="0" footer="0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54.421875" style="0" customWidth="1"/>
    <col min="2" max="2" width="23.00390625" style="0" customWidth="1"/>
  </cols>
  <sheetData>
    <row r="2" spans="1:2" ht="12.75">
      <c r="A2" s="921" t="s">
        <v>808</v>
      </c>
      <c r="B2" s="921"/>
    </row>
    <row r="3" spans="1:2" ht="12.75">
      <c r="A3" s="921" t="s">
        <v>773</v>
      </c>
      <c r="B3" s="921"/>
    </row>
    <row r="4" spans="1:2" ht="12.75">
      <c r="A4" s="922" t="s">
        <v>1225</v>
      </c>
      <c r="B4" s="922"/>
    </row>
    <row r="5" ht="12.75">
      <c r="A5" s="26" t="s">
        <v>1226</v>
      </c>
    </row>
    <row r="6" ht="13.5" thickBot="1"/>
    <row r="7" spans="1:2" ht="12.75">
      <c r="A7" s="490" t="s">
        <v>774</v>
      </c>
      <c r="B7" s="491" t="s">
        <v>758</v>
      </c>
    </row>
    <row r="8" spans="1:2" ht="12.75">
      <c r="A8" s="492"/>
      <c r="B8" s="493"/>
    </row>
    <row r="9" spans="1:2" ht="12.75">
      <c r="A9" s="494" t="s">
        <v>775</v>
      </c>
      <c r="B9" s="495">
        <f>+'Egr.X part'!F11</f>
        <v>524080702.3</v>
      </c>
    </row>
    <row r="10" spans="1:2" ht="12.75">
      <c r="A10" s="492"/>
      <c r="B10" s="493"/>
    </row>
    <row r="11" spans="1:2" ht="12.75">
      <c r="A11" s="494" t="s">
        <v>776</v>
      </c>
      <c r="B11" s="495">
        <f>+'Egr.X part'!F13</f>
        <v>76270118.09</v>
      </c>
    </row>
    <row r="12" spans="1:2" ht="12.75">
      <c r="A12" s="492"/>
      <c r="B12" s="493"/>
    </row>
    <row r="13" spans="1:2" ht="12.75">
      <c r="A13" s="494" t="s">
        <v>777</v>
      </c>
      <c r="B13" s="495" t="e">
        <f>+'Egr.X part'!F17</f>
        <v>#REF!</v>
      </c>
    </row>
    <row r="14" spans="1:2" ht="12.75">
      <c r="A14" s="492"/>
      <c r="B14" s="493"/>
    </row>
    <row r="15" spans="1:2" ht="15.75" thickBot="1">
      <c r="A15" s="496" t="s">
        <v>811</v>
      </c>
      <c r="B15" s="497" t="e">
        <f>B9+B11+B13</f>
        <v>#REF!</v>
      </c>
    </row>
    <row r="17" spans="1:2" ht="12.75">
      <c r="A17" s="30" t="s">
        <v>422</v>
      </c>
      <c r="B17" s="26"/>
    </row>
    <row r="18" spans="1:2" ht="12.75">
      <c r="A18" s="30" t="s">
        <v>1687</v>
      </c>
      <c r="B18" s="26"/>
    </row>
  </sheetData>
  <sheetProtection/>
  <mergeCells count="3">
    <mergeCell ref="A2:B2"/>
    <mergeCell ref="A3:B3"/>
    <mergeCell ref="A4:B4"/>
  </mergeCells>
  <printOptions horizontalCentered="1"/>
  <pageMargins left="0.15748031496062992" right="0.15748031496062992" top="0.3937007874015748" bottom="0.3937007874015748" header="0" footer="0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38.28125" style="0" customWidth="1"/>
    <col min="2" max="2" width="20.00390625" style="0" customWidth="1"/>
    <col min="3" max="3" width="24.421875" style="0" customWidth="1"/>
    <col min="4" max="4" width="32.28125" style="0" customWidth="1"/>
  </cols>
  <sheetData>
    <row r="1" spans="1:4" s="352" customFormat="1" ht="14.25" customHeight="1">
      <c r="A1" s="720"/>
      <c r="B1" s="720"/>
      <c r="C1" s="720"/>
      <c r="D1" s="720"/>
    </row>
    <row r="2" spans="1:4" ht="15.75">
      <c r="A2" s="860" t="s">
        <v>808</v>
      </c>
      <c r="B2" s="860"/>
      <c r="C2" s="860"/>
      <c r="D2" s="860"/>
    </row>
    <row r="3" spans="1:4" ht="15.75">
      <c r="A3" s="860" t="s">
        <v>1351</v>
      </c>
      <c r="B3" s="860"/>
      <c r="C3" s="860"/>
      <c r="D3" s="860"/>
    </row>
    <row r="4" spans="1:4" ht="15.75">
      <c r="A4" s="860" t="s">
        <v>1352</v>
      </c>
      <c r="B4" s="860"/>
      <c r="C4" s="860"/>
      <c r="D4" s="860"/>
    </row>
    <row r="6" ht="13.5" thickBot="1"/>
    <row r="7" spans="1:4" ht="28.5" customHeight="1">
      <c r="A7" s="721" t="s">
        <v>1353</v>
      </c>
      <c r="B7" s="722" t="s">
        <v>1354</v>
      </c>
      <c r="C7" s="790" t="s">
        <v>1355</v>
      </c>
      <c r="D7" s="791" t="s">
        <v>1356</v>
      </c>
    </row>
    <row r="8" spans="1:4" ht="12.75">
      <c r="A8" s="726" t="s">
        <v>1358</v>
      </c>
      <c r="B8" s="152" t="s">
        <v>1362</v>
      </c>
      <c r="C8" s="727" t="s">
        <v>1364</v>
      </c>
      <c r="D8" s="723"/>
    </row>
    <row r="9" spans="1:4" ht="12.75">
      <c r="A9" s="726" t="s">
        <v>1359</v>
      </c>
      <c r="B9" s="152" t="s">
        <v>1361</v>
      </c>
      <c r="C9" s="727" t="s">
        <v>1365</v>
      </c>
      <c r="D9" s="723"/>
    </row>
    <row r="10" spans="1:4" ht="12.75">
      <c r="A10" s="726" t="s">
        <v>1360</v>
      </c>
      <c r="B10" s="152" t="s">
        <v>1363</v>
      </c>
      <c r="C10" s="727" t="s">
        <v>1366</v>
      </c>
      <c r="D10" s="723"/>
    </row>
    <row r="11" spans="1:4" ht="12.75">
      <c r="A11" s="492"/>
      <c r="B11" s="4"/>
      <c r="C11" s="4"/>
      <c r="D11" s="826"/>
    </row>
    <row r="12" spans="1:4" ht="12.75">
      <c r="A12" s="492"/>
      <c r="B12" s="4"/>
      <c r="C12" s="4"/>
      <c r="D12" s="723"/>
    </row>
    <row r="13" spans="1:4" ht="12.75">
      <c r="A13" s="492"/>
      <c r="B13" s="4"/>
      <c r="C13" s="4"/>
      <c r="D13" s="723"/>
    </row>
    <row r="14" spans="1:4" ht="12.75">
      <c r="A14" s="492"/>
      <c r="B14" s="4"/>
      <c r="C14" s="4"/>
      <c r="D14" s="723"/>
    </row>
    <row r="15" spans="1:4" ht="12.75">
      <c r="A15" s="492"/>
      <c r="B15" s="4"/>
      <c r="C15" s="4"/>
      <c r="D15" s="723"/>
    </row>
    <row r="16" spans="1:4" ht="12.75">
      <c r="A16" s="492"/>
      <c r="B16" s="4"/>
      <c r="C16" s="4"/>
      <c r="D16" s="723"/>
    </row>
    <row r="17" spans="1:4" ht="12.75">
      <c r="A17" s="492"/>
      <c r="B17" s="4"/>
      <c r="C17" s="4"/>
      <c r="D17" s="723"/>
    </row>
    <row r="18" spans="1:4" ht="12.75">
      <c r="A18" s="492"/>
      <c r="B18" s="4"/>
      <c r="C18" s="4"/>
      <c r="D18" s="723"/>
    </row>
    <row r="19" spans="1:4" ht="12.75">
      <c r="A19" s="492"/>
      <c r="B19" s="4"/>
      <c r="C19" s="4"/>
      <c r="D19" s="723"/>
    </row>
    <row r="20" spans="1:4" ht="12.75">
      <c r="A20" s="492"/>
      <c r="B20" s="4"/>
      <c r="C20" s="4"/>
      <c r="D20" s="723"/>
    </row>
    <row r="21" spans="1:4" ht="12.75">
      <c r="A21" s="492"/>
      <c r="B21" s="4"/>
      <c r="C21" s="4"/>
      <c r="D21" s="723"/>
    </row>
    <row r="22" spans="1:4" ht="12.75">
      <c r="A22" s="492"/>
      <c r="B22" s="4"/>
      <c r="C22" s="4"/>
      <c r="D22" s="723"/>
    </row>
    <row r="23" spans="1:4" ht="13.5" thickBot="1">
      <c r="A23" s="724"/>
      <c r="B23" s="106"/>
      <c r="C23" s="106"/>
      <c r="D23" s="725"/>
    </row>
    <row r="24" ht="13.5" thickBot="1"/>
    <row r="25" spans="1:4" ht="44.25" customHeight="1" thickBot="1">
      <c r="A25" s="923" t="s">
        <v>1357</v>
      </c>
      <c r="B25" s="924"/>
      <c r="C25" s="924"/>
      <c r="D25" s="925"/>
    </row>
    <row r="27" s="26" customFormat="1" ht="12.75">
      <c r="A27" s="30" t="s">
        <v>422</v>
      </c>
    </row>
    <row r="28" s="26" customFormat="1" ht="18" customHeight="1">
      <c r="A28" s="30" t="s">
        <v>1686</v>
      </c>
    </row>
    <row r="29" s="26" customFormat="1" ht="12.75">
      <c r="A29" s="30"/>
    </row>
  </sheetData>
  <sheetProtection/>
  <mergeCells count="4">
    <mergeCell ref="A2:D2"/>
    <mergeCell ref="A3:D3"/>
    <mergeCell ref="A4:D4"/>
    <mergeCell ref="A25:D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G43" sqref="G43"/>
    </sheetView>
  </sheetViews>
  <sheetFormatPr defaultColWidth="11.421875" defaultRowHeight="12.75"/>
  <cols>
    <col min="1" max="1" width="3.00390625" style="0" customWidth="1"/>
    <col min="2" max="2" width="28.57421875" style="0" customWidth="1"/>
    <col min="3" max="3" width="15.8515625" style="0" customWidth="1"/>
    <col min="4" max="4" width="17.7109375" style="0" customWidth="1"/>
    <col min="5" max="6" width="14.8515625" style="0" customWidth="1"/>
    <col min="7" max="7" width="12.8515625" style="0" customWidth="1"/>
    <col min="8" max="9" width="13.57421875" style="0" customWidth="1"/>
  </cols>
  <sheetData>
    <row r="1" spans="1:12" ht="15.75">
      <c r="A1" s="196" t="s">
        <v>808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.75">
      <c r="A2" s="196" t="s">
        <v>260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ht="15.75">
      <c r="A3" s="196" t="s">
        <v>261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ht="13.5" thickBot="1">
      <c r="A4" s="847"/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</row>
    <row r="5" spans="1:12" ht="12.75">
      <c r="A5" s="198"/>
      <c r="B5" s="199" t="s">
        <v>262</v>
      </c>
      <c r="C5" s="200" t="s">
        <v>263</v>
      </c>
      <c r="D5" s="201" t="s">
        <v>264</v>
      </c>
      <c r="E5" s="200" t="s">
        <v>265</v>
      </c>
      <c r="F5" s="201" t="s">
        <v>105</v>
      </c>
      <c r="G5" s="553" t="s">
        <v>364</v>
      </c>
      <c r="H5" s="200" t="s">
        <v>266</v>
      </c>
      <c r="I5" s="201" t="s">
        <v>267</v>
      </c>
      <c r="J5" s="200" t="s">
        <v>268</v>
      </c>
      <c r="K5" s="200" t="s">
        <v>269</v>
      </c>
      <c r="L5" s="202" t="s">
        <v>270</v>
      </c>
    </row>
    <row r="6" spans="1:12" ht="13.5" thickBot="1">
      <c r="A6" s="203"/>
      <c r="B6" s="204" t="s">
        <v>271</v>
      </c>
      <c r="C6" s="205" t="s">
        <v>272</v>
      </c>
      <c r="D6" s="195" t="s">
        <v>273</v>
      </c>
      <c r="E6" s="205"/>
      <c r="F6" s="195"/>
      <c r="G6" s="204" t="s">
        <v>365</v>
      </c>
      <c r="H6" s="205"/>
      <c r="I6" s="195"/>
      <c r="J6" s="205" t="s">
        <v>273</v>
      </c>
      <c r="K6" s="205"/>
      <c r="L6" s="206"/>
    </row>
    <row r="7" spans="1:12" ht="12.75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1:12" ht="12.75">
      <c r="A8" s="211">
        <v>1</v>
      </c>
      <c r="B8" s="212" t="s">
        <v>274</v>
      </c>
      <c r="C8" s="213">
        <f>+INGRESOS!C45</f>
        <v>500000</v>
      </c>
      <c r="D8" s="213">
        <f>+INGRESOS!C44</f>
        <v>220000000</v>
      </c>
      <c r="E8" s="213">
        <f>+INGRESOS!C37</f>
        <v>330000000</v>
      </c>
      <c r="F8" s="213">
        <f>+INGRESOS!C42</f>
        <v>36000000</v>
      </c>
      <c r="G8" s="213">
        <f>+INGRESOS!C40</f>
        <v>10000000</v>
      </c>
      <c r="H8" s="213">
        <v>0</v>
      </c>
      <c r="I8" s="213">
        <v>0</v>
      </c>
      <c r="J8" s="213">
        <v>0</v>
      </c>
      <c r="K8" s="213">
        <v>0</v>
      </c>
      <c r="L8" s="214">
        <v>0</v>
      </c>
    </row>
    <row r="9" spans="1:12" ht="12.75">
      <c r="A9" s="215">
        <v>2</v>
      </c>
      <c r="B9" s="216" t="s">
        <v>275</v>
      </c>
      <c r="C9" s="217"/>
      <c r="D9" s="217"/>
      <c r="E9" s="217"/>
      <c r="F9" s="217"/>
      <c r="G9" s="217"/>
      <c r="H9" s="217"/>
      <c r="I9" s="217"/>
      <c r="J9" s="217"/>
      <c r="K9" s="217"/>
      <c r="L9" s="218"/>
    </row>
    <row r="10" spans="1:12" ht="12.75">
      <c r="A10" s="211"/>
      <c r="B10" s="212" t="s">
        <v>276</v>
      </c>
      <c r="C10" s="219">
        <f>C43</f>
        <v>550000</v>
      </c>
      <c r="D10" s="219">
        <f aca="true" t="shared" si="0" ref="D10:L10">D43</f>
        <v>242000000.0028849</v>
      </c>
      <c r="E10" s="219">
        <f t="shared" si="0"/>
        <v>362999999.9980835</v>
      </c>
      <c r="F10" s="219">
        <f t="shared" si="0"/>
        <v>39599999.99612726</v>
      </c>
      <c r="G10" s="219">
        <f t="shared" si="0"/>
        <v>11000000.000713533</v>
      </c>
      <c r="H10" s="219">
        <f t="shared" si="0"/>
        <v>0</v>
      </c>
      <c r="I10" s="219">
        <f t="shared" si="0"/>
        <v>0</v>
      </c>
      <c r="J10" s="219">
        <f t="shared" si="0"/>
        <v>0</v>
      </c>
      <c r="K10" s="219">
        <f t="shared" si="0"/>
        <v>0</v>
      </c>
      <c r="L10" s="220">
        <f t="shared" si="0"/>
        <v>0</v>
      </c>
    </row>
    <row r="11" spans="1:12" ht="12.75">
      <c r="A11" s="215">
        <v>3</v>
      </c>
      <c r="B11" s="216" t="s">
        <v>277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8"/>
    </row>
    <row r="12" spans="1:12" ht="12.75">
      <c r="A12" s="215"/>
      <c r="B12" s="216" t="s">
        <v>278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8"/>
    </row>
    <row r="13" spans="1:12" ht="12.75">
      <c r="A13" s="211"/>
      <c r="B13" s="212" t="s">
        <v>279</v>
      </c>
      <c r="C13" s="219">
        <f>C8-C10</f>
        <v>-50000</v>
      </c>
      <c r="D13" s="219">
        <f aca="true" t="shared" si="1" ref="D13:L13">D8-D10</f>
        <v>-22000000.002884895</v>
      </c>
      <c r="E13" s="219">
        <f t="shared" si="1"/>
        <v>-32999999.998083472</v>
      </c>
      <c r="F13" s="219">
        <f t="shared" si="1"/>
        <v>-3599999.9961272627</v>
      </c>
      <c r="G13" s="219">
        <f t="shared" si="1"/>
        <v>-1000000.0007135328</v>
      </c>
      <c r="H13" s="219">
        <f t="shared" si="1"/>
        <v>0</v>
      </c>
      <c r="I13" s="219">
        <f t="shared" si="1"/>
        <v>0</v>
      </c>
      <c r="J13" s="219">
        <f t="shared" si="1"/>
        <v>0</v>
      </c>
      <c r="K13" s="219">
        <f t="shared" si="1"/>
        <v>0</v>
      </c>
      <c r="L13" s="220">
        <f t="shared" si="1"/>
        <v>0</v>
      </c>
    </row>
    <row r="14" spans="1:12" ht="12.75">
      <c r="A14" s="215">
        <v>4</v>
      </c>
      <c r="B14" s="216" t="s">
        <v>292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8"/>
    </row>
    <row r="15" spans="1:12" ht="12.75">
      <c r="A15" s="215"/>
      <c r="B15" s="216" t="s">
        <v>293</v>
      </c>
      <c r="C15" s="221">
        <f>SUM(C16:C18)</f>
        <v>0</v>
      </c>
      <c r="D15" s="221">
        <f aca="true" t="shared" si="2" ref="D15:L15">SUM(D16:D18)</f>
        <v>0</v>
      </c>
      <c r="E15" s="221">
        <f t="shared" si="2"/>
        <v>1320000</v>
      </c>
      <c r="F15" s="221">
        <f t="shared" si="2"/>
        <v>0</v>
      </c>
      <c r="G15" s="221">
        <f t="shared" si="2"/>
        <v>0</v>
      </c>
      <c r="H15" s="221">
        <f t="shared" si="2"/>
        <v>0</v>
      </c>
      <c r="I15" s="221">
        <f t="shared" si="2"/>
        <v>0</v>
      </c>
      <c r="J15" s="221">
        <f t="shared" si="2"/>
        <v>0</v>
      </c>
      <c r="K15" s="221">
        <f t="shared" si="2"/>
        <v>0</v>
      </c>
      <c r="L15" s="222">
        <f t="shared" si="2"/>
        <v>0</v>
      </c>
    </row>
    <row r="16" spans="1:12" ht="12.75">
      <c r="A16" s="215"/>
      <c r="B16" s="223" t="s">
        <v>294</v>
      </c>
      <c r="C16" s="224">
        <v>0</v>
      </c>
      <c r="D16" s="224">
        <v>0</v>
      </c>
      <c r="E16" s="224">
        <f>+INGRESOS!C41</f>
        <v>820000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5">
        <v>0</v>
      </c>
    </row>
    <row r="17" spans="1:12" ht="12.75">
      <c r="A17" s="215"/>
      <c r="B17" s="798" t="s">
        <v>1543</v>
      </c>
      <c r="C17" s="224">
        <v>0</v>
      </c>
      <c r="D17" s="224">
        <v>0</v>
      </c>
      <c r="E17" s="224">
        <f>+INGRESOS!C75</f>
        <v>500000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5">
        <v>0</v>
      </c>
    </row>
    <row r="18" spans="1:12" ht="12.75">
      <c r="A18" s="211"/>
      <c r="B18" s="223" t="s">
        <v>295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5">
        <v>0</v>
      </c>
    </row>
    <row r="19" spans="1:12" ht="12.75">
      <c r="A19" s="215">
        <v>5</v>
      </c>
      <c r="B19" s="216" t="s">
        <v>296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8"/>
    </row>
    <row r="20" spans="1:12" ht="12.75">
      <c r="A20" s="211"/>
      <c r="B20" s="212" t="s">
        <v>297</v>
      </c>
      <c r="C20" s="219">
        <f>C13+C15</f>
        <v>-50000</v>
      </c>
      <c r="D20" s="219">
        <f aca="true" t="shared" si="3" ref="D20:L20">D13+D15</f>
        <v>-22000000.002884895</v>
      </c>
      <c r="E20" s="219">
        <f t="shared" si="3"/>
        <v>-31679999.998083472</v>
      </c>
      <c r="F20" s="219">
        <f t="shared" si="3"/>
        <v>-3599999.9961272627</v>
      </c>
      <c r="G20" s="219">
        <f t="shared" si="3"/>
        <v>-1000000.0007135328</v>
      </c>
      <c r="H20" s="219">
        <f t="shared" si="3"/>
        <v>0</v>
      </c>
      <c r="I20" s="219">
        <f t="shared" si="3"/>
        <v>0</v>
      </c>
      <c r="J20" s="219">
        <f t="shared" si="3"/>
        <v>0</v>
      </c>
      <c r="K20" s="219">
        <f t="shared" si="3"/>
        <v>0</v>
      </c>
      <c r="L20" s="220">
        <f t="shared" si="3"/>
        <v>0</v>
      </c>
    </row>
    <row r="21" spans="1:12" ht="25.5">
      <c r="A21" s="215">
        <v>6</v>
      </c>
      <c r="B21" s="226" t="s">
        <v>298</v>
      </c>
      <c r="C21" s="227">
        <f>C22+C23+C24</f>
        <v>0</v>
      </c>
      <c r="D21" s="227">
        <f aca="true" t="shared" si="4" ref="D21:L21">D22+D23+D24</f>
        <v>0</v>
      </c>
      <c r="E21" s="227">
        <f t="shared" si="4"/>
        <v>0</v>
      </c>
      <c r="F21" s="227">
        <f t="shared" si="4"/>
        <v>0</v>
      </c>
      <c r="G21" s="227">
        <f t="shared" si="4"/>
        <v>0</v>
      </c>
      <c r="H21" s="227">
        <f t="shared" si="4"/>
        <v>0</v>
      </c>
      <c r="I21" s="227">
        <f t="shared" si="4"/>
        <v>0</v>
      </c>
      <c r="J21" s="227">
        <f t="shared" si="4"/>
        <v>0</v>
      </c>
      <c r="K21" s="227">
        <f t="shared" si="4"/>
        <v>0</v>
      </c>
      <c r="L21" s="228">
        <f t="shared" si="4"/>
        <v>0</v>
      </c>
    </row>
    <row r="22" spans="1:12" ht="12.75">
      <c r="A22" s="215"/>
      <c r="B22" s="229" t="s">
        <v>299</v>
      </c>
      <c r="C22" s="230">
        <f>C38</f>
        <v>0</v>
      </c>
      <c r="D22" s="230">
        <f aca="true" t="shared" si="5" ref="D22:L22">D38</f>
        <v>0</v>
      </c>
      <c r="E22" s="230">
        <f t="shared" si="5"/>
        <v>0</v>
      </c>
      <c r="F22" s="230">
        <f t="shared" si="5"/>
        <v>0</v>
      </c>
      <c r="G22" s="230">
        <f t="shared" si="5"/>
        <v>0</v>
      </c>
      <c r="H22" s="230">
        <f t="shared" si="5"/>
        <v>0</v>
      </c>
      <c r="I22" s="230">
        <f t="shared" si="5"/>
        <v>0</v>
      </c>
      <c r="J22" s="230">
        <f t="shared" si="5"/>
        <v>0</v>
      </c>
      <c r="K22" s="230">
        <f t="shared" si="5"/>
        <v>0</v>
      </c>
      <c r="L22" s="231">
        <f t="shared" si="5"/>
        <v>0</v>
      </c>
    </row>
    <row r="23" spans="1:12" ht="12.75">
      <c r="A23" s="215"/>
      <c r="B23" s="229" t="s">
        <v>300</v>
      </c>
      <c r="C23" s="230">
        <f>C37</f>
        <v>0</v>
      </c>
      <c r="D23" s="230">
        <f aca="true" t="shared" si="6" ref="D23:L23">D37</f>
        <v>0</v>
      </c>
      <c r="E23" s="230">
        <f t="shared" si="6"/>
        <v>0</v>
      </c>
      <c r="F23" s="230">
        <f t="shared" si="6"/>
        <v>0</v>
      </c>
      <c r="G23" s="230">
        <f t="shared" si="6"/>
        <v>0</v>
      </c>
      <c r="H23" s="230">
        <f t="shared" si="6"/>
        <v>0</v>
      </c>
      <c r="I23" s="230">
        <f t="shared" si="6"/>
        <v>0</v>
      </c>
      <c r="J23" s="230">
        <f t="shared" si="6"/>
        <v>0</v>
      </c>
      <c r="K23" s="230">
        <f t="shared" si="6"/>
        <v>0</v>
      </c>
      <c r="L23" s="231">
        <f t="shared" si="6"/>
        <v>0</v>
      </c>
    </row>
    <row r="24" spans="1:12" ht="12.75">
      <c r="A24" s="211"/>
      <c r="B24" s="232" t="s">
        <v>301</v>
      </c>
      <c r="C24" s="233">
        <v>0</v>
      </c>
      <c r="D24" s="233">
        <v>0</v>
      </c>
      <c r="E24" s="233">
        <v>0</v>
      </c>
      <c r="F24" s="233">
        <v>0</v>
      </c>
      <c r="G24" s="233">
        <v>0</v>
      </c>
      <c r="H24" s="233">
        <v>0</v>
      </c>
      <c r="I24" s="233">
        <v>0</v>
      </c>
      <c r="J24" s="233">
        <v>0</v>
      </c>
      <c r="K24" s="233">
        <v>0</v>
      </c>
      <c r="L24" s="225">
        <v>0</v>
      </c>
    </row>
    <row r="25" spans="1:12" ht="12.75">
      <c r="A25" s="215">
        <v>7</v>
      </c>
      <c r="B25" s="216" t="s">
        <v>302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8"/>
    </row>
    <row r="26" spans="1:12" ht="12.75">
      <c r="A26" s="211"/>
      <c r="B26" s="212" t="s">
        <v>303</v>
      </c>
      <c r="C26" s="219">
        <f>C20-C21</f>
        <v>-50000</v>
      </c>
      <c r="D26" s="219">
        <f aca="true" t="shared" si="7" ref="D26:L26">D20-D21</f>
        <v>-22000000.002884895</v>
      </c>
      <c r="E26" s="219">
        <f t="shared" si="7"/>
        <v>-31679999.998083472</v>
      </c>
      <c r="F26" s="219">
        <f t="shared" si="7"/>
        <v>-3599999.9961272627</v>
      </c>
      <c r="G26" s="219">
        <f t="shared" si="7"/>
        <v>-1000000.0007135328</v>
      </c>
      <c r="H26" s="219">
        <f t="shared" si="7"/>
        <v>0</v>
      </c>
      <c r="I26" s="219">
        <f t="shared" si="7"/>
        <v>0</v>
      </c>
      <c r="J26" s="219">
        <f t="shared" si="7"/>
        <v>0</v>
      </c>
      <c r="K26" s="219">
        <f t="shared" si="7"/>
        <v>0</v>
      </c>
      <c r="L26" s="220">
        <f t="shared" si="7"/>
        <v>0</v>
      </c>
    </row>
    <row r="27" spans="1:12" ht="12.75">
      <c r="A27" s="215">
        <v>8</v>
      </c>
      <c r="B27" s="216" t="s">
        <v>304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8"/>
    </row>
    <row r="28" spans="1:12" ht="12.75">
      <c r="A28" s="215"/>
      <c r="B28" s="216" t="s">
        <v>305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8"/>
    </row>
    <row r="29" spans="1:12" ht="13.5" thickBot="1">
      <c r="A29" s="234"/>
      <c r="B29" s="235" t="s">
        <v>306</v>
      </c>
      <c r="C29" s="236">
        <f>(C8+C15)/(C10+C21)</f>
        <v>0.9090909090909091</v>
      </c>
      <c r="D29" s="236">
        <f aca="true" t="shared" si="8" ref="D29:L29">(D8+D15)/(D10+D21)</f>
        <v>0.9090909090800717</v>
      </c>
      <c r="E29" s="236">
        <f t="shared" si="8"/>
        <v>0.9127272727320916</v>
      </c>
      <c r="F29" s="236">
        <f t="shared" si="8"/>
        <v>0.9090909091798149</v>
      </c>
      <c r="G29" s="236">
        <f t="shared" si="8"/>
        <v>0.9090909090319395</v>
      </c>
      <c r="H29" s="236" t="e">
        <f t="shared" si="8"/>
        <v>#DIV/0!</v>
      </c>
      <c r="I29" s="236" t="e">
        <f t="shared" si="8"/>
        <v>#DIV/0!</v>
      </c>
      <c r="J29" s="236" t="e">
        <f t="shared" si="8"/>
        <v>#DIV/0!</v>
      </c>
      <c r="K29" s="236" t="e">
        <f t="shared" si="8"/>
        <v>#DIV/0!</v>
      </c>
      <c r="L29" s="237" t="e">
        <f t="shared" si="8"/>
        <v>#DIV/0!</v>
      </c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3.5" thickBot="1">
      <c r="A31" s="926" t="s">
        <v>307</v>
      </c>
      <c r="B31" s="926"/>
      <c r="C31" s="926"/>
      <c r="D31" s="926"/>
      <c r="E31" s="926"/>
      <c r="F31" s="926"/>
      <c r="G31" s="926"/>
      <c r="H31" s="926"/>
      <c r="I31" s="926"/>
      <c r="J31" s="926"/>
      <c r="K31" s="926"/>
      <c r="L31" s="926"/>
    </row>
    <row r="32" spans="1:12" ht="12.75">
      <c r="A32" s="198"/>
      <c r="B32" s="199" t="s">
        <v>308</v>
      </c>
      <c r="C32" s="200" t="s">
        <v>309</v>
      </c>
      <c r="D32" s="201" t="s">
        <v>264</v>
      </c>
      <c r="E32" s="200" t="s">
        <v>265</v>
      </c>
      <c r="F32" s="201" t="s">
        <v>310</v>
      </c>
      <c r="G32" s="553" t="s">
        <v>364</v>
      </c>
      <c r="H32" s="200" t="s">
        <v>266</v>
      </c>
      <c r="I32" s="201" t="s">
        <v>267</v>
      </c>
      <c r="J32" s="200" t="s">
        <v>268</v>
      </c>
      <c r="K32" s="200" t="s">
        <v>311</v>
      </c>
      <c r="L32" s="202" t="s">
        <v>311</v>
      </c>
    </row>
    <row r="33" spans="1:12" ht="13.5" thickBot="1">
      <c r="A33" s="203"/>
      <c r="B33" s="204"/>
      <c r="C33" s="205" t="s">
        <v>312</v>
      </c>
      <c r="D33" s="195" t="s">
        <v>313</v>
      </c>
      <c r="E33" s="205"/>
      <c r="F33" s="195"/>
      <c r="G33" s="204" t="s">
        <v>365</v>
      </c>
      <c r="H33" s="205"/>
      <c r="I33" s="195"/>
      <c r="J33" s="205" t="s">
        <v>273</v>
      </c>
      <c r="K33" s="205"/>
      <c r="L33" s="206"/>
    </row>
    <row r="34" spans="1:12" ht="12.75">
      <c r="A34" s="207"/>
      <c r="B34" s="208"/>
      <c r="C34" s="209"/>
      <c r="D34" s="209"/>
      <c r="E34" s="209"/>
      <c r="F34" s="209"/>
      <c r="G34" s="209"/>
      <c r="H34" s="209"/>
      <c r="I34" s="209"/>
      <c r="J34" s="209"/>
      <c r="K34" s="209"/>
      <c r="L34" s="210"/>
    </row>
    <row r="35" spans="1:12" ht="12.75">
      <c r="A35" s="215">
        <v>1</v>
      </c>
      <c r="B35" s="238" t="s">
        <v>314</v>
      </c>
      <c r="C35" s="239">
        <f>+'PROGRAMA 2'!D189</f>
        <v>500000</v>
      </c>
      <c r="D35" s="239">
        <f>+'PROGRAMA 2'!D221</f>
        <v>220000000.00262263</v>
      </c>
      <c r="E35" s="239">
        <f>+'PROGRAMA 2'!D451</f>
        <v>329999999.9982577</v>
      </c>
      <c r="F35" s="239">
        <f>+'PROGRAMA 2'!D348</f>
        <v>35999999.99647933</v>
      </c>
      <c r="G35" s="239">
        <f>+'PROGRAMA 2'!D574</f>
        <v>10000000.000648666</v>
      </c>
      <c r="H35" s="239">
        <v>0</v>
      </c>
      <c r="I35" s="239"/>
      <c r="J35" s="239"/>
      <c r="K35" s="239"/>
      <c r="L35" s="240"/>
    </row>
    <row r="36" spans="1:12" ht="25.5">
      <c r="A36" s="241">
        <v>2</v>
      </c>
      <c r="B36" s="242" t="s">
        <v>315</v>
      </c>
      <c r="C36" s="219">
        <f>SUM(C37:C38)</f>
        <v>0</v>
      </c>
      <c r="D36" s="219">
        <f aca="true" t="shared" si="9" ref="D36:L36">SUM(D37:D38)</f>
        <v>0</v>
      </c>
      <c r="E36" s="219">
        <f t="shared" si="9"/>
        <v>0</v>
      </c>
      <c r="F36" s="219">
        <f t="shared" si="9"/>
        <v>0</v>
      </c>
      <c r="G36" s="219">
        <f t="shared" si="9"/>
        <v>0</v>
      </c>
      <c r="H36" s="219">
        <f t="shared" si="9"/>
        <v>0</v>
      </c>
      <c r="I36" s="219">
        <f t="shared" si="9"/>
        <v>0</v>
      </c>
      <c r="J36" s="219">
        <f t="shared" si="9"/>
        <v>0</v>
      </c>
      <c r="K36" s="219">
        <f t="shared" si="9"/>
        <v>0</v>
      </c>
      <c r="L36" s="220">
        <f t="shared" si="9"/>
        <v>0</v>
      </c>
    </row>
    <row r="37" spans="1:12" ht="25.5">
      <c r="A37" s="211"/>
      <c r="B37" s="243" t="s">
        <v>316</v>
      </c>
      <c r="C37" s="233"/>
      <c r="D37" s="233"/>
      <c r="E37" s="233">
        <v>0</v>
      </c>
      <c r="F37" s="233"/>
      <c r="G37" s="233"/>
      <c r="H37" s="233"/>
      <c r="I37" s="233"/>
      <c r="J37" s="233"/>
      <c r="K37" s="233"/>
      <c r="L37" s="225"/>
    </row>
    <row r="38" spans="1:12" ht="25.5">
      <c r="A38" s="211"/>
      <c r="B38" s="243" t="s">
        <v>317</v>
      </c>
      <c r="C38" s="244"/>
      <c r="D38" s="244"/>
      <c r="E38" s="244">
        <v>0</v>
      </c>
      <c r="F38" s="244">
        <v>0</v>
      </c>
      <c r="G38" s="244"/>
      <c r="H38" s="244"/>
      <c r="I38" s="244"/>
      <c r="J38" s="244"/>
      <c r="K38" s="244"/>
      <c r="L38" s="245"/>
    </row>
    <row r="39" spans="1:12" ht="12.75">
      <c r="A39" s="246">
        <v>5</v>
      </c>
      <c r="B39" s="247" t="s">
        <v>318</v>
      </c>
      <c r="C39" s="227">
        <f>C35-C36</f>
        <v>500000</v>
      </c>
      <c r="D39" s="227">
        <f aca="true" t="shared" si="10" ref="D39:L39">D35-D36</f>
        <v>220000000.00262263</v>
      </c>
      <c r="E39" s="227">
        <f t="shared" si="10"/>
        <v>329999999.9982577</v>
      </c>
      <c r="F39" s="227">
        <f t="shared" si="10"/>
        <v>35999999.99647933</v>
      </c>
      <c r="G39" s="227">
        <f t="shared" si="10"/>
        <v>10000000.000648666</v>
      </c>
      <c r="H39" s="227">
        <f t="shared" si="10"/>
        <v>0</v>
      </c>
      <c r="I39" s="227">
        <f t="shared" si="10"/>
        <v>0</v>
      </c>
      <c r="J39" s="227">
        <f t="shared" si="10"/>
        <v>0</v>
      </c>
      <c r="K39" s="227">
        <f t="shared" si="10"/>
        <v>0</v>
      </c>
      <c r="L39" s="228">
        <f t="shared" si="10"/>
        <v>0</v>
      </c>
    </row>
    <row r="40" spans="1:12" ht="12.75">
      <c r="A40" s="246">
        <v>6</v>
      </c>
      <c r="B40" s="247" t="s">
        <v>319</v>
      </c>
      <c r="C40" s="248">
        <f aca="true" t="shared" si="11" ref="C40:L40">C39*0.1</f>
        <v>50000</v>
      </c>
      <c r="D40" s="248">
        <f t="shared" si="11"/>
        <v>22000000.000262264</v>
      </c>
      <c r="E40" s="248">
        <f t="shared" si="11"/>
        <v>32999999.999825772</v>
      </c>
      <c r="F40" s="248">
        <f t="shared" si="11"/>
        <v>3599999.9996479335</v>
      </c>
      <c r="G40" s="248">
        <f t="shared" si="11"/>
        <v>1000000.0000648666</v>
      </c>
      <c r="H40" s="248">
        <f t="shared" si="11"/>
        <v>0</v>
      </c>
      <c r="I40" s="248">
        <f t="shared" si="11"/>
        <v>0</v>
      </c>
      <c r="J40" s="248">
        <f t="shared" si="11"/>
        <v>0</v>
      </c>
      <c r="K40" s="248">
        <f t="shared" si="11"/>
        <v>0</v>
      </c>
      <c r="L40" s="249">
        <f t="shared" si="11"/>
        <v>0</v>
      </c>
    </row>
    <row r="41" spans="1:12" ht="12.75">
      <c r="A41" s="215">
        <v>7</v>
      </c>
      <c r="B41" s="216" t="s">
        <v>320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22"/>
    </row>
    <row r="42" spans="1:12" ht="12.75">
      <c r="A42" s="215"/>
      <c r="B42" s="216" t="s">
        <v>321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22"/>
    </row>
    <row r="43" spans="1:12" ht="13.5" thickBot="1">
      <c r="A43" s="234"/>
      <c r="B43" s="235" t="s">
        <v>322</v>
      </c>
      <c r="C43" s="251">
        <f>C39+C40</f>
        <v>550000</v>
      </c>
      <c r="D43" s="251">
        <f aca="true" t="shared" si="12" ref="D43:L43">D39+D40</f>
        <v>242000000.0028849</v>
      </c>
      <c r="E43" s="251">
        <f t="shared" si="12"/>
        <v>362999999.9980835</v>
      </c>
      <c r="F43" s="251">
        <f t="shared" si="12"/>
        <v>39599999.99612726</v>
      </c>
      <c r="G43" s="251">
        <f t="shared" si="12"/>
        <v>11000000.000713533</v>
      </c>
      <c r="H43" s="251">
        <f t="shared" si="12"/>
        <v>0</v>
      </c>
      <c r="I43" s="251">
        <f t="shared" si="12"/>
        <v>0</v>
      </c>
      <c r="J43" s="251">
        <f t="shared" si="12"/>
        <v>0</v>
      </c>
      <c r="K43" s="251">
        <f t="shared" si="12"/>
        <v>0</v>
      </c>
      <c r="L43" s="252">
        <f t="shared" si="12"/>
        <v>0</v>
      </c>
    </row>
    <row r="44" spans="1:12" ht="12.75">
      <c r="A44" s="130"/>
      <c r="B44" s="19"/>
      <c r="C44" s="253"/>
      <c r="D44" s="253"/>
      <c r="E44" s="253"/>
      <c r="F44" s="253"/>
      <c r="G44" s="253"/>
      <c r="H44" s="253"/>
      <c r="I44" s="19"/>
      <c r="J44" s="19"/>
      <c r="K44" s="19"/>
      <c r="L44" s="19"/>
    </row>
    <row r="45" spans="1:12" ht="12.75">
      <c r="A45" s="254" t="s">
        <v>323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</row>
    <row r="46" spans="1:12" ht="12.75">
      <c r="A46" s="254" t="s">
        <v>324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</row>
    <row r="47" spans="1:12" ht="12.75">
      <c r="A47" s="254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</row>
    <row r="48" spans="1:12" ht="12.75">
      <c r="A48" s="254" t="s">
        <v>325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</row>
    <row r="49" spans="1:12" ht="12.75">
      <c r="A49" s="254" t="s">
        <v>326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</row>
    <row r="50" spans="1:12" ht="12.75">
      <c r="A50" s="254" t="s">
        <v>327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</row>
    <row r="51" spans="1:12" ht="12.75">
      <c r="A51" s="25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</row>
    <row r="52" spans="1:12" ht="12.75">
      <c r="A52" s="254" t="s">
        <v>328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</row>
    <row r="54" ht="12.75">
      <c r="A54" s="254" t="s">
        <v>422</v>
      </c>
    </row>
    <row r="55" ht="12.75">
      <c r="A55" s="254" t="s">
        <v>1687</v>
      </c>
    </row>
  </sheetData>
  <sheetProtection/>
  <mergeCells count="2">
    <mergeCell ref="A4:L4"/>
    <mergeCell ref="A31:L31"/>
  </mergeCells>
  <printOptions/>
  <pageMargins left="0.3937007874015748" right="0.3937007874015748" top="0" bottom="0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88"/>
  <sheetViews>
    <sheetView zoomScalePageLayoutView="0" workbookViewId="0" topLeftCell="A49">
      <selection activeCell="C28" sqref="C28"/>
    </sheetView>
  </sheetViews>
  <sheetFormatPr defaultColWidth="11.421875" defaultRowHeight="12.75"/>
  <cols>
    <col min="1" max="1" width="5.7109375" style="0" customWidth="1"/>
    <col min="2" max="2" width="45.7109375" style="0" customWidth="1"/>
    <col min="3" max="3" width="20.7109375" style="0" customWidth="1"/>
    <col min="4" max="4" width="10.7109375" style="0" customWidth="1"/>
    <col min="6" max="6" width="17.140625" style="0" bestFit="1" customWidth="1"/>
  </cols>
  <sheetData>
    <row r="6" spans="1:4" ht="18">
      <c r="A6" s="844" t="s">
        <v>808</v>
      </c>
      <c r="B6" s="844"/>
      <c r="C6" s="844"/>
      <c r="D6" s="844"/>
    </row>
    <row r="7" spans="1:4" ht="18">
      <c r="A7" s="844" t="s">
        <v>1658</v>
      </c>
      <c r="B7" s="844"/>
      <c r="C7" s="844"/>
      <c r="D7" s="844"/>
    </row>
    <row r="9" spans="1:4" ht="18">
      <c r="A9" s="845" t="s">
        <v>1011</v>
      </c>
      <c r="B9" s="845"/>
      <c r="C9" s="845"/>
      <c r="D9" s="845"/>
    </row>
    <row r="10" spans="1:4" ht="18">
      <c r="A10" s="845" t="s">
        <v>1012</v>
      </c>
      <c r="B10" s="845"/>
      <c r="C10" s="845"/>
      <c r="D10" s="845"/>
    </row>
    <row r="11" ht="13.5" thickBot="1"/>
    <row r="12" spans="1:6" ht="16.5" thickBot="1">
      <c r="A12" s="54"/>
      <c r="B12" s="816" t="s">
        <v>1010</v>
      </c>
      <c r="C12" s="817" t="e">
        <f>SUM(C14:C29)</f>
        <v>#REF!</v>
      </c>
      <c r="D12" s="818" t="e">
        <f>SUM(D14:D29)</f>
        <v>#REF!</v>
      </c>
      <c r="F12" s="3"/>
    </row>
    <row r="13" spans="1:4" ht="18">
      <c r="A13" s="60"/>
      <c r="B13" s="149"/>
      <c r="C13" s="150"/>
      <c r="D13" s="151"/>
    </row>
    <row r="14" spans="1:4" ht="15">
      <c r="A14" s="56">
        <v>0</v>
      </c>
      <c r="B14" s="45" t="s">
        <v>818</v>
      </c>
      <c r="C14" s="46">
        <f>C78+C143+C181</f>
        <v>997139653.1319783</v>
      </c>
      <c r="D14" s="47" t="e">
        <f>C14/C12</f>
        <v>#REF!</v>
      </c>
    </row>
    <row r="15" spans="1:4" ht="15">
      <c r="A15" s="56"/>
      <c r="B15" s="45"/>
      <c r="C15" s="46"/>
      <c r="D15" s="47"/>
    </row>
    <row r="16" spans="1:4" ht="15">
      <c r="A16" s="56">
        <v>1</v>
      </c>
      <c r="B16" s="45" t="s">
        <v>852</v>
      </c>
      <c r="C16" s="46">
        <f>C80+C145+C183</f>
        <v>524080702.3</v>
      </c>
      <c r="D16" s="47" t="e">
        <f>C16/C12</f>
        <v>#REF!</v>
      </c>
    </row>
    <row r="17" spans="1:4" ht="15">
      <c r="A17" s="56"/>
      <c r="B17" s="45"/>
      <c r="C17" s="46"/>
      <c r="D17" s="47"/>
    </row>
    <row r="18" spans="1:4" ht="15">
      <c r="A18" s="56">
        <v>2</v>
      </c>
      <c r="B18" s="45" t="s">
        <v>874</v>
      </c>
      <c r="C18" s="46">
        <f>C82+C147</f>
        <v>76270118.09</v>
      </c>
      <c r="D18" s="47" t="e">
        <f>C18/C12</f>
        <v>#REF!</v>
      </c>
    </row>
    <row r="19" spans="1:4" ht="15">
      <c r="A19" s="56"/>
      <c r="B19" s="45"/>
      <c r="C19" s="46"/>
      <c r="D19" s="47"/>
    </row>
    <row r="20" spans="1:4" ht="15">
      <c r="A20" s="56">
        <v>3</v>
      </c>
      <c r="B20" s="45" t="s">
        <v>896</v>
      </c>
      <c r="C20" s="46">
        <f>C84+C149</f>
        <v>2694612.9899999998</v>
      </c>
      <c r="D20" s="47" t="e">
        <f>C20/C12</f>
        <v>#REF!</v>
      </c>
    </row>
    <row r="21" spans="1:4" ht="15">
      <c r="A21" s="56"/>
      <c r="B21" s="45"/>
      <c r="C21" s="46"/>
      <c r="D21" s="47"/>
    </row>
    <row r="22" spans="1:4" ht="15">
      <c r="A22" s="56">
        <v>5</v>
      </c>
      <c r="B22" s="45" t="s">
        <v>898</v>
      </c>
      <c r="C22" s="46" t="e">
        <f>C86+C151+C185</f>
        <v>#REF!</v>
      </c>
      <c r="D22" s="47" t="e">
        <f>C22/C12</f>
        <v>#REF!</v>
      </c>
    </row>
    <row r="23" spans="1:4" ht="15">
      <c r="A23" s="56"/>
      <c r="B23" s="45"/>
      <c r="C23" s="46"/>
      <c r="D23" s="47"/>
    </row>
    <row r="24" spans="1:4" ht="15">
      <c r="A24" s="56">
        <v>6</v>
      </c>
      <c r="B24" s="45" t="s">
        <v>797</v>
      </c>
      <c r="C24" s="46">
        <f>C88+C153</f>
        <v>208496256.2682</v>
      </c>
      <c r="D24" s="47" t="e">
        <f>C24/C12</f>
        <v>#REF!</v>
      </c>
    </row>
    <row r="25" spans="1:4" ht="15">
      <c r="A25" s="56"/>
      <c r="B25" s="45"/>
      <c r="C25" s="46"/>
      <c r="D25" s="47"/>
    </row>
    <row r="26" spans="1:4" ht="15">
      <c r="A26" s="44">
        <v>8</v>
      </c>
      <c r="B26" s="74" t="s">
        <v>1009</v>
      </c>
      <c r="C26" s="46">
        <f>C90+C155</f>
        <v>16577866.79</v>
      </c>
      <c r="D26" s="47" t="e">
        <f>C26/C12</f>
        <v>#REF!</v>
      </c>
    </row>
    <row r="27" spans="1:4" ht="15">
      <c r="A27" s="44"/>
      <c r="B27" s="74"/>
      <c r="C27" s="46"/>
      <c r="D27" s="47"/>
    </row>
    <row r="28" spans="1:4" ht="15">
      <c r="A28" s="44">
        <v>9</v>
      </c>
      <c r="B28" s="112" t="s">
        <v>166</v>
      </c>
      <c r="C28" s="46">
        <f>C187+C92</f>
        <v>13217204.21</v>
      </c>
      <c r="D28" s="47" t="e">
        <f>C28/C12</f>
        <v>#REF!</v>
      </c>
    </row>
    <row r="29" spans="1:4" ht="15.75" thickBot="1">
      <c r="A29" s="48"/>
      <c r="B29" s="84"/>
      <c r="C29" s="50"/>
      <c r="D29" s="51"/>
    </row>
    <row r="30" spans="1:3" ht="12.75">
      <c r="A30" s="39"/>
      <c r="C30" s="3"/>
    </row>
    <row r="31" spans="1:3" ht="12.75">
      <c r="A31" s="39"/>
      <c r="C31" s="3"/>
    </row>
    <row r="32" spans="1:3" ht="12.75">
      <c r="A32" s="39"/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57" spans="1:4" ht="18">
      <c r="A57" s="844" t="s">
        <v>808</v>
      </c>
      <c r="B57" s="844"/>
      <c r="C57" s="844"/>
      <c r="D57" s="844"/>
    </row>
    <row r="58" spans="1:4" ht="18">
      <c r="A58" s="844" t="s">
        <v>1658</v>
      </c>
      <c r="B58" s="844"/>
      <c r="C58" s="844"/>
      <c r="D58" s="844"/>
    </row>
    <row r="60" spans="1:4" ht="18">
      <c r="A60" s="845" t="s">
        <v>1025</v>
      </c>
      <c r="B60" s="845"/>
      <c r="C60" s="845"/>
      <c r="D60" s="845"/>
    </row>
    <row r="61" ht="13.5" thickBot="1"/>
    <row r="62" spans="1:4" ht="16.5" thickBot="1">
      <c r="A62" s="54" t="s">
        <v>761</v>
      </c>
      <c r="B62" s="71" t="s">
        <v>1026</v>
      </c>
      <c r="C62" s="72" t="s">
        <v>1027</v>
      </c>
      <c r="D62" s="70" t="s">
        <v>1028</v>
      </c>
    </row>
    <row r="63" spans="1:4" ht="12.75">
      <c r="A63" s="79"/>
      <c r="B63" s="41"/>
      <c r="C63" s="73"/>
      <c r="D63" s="80"/>
    </row>
    <row r="64" spans="1:4" ht="15">
      <c r="A64" s="85" t="s">
        <v>1029</v>
      </c>
      <c r="B64" s="45" t="s">
        <v>1030</v>
      </c>
      <c r="C64" s="46">
        <f>+'PROGRAMA 1'!D278</f>
        <v>713962425.3433367</v>
      </c>
      <c r="D64" s="47">
        <f>C64/C70</f>
        <v>0.7532186630714466</v>
      </c>
    </row>
    <row r="65" spans="1:4" ht="15">
      <c r="A65" s="57"/>
      <c r="B65" s="41"/>
      <c r="C65" s="74"/>
      <c r="D65" s="47"/>
    </row>
    <row r="66" spans="1:4" ht="15">
      <c r="A66" s="85" t="s">
        <v>1031</v>
      </c>
      <c r="B66" s="45" t="s">
        <v>1032</v>
      </c>
      <c r="C66" s="46">
        <f>+'PROGRAMA 1'!D316</f>
        <v>27119500.3754</v>
      </c>
      <c r="D66" s="47">
        <f>C66/C70</f>
        <v>0.028610628642118392</v>
      </c>
    </row>
    <row r="67" spans="1:4" ht="15">
      <c r="A67" s="81"/>
      <c r="B67" s="41"/>
      <c r="C67" s="74"/>
      <c r="D67" s="47"/>
    </row>
    <row r="68" spans="1:4" ht="15">
      <c r="A68" s="85" t="s">
        <v>1033</v>
      </c>
      <c r="B68" s="41" t="s">
        <v>1037</v>
      </c>
      <c r="C68" s="46">
        <f>+'PROGRAMA 1'!D356</f>
        <v>206800090.94820002</v>
      </c>
      <c r="D68" s="47">
        <f>C68/C70</f>
        <v>0.21817070828643506</v>
      </c>
    </row>
    <row r="69" spans="1:4" ht="15.75" thickBot="1">
      <c r="A69" s="82"/>
      <c r="B69" s="83"/>
      <c r="C69" s="84"/>
      <c r="D69" s="51"/>
    </row>
    <row r="70" spans="1:4" ht="16.5" thickBot="1">
      <c r="A70" s="39"/>
      <c r="B70" s="77" t="s">
        <v>1020</v>
      </c>
      <c r="C70" s="88">
        <f>SUM(C64:C68)</f>
        <v>947882016.6669366</v>
      </c>
      <c r="D70" s="78">
        <f>SUM(D64:D68)</f>
        <v>1</v>
      </c>
    </row>
    <row r="71" ht="12.75">
      <c r="A71" s="39"/>
    </row>
    <row r="72" ht="12.75">
      <c r="A72" s="39"/>
    </row>
    <row r="73" spans="1:4" ht="12.75">
      <c r="A73" s="62"/>
      <c r="B73" s="62"/>
      <c r="C73" s="62"/>
      <c r="D73" s="62"/>
    </row>
    <row r="74" spans="1:4" ht="18">
      <c r="A74" s="845" t="s">
        <v>1013</v>
      </c>
      <c r="B74" s="845"/>
      <c r="C74" s="845"/>
      <c r="D74" s="845"/>
    </row>
    <row r="75" ht="13.5" thickBot="1"/>
    <row r="76" spans="1:4" ht="16.5" thickBot="1">
      <c r="A76" s="54"/>
      <c r="B76" s="819" t="s">
        <v>1014</v>
      </c>
      <c r="C76" s="820" t="e">
        <f>SUM(C78:C92)</f>
        <v>#REF!</v>
      </c>
      <c r="D76" s="821" t="e">
        <f>SUM(D78:D92)</f>
        <v>#REF!</v>
      </c>
    </row>
    <row r="77" spans="1:4" ht="15">
      <c r="A77" s="382"/>
      <c r="B77" s="384"/>
      <c r="C77" s="53"/>
      <c r="D77" s="380"/>
    </row>
    <row r="78" spans="1:4" ht="15">
      <c r="A78" s="44">
        <v>0</v>
      </c>
      <c r="B78" s="385" t="s">
        <v>818</v>
      </c>
      <c r="C78" s="53">
        <f>+'PROGRAMA 1'!D5</f>
        <v>638273136.4987366</v>
      </c>
      <c r="D78" s="380" t="e">
        <f>C78/C76</f>
        <v>#REF!</v>
      </c>
    </row>
    <row r="79" spans="1:4" ht="15">
      <c r="A79" s="44"/>
      <c r="B79" s="385"/>
      <c r="C79" s="53"/>
      <c r="D79" s="380"/>
    </row>
    <row r="80" spans="1:4" ht="15">
      <c r="A80" s="44">
        <v>1</v>
      </c>
      <c r="B80" s="385" t="s">
        <v>852</v>
      </c>
      <c r="C80" s="53">
        <f>+'PROGRAMA 1'!D31</f>
        <v>90278859.4</v>
      </c>
      <c r="D80" s="380" t="e">
        <f>C80/C76</f>
        <v>#REF!</v>
      </c>
    </row>
    <row r="81" spans="1:4" ht="15">
      <c r="A81" s="44"/>
      <c r="B81" s="385"/>
      <c r="C81" s="53"/>
      <c r="D81" s="380"/>
    </row>
    <row r="82" spans="1:4" ht="15">
      <c r="A82" s="44">
        <v>2</v>
      </c>
      <c r="B82" s="385" t="s">
        <v>874</v>
      </c>
      <c r="C82" s="53">
        <f>+'PROGRAMA 1'!D78</f>
        <v>10700000</v>
      </c>
      <c r="D82" s="380" t="e">
        <f>C82/C76</f>
        <v>#REF!</v>
      </c>
    </row>
    <row r="83" spans="1:4" ht="15">
      <c r="A83" s="44"/>
      <c r="B83" s="385"/>
      <c r="C83" s="53"/>
      <c r="D83" s="380"/>
    </row>
    <row r="84" spans="1:4" ht="15">
      <c r="A84" s="44">
        <v>3</v>
      </c>
      <c r="B84" s="385" t="s">
        <v>896</v>
      </c>
      <c r="C84" s="53">
        <f>+'PROGRAMA 1'!D103</f>
        <v>2643142.59</v>
      </c>
      <c r="D84" s="380" t="e">
        <f>C84/C76</f>
        <v>#REF!</v>
      </c>
    </row>
    <row r="85" spans="1:4" ht="15">
      <c r="A85" s="44"/>
      <c r="B85" s="385"/>
      <c r="C85" s="53"/>
      <c r="D85" s="380"/>
    </row>
    <row r="86" spans="1:4" ht="15">
      <c r="A86" s="44">
        <v>5</v>
      </c>
      <c r="B86" s="385" t="s">
        <v>898</v>
      </c>
      <c r="C86" s="53" t="e">
        <f>+'PROGRAMA 1'!#REF!</f>
        <v>#REF!</v>
      </c>
      <c r="D86" s="380" t="e">
        <f>C86/C76</f>
        <v>#REF!</v>
      </c>
    </row>
    <row r="87" spans="1:4" ht="12.75">
      <c r="A87" s="383"/>
      <c r="B87" s="386"/>
      <c r="C87" s="20"/>
      <c r="D87" s="381"/>
    </row>
    <row r="88" spans="1:4" ht="15">
      <c r="A88" s="44">
        <v>6</v>
      </c>
      <c r="B88" s="385" t="s">
        <v>797</v>
      </c>
      <c r="C88" s="53">
        <f>+'PROGRAMA 1'!D108</f>
        <v>189746256.2682</v>
      </c>
      <c r="D88" s="380" t="e">
        <f>C88/C76</f>
        <v>#REF!</v>
      </c>
    </row>
    <row r="89" spans="1:4" ht="12.75">
      <c r="A89" s="383"/>
      <c r="B89" s="386"/>
      <c r="C89" s="20"/>
      <c r="D89" s="381"/>
    </row>
    <row r="90" spans="1:4" ht="15">
      <c r="A90" s="597">
        <v>8</v>
      </c>
      <c r="B90" s="598" t="s">
        <v>1009</v>
      </c>
      <c r="C90" s="599">
        <f>+'PROGRAMA 1'!D136</f>
        <v>14410692.09</v>
      </c>
      <c r="D90" s="600" t="e">
        <f>C90/C76</f>
        <v>#REF!</v>
      </c>
    </row>
    <row r="91" spans="1:4" ht="15">
      <c r="A91" s="597"/>
      <c r="B91" s="598"/>
      <c r="C91" s="599"/>
      <c r="D91" s="600"/>
    </row>
    <row r="92" spans="1:4" ht="15.75" thickBot="1">
      <c r="A92" s="639">
        <v>9</v>
      </c>
      <c r="B92" s="640" t="s">
        <v>166</v>
      </c>
      <c r="C92" s="641">
        <f>+'PROGRAMA 1'!D141</f>
        <v>1829929.82</v>
      </c>
      <c r="D92" s="642" t="e">
        <f>C92/C76</f>
        <v>#REF!</v>
      </c>
    </row>
    <row r="93" spans="1:4" ht="15">
      <c r="A93" s="63"/>
      <c r="B93" s="52"/>
      <c r="C93" s="53"/>
      <c r="D93" s="64"/>
    </row>
    <row r="94" spans="1:4" ht="15">
      <c r="A94" s="63"/>
      <c r="B94" s="52"/>
      <c r="C94" s="53"/>
      <c r="D94" s="64"/>
    </row>
    <row r="95" spans="1:4" ht="15">
      <c r="A95" s="63"/>
      <c r="B95" s="52"/>
      <c r="C95" s="53"/>
      <c r="D95" s="64"/>
    </row>
    <row r="96" spans="1:4" ht="15">
      <c r="A96" s="63"/>
      <c r="B96" s="52"/>
      <c r="C96" s="53"/>
      <c r="D96" s="64"/>
    </row>
    <row r="97" spans="1:4" ht="15">
      <c r="A97" s="63"/>
      <c r="B97" s="52"/>
      <c r="C97" s="53"/>
      <c r="D97" s="64"/>
    </row>
    <row r="98" spans="1:4" ht="15">
      <c r="A98" s="63"/>
      <c r="B98" s="52"/>
      <c r="C98" s="53"/>
      <c r="D98" s="64"/>
    </row>
    <row r="99" spans="1:4" ht="15">
      <c r="A99" s="63"/>
      <c r="B99" s="52"/>
      <c r="C99" s="53"/>
      <c r="D99" s="64"/>
    </row>
    <row r="100" spans="1:4" ht="15">
      <c r="A100" s="63"/>
      <c r="B100" s="52"/>
      <c r="C100" s="53"/>
      <c r="D100" s="64"/>
    </row>
    <row r="101" spans="1:4" ht="15">
      <c r="A101" s="63"/>
      <c r="B101" s="52"/>
      <c r="C101" s="53"/>
      <c r="D101" s="64"/>
    </row>
    <row r="102" spans="1:4" ht="15">
      <c r="A102" s="63"/>
      <c r="B102" s="52"/>
      <c r="C102" s="53"/>
      <c r="D102" s="64"/>
    </row>
    <row r="103" spans="1:4" ht="15">
      <c r="A103" s="63"/>
      <c r="B103" s="52"/>
      <c r="C103" s="53"/>
      <c r="D103" s="64"/>
    </row>
    <row r="104" spans="1:4" ht="15">
      <c r="A104" s="63"/>
      <c r="B104" s="52"/>
      <c r="C104" s="53"/>
      <c r="D104" s="64"/>
    </row>
    <row r="105" spans="1:4" ht="15">
      <c r="A105" s="63"/>
      <c r="B105" s="52"/>
      <c r="C105" s="53"/>
      <c r="D105" s="64"/>
    </row>
    <row r="106" spans="1:4" ht="15">
      <c r="A106" s="63"/>
      <c r="B106" s="52"/>
      <c r="C106" s="53"/>
      <c r="D106" s="64"/>
    </row>
    <row r="107" spans="1:4" ht="15">
      <c r="A107" s="63"/>
      <c r="B107" s="52"/>
      <c r="C107" s="53"/>
      <c r="D107" s="64"/>
    </row>
    <row r="108" spans="1:4" ht="15">
      <c r="A108" s="63"/>
      <c r="B108" s="52"/>
      <c r="C108" s="53"/>
      <c r="D108" s="64"/>
    </row>
    <row r="109" spans="1:4" ht="15">
      <c r="A109" s="63"/>
      <c r="B109" s="52"/>
      <c r="C109" s="53"/>
      <c r="D109" s="64"/>
    </row>
    <row r="110" spans="1:4" ht="18">
      <c r="A110" s="844" t="s">
        <v>808</v>
      </c>
      <c r="B110" s="844"/>
      <c r="C110" s="844"/>
      <c r="D110" s="844"/>
    </row>
    <row r="111" spans="1:4" ht="18">
      <c r="A111" s="844" t="s">
        <v>1658</v>
      </c>
      <c r="B111" s="844"/>
      <c r="C111" s="844"/>
      <c r="D111" s="844"/>
    </row>
    <row r="112" spans="1:4" ht="18.75" thickBot="1">
      <c r="A112" s="845" t="s">
        <v>1038</v>
      </c>
      <c r="B112" s="845"/>
      <c r="C112" s="845"/>
      <c r="D112" s="845"/>
    </row>
    <row r="113" spans="1:4" ht="16.5" thickBot="1">
      <c r="A113" s="54" t="s">
        <v>761</v>
      </c>
      <c r="B113" s="71" t="s">
        <v>1026</v>
      </c>
      <c r="C113" s="72" t="s">
        <v>1027</v>
      </c>
      <c r="D113" s="70" t="s">
        <v>1028</v>
      </c>
    </row>
    <row r="114" spans="1:4" ht="15.75">
      <c r="A114" s="86"/>
      <c r="B114" s="458"/>
      <c r="C114" s="459"/>
      <c r="D114" s="460"/>
    </row>
    <row r="115" spans="1:4" ht="15">
      <c r="A115" s="85" t="s">
        <v>1029</v>
      </c>
      <c r="B115" s="516" t="s">
        <v>355</v>
      </c>
      <c r="C115" s="517">
        <f>+'PROGRAMA 2'!D189</f>
        <v>500000</v>
      </c>
      <c r="D115" s="518">
        <f>C115/C136</f>
        <v>0.0005873535227032676</v>
      </c>
    </row>
    <row r="116" spans="1:4" ht="15.75">
      <c r="A116" s="85"/>
      <c r="B116" s="513"/>
      <c r="C116" s="514"/>
      <c r="D116" s="515"/>
    </row>
    <row r="117" spans="1:4" ht="15">
      <c r="A117" s="85" t="s">
        <v>1031</v>
      </c>
      <c r="B117" s="45" t="s">
        <v>1062</v>
      </c>
      <c r="C117" s="46">
        <f>+'PROGRAMA 2'!D221</f>
        <v>220000000.00262263</v>
      </c>
      <c r="D117" s="47">
        <f>C117/C136</f>
        <v>0.25843554999251855</v>
      </c>
    </row>
    <row r="118" spans="1:4" ht="15">
      <c r="A118" s="85"/>
      <c r="B118" s="45"/>
      <c r="C118" s="46"/>
      <c r="D118" s="47"/>
    </row>
    <row r="119" spans="1:4" ht="15">
      <c r="A119" s="85" t="s">
        <v>1063</v>
      </c>
      <c r="B119" s="45" t="s">
        <v>1064</v>
      </c>
      <c r="C119" s="46">
        <f>+'PROGRAMA 2'!D310</f>
        <v>182512782.118684</v>
      </c>
      <c r="D119" s="47">
        <f>C119/C136</f>
        <v>0.21439905103156598</v>
      </c>
    </row>
    <row r="120" spans="1:4" ht="15">
      <c r="A120" s="85"/>
      <c r="B120" s="45"/>
      <c r="C120" s="46"/>
      <c r="D120" s="47"/>
    </row>
    <row r="121" spans="1:4" ht="15">
      <c r="A121" s="85" t="s">
        <v>1033</v>
      </c>
      <c r="B121" s="45" t="s">
        <v>1065</v>
      </c>
      <c r="C121" s="46">
        <f>+'PROGRAMA 2'!D348</f>
        <v>35999999.99647933</v>
      </c>
      <c r="D121" s="47">
        <f>C121/C136</f>
        <v>0.04228945363049951</v>
      </c>
    </row>
    <row r="122" spans="1:4" ht="15">
      <c r="A122" s="85"/>
      <c r="B122" s="45"/>
      <c r="C122" s="46"/>
      <c r="D122" s="47"/>
    </row>
    <row r="123" spans="1:4" ht="15">
      <c r="A123" s="85" t="s">
        <v>1066</v>
      </c>
      <c r="B123" s="45" t="s">
        <v>1067</v>
      </c>
      <c r="C123" s="46">
        <f>+'PROGRAMA 2'!D451</f>
        <v>329999999.9982577</v>
      </c>
      <c r="D123" s="47">
        <f>C123/C136</f>
        <v>0.3876533249821099</v>
      </c>
    </row>
    <row r="124" spans="1:4" ht="15">
      <c r="A124" s="85"/>
      <c r="B124" s="45"/>
      <c r="C124" s="46"/>
      <c r="D124" s="47"/>
    </row>
    <row r="125" spans="1:4" ht="15">
      <c r="A125" s="645" t="s">
        <v>1647</v>
      </c>
      <c r="B125" s="511" t="s">
        <v>1648</v>
      </c>
      <c r="C125" s="46">
        <f>+'PROGRAMA 2'!D458</f>
        <v>5000000</v>
      </c>
      <c r="D125" s="47">
        <f>C125/C136</f>
        <v>0.005873535227032676</v>
      </c>
    </row>
    <row r="126" spans="1:4" ht="15">
      <c r="A126" s="85"/>
      <c r="B126" s="45"/>
      <c r="C126" s="46"/>
      <c r="D126" s="47"/>
    </row>
    <row r="127" spans="1:4" ht="15">
      <c r="A127" s="85" t="s">
        <v>737</v>
      </c>
      <c r="B127" s="45" t="s">
        <v>738</v>
      </c>
      <c r="C127" s="46">
        <f>+'PROGRAMA 2'!D521</f>
        <v>63279290.424378</v>
      </c>
      <c r="D127" s="47">
        <f>C127/C136</f>
        <v>0.07433462828984314</v>
      </c>
    </row>
    <row r="128" spans="1:4" ht="15">
      <c r="A128" s="85"/>
      <c r="B128" s="45"/>
      <c r="C128" s="46"/>
      <c r="D128" s="47"/>
    </row>
    <row r="129" spans="1:4" ht="15">
      <c r="A129" s="85" t="s">
        <v>356</v>
      </c>
      <c r="B129" s="45" t="s">
        <v>357</v>
      </c>
      <c r="C129" s="46">
        <f>+'PROGRAMA 2'!D574</f>
        <v>10000000.000648666</v>
      </c>
      <c r="D129" s="47">
        <f>C129/C136</f>
        <v>0.011747070454827344</v>
      </c>
    </row>
    <row r="130" spans="1:4" ht="15">
      <c r="A130" s="85"/>
      <c r="B130" s="45"/>
      <c r="C130" s="46"/>
      <c r="D130" s="47"/>
    </row>
    <row r="131" spans="1:4" ht="15">
      <c r="A131" s="85" t="s">
        <v>739</v>
      </c>
      <c r="B131" s="45" t="s">
        <v>740</v>
      </c>
      <c r="C131" s="46">
        <f>+'PROGRAMA 2'!D589</f>
        <v>534000</v>
      </c>
      <c r="D131" s="47">
        <f>C131/C136</f>
        <v>0.0006272935622470897</v>
      </c>
    </row>
    <row r="132" spans="1:4" ht="15">
      <c r="A132" s="85"/>
      <c r="B132" s="45"/>
      <c r="C132" s="46"/>
      <c r="D132" s="47"/>
    </row>
    <row r="133" spans="1:4" ht="15">
      <c r="A133" s="85" t="s">
        <v>1068</v>
      </c>
      <c r="B133" s="45" t="s">
        <v>1069</v>
      </c>
      <c r="C133" s="46">
        <f>+'PROGRAMA 2'!D611</f>
        <v>2450000</v>
      </c>
      <c r="D133" s="47">
        <f>C133/C136</f>
        <v>0.002878032261246011</v>
      </c>
    </row>
    <row r="134" spans="1:4" ht="15">
      <c r="A134" s="85"/>
      <c r="B134" s="45"/>
      <c r="C134" s="46"/>
      <c r="D134" s="47"/>
    </row>
    <row r="135" spans="1:4" ht="15.75" thickBot="1">
      <c r="A135" s="87" t="s">
        <v>225</v>
      </c>
      <c r="B135" s="49" t="s">
        <v>226</v>
      </c>
      <c r="C135" s="50">
        <f>+'PROGRAMA 2'!D620</f>
        <v>1000000</v>
      </c>
      <c r="D135" s="51">
        <f>C135/C136</f>
        <v>0.0011747070454065352</v>
      </c>
    </row>
    <row r="136" spans="1:4" ht="16.5" thickBot="1">
      <c r="A136" s="76"/>
      <c r="B136" s="456" t="s">
        <v>1022</v>
      </c>
      <c r="C136" s="457">
        <f>SUM(C115:C135)</f>
        <v>851276072.5410703</v>
      </c>
      <c r="D136" s="78">
        <f>SUM(D115:D135)</f>
        <v>1.0000000000000002</v>
      </c>
    </row>
    <row r="137" spans="1:4" ht="15.75">
      <c r="A137" s="76"/>
      <c r="B137" s="607"/>
      <c r="C137" s="608"/>
      <c r="D137" s="609"/>
    </row>
    <row r="138" spans="1:6" ht="15.75">
      <c r="A138" s="76"/>
      <c r="B138" s="607"/>
      <c r="C138" s="608"/>
      <c r="D138" s="609"/>
      <c r="F138" s="3"/>
    </row>
    <row r="139" spans="1:4" ht="15">
      <c r="A139" s="76"/>
      <c r="B139" s="52"/>
      <c r="C139" s="53"/>
      <c r="D139" s="64"/>
    </row>
    <row r="140" spans="1:4" ht="18.75" thickBot="1">
      <c r="A140" s="845" t="s">
        <v>1015</v>
      </c>
      <c r="B140" s="845"/>
      <c r="C140" s="845"/>
      <c r="D140" s="845"/>
    </row>
    <row r="141" spans="1:4" ht="16.5" thickBot="1">
      <c r="A141" s="822" t="s">
        <v>761</v>
      </c>
      <c r="B141" s="816" t="s">
        <v>1016</v>
      </c>
      <c r="C141" s="817">
        <f>SUM(C143:C156)</f>
        <v>851276072.5410703</v>
      </c>
      <c r="D141" s="818">
        <f>SUM(D143:D156)</f>
        <v>1</v>
      </c>
    </row>
    <row r="142" spans="1:4" ht="15">
      <c r="A142" s="92"/>
      <c r="B142" s="156"/>
      <c r="C142" s="157"/>
      <c r="D142" s="91"/>
    </row>
    <row r="143" spans="1:4" ht="15">
      <c r="A143" s="56">
        <v>0</v>
      </c>
      <c r="B143" s="45" t="s">
        <v>818</v>
      </c>
      <c r="C143" s="46">
        <f>+'PROGRAMA 2'!D5</f>
        <v>295613071.8510703</v>
      </c>
      <c r="D143" s="47">
        <f>C143/C141</f>
        <v>0.34725875821772056</v>
      </c>
    </row>
    <row r="144" spans="1:4" ht="15">
      <c r="A144" s="56"/>
      <c r="B144" s="45"/>
      <c r="C144" s="46"/>
      <c r="D144" s="47"/>
    </row>
    <row r="145" spans="1:4" ht="15">
      <c r="A145" s="56">
        <v>1</v>
      </c>
      <c r="B145" s="45" t="s">
        <v>852</v>
      </c>
      <c r="C145" s="46">
        <f>+'PROGRAMA 2'!D29</f>
        <v>342724241.08000004</v>
      </c>
      <c r="D145" s="47">
        <f>C145/C141</f>
        <v>0.4026005806282839</v>
      </c>
    </row>
    <row r="146" spans="1:4" ht="15">
      <c r="A146" s="56"/>
      <c r="B146" s="45"/>
      <c r="C146" s="46"/>
      <c r="D146" s="47"/>
    </row>
    <row r="147" spans="1:4" ht="15">
      <c r="A147" s="56">
        <v>2</v>
      </c>
      <c r="B147" s="45" t="s">
        <v>874</v>
      </c>
      <c r="C147" s="46">
        <f>+'PROGRAMA 2'!D73</f>
        <v>65570118.09</v>
      </c>
      <c r="D147" s="47">
        <f>C147/C141</f>
        <v>0.07702567968846151</v>
      </c>
    </row>
    <row r="148" spans="1:4" ht="15">
      <c r="A148" s="56"/>
      <c r="B148" s="45"/>
      <c r="C148" s="46"/>
      <c r="D148" s="47"/>
    </row>
    <row r="149" spans="1:4" ht="15">
      <c r="A149" s="56">
        <v>3</v>
      </c>
      <c r="B149" s="45" t="s">
        <v>896</v>
      </c>
      <c r="C149" s="46">
        <f>+'PROGRAMA 2'!D105</f>
        <v>51470.4</v>
      </c>
      <c r="D149" s="47">
        <f>C149/C141</f>
        <v>6.046264150989253E-05</v>
      </c>
    </row>
    <row r="150" spans="1:4" ht="15">
      <c r="A150" s="56"/>
      <c r="B150" s="45"/>
      <c r="C150" s="46"/>
      <c r="D150" s="47"/>
    </row>
    <row r="151" spans="1:4" ht="15">
      <c r="A151" s="56">
        <v>5</v>
      </c>
      <c r="B151" s="74" t="s">
        <v>898</v>
      </c>
      <c r="C151" s="46">
        <f>+'PROGRAMA 2'!D110</f>
        <v>126399996.42</v>
      </c>
      <c r="D151" s="47">
        <f>C151/C141</f>
        <v>0.14848296633393482</v>
      </c>
    </row>
    <row r="152" spans="1:4" ht="15">
      <c r="A152" s="56"/>
      <c r="B152" s="74"/>
      <c r="C152" s="46"/>
      <c r="D152" s="47"/>
    </row>
    <row r="153" spans="1:4" ht="15">
      <c r="A153" s="56">
        <v>6</v>
      </c>
      <c r="B153" s="74" t="s">
        <v>797</v>
      </c>
      <c r="C153" s="46">
        <f>+'PROGRAMA 2'!D121</f>
        <v>18750000</v>
      </c>
      <c r="D153" s="47">
        <f>C153/C141</f>
        <v>0.022025757101372532</v>
      </c>
    </row>
    <row r="154" spans="1:4" ht="15">
      <c r="A154" s="56"/>
      <c r="B154" s="74"/>
      <c r="C154" s="46"/>
      <c r="D154" s="47"/>
    </row>
    <row r="155" spans="1:4" ht="15">
      <c r="A155" s="627">
        <v>8</v>
      </c>
      <c r="B155" s="52" t="s">
        <v>1009</v>
      </c>
      <c r="C155" s="46">
        <f>+'PROGRAMA 2'!D125</f>
        <v>2167174.7</v>
      </c>
      <c r="D155" s="47">
        <f>C155/C141</f>
        <v>0.0025457953887167944</v>
      </c>
    </row>
    <row r="156" spans="1:4" ht="15.75" thickBot="1">
      <c r="A156" s="643"/>
      <c r="B156" s="644"/>
      <c r="C156" s="50"/>
      <c r="D156" s="51"/>
    </row>
    <row r="157" spans="1:4" ht="15">
      <c r="A157" s="63"/>
      <c r="B157" s="52"/>
      <c r="C157" s="53"/>
      <c r="D157" s="64"/>
    </row>
    <row r="158" spans="1:4" ht="15">
      <c r="A158" s="63"/>
      <c r="B158" s="52"/>
      <c r="C158" s="53"/>
      <c r="D158" s="64"/>
    </row>
    <row r="159" spans="1:4" ht="15">
      <c r="A159" s="63"/>
      <c r="B159" s="52"/>
      <c r="C159" s="53"/>
      <c r="D159" s="64"/>
    </row>
    <row r="160" spans="1:4" ht="15">
      <c r="A160" s="63"/>
      <c r="B160" s="52"/>
      <c r="C160" s="53"/>
      <c r="D160" s="64"/>
    </row>
    <row r="161" spans="1:4" ht="18">
      <c r="A161" s="844" t="s">
        <v>808</v>
      </c>
      <c r="B161" s="844"/>
      <c r="C161" s="844"/>
      <c r="D161" s="844"/>
    </row>
    <row r="162" spans="1:4" ht="18">
      <c r="A162" s="844" t="s">
        <v>1658</v>
      </c>
      <c r="B162" s="844"/>
      <c r="C162" s="844"/>
      <c r="D162" s="844"/>
    </row>
    <row r="164" spans="1:4" ht="18">
      <c r="A164" s="845" t="s">
        <v>1070</v>
      </c>
      <c r="B164" s="845"/>
      <c r="C164" s="845"/>
      <c r="D164" s="845"/>
    </row>
    <row r="165" spans="1:4" ht="15.75" thickBot="1">
      <c r="A165" s="63"/>
      <c r="B165" s="52"/>
      <c r="C165" s="53"/>
      <c r="D165" s="64"/>
    </row>
    <row r="166" spans="1:4" ht="16.5" thickBot="1">
      <c r="A166" s="54" t="s">
        <v>761</v>
      </c>
      <c r="B166" s="71" t="s">
        <v>1026</v>
      </c>
      <c r="C166" s="72" t="s">
        <v>1027</v>
      </c>
      <c r="D166" s="70" t="s">
        <v>1028</v>
      </c>
    </row>
    <row r="167" spans="1:4" ht="15">
      <c r="A167" s="92"/>
      <c r="B167" s="93"/>
      <c r="C167" s="94"/>
      <c r="D167" s="91"/>
    </row>
    <row r="168" spans="1:4" ht="15">
      <c r="A168" s="85" t="s">
        <v>1031</v>
      </c>
      <c r="B168" s="74" t="s">
        <v>1071</v>
      </c>
      <c r="C168" s="95">
        <f>+'PROGRAMA 3'!D90+'PROGRAMA 3'!D121</f>
        <v>417456436.7321713</v>
      </c>
      <c r="D168" s="47">
        <f>C168/C174</f>
        <v>0.8045899522021449</v>
      </c>
    </row>
    <row r="169" spans="1:4" ht="15">
      <c r="A169" s="85"/>
      <c r="B169" s="74"/>
      <c r="C169" s="95"/>
      <c r="D169" s="47"/>
    </row>
    <row r="170" spans="1:4" ht="15">
      <c r="A170" s="645" t="s">
        <v>1066</v>
      </c>
      <c r="B170" s="112" t="s">
        <v>1421</v>
      </c>
      <c r="C170" s="95">
        <f>+'PROGRAMA 3'!D128</f>
        <v>90000000</v>
      </c>
      <c r="D170" s="47">
        <f>C170/C174</f>
        <v>0.17346264023388702</v>
      </c>
    </row>
    <row r="171" spans="1:4" ht="15">
      <c r="A171" s="85"/>
      <c r="B171" s="74"/>
      <c r="C171" s="95"/>
      <c r="D171" s="47"/>
    </row>
    <row r="172" spans="1:4" ht="15">
      <c r="A172" s="85" t="s">
        <v>1072</v>
      </c>
      <c r="B172" s="74" t="s">
        <v>1073</v>
      </c>
      <c r="C172" s="95">
        <f>+'PROGRAMA 3'!D136</f>
        <v>11387274.39</v>
      </c>
      <c r="D172" s="47">
        <f>C172/C174</f>
        <v>0.02194740756396806</v>
      </c>
    </row>
    <row r="173" spans="1:4" ht="15.75" thickBot="1">
      <c r="A173" s="87"/>
      <c r="B173" s="84"/>
      <c r="C173" s="96"/>
      <c r="D173" s="51"/>
    </row>
    <row r="174" spans="1:4" ht="15.75" thickBot="1">
      <c r="A174" s="90"/>
      <c r="B174" s="54" t="s">
        <v>1024</v>
      </c>
      <c r="C174" s="89">
        <f>SUM(C168:C172)</f>
        <v>518843711.1221713</v>
      </c>
      <c r="D174" s="75">
        <f>SUM(D168:D172)</f>
        <v>1</v>
      </c>
    </row>
    <row r="175" spans="1:4" ht="15">
      <c r="A175" s="90"/>
      <c r="B175" s="42"/>
      <c r="C175" s="40"/>
      <c r="D175" s="43"/>
    </row>
    <row r="176" spans="1:4" ht="15">
      <c r="A176" s="38"/>
      <c r="B176" s="42"/>
      <c r="C176" s="40"/>
      <c r="D176" s="43"/>
    </row>
    <row r="177" spans="1:4" ht="18">
      <c r="A177" s="845" t="s">
        <v>1017</v>
      </c>
      <c r="B177" s="845"/>
      <c r="C177" s="845"/>
      <c r="D177" s="845"/>
    </row>
    <row r="178" spans="1:4" ht="13.5" thickBot="1">
      <c r="A178" s="33"/>
      <c r="B178" s="33"/>
      <c r="C178" s="147"/>
      <c r="D178" s="33"/>
    </row>
    <row r="179" spans="1:4" ht="16.5" thickBot="1">
      <c r="A179" s="111"/>
      <c r="B179" s="816" t="s">
        <v>1018</v>
      </c>
      <c r="C179" s="817">
        <f>SUM(C181:C187)</f>
        <v>518843711.1221713</v>
      </c>
      <c r="D179" s="818">
        <f>SUM(D181:D187)</f>
        <v>1</v>
      </c>
    </row>
    <row r="180" spans="1:4" ht="15.75">
      <c r="A180" s="55"/>
      <c r="B180" s="475"/>
      <c r="C180" s="476"/>
      <c r="D180" s="477"/>
    </row>
    <row r="181" spans="1:4" ht="15">
      <c r="A181" s="56">
        <v>0</v>
      </c>
      <c r="B181" s="511" t="s">
        <v>818</v>
      </c>
      <c r="C181" s="114">
        <f>+'PROGRAMA 3'!D4</f>
        <v>63253444.78217134</v>
      </c>
      <c r="D181" s="512">
        <f>C181/C179</f>
        <v>0.12191232817559805</v>
      </c>
    </row>
    <row r="182" spans="1:4" ht="15.75">
      <c r="A182" s="507"/>
      <c r="B182" s="508"/>
      <c r="C182" s="509"/>
      <c r="D182" s="510"/>
    </row>
    <row r="183" spans="1:4" ht="15">
      <c r="A183" s="56">
        <v>1</v>
      </c>
      <c r="B183" s="511" t="s">
        <v>852</v>
      </c>
      <c r="C183" s="114">
        <f>+'PROGRAMA 3'!D27</f>
        <v>91077601.82</v>
      </c>
      <c r="D183" s="512">
        <f>C183/C179</f>
        <v>0.17553956975408747</v>
      </c>
    </row>
    <row r="184" spans="1:4" ht="15.75">
      <c r="A184" s="507"/>
      <c r="B184" s="508"/>
      <c r="C184" s="509"/>
      <c r="D184" s="510"/>
    </row>
    <row r="185" spans="1:4" ht="15">
      <c r="A185" s="56">
        <v>5</v>
      </c>
      <c r="B185" s="45" t="s">
        <v>898</v>
      </c>
      <c r="C185" s="46">
        <f>+'PROGRAMA 3'!D37</f>
        <v>353125390.13</v>
      </c>
      <c r="D185" s="47">
        <f>C185/C179</f>
        <v>0.6806006945063465</v>
      </c>
    </row>
    <row r="186" spans="1:4" ht="15">
      <c r="A186" s="56"/>
      <c r="B186" s="45"/>
      <c r="C186" s="46"/>
      <c r="D186" s="47"/>
    </row>
    <row r="187" spans="1:4" ht="15.75" thickBot="1">
      <c r="A187" s="58">
        <v>9</v>
      </c>
      <c r="B187" s="49" t="s">
        <v>166</v>
      </c>
      <c r="C187" s="50">
        <f>+'PROGRAMA 3'!D41</f>
        <v>11387274.39</v>
      </c>
      <c r="D187" s="51">
        <f>C187/C179</f>
        <v>0.02194740756396806</v>
      </c>
    </row>
    <row r="188" spans="1:4" ht="15">
      <c r="A188" s="38"/>
      <c r="B188" s="42"/>
      <c r="C188" s="42"/>
      <c r="D188" s="42"/>
    </row>
  </sheetData>
  <sheetProtection/>
  <mergeCells count="16">
    <mergeCell ref="A177:D177"/>
    <mergeCell ref="A74:D74"/>
    <mergeCell ref="A140:D140"/>
    <mergeCell ref="A111:D111"/>
    <mergeCell ref="A112:D112"/>
    <mergeCell ref="A161:D161"/>
    <mergeCell ref="A162:D162"/>
    <mergeCell ref="A164:D164"/>
    <mergeCell ref="A60:D60"/>
    <mergeCell ref="A110:D110"/>
    <mergeCell ref="A6:D6"/>
    <mergeCell ref="A7:D7"/>
    <mergeCell ref="A9:D9"/>
    <mergeCell ref="A10:D10"/>
    <mergeCell ref="A57:D57"/>
    <mergeCell ref="A58:D58"/>
  </mergeCells>
  <printOptions/>
  <pageMargins left="0.7874015748031497" right="0.3937007874015748" top="0" bottom="0" header="0" footer="0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I26" sqref="I26"/>
    </sheetView>
  </sheetViews>
  <sheetFormatPr defaultColWidth="11.421875" defaultRowHeight="12.75"/>
  <cols>
    <col min="5" max="5" width="25.7109375" style="0" customWidth="1"/>
  </cols>
  <sheetData>
    <row r="1" ht="13.5" thickBot="1"/>
    <row r="2" spans="1:5" ht="18.75" thickBot="1">
      <c r="A2" s="503" t="s">
        <v>1660</v>
      </c>
      <c r="B2" s="503"/>
      <c r="C2" s="503"/>
      <c r="D2" s="503"/>
      <c r="E2" s="506">
        <f>+INGRESOS!C9</f>
        <v>2318001800.33</v>
      </c>
    </row>
    <row r="3" spans="1:5" ht="18">
      <c r="A3" s="503"/>
      <c r="B3" s="503"/>
      <c r="C3" s="503"/>
      <c r="D3" s="503"/>
      <c r="E3" s="503"/>
    </row>
    <row r="4" spans="1:5" ht="18">
      <c r="A4" s="503" t="s">
        <v>493</v>
      </c>
      <c r="B4" s="503"/>
      <c r="C4" s="503"/>
      <c r="D4" s="503"/>
      <c r="E4" s="504">
        <f>+'PROGRAMA 1'!D145</f>
        <v>947882016.6669368</v>
      </c>
    </row>
    <row r="5" spans="1:5" ht="18">
      <c r="A5" s="503" t="s">
        <v>494</v>
      </c>
      <c r="B5" s="503"/>
      <c r="C5" s="503"/>
      <c r="D5" s="503"/>
      <c r="E5" s="504">
        <f>+'PROGRAMA 2'!D130</f>
        <v>851276072.5410703</v>
      </c>
    </row>
    <row r="6" spans="1:5" ht="18.75" thickBot="1">
      <c r="A6" s="503" t="s">
        <v>495</v>
      </c>
      <c r="B6" s="503"/>
      <c r="C6" s="503"/>
      <c r="D6" s="503"/>
      <c r="E6" s="505">
        <f>+'PROGRAMA 3'!D46</f>
        <v>518843711.1221713</v>
      </c>
    </row>
    <row r="7" spans="1:5" ht="18.75" thickTop="1">
      <c r="A7" s="503" t="s">
        <v>811</v>
      </c>
      <c r="B7" s="503"/>
      <c r="C7" s="503"/>
      <c r="D7" s="503"/>
      <c r="E7" s="504">
        <f>SUM(E4:E6)</f>
        <v>2318001800.3301783</v>
      </c>
    </row>
    <row r="8" spans="1:5" ht="18.75" thickBot="1">
      <c r="A8" s="503"/>
      <c r="B8" s="503"/>
      <c r="C8" s="503"/>
      <c r="D8" s="503"/>
      <c r="E8" s="504"/>
    </row>
    <row r="9" spans="1:5" ht="18.75" thickBot="1">
      <c r="A9" s="503" t="s">
        <v>496</v>
      </c>
      <c r="B9" s="503"/>
      <c r="C9" s="503"/>
      <c r="D9" s="503"/>
      <c r="E9" s="506">
        <f>E2-E7</f>
        <v>-0.00017833709716796875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8"/>
  <sheetViews>
    <sheetView zoomScalePageLayoutView="0" workbookViewId="0" topLeftCell="A331">
      <selection activeCell="F352" sqref="F352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3" width="15.7109375" style="0" customWidth="1"/>
    <col min="4" max="4" width="16.57421875" style="0" customWidth="1"/>
  </cols>
  <sheetData>
    <row r="1" spans="1:4" ht="18">
      <c r="A1" s="844" t="s">
        <v>808</v>
      </c>
      <c r="B1" s="844"/>
      <c r="C1" s="844"/>
      <c r="D1" s="844"/>
    </row>
    <row r="2" spans="1:4" ht="18">
      <c r="A2" s="844" t="s">
        <v>1658</v>
      </c>
      <c r="B2" s="844"/>
      <c r="C2" s="844"/>
      <c r="D2" s="844"/>
    </row>
    <row r="3" spans="1:4" ht="15.75">
      <c r="A3" s="848" t="s">
        <v>1019</v>
      </c>
      <c r="B3" s="848"/>
      <c r="C3" s="848"/>
      <c r="D3" s="848"/>
    </row>
    <row r="4" spans="1:4" ht="13.5" thickBot="1">
      <c r="A4" s="99"/>
      <c r="B4" s="99"/>
      <c r="C4" s="99"/>
      <c r="D4" s="99"/>
    </row>
    <row r="5" spans="1:4" ht="13.5" thickBot="1">
      <c r="A5" s="30" t="s">
        <v>829</v>
      </c>
      <c r="B5" s="704" t="s">
        <v>818</v>
      </c>
      <c r="C5" s="27"/>
      <c r="D5" s="705">
        <f>C6+C11+C15+C21+C26</f>
        <v>638273136.4987366</v>
      </c>
    </row>
    <row r="6" spans="1:4" ht="13.5" thickTop="1">
      <c r="A6" s="25" t="s">
        <v>828</v>
      </c>
      <c r="B6" s="28" t="s">
        <v>819</v>
      </c>
      <c r="C6" s="29">
        <f>SUM(C7:C9)</f>
        <v>286523222.9</v>
      </c>
      <c r="D6" s="3"/>
    </row>
    <row r="7" spans="1:4" ht="12.75">
      <c r="A7" s="24" t="s">
        <v>827</v>
      </c>
      <c r="B7" t="s">
        <v>820</v>
      </c>
      <c r="C7" s="3">
        <f>C177+C285</f>
        <v>269023222.9</v>
      </c>
      <c r="D7" s="3"/>
    </row>
    <row r="8" spans="1:4" ht="12.75">
      <c r="A8" s="24" t="s">
        <v>132</v>
      </c>
      <c r="B8" t="s">
        <v>40</v>
      </c>
      <c r="C8" s="3">
        <f>C178</f>
        <v>15000000</v>
      </c>
      <c r="D8" s="3"/>
    </row>
    <row r="9" spans="1:4" ht="12.75">
      <c r="A9" s="24" t="s">
        <v>826</v>
      </c>
      <c r="B9" t="s">
        <v>821</v>
      </c>
      <c r="C9" s="3">
        <f>C179</f>
        <v>2500000</v>
      </c>
      <c r="D9" s="3"/>
    </row>
    <row r="10" spans="1:4" ht="12.75">
      <c r="A10" s="24"/>
      <c r="C10" s="3"/>
      <c r="D10" s="3"/>
    </row>
    <row r="11" spans="1:4" ht="12.75">
      <c r="A11" s="30" t="s">
        <v>825</v>
      </c>
      <c r="B11" s="28" t="s">
        <v>822</v>
      </c>
      <c r="C11" s="29">
        <f>SUM(C12:C13)</f>
        <v>23533676.08</v>
      </c>
      <c r="D11" s="3"/>
    </row>
    <row r="12" spans="1:4" ht="12.75">
      <c r="A12" s="24" t="s">
        <v>823</v>
      </c>
      <c r="B12" t="s">
        <v>489</v>
      </c>
      <c r="C12" s="3">
        <f>C182</f>
        <v>2500000</v>
      </c>
      <c r="D12" s="3"/>
    </row>
    <row r="13" spans="1:4" ht="12.75">
      <c r="A13" s="24" t="s">
        <v>830</v>
      </c>
      <c r="B13" t="s">
        <v>831</v>
      </c>
      <c r="C13" s="3">
        <f>C183</f>
        <v>21033676.08</v>
      </c>
      <c r="D13" s="3"/>
    </row>
    <row r="14" spans="1:4" ht="12.75">
      <c r="A14" s="24"/>
      <c r="C14" s="3"/>
      <c r="D14" s="3"/>
    </row>
    <row r="15" spans="1:4" ht="12.75">
      <c r="A15" s="30" t="s">
        <v>832</v>
      </c>
      <c r="B15" s="28" t="s">
        <v>833</v>
      </c>
      <c r="C15" s="29">
        <f>SUM(C16:C19)</f>
        <v>234757618.99166667</v>
      </c>
      <c r="D15" s="3"/>
    </row>
    <row r="16" spans="1:4" ht="12.75">
      <c r="A16" s="24" t="s">
        <v>834</v>
      </c>
      <c r="B16" t="s">
        <v>835</v>
      </c>
      <c r="C16" s="3">
        <f>C186+C290</f>
        <v>76668167</v>
      </c>
      <c r="D16" s="3"/>
    </row>
    <row r="17" spans="1:4" ht="12.75">
      <c r="A17" s="24" t="s">
        <v>836</v>
      </c>
      <c r="B17" t="s">
        <v>837</v>
      </c>
      <c r="C17" s="3">
        <f>C187+C291</f>
        <v>86386290</v>
      </c>
      <c r="D17" s="3"/>
    </row>
    <row r="18" spans="1:4" ht="12.75">
      <c r="A18" s="24" t="s">
        <v>838</v>
      </c>
      <c r="B18" t="s">
        <v>839</v>
      </c>
      <c r="C18" s="3">
        <f>C188+C292</f>
        <v>40290833.99166667</v>
      </c>
      <c r="D18" s="3"/>
    </row>
    <row r="19" spans="1:4" ht="12.75">
      <c r="A19" s="24" t="s">
        <v>1476</v>
      </c>
      <c r="B19" t="s">
        <v>1477</v>
      </c>
      <c r="C19" s="3">
        <f>C189+C293</f>
        <v>31412328</v>
      </c>
      <c r="D19" s="3"/>
    </row>
    <row r="20" spans="1:4" ht="12.75">
      <c r="A20" s="24"/>
      <c r="C20" s="3"/>
      <c r="D20" s="3"/>
    </row>
    <row r="21" spans="1:4" ht="12.75">
      <c r="A21" s="30" t="s">
        <v>840</v>
      </c>
      <c r="B21" s="28" t="s">
        <v>841</v>
      </c>
      <c r="C21" s="29">
        <f>SUM(C23:C24)</f>
        <v>71701568.17157</v>
      </c>
      <c r="D21" s="3"/>
    </row>
    <row r="22" spans="1:4" ht="12.75">
      <c r="A22" s="24"/>
      <c r="B22" s="31" t="s">
        <v>842</v>
      </c>
      <c r="C22" s="3"/>
      <c r="D22" s="3"/>
    </row>
    <row r="23" spans="1:4" ht="12.75">
      <c r="A23" s="24" t="s">
        <v>843</v>
      </c>
      <c r="B23" t="s">
        <v>844</v>
      </c>
      <c r="C23" s="3">
        <f>C193+C297</f>
        <v>69284118.13207</v>
      </c>
      <c r="D23" s="3"/>
    </row>
    <row r="24" spans="1:4" ht="12.75">
      <c r="A24" s="24" t="s">
        <v>845</v>
      </c>
      <c r="B24" t="s">
        <v>846</v>
      </c>
      <c r="C24" s="3">
        <f>C194+C298</f>
        <v>2417450.0395</v>
      </c>
      <c r="D24" s="3"/>
    </row>
    <row r="25" spans="1:4" ht="12.75">
      <c r="A25" s="24"/>
      <c r="C25" s="3"/>
      <c r="D25" s="3"/>
    </row>
    <row r="26" spans="1:4" ht="12.75">
      <c r="A26" s="30" t="s">
        <v>847</v>
      </c>
      <c r="B26" s="28" t="s">
        <v>848</v>
      </c>
      <c r="C26" s="29">
        <f>SUM(C28:C29)</f>
        <v>21757050.355499998</v>
      </c>
      <c r="D26" s="3"/>
    </row>
    <row r="27" spans="1:4" ht="12.75">
      <c r="A27" s="30"/>
      <c r="B27" s="31" t="s">
        <v>849</v>
      </c>
      <c r="C27" s="27"/>
      <c r="D27" s="3"/>
    </row>
    <row r="28" spans="1:4" ht="12.75">
      <c r="A28" s="148" t="s">
        <v>1370</v>
      </c>
      <c r="B28" s="33" t="s">
        <v>1369</v>
      </c>
      <c r="C28" s="3">
        <f>C198+C302</f>
        <v>7252350.1185</v>
      </c>
      <c r="D28" s="3"/>
    </row>
    <row r="29" spans="1:4" ht="12.75">
      <c r="A29" s="24" t="s">
        <v>850</v>
      </c>
      <c r="B29" t="s">
        <v>851</v>
      </c>
      <c r="C29" s="3">
        <f>C199+C303</f>
        <v>14504700.237</v>
      </c>
      <c r="D29" s="3"/>
    </row>
    <row r="30" spans="1:4" ht="12.75">
      <c r="A30" s="24"/>
      <c r="C30" s="3"/>
      <c r="D30" s="3"/>
    </row>
    <row r="31" spans="1:4" ht="13.5" thickBot="1">
      <c r="A31" s="30" t="s">
        <v>764</v>
      </c>
      <c r="B31" s="704" t="s">
        <v>852</v>
      </c>
      <c r="C31" s="147"/>
      <c r="D31" s="705">
        <f>C32+C36+C41+C48+C53+C58+C61+C65+C72+C75</f>
        <v>90278859.4</v>
      </c>
    </row>
    <row r="32" spans="1:4" ht="13.5" thickTop="1">
      <c r="A32" s="30" t="s">
        <v>172</v>
      </c>
      <c r="B32" s="28" t="s">
        <v>962</v>
      </c>
      <c r="C32" s="29">
        <f>C33+C34</f>
        <v>19020000</v>
      </c>
      <c r="D32" s="101"/>
    </row>
    <row r="33" spans="1:4" ht="12.75">
      <c r="A33" s="148" t="s">
        <v>173</v>
      </c>
      <c r="B33" s="36" t="s">
        <v>280</v>
      </c>
      <c r="C33" s="147">
        <f>C203</f>
        <v>11520000</v>
      </c>
      <c r="D33" s="101"/>
    </row>
    <row r="34" spans="1:4" ht="12.75">
      <c r="A34" s="148" t="s">
        <v>1252</v>
      </c>
      <c r="B34" s="34" t="s">
        <v>1251</v>
      </c>
      <c r="C34" s="147">
        <f>C204</f>
        <v>7500000</v>
      </c>
      <c r="D34" s="101"/>
    </row>
    <row r="35" spans="1:4" ht="12.75">
      <c r="A35" s="65"/>
      <c r="B35" s="100"/>
      <c r="C35" s="67"/>
      <c r="D35" s="101"/>
    </row>
    <row r="36" spans="1:4" ht="12.75">
      <c r="A36" s="30" t="s">
        <v>853</v>
      </c>
      <c r="B36" s="28" t="s">
        <v>854</v>
      </c>
      <c r="C36" s="29">
        <f>SUM(C37:C39)</f>
        <v>18015000</v>
      </c>
      <c r="D36" s="3"/>
    </row>
    <row r="37" spans="1:4" ht="12.75">
      <c r="A37" s="24" t="s">
        <v>855</v>
      </c>
      <c r="B37" t="s">
        <v>856</v>
      </c>
      <c r="C37" s="3">
        <f>C207</f>
        <v>6500000</v>
      </c>
      <c r="D37" s="3"/>
    </row>
    <row r="38" spans="1:4" ht="12.75">
      <c r="A38" s="24" t="s">
        <v>1255</v>
      </c>
      <c r="B38" t="s">
        <v>1254</v>
      </c>
      <c r="C38" s="3">
        <f>C208</f>
        <v>15000</v>
      </c>
      <c r="D38" s="3"/>
    </row>
    <row r="39" spans="1:3" ht="12.75">
      <c r="A39" s="24" t="s">
        <v>857</v>
      </c>
      <c r="B39" t="s">
        <v>858</v>
      </c>
      <c r="C39" s="3">
        <f>C209</f>
        <v>11500000</v>
      </c>
    </row>
    <row r="41" spans="1:3" ht="12.75">
      <c r="A41" s="30" t="s">
        <v>859</v>
      </c>
      <c r="B41" s="28" t="s">
        <v>860</v>
      </c>
      <c r="C41" s="29">
        <f>SUM(C42:C46)</f>
        <v>9900000</v>
      </c>
    </row>
    <row r="42" spans="1:3" ht="12.75">
      <c r="A42" t="s">
        <v>492</v>
      </c>
      <c r="B42" t="s">
        <v>491</v>
      </c>
      <c r="C42" s="3">
        <f>C212</f>
        <v>2500000</v>
      </c>
    </row>
    <row r="43" spans="1:3" ht="12.75">
      <c r="A43" t="s">
        <v>282</v>
      </c>
      <c r="B43" t="s">
        <v>545</v>
      </c>
      <c r="C43" s="3">
        <f>C213</f>
        <v>2500000</v>
      </c>
    </row>
    <row r="44" spans="1:3" ht="12.75">
      <c r="A44" s="33" t="s">
        <v>861</v>
      </c>
      <c r="B44" s="33" t="s">
        <v>1330</v>
      </c>
      <c r="C44" s="3">
        <f>C214</f>
        <v>800000</v>
      </c>
    </row>
    <row r="45" spans="1:3" ht="12.75">
      <c r="A45" s="33" t="s">
        <v>1572</v>
      </c>
      <c r="B45" s="33" t="s">
        <v>1571</v>
      </c>
      <c r="C45" s="3">
        <f>C215</f>
        <v>100000</v>
      </c>
    </row>
    <row r="46" spans="1:3" ht="12.75">
      <c r="A46" t="s">
        <v>187</v>
      </c>
      <c r="B46" t="str">
        <f>B216</f>
        <v>Comisiónes y gastos por servicios Financieros y Com.</v>
      </c>
      <c r="C46" s="3">
        <f>C216</f>
        <v>4000000</v>
      </c>
    </row>
    <row r="47" ht="12.75">
      <c r="C47" s="3"/>
    </row>
    <row r="48" spans="1:3" ht="12.75">
      <c r="A48" s="26" t="s">
        <v>863</v>
      </c>
      <c r="B48" s="28" t="s">
        <v>864</v>
      </c>
      <c r="C48" s="29">
        <f>SUM(C49:C51)</f>
        <v>20734006.33</v>
      </c>
    </row>
    <row r="49" spans="1:3" ht="12.75">
      <c r="A49" s="33" t="s">
        <v>190</v>
      </c>
      <c r="B49" s="36" t="str">
        <f>B219</f>
        <v>Servicios Jurídicos</v>
      </c>
      <c r="C49" s="37">
        <f>C219</f>
        <v>8500000</v>
      </c>
    </row>
    <row r="50" spans="1:3" ht="12.75">
      <c r="A50" s="33" t="s">
        <v>1510</v>
      </c>
      <c r="B50" s="36" t="s">
        <v>967</v>
      </c>
      <c r="C50" s="37">
        <f>C220</f>
        <v>11354006.33</v>
      </c>
    </row>
    <row r="51" spans="1:3" ht="12.75">
      <c r="A51" s="33" t="s">
        <v>1258</v>
      </c>
      <c r="B51" s="34" t="s">
        <v>1257</v>
      </c>
      <c r="C51" s="37">
        <f>C221</f>
        <v>880000</v>
      </c>
    </row>
    <row r="52" spans="1:3" ht="12.75">
      <c r="A52" s="33"/>
      <c r="B52" s="34"/>
      <c r="C52" s="37"/>
    </row>
    <row r="53" spans="1:3" ht="12.75">
      <c r="A53" s="26" t="s">
        <v>1263</v>
      </c>
      <c r="B53" s="28" t="s">
        <v>558</v>
      </c>
      <c r="C53" s="29">
        <f>SUM(C54:C55)</f>
        <v>100000</v>
      </c>
    </row>
    <row r="54" spans="1:3" ht="12.75">
      <c r="A54" s="33" t="s">
        <v>1264</v>
      </c>
      <c r="B54" s="34" t="s">
        <v>47</v>
      </c>
      <c r="C54" s="37">
        <f>C224</f>
        <v>50000</v>
      </c>
    </row>
    <row r="55" spans="1:3" ht="12.75">
      <c r="A55" s="33" t="s">
        <v>1265</v>
      </c>
      <c r="B55" s="34" t="s">
        <v>191</v>
      </c>
      <c r="C55" s="37">
        <f>C225</f>
        <v>50000</v>
      </c>
    </row>
    <row r="56" spans="1:3" ht="12.75">
      <c r="A56" s="33"/>
      <c r="B56" s="34"/>
      <c r="C56" s="37"/>
    </row>
    <row r="57" spans="1:3" ht="12.75">
      <c r="A57" s="33"/>
      <c r="B57" s="34"/>
      <c r="C57" s="37"/>
    </row>
    <row r="58" spans="1:3" ht="12.75">
      <c r="A58" s="26" t="s">
        <v>865</v>
      </c>
      <c r="B58" s="28" t="s">
        <v>866</v>
      </c>
      <c r="C58" s="29">
        <f>C59</f>
        <v>10609853.07</v>
      </c>
    </row>
    <row r="59" spans="1:3" ht="12.75">
      <c r="A59" t="s">
        <v>867</v>
      </c>
      <c r="B59" t="s">
        <v>868</v>
      </c>
      <c r="C59" s="3">
        <f>C228+C307</f>
        <v>10609853.07</v>
      </c>
    </row>
    <row r="60" ht="12.75">
      <c r="C60" s="3"/>
    </row>
    <row r="61" spans="1:3" ht="12.75">
      <c r="A61" s="26" t="s">
        <v>174</v>
      </c>
      <c r="B61" s="28" t="s">
        <v>974</v>
      </c>
      <c r="C61" s="29">
        <f>SUM(C62:C63)</f>
        <v>3500000</v>
      </c>
    </row>
    <row r="62" spans="1:3" ht="12.75">
      <c r="A62" t="s">
        <v>195</v>
      </c>
      <c r="B62" t="s">
        <v>164</v>
      </c>
      <c r="C62" s="3">
        <f>C233+C310</f>
        <v>3000000</v>
      </c>
    </row>
    <row r="63" spans="1:3" ht="12.75">
      <c r="A63" t="s">
        <v>1574</v>
      </c>
      <c r="B63" t="s">
        <v>976</v>
      </c>
      <c r="C63" s="3">
        <f>C234</f>
        <v>500000</v>
      </c>
    </row>
    <row r="64" ht="12.75">
      <c r="C64" s="3"/>
    </row>
    <row r="65" spans="1:3" ht="12.75">
      <c r="A65" s="26" t="s">
        <v>869</v>
      </c>
      <c r="B65" s="28" t="s">
        <v>870</v>
      </c>
      <c r="C65" s="29">
        <f>SUM(C66:C70)</f>
        <v>7700000</v>
      </c>
    </row>
    <row r="66" spans="1:3" ht="12.75">
      <c r="A66" s="33" t="s">
        <v>1579</v>
      </c>
      <c r="B66" s="36" t="s">
        <v>567</v>
      </c>
      <c r="C66" s="37">
        <f>C237</f>
        <v>500000</v>
      </c>
    </row>
    <row r="67" spans="1:3" ht="12.75">
      <c r="A67" t="s">
        <v>871</v>
      </c>
      <c r="B67" t="s">
        <v>872</v>
      </c>
      <c r="C67" s="3">
        <f>C238</f>
        <v>1500000</v>
      </c>
    </row>
    <row r="68" spans="1:3" ht="12.75">
      <c r="A68" t="s">
        <v>1632</v>
      </c>
      <c r="B68" t="s">
        <v>1631</v>
      </c>
      <c r="C68" s="3">
        <f>C239</f>
        <v>500000</v>
      </c>
    </row>
    <row r="69" spans="1:3" ht="12.75">
      <c r="A69" s="33" t="s">
        <v>1580</v>
      </c>
      <c r="B69" s="33" t="s">
        <v>1581</v>
      </c>
      <c r="C69" s="3">
        <f>C240</f>
        <v>200000</v>
      </c>
    </row>
    <row r="70" spans="1:3" ht="12.75">
      <c r="A70" s="33" t="s">
        <v>1436</v>
      </c>
      <c r="B70" s="33" t="s">
        <v>1437</v>
      </c>
      <c r="C70" s="3">
        <f>C241</f>
        <v>5000000</v>
      </c>
    </row>
    <row r="71" ht="12.75">
      <c r="C71" s="3"/>
    </row>
    <row r="72" spans="1:3" ht="12.75">
      <c r="A72" s="26" t="s">
        <v>1270</v>
      </c>
      <c r="B72" s="28" t="s">
        <v>1267</v>
      </c>
      <c r="C72" s="29">
        <f>SUM(C73:C73)</f>
        <v>500000</v>
      </c>
    </row>
    <row r="73" spans="1:3" ht="12.75">
      <c r="A73" t="s">
        <v>1271</v>
      </c>
      <c r="B73" t="s">
        <v>1269</v>
      </c>
      <c r="C73" s="3">
        <f>C244</f>
        <v>500000</v>
      </c>
    </row>
    <row r="74" ht="12.75">
      <c r="C74" s="3"/>
    </row>
    <row r="75" spans="1:3" ht="12.75">
      <c r="A75" s="26" t="s">
        <v>1585</v>
      </c>
      <c r="B75" s="28" t="s">
        <v>980</v>
      </c>
      <c r="C75" s="29">
        <f>C76</f>
        <v>200000</v>
      </c>
    </row>
    <row r="76" spans="1:3" ht="12.75">
      <c r="A76" s="33" t="s">
        <v>1586</v>
      </c>
      <c r="B76" s="33" t="s">
        <v>1587</v>
      </c>
      <c r="C76" s="3">
        <f>C247</f>
        <v>200000</v>
      </c>
    </row>
    <row r="77" ht="12.75">
      <c r="C77" s="3"/>
    </row>
    <row r="78" spans="1:4" ht="13.5" thickBot="1">
      <c r="A78" s="26" t="s">
        <v>873</v>
      </c>
      <c r="B78" s="704" t="s">
        <v>874</v>
      </c>
      <c r="C78" s="147"/>
      <c r="D78" s="705">
        <f>C79+C84+C94+C87+C90</f>
        <v>10700000</v>
      </c>
    </row>
    <row r="79" spans="1:3" ht="13.5" thickTop="1">
      <c r="A79" s="26" t="s">
        <v>875</v>
      </c>
      <c r="B79" s="28" t="s">
        <v>876</v>
      </c>
      <c r="C79" s="29">
        <f>SUM(C80:C82)</f>
        <v>2300000</v>
      </c>
    </row>
    <row r="80" spans="1:3" ht="12.75">
      <c r="A80" t="s">
        <v>877</v>
      </c>
      <c r="B80" t="s">
        <v>887</v>
      </c>
      <c r="C80" s="3">
        <f>C251</f>
        <v>1500000</v>
      </c>
    </row>
    <row r="81" spans="1:3" ht="12.75">
      <c r="A81" t="s">
        <v>1274</v>
      </c>
      <c r="B81" t="s">
        <v>1273</v>
      </c>
      <c r="C81" s="3">
        <f>C252</f>
        <v>200000</v>
      </c>
    </row>
    <row r="82" spans="1:3" ht="12.75">
      <c r="A82" t="s">
        <v>888</v>
      </c>
      <c r="B82" t="s">
        <v>889</v>
      </c>
      <c r="C82" s="3">
        <f>C253</f>
        <v>600000</v>
      </c>
    </row>
    <row r="83" ht="12.75">
      <c r="C83" s="3"/>
    </row>
    <row r="84" spans="1:3" ht="12.75">
      <c r="A84" s="26" t="s">
        <v>1590</v>
      </c>
      <c r="B84" s="28" t="s">
        <v>1005</v>
      </c>
      <c r="C84" s="29">
        <f>C85</f>
        <v>100000</v>
      </c>
    </row>
    <row r="85" spans="1:3" ht="12.75">
      <c r="A85" s="33" t="s">
        <v>1591</v>
      </c>
      <c r="B85" s="33" t="s">
        <v>1007</v>
      </c>
      <c r="C85" s="3">
        <f>C256</f>
        <v>100000</v>
      </c>
    </row>
    <row r="86" ht="12.75">
      <c r="C86" s="3"/>
    </row>
    <row r="87" spans="1:3" ht="12.75">
      <c r="A87" s="26" t="s">
        <v>198</v>
      </c>
      <c r="B87" s="28" t="str">
        <f>B258</f>
        <v>MATER. Y PRODUC. USO CONSTRUC. MANTEN.</v>
      </c>
      <c r="C87" s="29">
        <f>SUM(C88:C88)</f>
        <v>50000</v>
      </c>
    </row>
    <row r="88" spans="1:3" ht="12.75">
      <c r="A88" s="33" t="s">
        <v>1277</v>
      </c>
      <c r="B88" s="34" t="s">
        <v>1278</v>
      </c>
      <c r="C88" s="37">
        <f>C259</f>
        <v>50000</v>
      </c>
    </row>
    <row r="89" spans="1:3" ht="12.75">
      <c r="A89" s="33"/>
      <c r="B89" s="33"/>
      <c r="C89" s="3"/>
    </row>
    <row r="90" spans="1:3" ht="12.75">
      <c r="A90" s="26" t="s">
        <v>1282</v>
      </c>
      <c r="B90" s="28" t="str">
        <f>B261</f>
        <v>HERRAMIENTAS REPUESTOS Y ACCESORIOS</v>
      </c>
      <c r="C90" s="29">
        <f>SUM(C91:C92)</f>
        <v>100000</v>
      </c>
    </row>
    <row r="91" spans="1:3" ht="12.75">
      <c r="A91" s="33" t="s">
        <v>1283</v>
      </c>
      <c r="B91" s="33" t="s">
        <v>212</v>
      </c>
      <c r="C91" s="3">
        <f>C262</f>
        <v>50000</v>
      </c>
    </row>
    <row r="92" spans="1:3" ht="12.75">
      <c r="A92" s="33" t="s">
        <v>1284</v>
      </c>
      <c r="B92" s="33" t="s">
        <v>1003</v>
      </c>
      <c r="C92" s="3">
        <f>C263</f>
        <v>50000</v>
      </c>
    </row>
    <row r="93" ht="12.75">
      <c r="C93" s="3"/>
    </row>
    <row r="94" spans="1:3" ht="12.75">
      <c r="A94" s="26" t="s">
        <v>890</v>
      </c>
      <c r="B94" s="28" t="s">
        <v>891</v>
      </c>
      <c r="C94" s="29">
        <f>SUM(C95:C101)</f>
        <v>8150000</v>
      </c>
    </row>
    <row r="95" spans="1:3" ht="12.75">
      <c r="A95" t="s">
        <v>892</v>
      </c>
      <c r="B95" t="s">
        <v>893</v>
      </c>
      <c r="C95" s="3">
        <f>C266+C314</f>
        <v>1600000</v>
      </c>
    </row>
    <row r="96" spans="1:3" ht="12.75">
      <c r="A96" t="s">
        <v>1513</v>
      </c>
      <c r="B96" t="s">
        <v>1512</v>
      </c>
      <c r="C96" s="3">
        <f aca="true" t="shared" si="0" ref="C96:C101">C267</f>
        <v>150000</v>
      </c>
    </row>
    <row r="97" spans="1:3" ht="12.75">
      <c r="A97" t="s">
        <v>1515</v>
      </c>
      <c r="B97" t="s">
        <v>472</v>
      </c>
      <c r="C97" s="3">
        <f t="shared" si="0"/>
        <v>1500000</v>
      </c>
    </row>
    <row r="98" spans="1:3" ht="12.75">
      <c r="A98" t="s">
        <v>201</v>
      </c>
      <c r="B98" t="str">
        <f>B269</f>
        <v>Textiles y Vestuario</v>
      </c>
      <c r="C98" s="3">
        <f t="shared" si="0"/>
        <v>2500000</v>
      </c>
    </row>
    <row r="99" spans="1:3" ht="12.75">
      <c r="A99" s="33" t="s">
        <v>894</v>
      </c>
      <c r="B99" s="33" t="s">
        <v>202</v>
      </c>
      <c r="C99" s="3">
        <f t="shared" si="0"/>
        <v>2000000</v>
      </c>
    </row>
    <row r="100" spans="1:3" ht="12.75">
      <c r="A100" s="33" t="s">
        <v>1599</v>
      </c>
      <c r="B100" s="33" t="s">
        <v>9</v>
      </c>
      <c r="C100" s="3">
        <f t="shared" si="0"/>
        <v>50000</v>
      </c>
    </row>
    <row r="101" spans="1:3" ht="12.75">
      <c r="A101" s="33" t="s">
        <v>1322</v>
      </c>
      <c r="B101" s="33" t="s">
        <v>621</v>
      </c>
      <c r="C101" s="3">
        <f t="shared" si="0"/>
        <v>350000</v>
      </c>
    </row>
    <row r="102" ht="12.75">
      <c r="C102" s="3"/>
    </row>
    <row r="103" spans="1:4" ht="13.5" thickBot="1">
      <c r="A103" s="30">
        <v>1.3</v>
      </c>
      <c r="B103" s="704" t="s">
        <v>896</v>
      </c>
      <c r="C103" s="27"/>
      <c r="D103" s="705">
        <f>C104</f>
        <v>2643142.59</v>
      </c>
    </row>
    <row r="104" spans="1:3" ht="13.5" thickTop="1">
      <c r="A104" s="26" t="s">
        <v>484</v>
      </c>
      <c r="B104" s="28" t="s">
        <v>897</v>
      </c>
      <c r="C104" s="29">
        <f>C105</f>
        <v>2643142.59</v>
      </c>
    </row>
    <row r="105" spans="1:3" ht="12.75">
      <c r="A105" t="s">
        <v>485</v>
      </c>
      <c r="B105" t="s">
        <v>478</v>
      </c>
      <c r="C105" s="3">
        <f>C322</f>
        <v>2643142.59</v>
      </c>
    </row>
    <row r="106" spans="2:3" ht="12.75">
      <c r="B106" t="s">
        <v>246</v>
      </c>
      <c r="C106" s="3"/>
    </row>
    <row r="107" ht="12.75">
      <c r="C107" s="3"/>
    </row>
    <row r="108" spans="1:4" ht="13.5" thickBot="1">
      <c r="A108" s="26" t="s">
        <v>901</v>
      </c>
      <c r="B108" s="704" t="s">
        <v>797</v>
      </c>
      <c r="C108" s="27"/>
      <c r="D108" s="705">
        <f>C109+C132+C129</f>
        <v>189746256.2682</v>
      </c>
    </row>
    <row r="109" spans="1:3" ht="13.5" thickTop="1">
      <c r="A109" s="26" t="s">
        <v>902</v>
      </c>
      <c r="B109" s="28" t="s">
        <v>903</v>
      </c>
      <c r="C109" s="29">
        <f>C110+C116+C121+C125</f>
        <v>175946256.2682</v>
      </c>
    </row>
    <row r="110" spans="1:3" ht="12.75">
      <c r="A110" s="26" t="s">
        <v>904</v>
      </c>
      <c r="B110" s="31" t="s">
        <v>905</v>
      </c>
      <c r="C110" s="32">
        <f>C111</f>
        <v>6290246.8763</v>
      </c>
    </row>
    <row r="111" spans="1:3" ht="12.75">
      <c r="A111" t="s">
        <v>906</v>
      </c>
      <c r="B111" t="s">
        <v>907</v>
      </c>
      <c r="C111" s="3">
        <f>C328</f>
        <v>6290246.8763</v>
      </c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spans="1:3" ht="12.75">
      <c r="A116" s="26" t="s">
        <v>908</v>
      </c>
      <c r="B116" s="35" t="s">
        <v>909</v>
      </c>
      <c r="C116" s="29">
        <f>SUM(C117:C119)</f>
        <v>29820740.6289</v>
      </c>
    </row>
    <row r="117" spans="1:3" ht="12.75">
      <c r="A117" s="33" t="s">
        <v>910</v>
      </c>
      <c r="B117" s="34" t="s">
        <v>911</v>
      </c>
      <c r="C117" s="3">
        <f>C331</f>
        <v>18870740.6289</v>
      </c>
    </row>
    <row r="118" spans="1:3" ht="12.75">
      <c r="A118" s="33" t="s">
        <v>912</v>
      </c>
      <c r="B118" s="34" t="s">
        <v>913</v>
      </c>
      <c r="C118" s="3">
        <f>C332</f>
        <v>1500000</v>
      </c>
    </row>
    <row r="119" spans="1:3" ht="12.75">
      <c r="A119" s="33" t="s">
        <v>216</v>
      </c>
      <c r="B119" s="34" t="str">
        <f>B333</f>
        <v>Fondo Parques Nacionales</v>
      </c>
      <c r="C119" s="3">
        <f>C333</f>
        <v>9450000</v>
      </c>
    </row>
    <row r="120" spans="1:3" ht="12.75">
      <c r="A120" s="33"/>
      <c r="B120" s="34"/>
      <c r="C120" s="3"/>
    </row>
    <row r="121" spans="1:3" ht="12.75">
      <c r="A121" s="26" t="s">
        <v>914</v>
      </c>
      <c r="B121" s="28" t="s">
        <v>915</v>
      </c>
      <c r="C121" s="29">
        <f>SUM(C122:C123)</f>
        <v>72519068.76300001</v>
      </c>
    </row>
    <row r="122" spans="1:3" ht="12.75">
      <c r="A122" t="s">
        <v>916</v>
      </c>
      <c r="B122" t="s">
        <v>917</v>
      </c>
      <c r="C122" s="3">
        <f>C336</f>
        <v>62902468.763000004</v>
      </c>
    </row>
    <row r="123" spans="1:3" ht="12.75">
      <c r="A123" t="s">
        <v>918</v>
      </c>
      <c r="B123" t="s">
        <v>919</v>
      </c>
      <c r="C123" s="3">
        <f>C337</f>
        <v>9616600</v>
      </c>
    </row>
    <row r="124" ht="12.75">
      <c r="C124" s="3"/>
    </row>
    <row r="125" spans="1:3" ht="12.75">
      <c r="A125" s="26" t="s">
        <v>920</v>
      </c>
      <c r="B125" s="28" t="s">
        <v>921</v>
      </c>
      <c r="C125" s="29">
        <f>SUM(C126:C127)</f>
        <v>67316200</v>
      </c>
    </row>
    <row r="126" spans="1:3" ht="12.75">
      <c r="A126" t="s">
        <v>922</v>
      </c>
      <c r="B126" t="s">
        <v>923</v>
      </c>
      <c r="C126" s="3">
        <f>C340</f>
        <v>57699600</v>
      </c>
    </row>
    <row r="127" spans="1:3" ht="12.75">
      <c r="A127" t="s">
        <v>924</v>
      </c>
      <c r="B127" t="s">
        <v>179</v>
      </c>
      <c r="C127" s="3">
        <f>C341</f>
        <v>9616600</v>
      </c>
    </row>
    <row r="128" ht="12.75">
      <c r="C128" s="3"/>
    </row>
    <row r="129" spans="1:3" ht="12.75">
      <c r="A129" s="26" t="s">
        <v>1679</v>
      </c>
      <c r="B129" s="28" t="s">
        <v>1221</v>
      </c>
      <c r="C129" s="29">
        <f>C130</f>
        <v>10000000</v>
      </c>
    </row>
    <row r="130" spans="1:3" ht="12.75">
      <c r="A130" s="33" t="s">
        <v>1680</v>
      </c>
      <c r="B130" s="33" t="s">
        <v>1222</v>
      </c>
      <c r="C130" s="3">
        <f>C344</f>
        <v>10000000</v>
      </c>
    </row>
    <row r="131" ht="12.75">
      <c r="C131" s="3"/>
    </row>
    <row r="132" spans="1:3" ht="12.75">
      <c r="A132" s="97" t="s">
        <v>1443</v>
      </c>
      <c r="B132" s="28" t="s">
        <v>39</v>
      </c>
      <c r="C132" s="29">
        <f>SUM(C133:C134)</f>
        <v>3800000</v>
      </c>
    </row>
    <row r="133" spans="1:3" ht="12.75">
      <c r="A133" s="36" t="s">
        <v>1663</v>
      </c>
      <c r="B133" s="36" t="s">
        <v>1662</v>
      </c>
      <c r="C133" s="37">
        <f>C348</f>
        <v>1300000</v>
      </c>
    </row>
    <row r="134" spans="1:3" ht="12.75">
      <c r="A134" s="34" t="s">
        <v>1444</v>
      </c>
      <c r="B134" s="34" t="s">
        <v>1440</v>
      </c>
      <c r="C134" s="37">
        <f>C349</f>
        <v>2500000</v>
      </c>
    </row>
    <row r="135" spans="1:3" ht="12.75">
      <c r="A135" s="34"/>
      <c r="B135" s="34"/>
      <c r="C135" s="37"/>
    </row>
    <row r="136" spans="1:4" ht="13.5" thickBot="1">
      <c r="A136" s="30">
        <v>1.8</v>
      </c>
      <c r="B136" s="704" t="s">
        <v>1009</v>
      </c>
      <c r="C136" s="27"/>
      <c r="D136" s="705">
        <f>C137</f>
        <v>14410692.09</v>
      </c>
    </row>
    <row r="137" spans="1:3" ht="13.5" thickTop="1">
      <c r="A137" s="190" t="s">
        <v>487</v>
      </c>
      <c r="B137" s="28" t="s">
        <v>947</v>
      </c>
      <c r="C137" s="29">
        <f>C138</f>
        <v>14410692.09</v>
      </c>
    </row>
    <row r="138" spans="1:3" ht="12.75">
      <c r="A138" t="s">
        <v>486</v>
      </c>
      <c r="B138" t="s">
        <v>488</v>
      </c>
      <c r="C138" s="3">
        <f>C353</f>
        <v>14410692.09</v>
      </c>
    </row>
    <row r="139" spans="2:3" ht="12.75">
      <c r="B139" t="s">
        <v>246</v>
      </c>
      <c r="C139" s="3"/>
    </row>
    <row r="140" ht="12.75">
      <c r="C140" s="3"/>
    </row>
    <row r="141" spans="1:4" ht="13.5" thickBot="1">
      <c r="A141" s="30">
        <v>1.9</v>
      </c>
      <c r="B141" s="704" t="s">
        <v>166</v>
      </c>
      <c r="C141" s="27"/>
      <c r="D141" s="705">
        <f>C142</f>
        <v>1829929.82</v>
      </c>
    </row>
    <row r="142" spans="1:3" ht="13.5" thickTop="1">
      <c r="A142" s="26" t="s">
        <v>1702</v>
      </c>
      <c r="B142" s="28" t="s">
        <v>168</v>
      </c>
      <c r="C142" s="29">
        <f>C143</f>
        <v>1829929.82</v>
      </c>
    </row>
    <row r="143" spans="1:3" ht="12.75">
      <c r="A143" s="33" t="s">
        <v>1703</v>
      </c>
      <c r="B143" s="33" t="s">
        <v>1232</v>
      </c>
      <c r="C143" s="3">
        <f>C276</f>
        <v>1829929.82</v>
      </c>
    </row>
    <row r="144" ht="13.5" customHeight="1" thickBot="1">
      <c r="C144" s="3"/>
    </row>
    <row r="145" spans="2:4" ht="13.5" thickBot="1">
      <c r="B145" s="706" t="s">
        <v>1020</v>
      </c>
      <c r="C145" s="707"/>
      <c r="D145" s="708">
        <f>D5+D31+D78+D103+D136+D108+D141</f>
        <v>947882016.6669368</v>
      </c>
    </row>
    <row r="146" spans="2:4" ht="12.75">
      <c r="B146" s="379"/>
      <c r="C146" s="100"/>
      <c r="D146" s="101"/>
    </row>
    <row r="147" spans="2:4" ht="12.75">
      <c r="B147" s="379"/>
      <c r="C147" s="100"/>
      <c r="D147" s="101"/>
    </row>
    <row r="148" spans="2:4" ht="12.75">
      <c r="B148" s="379"/>
      <c r="C148" s="100"/>
      <c r="D148" s="101"/>
    </row>
    <row r="149" spans="2:4" ht="12.75">
      <c r="B149" s="379"/>
      <c r="C149" s="100"/>
      <c r="D149" s="101"/>
    </row>
    <row r="150" spans="2:4" ht="12.75">
      <c r="B150" s="379"/>
      <c r="C150" s="100"/>
      <c r="D150" s="101"/>
    </row>
    <row r="151" spans="2:4" ht="12.75">
      <c r="B151" s="379"/>
      <c r="C151" s="100"/>
      <c r="D151" s="101"/>
    </row>
    <row r="152" spans="2:4" ht="12.75">
      <c r="B152" s="379"/>
      <c r="C152" s="100"/>
      <c r="D152" s="101"/>
    </row>
    <row r="153" spans="2:4" ht="12.75">
      <c r="B153" s="379"/>
      <c r="C153" s="100"/>
      <c r="D153" s="101"/>
    </row>
    <row r="154" spans="2:4" ht="12.75">
      <c r="B154" s="379"/>
      <c r="C154" s="100"/>
      <c r="D154" s="101"/>
    </row>
    <row r="155" spans="2:4" ht="12.75">
      <c r="B155" s="379"/>
      <c r="C155" s="100"/>
      <c r="D155" s="101"/>
    </row>
    <row r="156" spans="2:4" ht="12.75">
      <c r="B156" s="379"/>
      <c r="C156" s="100"/>
      <c r="D156" s="101"/>
    </row>
    <row r="157" spans="2:4" ht="12.75">
      <c r="B157" s="379"/>
      <c r="C157" s="100"/>
      <c r="D157" s="101"/>
    </row>
    <row r="158" spans="2:4" ht="12.75">
      <c r="B158" s="379"/>
      <c r="C158" s="100"/>
      <c r="D158" s="101"/>
    </row>
    <row r="159" spans="2:4" ht="12.75">
      <c r="B159" s="379"/>
      <c r="C159" s="100"/>
      <c r="D159" s="101"/>
    </row>
    <row r="160" spans="2:4" ht="12.75">
      <c r="B160" s="379"/>
      <c r="C160" s="100"/>
      <c r="D160" s="101"/>
    </row>
    <row r="161" spans="2:4" ht="12.75">
      <c r="B161" s="379"/>
      <c r="C161" s="100"/>
      <c r="D161" s="101"/>
    </row>
    <row r="162" spans="2:4" ht="12.75">
      <c r="B162" s="379"/>
      <c r="C162" s="100"/>
      <c r="D162" s="101"/>
    </row>
    <row r="163" spans="2:4" ht="12.75">
      <c r="B163" s="379"/>
      <c r="C163" s="100"/>
      <c r="D163" s="101"/>
    </row>
    <row r="164" spans="2:4" ht="12.75">
      <c r="B164" s="379"/>
      <c r="C164" s="100"/>
      <c r="D164" s="101"/>
    </row>
    <row r="165" spans="2:4" ht="12.75">
      <c r="B165" s="379"/>
      <c r="C165" s="100"/>
      <c r="D165" s="101"/>
    </row>
    <row r="166" spans="2:4" ht="12.75">
      <c r="B166" s="379"/>
      <c r="C166" s="100"/>
      <c r="D166" s="101"/>
    </row>
    <row r="167" spans="2:4" ht="12.75">
      <c r="B167" s="379"/>
      <c r="C167" s="100"/>
      <c r="D167" s="101"/>
    </row>
    <row r="168" spans="2:4" ht="12.75">
      <c r="B168" s="379"/>
      <c r="C168" s="100"/>
      <c r="D168" s="101"/>
    </row>
    <row r="169" spans="2:4" ht="12.75">
      <c r="B169" s="379"/>
      <c r="C169" s="100"/>
      <c r="D169" s="101"/>
    </row>
    <row r="170" spans="2:4" ht="12.75">
      <c r="B170" s="379"/>
      <c r="C170" s="100"/>
      <c r="D170" s="101"/>
    </row>
    <row r="171" spans="2:4" ht="12.75">
      <c r="B171" s="379"/>
      <c r="C171" s="100"/>
      <c r="D171" s="101"/>
    </row>
    <row r="172" spans="2:4" ht="12.75">
      <c r="B172" s="379"/>
      <c r="C172" s="100"/>
      <c r="D172" s="101"/>
    </row>
    <row r="173" spans="2:4" ht="12.75">
      <c r="B173" s="379"/>
      <c r="C173" s="100"/>
      <c r="D173" s="101"/>
    </row>
    <row r="174" spans="1:4" ht="16.5" thickBot="1">
      <c r="A174" s="846" t="s">
        <v>1019</v>
      </c>
      <c r="B174" s="846"/>
      <c r="C174" s="846"/>
      <c r="D174" s="846"/>
    </row>
    <row r="175" spans="1:4" ht="13.5" thickBot="1">
      <c r="A175" s="30" t="s">
        <v>1074</v>
      </c>
      <c r="B175" s="704" t="s">
        <v>818</v>
      </c>
      <c r="C175" s="27"/>
      <c r="D175" s="719">
        <f>C176+C181+C185+C191+C196</f>
        <v>612300876.4633366</v>
      </c>
    </row>
    <row r="176" spans="1:4" ht="13.5" thickTop="1">
      <c r="A176" s="25" t="s">
        <v>1075</v>
      </c>
      <c r="B176" s="28" t="s">
        <v>819</v>
      </c>
      <c r="C176" s="29">
        <f>SUM(C177:C179)</f>
        <v>277878469.9</v>
      </c>
      <c r="D176" s="3"/>
    </row>
    <row r="177" spans="1:4" ht="12.75">
      <c r="A177" s="24" t="s">
        <v>1076</v>
      </c>
      <c r="B177" t="s">
        <v>820</v>
      </c>
      <c r="C177" s="601">
        <v>260378469.9</v>
      </c>
      <c r="D177" s="3"/>
    </row>
    <row r="178" spans="1:4" ht="12.75">
      <c r="A178" s="24" t="s">
        <v>131</v>
      </c>
      <c r="B178" t="s">
        <v>40</v>
      </c>
      <c r="C178" s="601">
        <v>15000000</v>
      </c>
      <c r="D178" s="3"/>
    </row>
    <row r="179" spans="1:4" ht="12.75">
      <c r="A179" s="24" t="s">
        <v>1077</v>
      </c>
      <c r="B179" t="s">
        <v>821</v>
      </c>
      <c r="C179" s="601">
        <v>2500000</v>
      </c>
      <c r="D179" s="3"/>
    </row>
    <row r="180" spans="1:4" ht="12.75">
      <c r="A180" s="24"/>
      <c r="C180" s="601"/>
      <c r="D180" s="3"/>
    </row>
    <row r="181" spans="1:4" ht="12.75">
      <c r="A181" s="30" t="s">
        <v>1078</v>
      </c>
      <c r="B181" s="28" t="s">
        <v>822</v>
      </c>
      <c r="C181" s="602">
        <f>SUM(C182:C183)</f>
        <v>23533676.08</v>
      </c>
      <c r="D181" s="3"/>
    </row>
    <row r="182" spans="1:4" ht="12.75">
      <c r="A182" s="24" t="s">
        <v>1079</v>
      </c>
      <c r="B182" t="s">
        <v>489</v>
      </c>
      <c r="C182" s="601">
        <v>2500000</v>
      </c>
      <c r="D182" s="3"/>
    </row>
    <row r="183" spans="1:4" ht="12.75">
      <c r="A183" s="24" t="s">
        <v>1080</v>
      </c>
      <c r="B183" t="s">
        <v>831</v>
      </c>
      <c r="C183" s="601">
        <v>21033676.08</v>
      </c>
      <c r="D183" s="3"/>
    </row>
    <row r="184" spans="1:4" ht="12.75">
      <c r="A184" s="24"/>
      <c r="C184" s="601"/>
      <c r="D184" s="3"/>
    </row>
    <row r="185" spans="1:4" ht="12.75">
      <c r="A185" s="30" t="s">
        <v>1082</v>
      </c>
      <c r="B185" s="28" t="s">
        <v>833</v>
      </c>
      <c r="C185" s="602">
        <f>SUM(C186:C189)</f>
        <v>221362672.49166667</v>
      </c>
      <c r="D185" s="3"/>
    </row>
    <row r="186" spans="1:4" ht="12.75">
      <c r="A186" s="24" t="s">
        <v>1083</v>
      </c>
      <c r="B186" t="s">
        <v>835</v>
      </c>
      <c r="C186" s="601">
        <v>72000000</v>
      </c>
      <c r="D186" s="3"/>
    </row>
    <row r="187" spans="1:4" ht="12.75">
      <c r="A187" s="24" t="s">
        <v>163</v>
      </c>
      <c r="B187" t="s">
        <v>837</v>
      </c>
      <c r="C187" s="601">
        <v>80767200</v>
      </c>
      <c r="D187" s="3"/>
    </row>
    <row r="188" spans="1:4" ht="12.75">
      <c r="A188" s="24" t="s">
        <v>1084</v>
      </c>
      <c r="B188" t="s">
        <v>839</v>
      </c>
      <c r="C188" s="601">
        <f>(C177+C178+C179+C182+C186+C187+C189)/12</f>
        <v>38595472.49166667</v>
      </c>
      <c r="D188" s="3"/>
    </row>
    <row r="189" spans="1:4" ht="12.75">
      <c r="A189" s="24" t="s">
        <v>1478</v>
      </c>
      <c r="B189" t="s">
        <v>1477</v>
      </c>
      <c r="C189" s="601">
        <v>30000000</v>
      </c>
      <c r="D189" s="3"/>
    </row>
    <row r="190" spans="1:4" ht="12.75">
      <c r="A190" s="24"/>
      <c r="C190" s="601"/>
      <c r="D190" s="3"/>
    </row>
    <row r="191" spans="1:4" ht="12.75">
      <c r="A191" s="30" t="s">
        <v>1085</v>
      </c>
      <c r="B191" s="28" t="s">
        <v>841</v>
      </c>
      <c r="C191" s="602">
        <f>SUM(C193:C194)</f>
        <v>68684502.84617</v>
      </c>
      <c r="D191" s="3"/>
    </row>
    <row r="192" spans="1:4" ht="12.75">
      <c r="A192" s="24"/>
      <c r="B192" s="31" t="s">
        <v>842</v>
      </c>
      <c r="C192" s="601"/>
      <c r="D192" s="3"/>
    </row>
    <row r="193" spans="1:4" ht="12.75">
      <c r="A193" s="24" t="s">
        <v>1086</v>
      </c>
      <c r="B193" t="s">
        <v>844</v>
      </c>
      <c r="C193" s="601">
        <f>(C177+C178+C179+C182+C186+C187+C189)*14.33%</f>
        <v>66368774.49667</v>
      </c>
      <c r="D193" s="3"/>
    </row>
    <row r="194" spans="1:4" ht="12.75">
      <c r="A194" s="24" t="s">
        <v>1087</v>
      </c>
      <c r="B194" t="s">
        <v>846</v>
      </c>
      <c r="C194" s="601">
        <f>(C177+C178+C179+C182+C186+C187+C189)*0.5%</f>
        <v>2315728.3495</v>
      </c>
      <c r="D194" s="3"/>
    </row>
    <row r="195" spans="1:4" ht="12.75">
      <c r="A195" s="24"/>
      <c r="C195" s="601"/>
      <c r="D195" s="3"/>
    </row>
    <row r="196" spans="1:4" ht="12.75">
      <c r="A196" s="30" t="s">
        <v>1088</v>
      </c>
      <c r="B196" s="28" t="s">
        <v>848</v>
      </c>
      <c r="C196" s="602">
        <f>SUM(C198:C199)</f>
        <v>20841555.145499997</v>
      </c>
      <c r="D196" s="3"/>
    </row>
    <row r="197" spans="1:4" ht="12.75">
      <c r="A197" s="30"/>
      <c r="B197" s="31" t="s">
        <v>849</v>
      </c>
      <c r="C197" s="773"/>
      <c r="D197" s="3"/>
    </row>
    <row r="198" spans="1:4" ht="12.75">
      <c r="A198" s="148" t="s">
        <v>1368</v>
      </c>
      <c r="B198" s="33" t="s">
        <v>1369</v>
      </c>
      <c r="C198" s="601">
        <f>(C177+C178+C179+C182+C186+C187+C189)*1.5%</f>
        <v>6947185.0485</v>
      </c>
      <c r="D198" s="3"/>
    </row>
    <row r="199" spans="1:4" ht="12.75">
      <c r="A199" s="148" t="s">
        <v>1367</v>
      </c>
      <c r="B199" t="s">
        <v>851</v>
      </c>
      <c r="C199" s="601">
        <f>(C177+C178+C179+C182+C186+C187+C189)*3%</f>
        <v>13894370.097</v>
      </c>
      <c r="D199" s="3"/>
    </row>
    <row r="200" spans="1:4" ht="12.75">
      <c r="A200" s="24"/>
      <c r="C200" s="3"/>
      <c r="D200" s="3"/>
    </row>
    <row r="201" spans="1:4" ht="13.5" thickBot="1">
      <c r="A201" s="30" t="s">
        <v>1089</v>
      </c>
      <c r="B201" s="704" t="s">
        <v>852</v>
      </c>
      <c r="C201" s="147"/>
      <c r="D201" s="705">
        <f>C202+C206+C211+C218+C223+C227+C232+C236+C243+C246</f>
        <v>89231619.06</v>
      </c>
    </row>
    <row r="202" spans="1:4" ht="13.5" thickTop="1">
      <c r="A202" s="30" t="s">
        <v>170</v>
      </c>
      <c r="B202" s="28" t="s">
        <v>962</v>
      </c>
      <c r="C202" s="29">
        <f>C203+C204</f>
        <v>19020000</v>
      </c>
      <c r="D202" s="101"/>
    </row>
    <row r="203" spans="1:4" ht="12.75">
      <c r="A203" s="148" t="s">
        <v>171</v>
      </c>
      <c r="B203" s="36" t="s">
        <v>280</v>
      </c>
      <c r="C203" s="606">
        <v>11520000</v>
      </c>
      <c r="D203" s="101"/>
    </row>
    <row r="204" spans="1:4" ht="12.75">
      <c r="A204" s="148" t="s">
        <v>1250</v>
      </c>
      <c r="B204" s="34" t="s">
        <v>1251</v>
      </c>
      <c r="C204" s="606">
        <v>7500000</v>
      </c>
      <c r="D204" s="101"/>
    </row>
    <row r="205" spans="1:4" ht="12.75">
      <c r="A205" s="65"/>
      <c r="B205" s="100"/>
      <c r="C205" s="772"/>
      <c r="D205" s="101"/>
    </row>
    <row r="206" spans="1:4" ht="12.75">
      <c r="A206" s="30" t="s">
        <v>1090</v>
      </c>
      <c r="B206" s="28" t="s">
        <v>854</v>
      </c>
      <c r="C206" s="602">
        <f>SUM(C207:C209)</f>
        <v>18015000</v>
      </c>
      <c r="D206" s="3"/>
    </row>
    <row r="207" spans="1:4" ht="12.75">
      <c r="A207" s="24" t="s">
        <v>1091</v>
      </c>
      <c r="B207" t="s">
        <v>856</v>
      </c>
      <c r="C207" s="601">
        <v>6500000</v>
      </c>
      <c r="D207" s="3"/>
    </row>
    <row r="208" spans="1:4" ht="12.75">
      <c r="A208" s="24" t="s">
        <v>1253</v>
      </c>
      <c r="B208" t="s">
        <v>1254</v>
      </c>
      <c r="C208" s="601">
        <v>15000</v>
      </c>
      <c r="D208" s="3"/>
    </row>
    <row r="209" spans="1:3" ht="12.75">
      <c r="A209" s="24" t="s">
        <v>1092</v>
      </c>
      <c r="B209" t="s">
        <v>858</v>
      </c>
      <c r="C209" s="601">
        <v>11500000</v>
      </c>
    </row>
    <row r="210" ht="12.75">
      <c r="C210" s="352"/>
    </row>
    <row r="211" spans="1:3" ht="12.75">
      <c r="A211" s="30" t="s">
        <v>1093</v>
      </c>
      <c r="B211" s="28" t="s">
        <v>860</v>
      </c>
      <c r="C211" s="602">
        <f>SUM(C212:C216)</f>
        <v>9900000</v>
      </c>
    </row>
    <row r="212" spans="1:3" ht="12.75">
      <c r="A212" t="s">
        <v>490</v>
      </c>
      <c r="B212" t="s">
        <v>491</v>
      </c>
      <c r="C212" s="601">
        <v>2500000</v>
      </c>
    </row>
    <row r="213" spans="1:3" ht="12.75">
      <c r="A213" t="s">
        <v>281</v>
      </c>
      <c r="B213" t="s">
        <v>545</v>
      </c>
      <c r="C213" s="601">
        <v>2500000</v>
      </c>
    </row>
    <row r="214" spans="1:3" ht="12.75">
      <c r="A214" t="s">
        <v>1094</v>
      </c>
      <c r="B214" t="s">
        <v>862</v>
      </c>
      <c r="C214" s="601">
        <v>800000</v>
      </c>
    </row>
    <row r="215" spans="1:3" ht="12.75">
      <c r="A215" t="s">
        <v>1570</v>
      </c>
      <c r="B215" t="s">
        <v>1571</v>
      </c>
      <c r="C215" s="601">
        <v>100000</v>
      </c>
    </row>
    <row r="216" spans="1:3" ht="12.75">
      <c r="A216" t="s">
        <v>185</v>
      </c>
      <c r="B216" t="s">
        <v>186</v>
      </c>
      <c r="C216" s="601">
        <v>4000000</v>
      </c>
    </row>
    <row r="217" ht="12.75">
      <c r="C217" s="601"/>
    </row>
    <row r="218" spans="1:3" ht="12.75">
      <c r="A218" s="26" t="s">
        <v>1095</v>
      </c>
      <c r="B218" s="28" t="s">
        <v>864</v>
      </c>
      <c r="C218" s="602">
        <f>SUM(C219:C221)</f>
        <v>20734006.33</v>
      </c>
    </row>
    <row r="219" spans="1:3" ht="12.75">
      <c r="A219" s="33" t="s">
        <v>188</v>
      </c>
      <c r="B219" s="36" t="s">
        <v>189</v>
      </c>
      <c r="C219" s="603">
        <v>8500000</v>
      </c>
    </row>
    <row r="220" spans="1:3" ht="12.75">
      <c r="A220" s="33" t="s">
        <v>1509</v>
      </c>
      <c r="B220" s="34" t="s">
        <v>555</v>
      </c>
      <c r="C220" s="603">
        <v>11354006.33</v>
      </c>
    </row>
    <row r="221" spans="1:3" ht="12.75">
      <c r="A221" s="33" t="s">
        <v>1256</v>
      </c>
      <c r="B221" s="34" t="s">
        <v>1257</v>
      </c>
      <c r="C221" s="603">
        <v>880000</v>
      </c>
    </row>
    <row r="222" spans="1:3" ht="12.75">
      <c r="A222" s="33"/>
      <c r="B222" s="34"/>
      <c r="C222" s="603"/>
    </row>
    <row r="223" spans="1:3" ht="12.75">
      <c r="A223" s="26" t="s">
        <v>1259</v>
      </c>
      <c r="B223" s="28" t="s">
        <v>1260</v>
      </c>
      <c r="C223" s="602">
        <f>SUM(C224:C225)</f>
        <v>100000</v>
      </c>
    </row>
    <row r="224" spans="1:3" ht="12.75">
      <c r="A224" s="33" t="s">
        <v>1261</v>
      </c>
      <c r="B224" s="34" t="s">
        <v>47</v>
      </c>
      <c r="C224" s="603">
        <v>50000</v>
      </c>
    </row>
    <row r="225" spans="1:3" ht="12.75">
      <c r="A225" s="33" t="s">
        <v>1262</v>
      </c>
      <c r="B225" s="34" t="s">
        <v>191</v>
      </c>
      <c r="C225" s="603">
        <v>50000</v>
      </c>
    </row>
    <row r="226" ht="12.75">
      <c r="C226" s="601"/>
    </row>
    <row r="227" spans="1:3" ht="12.75">
      <c r="A227" s="26" t="s">
        <v>1096</v>
      </c>
      <c r="B227" s="28" t="s">
        <v>866</v>
      </c>
      <c r="C227" s="602">
        <f>C228</f>
        <v>10062612.73</v>
      </c>
    </row>
    <row r="228" spans="1:3" ht="12.75">
      <c r="A228" t="s">
        <v>1097</v>
      </c>
      <c r="B228" t="s">
        <v>868</v>
      </c>
      <c r="C228" s="601">
        <v>10062612.73</v>
      </c>
    </row>
    <row r="229" ht="12.75">
      <c r="C229" s="601"/>
    </row>
    <row r="230" ht="12.75">
      <c r="C230" s="601"/>
    </row>
    <row r="231" ht="12.75">
      <c r="C231" s="601"/>
    </row>
    <row r="232" spans="1:3" ht="12.75">
      <c r="A232" s="26" t="s">
        <v>192</v>
      </c>
      <c r="B232" s="28" t="s">
        <v>974</v>
      </c>
      <c r="C232" s="602">
        <f>SUM(C233:C234)</f>
        <v>3000000</v>
      </c>
    </row>
    <row r="233" spans="1:3" ht="12.75">
      <c r="A233" t="s">
        <v>193</v>
      </c>
      <c r="B233" t="s">
        <v>194</v>
      </c>
      <c r="C233" s="601">
        <v>2500000</v>
      </c>
    </row>
    <row r="234" spans="1:3" ht="12.75">
      <c r="A234" t="s">
        <v>1573</v>
      </c>
      <c r="B234" t="s">
        <v>976</v>
      </c>
      <c r="C234" s="601">
        <v>500000</v>
      </c>
    </row>
    <row r="235" ht="12.75">
      <c r="C235" s="601"/>
    </row>
    <row r="236" spans="1:3" ht="12.75">
      <c r="A236" s="26" t="s">
        <v>1098</v>
      </c>
      <c r="B236" s="28" t="s">
        <v>870</v>
      </c>
      <c r="C236" s="602">
        <f>SUM(C237:C241)</f>
        <v>7700000</v>
      </c>
    </row>
    <row r="237" spans="1:3" ht="12.75">
      <c r="A237" s="33" t="s">
        <v>1575</v>
      </c>
      <c r="B237" s="36" t="s">
        <v>1576</v>
      </c>
      <c r="C237" s="603">
        <v>500000</v>
      </c>
    </row>
    <row r="238" spans="1:3" ht="12.75">
      <c r="A238" t="s">
        <v>1099</v>
      </c>
      <c r="B238" t="s">
        <v>872</v>
      </c>
      <c r="C238" s="601">
        <v>1500000</v>
      </c>
    </row>
    <row r="239" spans="1:3" ht="12.75">
      <c r="A239" t="s">
        <v>1630</v>
      </c>
      <c r="B239" t="s">
        <v>1631</v>
      </c>
      <c r="C239" s="601">
        <v>500000</v>
      </c>
    </row>
    <row r="240" spans="1:3" ht="12.75">
      <c r="A240" s="33" t="s">
        <v>1577</v>
      </c>
      <c r="B240" s="33" t="s">
        <v>1578</v>
      </c>
      <c r="C240" s="601">
        <v>200000</v>
      </c>
    </row>
    <row r="241" spans="1:3" ht="12.75">
      <c r="A241" s="33" t="s">
        <v>1434</v>
      </c>
      <c r="B241" s="33" t="s">
        <v>1435</v>
      </c>
      <c r="C241" s="601">
        <v>5000000</v>
      </c>
    </row>
    <row r="242" ht="12.75">
      <c r="C242" s="601"/>
    </row>
    <row r="243" spans="1:3" ht="12.75">
      <c r="A243" s="26" t="s">
        <v>1266</v>
      </c>
      <c r="B243" s="28" t="s">
        <v>1267</v>
      </c>
      <c r="C243" s="602">
        <f>SUM(C244:C244)</f>
        <v>500000</v>
      </c>
    </row>
    <row r="244" spans="1:3" ht="12.75">
      <c r="A244" t="s">
        <v>1268</v>
      </c>
      <c r="B244" t="s">
        <v>1269</v>
      </c>
      <c r="C244" s="601">
        <v>500000</v>
      </c>
    </row>
    <row r="245" ht="12.75">
      <c r="C245" s="601"/>
    </row>
    <row r="246" spans="1:3" ht="12.75">
      <c r="A246" s="26" t="s">
        <v>1582</v>
      </c>
      <c r="B246" s="28" t="s">
        <v>980</v>
      </c>
      <c r="C246" s="602">
        <f>C247</f>
        <v>200000</v>
      </c>
    </row>
    <row r="247" spans="1:3" ht="12.75">
      <c r="A247" s="33" t="s">
        <v>1583</v>
      </c>
      <c r="B247" s="33" t="s">
        <v>1584</v>
      </c>
      <c r="C247" s="601">
        <v>200000</v>
      </c>
    </row>
    <row r="248" ht="12.75">
      <c r="C248" s="601"/>
    </row>
    <row r="249" spans="1:4" ht="13.5" thickBot="1">
      <c r="A249" s="26" t="s">
        <v>1101</v>
      </c>
      <c r="B249" s="704" t="s">
        <v>874</v>
      </c>
      <c r="C249" s="606"/>
      <c r="D249" s="705">
        <f>C250+C255+C258+C261+C265</f>
        <v>10600000</v>
      </c>
    </row>
    <row r="250" spans="1:3" ht="13.5" thickTop="1">
      <c r="A250" s="26" t="s">
        <v>1100</v>
      </c>
      <c r="B250" s="28" t="s">
        <v>876</v>
      </c>
      <c r="C250" s="602">
        <f>SUM(C251:C253)</f>
        <v>2300000</v>
      </c>
    </row>
    <row r="251" spans="1:3" ht="12.75">
      <c r="A251" t="s">
        <v>1102</v>
      </c>
      <c r="B251" t="s">
        <v>887</v>
      </c>
      <c r="C251" s="601">
        <v>1500000</v>
      </c>
    </row>
    <row r="252" spans="1:3" ht="12.75">
      <c r="A252" t="s">
        <v>1272</v>
      </c>
      <c r="B252" t="s">
        <v>1273</v>
      </c>
      <c r="C252" s="601">
        <v>200000</v>
      </c>
    </row>
    <row r="253" spans="1:3" ht="12.75">
      <c r="A253" t="s">
        <v>1103</v>
      </c>
      <c r="B253" t="s">
        <v>889</v>
      </c>
      <c r="C253" s="601">
        <v>600000</v>
      </c>
    </row>
    <row r="254" ht="12.75">
      <c r="C254" s="601"/>
    </row>
    <row r="255" spans="1:3" ht="12.75">
      <c r="A255" s="26" t="s">
        <v>1588</v>
      </c>
      <c r="B255" s="28" t="s">
        <v>1005</v>
      </c>
      <c r="C255" s="602">
        <f>C256</f>
        <v>100000</v>
      </c>
    </row>
    <row r="256" spans="1:3" ht="12.75">
      <c r="A256" s="33" t="s">
        <v>1589</v>
      </c>
      <c r="B256" s="33" t="s">
        <v>1007</v>
      </c>
      <c r="C256" s="601">
        <v>100000</v>
      </c>
    </row>
    <row r="257" ht="12.75">
      <c r="C257" s="601"/>
    </row>
    <row r="258" spans="1:3" ht="12.75">
      <c r="A258" s="26" t="s">
        <v>196</v>
      </c>
      <c r="B258" s="28" t="s">
        <v>197</v>
      </c>
      <c r="C258" s="602">
        <f>SUM(C259:C259)</f>
        <v>50000</v>
      </c>
    </row>
    <row r="259" spans="1:3" ht="12.75">
      <c r="A259" s="33" t="s">
        <v>1275</v>
      </c>
      <c r="B259" s="34" t="s">
        <v>1276</v>
      </c>
      <c r="C259" s="603">
        <v>50000</v>
      </c>
    </row>
    <row r="260" spans="1:3" ht="12.75">
      <c r="A260" s="33"/>
      <c r="B260" s="33"/>
      <c r="C260" s="601"/>
    </row>
    <row r="261" spans="1:3" ht="12.75">
      <c r="A261" s="26" t="s">
        <v>1279</v>
      </c>
      <c r="B261" s="28" t="s">
        <v>999</v>
      </c>
      <c r="C261" s="602">
        <f>SUM(C262:C263)</f>
        <v>100000</v>
      </c>
    </row>
    <row r="262" spans="1:3" ht="12.75">
      <c r="A262" s="33" t="s">
        <v>1280</v>
      </c>
      <c r="B262" s="33" t="s">
        <v>212</v>
      </c>
      <c r="C262" s="601">
        <v>50000</v>
      </c>
    </row>
    <row r="263" spans="1:3" ht="12.75">
      <c r="A263" s="33" t="s">
        <v>1281</v>
      </c>
      <c r="B263" s="33" t="s">
        <v>1003</v>
      </c>
      <c r="C263" s="601">
        <v>50000</v>
      </c>
    </row>
    <row r="264" ht="12.75">
      <c r="C264" s="601"/>
    </row>
    <row r="265" spans="1:3" ht="12.75">
      <c r="A265" s="26" t="s">
        <v>1104</v>
      </c>
      <c r="B265" s="28" t="s">
        <v>891</v>
      </c>
      <c r="C265" s="602">
        <f>SUM(C266:C272)</f>
        <v>8050000</v>
      </c>
    </row>
    <row r="266" spans="1:3" ht="12.75">
      <c r="A266" t="s">
        <v>1105</v>
      </c>
      <c r="B266" t="s">
        <v>893</v>
      </c>
      <c r="C266" s="601">
        <v>1500000</v>
      </c>
    </row>
    <row r="267" spans="1:3" ht="12.75">
      <c r="A267" t="s">
        <v>1511</v>
      </c>
      <c r="B267" t="s">
        <v>1512</v>
      </c>
      <c r="C267" s="601">
        <v>150000</v>
      </c>
    </row>
    <row r="268" spans="1:3" ht="12.75">
      <c r="A268" t="s">
        <v>1514</v>
      </c>
      <c r="B268" t="s">
        <v>472</v>
      </c>
      <c r="C268" s="601">
        <v>1500000</v>
      </c>
    </row>
    <row r="269" spans="1:3" ht="12.75">
      <c r="A269" t="s">
        <v>199</v>
      </c>
      <c r="B269" t="s">
        <v>200</v>
      </c>
      <c r="C269" s="601">
        <v>2500000</v>
      </c>
    </row>
    <row r="270" spans="1:3" ht="12.75">
      <c r="A270" t="s">
        <v>1106</v>
      </c>
      <c r="B270" t="s">
        <v>895</v>
      </c>
      <c r="C270" s="601">
        <v>2000000</v>
      </c>
    </row>
    <row r="271" spans="1:3" ht="12.75">
      <c r="A271" t="s">
        <v>1598</v>
      </c>
      <c r="B271" t="s">
        <v>9</v>
      </c>
      <c r="C271" s="601">
        <v>50000</v>
      </c>
    </row>
    <row r="272" spans="1:3" ht="12.75">
      <c r="A272" s="33" t="s">
        <v>1321</v>
      </c>
      <c r="B272" s="33" t="s">
        <v>621</v>
      </c>
      <c r="C272" s="601">
        <v>350000</v>
      </c>
    </row>
    <row r="273" spans="1:3" ht="12.75">
      <c r="A273" s="33"/>
      <c r="B273" s="33"/>
      <c r="C273" s="601"/>
    </row>
    <row r="274" spans="1:4" ht="13.5" thickBot="1">
      <c r="A274" s="26" t="s">
        <v>1698</v>
      </c>
      <c r="B274" s="704" t="s">
        <v>166</v>
      </c>
      <c r="C274" s="773"/>
      <c r="D274" s="705">
        <f>C275</f>
        <v>1829929.82</v>
      </c>
    </row>
    <row r="275" spans="1:3" ht="13.5" thickTop="1">
      <c r="A275" s="26" t="s">
        <v>1699</v>
      </c>
      <c r="B275" s="28" t="s">
        <v>168</v>
      </c>
      <c r="C275" s="602">
        <f>C276</f>
        <v>1829929.82</v>
      </c>
    </row>
    <row r="276" spans="1:3" ht="12.75">
      <c r="A276" s="33" t="s">
        <v>1700</v>
      </c>
      <c r="B276" s="34" t="s">
        <v>1701</v>
      </c>
      <c r="C276" s="606">
        <v>1829929.82</v>
      </c>
    </row>
    <row r="277" ht="13.5" thickBot="1">
      <c r="C277" s="601"/>
    </row>
    <row r="278" spans="2:4" ht="18" customHeight="1" thickBot="1">
      <c r="B278" s="709" t="s">
        <v>1081</v>
      </c>
      <c r="C278" s="710"/>
      <c r="D278" s="708">
        <f>D175+D201+D249+D274</f>
        <v>713962425.3433367</v>
      </c>
    </row>
    <row r="279" spans="2:4" ht="12.75">
      <c r="B279" s="100"/>
      <c r="C279" s="101"/>
      <c r="D279" s="101"/>
    </row>
    <row r="280" spans="2:4" ht="12.75">
      <c r="B280" s="100"/>
      <c r="C280" s="101"/>
      <c r="D280" s="101"/>
    </row>
    <row r="281" spans="2:4" ht="12.75">
      <c r="B281" s="100"/>
      <c r="C281" s="101"/>
      <c r="D281" s="101"/>
    </row>
    <row r="282" spans="1:4" ht="16.5" thickBot="1">
      <c r="A282" s="846" t="s">
        <v>1107</v>
      </c>
      <c r="B282" s="846"/>
      <c r="C282" s="846"/>
      <c r="D282" s="846"/>
    </row>
    <row r="283" spans="1:4" ht="13.5" thickBot="1">
      <c r="A283" s="30" t="s">
        <v>1108</v>
      </c>
      <c r="B283" s="704" t="s">
        <v>818</v>
      </c>
      <c r="C283" s="27"/>
      <c r="D283" s="719">
        <f>C284+C289+C295+C300</f>
        <v>25972260.0354</v>
      </c>
    </row>
    <row r="284" spans="1:4" ht="13.5" thickTop="1">
      <c r="A284" s="25" t="s">
        <v>1109</v>
      </c>
      <c r="B284" s="28" t="s">
        <v>819</v>
      </c>
      <c r="C284" s="29">
        <f>SUM(C285:C285)</f>
        <v>8644753</v>
      </c>
      <c r="D284" s="3"/>
    </row>
    <row r="285" spans="1:4" ht="12.75">
      <c r="A285" s="24" t="s">
        <v>1110</v>
      </c>
      <c r="B285" t="s">
        <v>820</v>
      </c>
      <c r="C285" s="601">
        <v>8644753</v>
      </c>
      <c r="D285" s="3"/>
    </row>
    <row r="286" spans="1:4" ht="12.75">
      <c r="A286" s="24"/>
      <c r="C286" s="601"/>
      <c r="D286" s="3"/>
    </row>
    <row r="287" spans="1:4" ht="12.75">
      <c r="A287" s="24"/>
      <c r="C287" s="601"/>
      <c r="D287" s="3"/>
    </row>
    <row r="288" spans="1:4" ht="12.75">
      <c r="A288" s="24"/>
      <c r="C288" s="601"/>
      <c r="D288" s="3"/>
    </row>
    <row r="289" spans="1:4" ht="12.75">
      <c r="A289" s="30" t="s">
        <v>1113</v>
      </c>
      <c r="B289" s="28" t="s">
        <v>833</v>
      </c>
      <c r="C289" s="602">
        <f>SUM(C290:C293)</f>
        <v>13394946.5</v>
      </c>
      <c r="D289" s="3"/>
    </row>
    <row r="290" spans="1:4" ht="12.75">
      <c r="A290" s="24" t="s">
        <v>1114</v>
      </c>
      <c r="B290" t="s">
        <v>835</v>
      </c>
      <c r="C290" s="601">
        <v>4668167</v>
      </c>
      <c r="D290" s="3"/>
    </row>
    <row r="291" spans="1:4" ht="12.75">
      <c r="A291" s="24" t="s">
        <v>1111</v>
      </c>
      <c r="B291" t="s">
        <v>837</v>
      </c>
      <c r="C291" s="601">
        <v>5619090</v>
      </c>
      <c r="D291" s="3"/>
    </row>
    <row r="292" spans="1:4" ht="12.75">
      <c r="A292" s="24" t="s">
        <v>1115</v>
      </c>
      <c r="B292" t="s">
        <v>839</v>
      </c>
      <c r="C292" s="601">
        <f>(C285+C290+C291+C293)/12</f>
        <v>1695361.5</v>
      </c>
      <c r="D292" s="3"/>
    </row>
    <row r="293" spans="1:4" ht="12.75">
      <c r="A293" s="24" t="s">
        <v>1479</v>
      </c>
      <c r="B293" t="s">
        <v>1477</v>
      </c>
      <c r="C293" s="601">
        <v>1412328</v>
      </c>
      <c r="D293" s="3"/>
    </row>
    <row r="294" spans="1:4" ht="12.75">
      <c r="A294" s="24"/>
      <c r="C294" s="601"/>
      <c r="D294" s="3"/>
    </row>
    <row r="295" spans="1:4" ht="12.75">
      <c r="A295" s="30" t="s">
        <v>1116</v>
      </c>
      <c r="B295" s="28" t="s">
        <v>841</v>
      </c>
      <c r="C295" s="602">
        <f>SUM(C297:C298)</f>
        <v>3017065.3254</v>
      </c>
      <c r="D295" s="3"/>
    </row>
    <row r="296" spans="1:4" ht="12.75">
      <c r="A296" s="24"/>
      <c r="B296" s="31" t="s">
        <v>842</v>
      </c>
      <c r="C296" s="601"/>
      <c r="D296" s="3"/>
    </row>
    <row r="297" spans="1:4" ht="12.75">
      <c r="A297" s="24" t="s">
        <v>1117</v>
      </c>
      <c r="B297" t="s">
        <v>844</v>
      </c>
      <c r="C297" s="601">
        <f>(C285+C290+C291+C293)*14.33%</f>
        <v>2915343.6354</v>
      </c>
      <c r="D297" s="3"/>
    </row>
    <row r="298" spans="1:4" ht="12.75">
      <c r="A298" s="24" t="s">
        <v>1118</v>
      </c>
      <c r="B298" t="s">
        <v>846</v>
      </c>
      <c r="C298" s="601">
        <f>(C285+C290+C291+C293)*0.5%</f>
        <v>101721.69</v>
      </c>
      <c r="D298" s="3"/>
    </row>
    <row r="299" spans="1:4" ht="12.75">
      <c r="A299" s="24"/>
      <c r="C299" s="601"/>
      <c r="D299" s="3"/>
    </row>
    <row r="300" spans="1:4" ht="12.75">
      <c r="A300" s="30" t="s">
        <v>1119</v>
      </c>
      <c r="B300" s="28" t="s">
        <v>848</v>
      </c>
      <c r="C300" s="602">
        <f>SUM(C302:C303)</f>
        <v>915495.21</v>
      </c>
      <c r="D300" s="3"/>
    </row>
    <row r="301" spans="1:4" ht="12.75">
      <c r="A301" s="30"/>
      <c r="B301" s="31" t="s">
        <v>849</v>
      </c>
      <c r="C301" s="773"/>
      <c r="D301" s="3"/>
    </row>
    <row r="302" spans="1:4" ht="12.75">
      <c r="A302" s="148" t="s">
        <v>1368</v>
      </c>
      <c r="B302" s="33" t="s">
        <v>1369</v>
      </c>
      <c r="C302" s="601">
        <f>(C285+C290+C291+C293)*1.5%</f>
        <v>305165.07</v>
      </c>
      <c r="D302" s="3"/>
    </row>
    <row r="303" spans="1:4" ht="12.75">
      <c r="A303" s="24" t="s">
        <v>1120</v>
      </c>
      <c r="B303" t="s">
        <v>851</v>
      </c>
      <c r="C303" s="601">
        <f>(C285+C290+C291+C293)*3%</f>
        <v>610330.14</v>
      </c>
      <c r="D303" s="3"/>
    </row>
    <row r="304" spans="1:4" ht="12.75">
      <c r="A304" s="24"/>
      <c r="C304" s="601"/>
      <c r="D304" s="3"/>
    </row>
    <row r="305" spans="1:4" ht="13.5" thickBot="1">
      <c r="A305" s="30" t="s">
        <v>1121</v>
      </c>
      <c r="B305" s="704" t="s">
        <v>852</v>
      </c>
      <c r="C305" s="606"/>
      <c r="D305" s="705">
        <f>+C306+C309</f>
        <v>1047240.34</v>
      </c>
    </row>
    <row r="306" spans="1:3" ht="13.5" thickTop="1">
      <c r="A306" s="26" t="s">
        <v>1122</v>
      </c>
      <c r="B306" s="28" t="s">
        <v>866</v>
      </c>
      <c r="C306" s="602">
        <f>C307</f>
        <v>547240.34</v>
      </c>
    </row>
    <row r="307" spans="1:3" ht="12.75">
      <c r="A307" t="s">
        <v>1123</v>
      </c>
      <c r="B307" t="s">
        <v>868</v>
      </c>
      <c r="C307" s="601">
        <v>547240.34</v>
      </c>
    </row>
    <row r="308" ht="12.75">
      <c r="C308" s="601"/>
    </row>
    <row r="309" spans="1:3" ht="12.75">
      <c r="A309" s="26" t="s">
        <v>1386</v>
      </c>
      <c r="B309" s="28" t="s">
        <v>974</v>
      </c>
      <c r="C309" s="602">
        <f>C310</f>
        <v>500000</v>
      </c>
    </row>
    <row r="310" spans="1:3" ht="12.75">
      <c r="A310" s="33" t="s">
        <v>1387</v>
      </c>
      <c r="B310" s="34" t="s">
        <v>194</v>
      </c>
      <c r="C310" s="601">
        <v>500000</v>
      </c>
    </row>
    <row r="311" ht="12.75">
      <c r="C311" s="601"/>
    </row>
    <row r="312" spans="1:4" ht="13.5" thickBot="1">
      <c r="A312" s="26" t="s">
        <v>1124</v>
      </c>
      <c r="B312" s="704" t="s">
        <v>874</v>
      </c>
      <c r="C312" s="606"/>
      <c r="D312" s="705">
        <f>+C313</f>
        <v>100000</v>
      </c>
    </row>
    <row r="313" spans="1:3" ht="13.5" thickTop="1">
      <c r="A313" s="26" t="s">
        <v>1125</v>
      </c>
      <c r="B313" s="28" t="s">
        <v>891</v>
      </c>
      <c r="C313" s="602">
        <f>SUM(C314:C314)</f>
        <v>100000</v>
      </c>
    </row>
    <row r="314" spans="1:3" ht="12.75">
      <c r="A314" t="s">
        <v>1126</v>
      </c>
      <c r="B314" t="s">
        <v>893</v>
      </c>
      <c r="C314" s="601">
        <v>100000</v>
      </c>
    </row>
    <row r="315" spans="1:3" ht="13.5" thickBot="1">
      <c r="A315" s="33"/>
      <c r="B315" s="33"/>
      <c r="C315" s="601"/>
    </row>
    <row r="316" spans="2:4" ht="13.5" thickBot="1">
      <c r="B316" s="709" t="s">
        <v>1112</v>
      </c>
      <c r="C316" s="710"/>
      <c r="D316" s="711">
        <f>D283+D305+D312</f>
        <v>27119500.3754</v>
      </c>
    </row>
    <row r="317" spans="2:4" ht="12.75">
      <c r="B317" s="97"/>
      <c r="C317" s="98"/>
      <c r="D317" s="629"/>
    </row>
    <row r="318" spans="2:4" ht="12.75">
      <c r="B318" s="100"/>
      <c r="C318" s="101"/>
      <c r="D318" s="101"/>
    </row>
    <row r="319" spans="1:4" ht="13.5" thickBot="1">
      <c r="A319" s="847" t="s">
        <v>1127</v>
      </c>
      <c r="B319" s="847"/>
      <c r="C319" s="847"/>
      <c r="D319" s="847"/>
    </row>
    <row r="320" spans="1:4" ht="13.5" thickBot="1">
      <c r="A320" s="190" t="s">
        <v>475</v>
      </c>
      <c r="B320" s="712" t="s">
        <v>896</v>
      </c>
      <c r="C320" s="191"/>
      <c r="D320" s="713">
        <f>C321</f>
        <v>2643142.59</v>
      </c>
    </row>
    <row r="321" spans="1:4" ht="13.5" thickTop="1">
      <c r="A321" s="190" t="s">
        <v>476</v>
      </c>
      <c r="B321" s="192" t="s">
        <v>897</v>
      </c>
      <c r="C321" s="194">
        <f>C322</f>
        <v>2643142.59</v>
      </c>
      <c r="D321" s="189"/>
    </row>
    <row r="322" spans="1:4" ht="12.75">
      <c r="A322" s="193" t="s">
        <v>477</v>
      </c>
      <c r="B322" s="193" t="s">
        <v>478</v>
      </c>
      <c r="C322" s="842">
        <v>2643142.59</v>
      </c>
      <c r="D322" s="189"/>
    </row>
    <row r="323" spans="1:4" ht="12.75">
      <c r="A323" s="193"/>
      <c r="B323" s="193" t="s">
        <v>479</v>
      </c>
      <c r="C323" s="774"/>
      <c r="D323" s="189"/>
    </row>
    <row r="324" spans="1:4" ht="12.75">
      <c r="A324" s="189"/>
      <c r="B324" s="189"/>
      <c r="C324" s="775"/>
      <c r="D324" s="189"/>
    </row>
    <row r="325" spans="1:4" ht="13.5" thickBot="1">
      <c r="A325" s="26" t="s">
        <v>1129</v>
      </c>
      <c r="B325" s="704" t="s">
        <v>797</v>
      </c>
      <c r="C325" s="773"/>
      <c r="D325" s="705">
        <f>C326+C347+C343</f>
        <v>189746256.2682</v>
      </c>
    </row>
    <row r="326" spans="1:3" ht="13.5" thickTop="1">
      <c r="A326" s="26" t="s">
        <v>1130</v>
      </c>
      <c r="B326" s="28" t="s">
        <v>903</v>
      </c>
      <c r="C326" s="602">
        <f>C327+C330+C335+C339</f>
        <v>175946256.2682</v>
      </c>
    </row>
    <row r="327" spans="1:3" ht="12.75">
      <c r="A327" s="26" t="s">
        <v>1131</v>
      </c>
      <c r="B327" s="31" t="s">
        <v>905</v>
      </c>
      <c r="C327" s="776">
        <f>C328</f>
        <v>6290246.8763</v>
      </c>
    </row>
    <row r="328" spans="1:3" ht="12.75">
      <c r="A328" t="s">
        <v>1132</v>
      </c>
      <c r="B328" t="s">
        <v>907</v>
      </c>
      <c r="C328" s="601">
        <f>+INGRESOS!C15*1%</f>
        <v>6290246.8763</v>
      </c>
    </row>
    <row r="329" ht="12.75">
      <c r="C329" s="352"/>
    </row>
    <row r="330" spans="1:3" ht="12.75">
      <c r="A330" s="26" t="s">
        <v>1133</v>
      </c>
      <c r="B330" s="35" t="s">
        <v>909</v>
      </c>
      <c r="C330" s="602">
        <f>SUM(C331:C333)</f>
        <v>29820740.6289</v>
      </c>
    </row>
    <row r="331" spans="1:3" ht="12.75">
      <c r="A331" s="33" t="s">
        <v>1134</v>
      </c>
      <c r="B331" s="34" t="s">
        <v>911</v>
      </c>
      <c r="C331" s="601">
        <f>+INGRESOS!C15*3%</f>
        <v>18870740.6289</v>
      </c>
    </row>
    <row r="332" spans="1:3" ht="12.75">
      <c r="A332" s="33" t="s">
        <v>1135</v>
      </c>
      <c r="B332" s="34" t="s">
        <v>913</v>
      </c>
      <c r="C332" s="601">
        <f>+INGRESOS!C32*10%</f>
        <v>1500000</v>
      </c>
    </row>
    <row r="333" spans="1:3" ht="12.75">
      <c r="A333" s="33" t="s">
        <v>215</v>
      </c>
      <c r="B333" s="34" t="s">
        <v>946</v>
      </c>
      <c r="C333" s="601">
        <f>(+INGRESOS!C32-C332)*70%</f>
        <v>9450000</v>
      </c>
    </row>
    <row r="334" ht="12.75">
      <c r="C334" s="601"/>
    </row>
    <row r="335" spans="1:3" ht="12.75">
      <c r="A335" s="26" t="s">
        <v>1136</v>
      </c>
      <c r="B335" s="28" t="s">
        <v>915</v>
      </c>
      <c r="C335" s="602">
        <f>SUM(C336:C337)</f>
        <v>72519068.76300001</v>
      </c>
    </row>
    <row r="336" spans="1:3" ht="12.75">
      <c r="A336" t="s">
        <v>1137</v>
      </c>
      <c r="B336" t="s">
        <v>917</v>
      </c>
      <c r="C336" s="601">
        <f>+INGRESOS!C15*10%</f>
        <v>62902468.763000004</v>
      </c>
    </row>
    <row r="337" spans="1:3" ht="12.75">
      <c r="A337" t="s">
        <v>755</v>
      </c>
      <c r="B337" t="s">
        <v>1565</v>
      </c>
      <c r="C337" s="601">
        <v>9616600</v>
      </c>
    </row>
    <row r="338" ht="12.75">
      <c r="C338" s="601"/>
    </row>
    <row r="339" spans="1:3" ht="12.75">
      <c r="A339" s="26" t="s">
        <v>1138</v>
      </c>
      <c r="B339" s="28" t="s">
        <v>921</v>
      </c>
      <c r="C339" s="602">
        <f>SUM(C340:C341)</f>
        <v>67316200</v>
      </c>
    </row>
    <row r="340" spans="1:3" ht="12.75">
      <c r="A340" t="s">
        <v>1139</v>
      </c>
      <c r="B340" t="s">
        <v>923</v>
      </c>
      <c r="C340" s="601">
        <v>57699600</v>
      </c>
    </row>
    <row r="341" spans="1:3" ht="12.75">
      <c r="A341" t="s">
        <v>1140</v>
      </c>
      <c r="B341" t="s">
        <v>754</v>
      </c>
      <c r="C341" s="601">
        <v>9616600</v>
      </c>
    </row>
    <row r="342" ht="12.75">
      <c r="C342" s="601"/>
    </row>
    <row r="343" spans="1:3" ht="12.75">
      <c r="A343" s="26" t="s">
        <v>1676</v>
      </c>
      <c r="B343" s="28" t="s">
        <v>1221</v>
      </c>
      <c r="C343" s="602">
        <f>C344</f>
        <v>10000000</v>
      </c>
    </row>
    <row r="344" spans="1:3" ht="12.75">
      <c r="A344" s="33" t="s">
        <v>1677</v>
      </c>
      <c r="B344" s="33" t="s">
        <v>1678</v>
      </c>
      <c r="C344" s="601">
        <v>10000000</v>
      </c>
    </row>
    <row r="345" spans="1:3" ht="12.75">
      <c r="A345" s="33"/>
      <c r="B345" s="33"/>
      <c r="C345" s="601"/>
    </row>
    <row r="346" ht="12.75">
      <c r="C346" s="601"/>
    </row>
    <row r="347" spans="1:3" ht="12.75">
      <c r="A347" s="26" t="s">
        <v>37</v>
      </c>
      <c r="B347" s="28" t="s">
        <v>38</v>
      </c>
      <c r="C347" s="602">
        <f>SUM(C348:C349)</f>
        <v>3800000</v>
      </c>
    </row>
    <row r="348" spans="1:3" ht="12.75">
      <c r="A348" s="33" t="s">
        <v>1661</v>
      </c>
      <c r="B348" s="36" t="s">
        <v>1662</v>
      </c>
      <c r="C348" s="603">
        <v>1300000</v>
      </c>
    </row>
    <row r="349" spans="1:3" ht="12.75">
      <c r="A349" s="33" t="s">
        <v>1438</v>
      </c>
      <c r="B349" s="34" t="s">
        <v>1439</v>
      </c>
      <c r="C349" s="601">
        <v>2500000</v>
      </c>
    </row>
    <row r="350" ht="12.75">
      <c r="C350" s="601"/>
    </row>
    <row r="351" spans="1:4" ht="13.5" thickBot="1">
      <c r="A351" s="26" t="s">
        <v>480</v>
      </c>
      <c r="B351" s="704" t="s">
        <v>1009</v>
      </c>
      <c r="C351" s="773"/>
      <c r="D351" s="705">
        <f>C352</f>
        <v>14410692.09</v>
      </c>
    </row>
    <row r="352" spans="1:3" ht="13.5" thickTop="1">
      <c r="A352" s="26" t="s">
        <v>481</v>
      </c>
      <c r="B352" s="28" t="s">
        <v>947</v>
      </c>
      <c r="C352" s="602">
        <f>C353</f>
        <v>14410692.09</v>
      </c>
    </row>
    <row r="353" spans="1:3" ht="12.75">
      <c r="A353" s="26" t="s">
        <v>482</v>
      </c>
      <c r="B353" s="36" t="s">
        <v>483</v>
      </c>
      <c r="C353" s="603">
        <v>14410692.09</v>
      </c>
    </row>
    <row r="354" spans="2:3" ht="12.75">
      <c r="B354" t="s">
        <v>246</v>
      </c>
      <c r="C354" s="601"/>
    </row>
    <row r="355" ht="13.5" thickBot="1">
      <c r="C355" s="3"/>
    </row>
    <row r="356" spans="2:4" ht="13.5" thickBot="1">
      <c r="B356" s="706" t="s">
        <v>1128</v>
      </c>
      <c r="C356" s="714"/>
      <c r="D356" s="711">
        <f>D320+D351+D325</f>
        <v>206800090.94820002</v>
      </c>
    </row>
    <row r="357" spans="2:6" ht="13.5" thickBot="1">
      <c r="B357" s="709" t="s">
        <v>1020</v>
      </c>
      <c r="C357" s="707"/>
      <c r="D357" s="708">
        <f>D278+D316+D356</f>
        <v>947882016.6669366</v>
      </c>
      <c r="F357" s="478"/>
    </row>
    <row r="358" spans="3:4" ht="12.75">
      <c r="C358" s="186"/>
      <c r="D358" s="187" t="s">
        <v>761</v>
      </c>
    </row>
  </sheetData>
  <sheetProtection/>
  <mergeCells count="6">
    <mergeCell ref="A282:D282"/>
    <mergeCell ref="A319:D319"/>
    <mergeCell ref="A2:D2"/>
    <mergeCell ref="A1:D1"/>
    <mergeCell ref="A3:D3"/>
    <mergeCell ref="A174:D174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2"/>
  <sheetViews>
    <sheetView zoomScalePageLayoutView="0" workbookViewId="0" topLeftCell="A433">
      <selection activeCell="G456" sqref="G456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  <col min="5" max="5" width="0" style="0" hidden="1" customWidth="1"/>
  </cols>
  <sheetData>
    <row r="1" spans="1:4" ht="18">
      <c r="A1" s="844" t="s">
        <v>808</v>
      </c>
      <c r="B1" s="844"/>
      <c r="C1" s="844"/>
      <c r="D1" s="844"/>
    </row>
    <row r="2" spans="1:4" ht="18">
      <c r="A2" s="844" t="s">
        <v>1658</v>
      </c>
      <c r="B2" s="844"/>
      <c r="C2" s="844"/>
      <c r="D2" s="844"/>
    </row>
    <row r="3" spans="1:4" ht="15.75">
      <c r="A3" s="848" t="s">
        <v>1021</v>
      </c>
      <c r="B3" s="848"/>
      <c r="C3" s="848"/>
      <c r="D3" s="848"/>
    </row>
    <row r="4" spans="1:4" ht="13.5" thickBot="1">
      <c r="A4" s="99"/>
      <c r="B4" s="99"/>
      <c r="C4" s="99"/>
      <c r="D4" s="99"/>
    </row>
    <row r="5" spans="1:4" ht="13.5" thickBot="1">
      <c r="A5" s="30" t="s">
        <v>950</v>
      </c>
      <c r="B5" s="704" t="s">
        <v>818</v>
      </c>
      <c r="C5" s="27"/>
      <c r="D5" s="705">
        <f>C6+C10+C13+C19+C24</f>
        <v>295613071.8510703</v>
      </c>
    </row>
    <row r="6" spans="1:4" ht="13.5" thickTop="1">
      <c r="A6" s="25" t="s">
        <v>949</v>
      </c>
      <c r="B6" s="28" t="s">
        <v>819</v>
      </c>
      <c r="C6" s="29">
        <f>SUM(C7:C8)</f>
        <v>144504897.70999998</v>
      </c>
      <c r="D6" s="3"/>
    </row>
    <row r="7" spans="1:4" ht="12.75">
      <c r="A7" s="24" t="s">
        <v>948</v>
      </c>
      <c r="B7" t="s">
        <v>820</v>
      </c>
      <c r="C7" s="3">
        <f>C226+C315+C357+C463+C194+C526</f>
        <v>136804897.70999998</v>
      </c>
      <c r="D7" s="3"/>
    </row>
    <row r="8" spans="1:4" ht="12.75">
      <c r="A8" s="24" t="s">
        <v>203</v>
      </c>
      <c r="B8" t="s">
        <v>821</v>
      </c>
      <c r="C8" s="3">
        <f>C227+C358</f>
        <v>7700000</v>
      </c>
      <c r="D8" s="3"/>
    </row>
    <row r="9" spans="1:4" ht="12.75">
      <c r="A9" s="24"/>
      <c r="C9" s="3"/>
      <c r="D9" s="3"/>
    </row>
    <row r="10" spans="1:4" ht="12.75">
      <c r="A10" s="30" t="s">
        <v>951</v>
      </c>
      <c r="B10" s="28" t="s">
        <v>822</v>
      </c>
      <c r="C10" s="29">
        <f>SUM(C11:C11)</f>
        <v>9600000</v>
      </c>
      <c r="D10" s="3"/>
    </row>
    <row r="11" spans="1:4" ht="12.75">
      <c r="A11" s="24" t="s">
        <v>952</v>
      </c>
      <c r="B11" t="s">
        <v>824</v>
      </c>
      <c r="C11" s="3">
        <f>C197+C230+C318+C361+C466</f>
        <v>9600000</v>
      </c>
      <c r="D11" s="3"/>
    </row>
    <row r="12" spans="1:4" ht="12.75">
      <c r="A12" s="24"/>
      <c r="C12" s="3"/>
      <c r="D12" s="3"/>
    </row>
    <row r="13" spans="1:4" ht="12.75">
      <c r="A13" s="30" t="s">
        <v>953</v>
      </c>
      <c r="B13" s="28" t="s">
        <v>833</v>
      </c>
      <c r="C13" s="29">
        <f>SUM(C14:C17)</f>
        <v>96748253.42083332</v>
      </c>
      <c r="D13" s="3"/>
    </row>
    <row r="14" spans="1:4" ht="12.75">
      <c r="A14" s="24" t="s">
        <v>954</v>
      </c>
      <c r="B14" t="s">
        <v>835</v>
      </c>
      <c r="C14" s="3">
        <f>C236+C321+C364+C469+C200+C529</f>
        <v>54989406.54999999</v>
      </c>
      <c r="D14" s="3"/>
    </row>
    <row r="15" spans="1:4" ht="12.75">
      <c r="A15" s="24" t="s">
        <v>234</v>
      </c>
      <c r="B15" t="s">
        <v>233</v>
      </c>
      <c r="C15" s="3">
        <f>C365+C470</f>
        <v>9146905.219999999</v>
      </c>
      <c r="D15" s="3"/>
    </row>
    <row r="16" spans="1:4" ht="12.75">
      <c r="A16" s="24" t="s">
        <v>955</v>
      </c>
      <c r="B16" t="s">
        <v>839</v>
      </c>
      <c r="C16" s="3">
        <f>C237+C322+C366+C471+C201+C530</f>
        <v>19296396.240833335</v>
      </c>
      <c r="D16" s="3"/>
    </row>
    <row r="17" spans="1:4" ht="12.75">
      <c r="A17" s="24" t="s">
        <v>1481</v>
      </c>
      <c r="B17" t="s">
        <v>1477</v>
      </c>
      <c r="C17" s="3">
        <f>C202+C238+C323+C367+C472+C531</f>
        <v>13315545.409999998</v>
      </c>
      <c r="D17" s="3"/>
    </row>
    <row r="18" spans="1:4" ht="12.75">
      <c r="A18" s="24"/>
      <c r="C18" s="3"/>
      <c r="D18" s="3"/>
    </row>
    <row r="19" spans="1:4" ht="12.75">
      <c r="A19" s="30" t="s">
        <v>956</v>
      </c>
      <c r="B19" s="28" t="s">
        <v>841</v>
      </c>
      <c r="C19" s="29">
        <f>SUM(C21:C22)</f>
        <v>34339866.750187</v>
      </c>
      <c r="D19" s="3"/>
    </row>
    <row r="20" spans="1:4" ht="12.75">
      <c r="A20" s="24"/>
      <c r="B20" s="31" t="s">
        <v>842</v>
      </c>
      <c r="C20" s="3"/>
      <c r="D20" s="3"/>
    </row>
    <row r="21" spans="1:4" ht="12.75">
      <c r="A21" s="24" t="s">
        <v>957</v>
      </c>
      <c r="B21" t="s">
        <v>844</v>
      </c>
      <c r="C21" s="3">
        <f>C242+C327+C371+C476+C206+C536</f>
        <v>33182082.975737</v>
      </c>
      <c r="D21" s="3"/>
    </row>
    <row r="22" spans="1:4" ht="12.75">
      <c r="A22" s="24" t="s">
        <v>958</v>
      </c>
      <c r="B22" t="s">
        <v>846</v>
      </c>
      <c r="C22" s="3">
        <f>C243+C328+C372+C477+C207+C537</f>
        <v>1157783.77445</v>
      </c>
      <c r="D22" s="3"/>
    </row>
    <row r="23" spans="1:4" ht="12.75">
      <c r="A23" s="24"/>
      <c r="C23" s="3"/>
      <c r="D23" s="3"/>
    </row>
    <row r="24" spans="1:4" ht="12.75">
      <c r="A24" s="30" t="s">
        <v>959</v>
      </c>
      <c r="B24" s="28" t="s">
        <v>848</v>
      </c>
      <c r="C24" s="29">
        <f>SUM(C26:C27)</f>
        <v>10420053.97005</v>
      </c>
      <c r="D24" s="3"/>
    </row>
    <row r="25" spans="1:4" ht="12.75">
      <c r="A25" s="30"/>
      <c r="B25" s="31" t="s">
        <v>849</v>
      </c>
      <c r="C25" s="27"/>
      <c r="D25" s="3"/>
    </row>
    <row r="26" spans="1:4" ht="12.75">
      <c r="A26" s="148" t="s">
        <v>1371</v>
      </c>
      <c r="B26" s="33" t="s">
        <v>1369</v>
      </c>
      <c r="C26" s="3">
        <f>C247+C332+C376+C481+C211+C541</f>
        <v>3473351.3233499997</v>
      </c>
      <c r="D26" s="3"/>
    </row>
    <row r="27" spans="1:4" ht="12.75">
      <c r="A27" s="24" t="s">
        <v>960</v>
      </c>
      <c r="B27" t="s">
        <v>851</v>
      </c>
      <c r="C27" s="3">
        <f>C248+C333+C377+C482+C212+C542</f>
        <v>6946702.646699999</v>
      </c>
      <c r="D27" s="3"/>
    </row>
    <row r="28" spans="1:4" ht="12.75">
      <c r="A28" s="24"/>
      <c r="C28" s="3"/>
      <c r="D28" s="3"/>
    </row>
    <row r="29" spans="1:4" ht="13.5" thickBot="1">
      <c r="A29" s="30" t="s">
        <v>802</v>
      </c>
      <c r="B29" s="704" t="s">
        <v>852</v>
      </c>
      <c r="C29" s="147"/>
      <c r="D29" s="705">
        <f>C30+C33+C43+C48+C51+C54+C60+C69+C38+C66</f>
        <v>342724241.08000004</v>
      </c>
    </row>
    <row r="30" spans="1:4" ht="13.5" thickTop="1">
      <c r="A30" s="30" t="s">
        <v>961</v>
      </c>
      <c r="B30" s="28" t="s">
        <v>962</v>
      </c>
      <c r="C30" s="29">
        <f>SUM(C31:C31)</f>
        <v>2061276.57</v>
      </c>
      <c r="D30" s="3"/>
    </row>
    <row r="31" spans="1:4" ht="12.75">
      <c r="A31" s="24" t="s">
        <v>963</v>
      </c>
      <c r="B31" t="s">
        <v>964</v>
      </c>
      <c r="C31" s="3">
        <f>+C381+C252+C579+C486+C594</f>
        <v>2061276.57</v>
      </c>
      <c r="D31" s="3"/>
    </row>
    <row r="32" spans="1:4" ht="12.75">
      <c r="A32" s="24"/>
      <c r="C32" s="3"/>
      <c r="D32" s="3"/>
    </row>
    <row r="33" spans="1:4" ht="12.75">
      <c r="A33" s="30" t="s">
        <v>968</v>
      </c>
      <c r="B33" s="28" t="s">
        <v>854</v>
      </c>
      <c r="C33" s="29">
        <f>C34+C35+C36</f>
        <v>61768436.18</v>
      </c>
      <c r="D33" s="3"/>
    </row>
    <row r="34" spans="1:4" ht="12.75">
      <c r="A34" s="148" t="s">
        <v>1491</v>
      </c>
      <c r="B34" s="36" t="s">
        <v>1492</v>
      </c>
      <c r="C34" s="37">
        <f>C384</f>
        <v>1000000</v>
      </c>
      <c r="D34" s="3"/>
    </row>
    <row r="35" spans="1:4" ht="12.75">
      <c r="A35" s="24" t="s">
        <v>969</v>
      </c>
      <c r="B35" s="34" t="s">
        <v>970</v>
      </c>
      <c r="C35" s="3">
        <f>C385+C546</f>
        <v>60668436.18</v>
      </c>
      <c r="D35" s="3"/>
    </row>
    <row r="36" spans="1:4" ht="12.75">
      <c r="A36" s="148" t="s">
        <v>1396</v>
      </c>
      <c r="B36" s="34" t="s">
        <v>542</v>
      </c>
      <c r="C36" s="3">
        <f>C386</f>
        <v>100000</v>
      </c>
      <c r="D36" s="3"/>
    </row>
    <row r="37" spans="1:4" ht="12.75">
      <c r="A37" s="24"/>
      <c r="B37" s="34"/>
      <c r="C37" s="3"/>
      <c r="D37" s="3"/>
    </row>
    <row r="38" spans="1:4" ht="12.75">
      <c r="A38" s="30" t="s">
        <v>734</v>
      </c>
      <c r="B38" s="35" t="s">
        <v>860</v>
      </c>
      <c r="C38" s="29">
        <f>+C40+C39+C41</f>
        <v>1388000</v>
      </c>
      <c r="D38" s="3"/>
    </row>
    <row r="39" spans="1:4" ht="12.75">
      <c r="A39" s="148" t="s">
        <v>1319</v>
      </c>
      <c r="B39" s="34" t="s">
        <v>491</v>
      </c>
      <c r="C39" s="37">
        <f>+C389</f>
        <v>288000</v>
      </c>
      <c r="D39" s="3"/>
    </row>
    <row r="40" spans="1:4" ht="12.75">
      <c r="A40" s="148" t="s">
        <v>1202</v>
      </c>
      <c r="B40" s="34" t="s">
        <v>545</v>
      </c>
      <c r="C40" s="37">
        <f>C390+C489+C597</f>
        <v>900000</v>
      </c>
      <c r="D40" s="3"/>
    </row>
    <row r="41" spans="1:4" ht="12.75">
      <c r="A41" s="148" t="s">
        <v>1610</v>
      </c>
      <c r="B41" s="34" t="s">
        <v>547</v>
      </c>
      <c r="C41" s="37">
        <f>C490</f>
        <v>200000</v>
      </c>
      <c r="D41" s="3"/>
    </row>
    <row r="42" ht="12.75">
      <c r="C42" s="3"/>
    </row>
    <row r="43" spans="1:3" ht="12.75">
      <c r="A43" s="26" t="s">
        <v>965</v>
      </c>
      <c r="B43" s="28" t="s">
        <v>864</v>
      </c>
      <c r="C43" s="29">
        <f>SUM(C44:C46)</f>
        <v>233739289.1</v>
      </c>
    </row>
    <row r="44" spans="1:3" ht="12.75">
      <c r="A44" s="33" t="s">
        <v>1292</v>
      </c>
      <c r="B44" s="34" t="s">
        <v>1293</v>
      </c>
      <c r="C44" s="37">
        <f>+C393</f>
        <v>5000000</v>
      </c>
    </row>
    <row r="45" spans="1:3" ht="12.75">
      <c r="A45" t="s">
        <v>966</v>
      </c>
      <c r="B45" t="s">
        <v>967</v>
      </c>
      <c r="C45" s="3">
        <f>+C394+C493+C618+C216+C549</f>
        <v>228479289.1</v>
      </c>
    </row>
    <row r="46" spans="1:3" ht="12.75">
      <c r="A46" t="s">
        <v>700</v>
      </c>
      <c r="B46" t="s">
        <v>701</v>
      </c>
      <c r="C46" s="3">
        <f>C395+C255</f>
        <v>260000</v>
      </c>
    </row>
    <row r="47" ht="12.75">
      <c r="C47" s="3"/>
    </row>
    <row r="48" spans="1:3" ht="12.75">
      <c r="A48" s="26" t="s">
        <v>1310</v>
      </c>
      <c r="B48" s="28" t="s">
        <v>1260</v>
      </c>
      <c r="C48" s="29">
        <f>SUM(C49:C49)</f>
        <v>650000</v>
      </c>
    </row>
    <row r="49" spans="1:3" ht="12.75">
      <c r="A49" s="33" t="s">
        <v>1311</v>
      </c>
      <c r="B49" s="33" t="s">
        <v>47</v>
      </c>
      <c r="C49" s="3">
        <f>C398+C496</f>
        <v>650000</v>
      </c>
    </row>
    <row r="50" ht="12.75">
      <c r="C50" s="3"/>
    </row>
    <row r="51" spans="1:3" ht="12.75">
      <c r="A51" s="26" t="s">
        <v>971</v>
      </c>
      <c r="B51" s="28" t="s">
        <v>866</v>
      </c>
      <c r="C51" s="29">
        <f>C52</f>
        <v>7437239.23</v>
      </c>
    </row>
    <row r="52" spans="1:3" ht="12.75">
      <c r="A52" t="s">
        <v>972</v>
      </c>
      <c r="B52" t="s">
        <v>868</v>
      </c>
      <c r="C52" s="3">
        <f>C258+C337+C401+C499+C552+C219</f>
        <v>7437239.23</v>
      </c>
    </row>
    <row r="53" ht="12.75">
      <c r="C53" s="3"/>
    </row>
    <row r="54" spans="1:3" ht="12.75">
      <c r="A54" s="26" t="s">
        <v>973</v>
      </c>
      <c r="B54" s="28" t="s">
        <v>974</v>
      </c>
      <c r="C54" s="29">
        <f>SUM(C55:C56)</f>
        <v>17600000</v>
      </c>
    </row>
    <row r="55" spans="1:3" ht="12.75">
      <c r="A55" s="33" t="s">
        <v>1303</v>
      </c>
      <c r="B55" s="36" t="s">
        <v>194</v>
      </c>
      <c r="C55" s="37">
        <f>C404+C502</f>
        <v>7200000</v>
      </c>
    </row>
    <row r="56" spans="1:3" ht="12.75">
      <c r="A56" t="s">
        <v>975</v>
      </c>
      <c r="B56" t="s">
        <v>976</v>
      </c>
      <c r="C56" s="3">
        <f>C503+C600+C456</f>
        <v>10400000</v>
      </c>
    </row>
    <row r="57" ht="12.75">
      <c r="C57" s="3"/>
    </row>
    <row r="58" ht="12.75">
      <c r="C58" s="3"/>
    </row>
    <row r="59" ht="12.75">
      <c r="C59" s="3"/>
    </row>
    <row r="60" spans="1:3" ht="12.75">
      <c r="A60" s="26" t="s">
        <v>977</v>
      </c>
      <c r="B60" s="28" t="s">
        <v>870</v>
      </c>
      <c r="C60" s="29">
        <f>SUM(C61:C64)</f>
        <v>15050000</v>
      </c>
    </row>
    <row r="61" spans="1:3" ht="12.75">
      <c r="A61" s="33" t="s">
        <v>1195</v>
      </c>
      <c r="B61" s="36" t="s">
        <v>1673</v>
      </c>
      <c r="C61" s="37">
        <f>C261</f>
        <v>5000000</v>
      </c>
    </row>
    <row r="62" spans="1:3" ht="12.75">
      <c r="A62" t="s">
        <v>978</v>
      </c>
      <c r="B62" t="s">
        <v>872</v>
      </c>
      <c r="C62" s="3">
        <f>C407+C262</f>
        <v>6750000</v>
      </c>
    </row>
    <row r="63" spans="1:3" ht="12.75">
      <c r="A63" s="33" t="s">
        <v>1401</v>
      </c>
      <c r="B63" s="33" t="s">
        <v>1402</v>
      </c>
      <c r="C63" s="3">
        <f>C408</f>
        <v>100000</v>
      </c>
    </row>
    <row r="64" spans="1:3" ht="12.75">
      <c r="A64" s="33" t="s">
        <v>1294</v>
      </c>
      <c r="B64" s="33" t="s">
        <v>1291</v>
      </c>
      <c r="C64" s="3">
        <f>+C183+C555+C263+C409</f>
        <v>3200000</v>
      </c>
    </row>
    <row r="65" spans="1:3" ht="12.75">
      <c r="A65" s="33"/>
      <c r="B65" s="33"/>
      <c r="C65" s="3"/>
    </row>
    <row r="66" spans="1:3" ht="12.75">
      <c r="A66" s="26" t="s">
        <v>1297</v>
      </c>
      <c r="B66" s="28" t="s">
        <v>1267</v>
      </c>
      <c r="C66" s="29">
        <f>C67</f>
        <v>450000</v>
      </c>
    </row>
    <row r="67" spans="1:3" ht="12.75">
      <c r="A67" s="33" t="s">
        <v>1298</v>
      </c>
      <c r="B67" s="33" t="s">
        <v>1269</v>
      </c>
      <c r="C67" s="3">
        <f>C266+C412</f>
        <v>450000</v>
      </c>
    </row>
    <row r="68" ht="12.75">
      <c r="C68" s="3"/>
    </row>
    <row r="69" spans="1:3" ht="12.75">
      <c r="A69" s="26" t="s">
        <v>979</v>
      </c>
      <c r="B69" s="28" t="s">
        <v>980</v>
      </c>
      <c r="C69" s="29">
        <f>C70+C71</f>
        <v>2580000</v>
      </c>
    </row>
    <row r="70" spans="1:3" ht="12.75">
      <c r="A70" t="s">
        <v>981</v>
      </c>
      <c r="B70" t="s">
        <v>982</v>
      </c>
      <c r="C70" s="3">
        <f>C415+C558</f>
        <v>2530000</v>
      </c>
    </row>
    <row r="71" spans="1:3" ht="12.75">
      <c r="A71" s="33" t="s">
        <v>1602</v>
      </c>
      <c r="B71" s="33" t="s">
        <v>1674</v>
      </c>
      <c r="C71" s="3">
        <f>C416</f>
        <v>50000</v>
      </c>
    </row>
    <row r="72" ht="12.75">
      <c r="C72" s="3"/>
    </row>
    <row r="73" spans="1:4" ht="13.5" thickBot="1">
      <c r="A73" s="26" t="s">
        <v>983</v>
      </c>
      <c r="B73" s="704" t="s">
        <v>874</v>
      </c>
      <c r="C73" s="147"/>
      <c r="D73" s="705">
        <f>C74+C80+C84+C93+C97</f>
        <v>65570118.09</v>
      </c>
    </row>
    <row r="74" spans="1:3" ht="13.5" thickTop="1">
      <c r="A74" s="26" t="s">
        <v>984</v>
      </c>
      <c r="B74" s="28" t="s">
        <v>876</v>
      </c>
      <c r="C74" s="29">
        <f>SUM(C75:C78)</f>
        <v>15540000</v>
      </c>
    </row>
    <row r="75" spans="1:3" ht="12.75">
      <c r="A75" t="s">
        <v>985</v>
      </c>
      <c r="B75" t="s">
        <v>887</v>
      </c>
      <c r="C75" s="3">
        <f>+C270+C420+C562+C341+C187</f>
        <v>7100000</v>
      </c>
    </row>
    <row r="76" spans="1:3" ht="12.75">
      <c r="A76" s="33" t="s">
        <v>1446</v>
      </c>
      <c r="B76" s="33" t="s">
        <v>1273</v>
      </c>
      <c r="C76" s="3">
        <f>C271+C563</f>
        <v>220000</v>
      </c>
    </row>
    <row r="77" spans="1:3" ht="12.75">
      <c r="A77" t="s">
        <v>986</v>
      </c>
      <c r="B77" t="s">
        <v>889</v>
      </c>
      <c r="C77" s="3">
        <f>+C421+C507+C272+C342</f>
        <v>5270000</v>
      </c>
    </row>
    <row r="78" spans="1:3" ht="12.75">
      <c r="A78" t="s">
        <v>204</v>
      </c>
      <c r="B78" t="s">
        <v>235</v>
      </c>
      <c r="C78" s="3">
        <f>+C422+C273+C564+C343</f>
        <v>2950000</v>
      </c>
    </row>
    <row r="79" ht="12.75">
      <c r="C79" s="3"/>
    </row>
    <row r="80" spans="1:3" ht="12.75">
      <c r="A80" s="26" t="s">
        <v>1004</v>
      </c>
      <c r="B80" s="28" t="s">
        <v>1005</v>
      </c>
      <c r="C80" s="29">
        <f>SUM(C81:C82)</f>
        <v>1100000</v>
      </c>
    </row>
    <row r="81" spans="1:3" ht="12.75">
      <c r="A81" s="33" t="s">
        <v>241</v>
      </c>
      <c r="B81" s="36" t="s">
        <v>240</v>
      </c>
      <c r="C81" s="37">
        <f>C604</f>
        <v>600000</v>
      </c>
    </row>
    <row r="82" spans="1:3" ht="12.75">
      <c r="A82" t="s">
        <v>1006</v>
      </c>
      <c r="B82" t="s">
        <v>1007</v>
      </c>
      <c r="C82" s="3">
        <f>+C510</f>
        <v>500000</v>
      </c>
    </row>
    <row r="83" ht="12.75">
      <c r="C83" s="3"/>
    </row>
    <row r="84" spans="1:3" ht="12.75">
      <c r="A84" s="26" t="s">
        <v>987</v>
      </c>
      <c r="B84" s="28" t="s">
        <v>1223</v>
      </c>
      <c r="C84" s="29">
        <f>SUM(C85:C91)</f>
        <v>32900000</v>
      </c>
    </row>
    <row r="85" spans="1:3" ht="12.75">
      <c r="A85" t="s">
        <v>990</v>
      </c>
      <c r="B85" t="s">
        <v>991</v>
      </c>
      <c r="C85" s="3">
        <f>+C426+C277</f>
        <v>9000000</v>
      </c>
    </row>
    <row r="86" spans="1:3" ht="12.75">
      <c r="A86" t="s">
        <v>992</v>
      </c>
      <c r="B86" t="s">
        <v>993</v>
      </c>
      <c r="C86" s="3">
        <f>C278+C427</f>
        <v>13000000</v>
      </c>
    </row>
    <row r="87" spans="1:3" ht="12.75">
      <c r="A87" t="s">
        <v>994</v>
      </c>
      <c r="B87" t="s">
        <v>995</v>
      </c>
      <c r="C87" s="3">
        <f>+C279</f>
        <v>1500000</v>
      </c>
    </row>
    <row r="88" spans="1:3" ht="12.75">
      <c r="A88" s="33" t="s">
        <v>1307</v>
      </c>
      <c r="B88" s="33" t="s">
        <v>1308</v>
      </c>
      <c r="C88" s="3">
        <f>C428+C280</f>
        <v>2400000</v>
      </c>
    </row>
    <row r="89" spans="1:3" ht="12.75">
      <c r="A89" s="33" t="s">
        <v>1597</v>
      </c>
      <c r="B89" s="33" t="s">
        <v>1596</v>
      </c>
      <c r="C89" s="3">
        <f>C281</f>
        <v>500000</v>
      </c>
    </row>
    <row r="90" spans="1:3" ht="12.75">
      <c r="A90" t="s">
        <v>996</v>
      </c>
      <c r="B90" t="s">
        <v>997</v>
      </c>
      <c r="C90" s="3">
        <f>+C429+C282</f>
        <v>5000000</v>
      </c>
    </row>
    <row r="91" spans="1:3" ht="12.75">
      <c r="A91" t="s">
        <v>2</v>
      </c>
      <c r="B91" t="s">
        <v>3</v>
      </c>
      <c r="C91" s="3">
        <f>+C283</f>
        <v>1500000</v>
      </c>
    </row>
    <row r="92" ht="12.75">
      <c r="C92" s="3"/>
    </row>
    <row r="93" spans="1:3" ht="12.75">
      <c r="A93" s="26" t="s">
        <v>998</v>
      </c>
      <c r="B93" s="28" t="s">
        <v>999</v>
      </c>
      <c r="C93" s="29">
        <f>SUM(C94:C95)</f>
        <v>4762000</v>
      </c>
    </row>
    <row r="94" spans="1:3" ht="12.75">
      <c r="A94" t="s">
        <v>1000</v>
      </c>
      <c r="B94" t="s">
        <v>1001</v>
      </c>
      <c r="C94" s="3">
        <f>+C432+C286+C567+C583+C346</f>
        <v>2762000</v>
      </c>
    </row>
    <row r="95" spans="1:3" ht="12.75">
      <c r="A95" t="s">
        <v>1002</v>
      </c>
      <c r="B95" t="s">
        <v>1003</v>
      </c>
      <c r="C95" s="3">
        <f>+C287+C433</f>
        <v>2000000</v>
      </c>
    </row>
    <row r="96" ht="12.75">
      <c r="C96" s="3"/>
    </row>
    <row r="97" spans="1:3" ht="12.75">
      <c r="A97" s="26" t="s">
        <v>207</v>
      </c>
      <c r="B97" s="28" t="s">
        <v>891</v>
      </c>
      <c r="C97" s="29">
        <f>SUM(C98:C103)</f>
        <v>11268118.09</v>
      </c>
    </row>
    <row r="98" spans="1:3" ht="12.75">
      <c r="A98" s="33" t="s">
        <v>290</v>
      </c>
      <c r="B98" s="36" t="s">
        <v>291</v>
      </c>
      <c r="C98" s="37">
        <f>C436+C513</f>
        <v>170000</v>
      </c>
    </row>
    <row r="99" spans="1:3" ht="12.75">
      <c r="A99" s="33" t="s">
        <v>473</v>
      </c>
      <c r="B99" s="36" t="s">
        <v>474</v>
      </c>
      <c r="C99" s="37">
        <f>C437+C514</f>
        <v>200000</v>
      </c>
    </row>
    <row r="100" spans="1:3" ht="12.75">
      <c r="A100" t="s">
        <v>208</v>
      </c>
      <c r="B100" t="s">
        <v>236</v>
      </c>
      <c r="C100" s="3">
        <f>C290+C438+C570+C607</f>
        <v>3705000</v>
      </c>
    </row>
    <row r="101" spans="1:3" ht="12.75">
      <c r="A101" s="33" t="s">
        <v>1285</v>
      </c>
      <c r="B101" s="33" t="s">
        <v>202</v>
      </c>
      <c r="C101" s="3">
        <f>C291+C571+C608</f>
        <v>775000</v>
      </c>
    </row>
    <row r="102" spans="1:3" ht="12.75">
      <c r="A102" s="33" t="s">
        <v>1299</v>
      </c>
      <c r="B102" t="s">
        <v>9</v>
      </c>
      <c r="C102" s="601">
        <f>C292+C439+C572+C587+C609</f>
        <v>2668118.09</v>
      </c>
    </row>
    <row r="103" spans="1:3" ht="12.75">
      <c r="A103" t="s">
        <v>691</v>
      </c>
      <c r="B103" s="33" t="s">
        <v>284</v>
      </c>
      <c r="C103" s="3">
        <f>+C440+C515</f>
        <v>3750000</v>
      </c>
    </row>
    <row r="104" ht="12.75">
      <c r="C104" s="3"/>
    </row>
    <row r="105" spans="1:4" ht="13.5" thickBot="1">
      <c r="A105" s="30">
        <v>2.3</v>
      </c>
      <c r="B105" s="704" t="s">
        <v>896</v>
      </c>
      <c r="C105" s="27"/>
      <c r="D105" s="705">
        <f>C106</f>
        <v>51470.4</v>
      </c>
    </row>
    <row r="106" spans="1:3" ht="13.5" thickTop="1">
      <c r="A106" s="26" t="s">
        <v>247</v>
      </c>
      <c r="B106" s="28" t="s">
        <v>897</v>
      </c>
      <c r="C106" s="29">
        <f>C107</f>
        <v>51470.4</v>
      </c>
    </row>
    <row r="107" spans="1:3" ht="12.75">
      <c r="A107" t="s">
        <v>248</v>
      </c>
      <c r="B107" t="s">
        <v>249</v>
      </c>
      <c r="C107" s="3">
        <f>C297</f>
        <v>51470.4</v>
      </c>
    </row>
    <row r="108" spans="2:3" ht="12.75">
      <c r="B108" t="s">
        <v>246</v>
      </c>
      <c r="C108" s="3"/>
    </row>
    <row r="109" ht="12.75">
      <c r="C109" s="3"/>
    </row>
    <row r="110" spans="1:4" ht="13.5" thickBot="1">
      <c r="A110" s="30">
        <v>2.5</v>
      </c>
      <c r="B110" s="704" t="s">
        <v>898</v>
      </c>
      <c r="C110" s="27"/>
      <c r="D110" s="705">
        <f>C111+C117</f>
        <v>126399996.42</v>
      </c>
    </row>
    <row r="111" spans="1:3" ht="13.5" thickTop="1">
      <c r="A111" s="26" t="s">
        <v>228</v>
      </c>
      <c r="B111" s="28" t="s">
        <v>175</v>
      </c>
      <c r="C111" s="29">
        <f>SUM(C112:C114)</f>
        <v>18600000</v>
      </c>
    </row>
    <row r="112" spans="1:3" ht="12.75">
      <c r="A112" s="33" t="s">
        <v>1675</v>
      </c>
      <c r="B112" s="36" t="s">
        <v>1420</v>
      </c>
      <c r="C112" s="37">
        <f>C302</f>
        <v>2000000</v>
      </c>
    </row>
    <row r="113" spans="1:3" ht="12.75">
      <c r="A113" s="33" t="s">
        <v>1404</v>
      </c>
      <c r="B113" s="34" t="s">
        <v>900</v>
      </c>
      <c r="C113" s="37">
        <f>C444</f>
        <v>600000</v>
      </c>
    </row>
    <row r="114" spans="1:3" ht="12.75">
      <c r="A114" t="s">
        <v>229</v>
      </c>
      <c r="B114" t="s">
        <v>707</v>
      </c>
      <c r="C114" s="3">
        <f>C303+C445</f>
        <v>16000000</v>
      </c>
    </row>
    <row r="115" ht="12.75">
      <c r="C115" s="3"/>
    </row>
    <row r="116" ht="12.75">
      <c r="C116" s="3"/>
    </row>
    <row r="117" spans="1:3" ht="12.75">
      <c r="A117" s="28" t="s">
        <v>14</v>
      </c>
      <c r="B117" s="28" t="s">
        <v>743</v>
      </c>
      <c r="C117" s="29">
        <f>SUM(C118:C119)</f>
        <v>107799996.42</v>
      </c>
    </row>
    <row r="118" spans="1:3" ht="12.75">
      <c r="A118" t="s">
        <v>15</v>
      </c>
      <c r="B118" t="s">
        <v>12</v>
      </c>
      <c r="C118" s="3">
        <f>C448</f>
        <v>69747900.58</v>
      </c>
    </row>
    <row r="119" spans="1:3" ht="12.75">
      <c r="A119" s="33" t="s">
        <v>1406</v>
      </c>
      <c r="B119" s="33" t="s">
        <v>13</v>
      </c>
      <c r="C119" s="3">
        <f>C449</f>
        <v>38052095.84</v>
      </c>
    </row>
    <row r="120" ht="12.75">
      <c r="C120" s="3"/>
    </row>
    <row r="121" spans="1:4" ht="13.5" thickBot="1">
      <c r="A121" s="30">
        <v>2.6</v>
      </c>
      <c r="B121" s="704" t="str">
        <f>B517</f>
        <v>TRANSFERENCIAS CORRIENTES</v>
      </c>
      <c r="C121" s="27"/>
      <c r="D121" s="705">
        <f>C122</f>
        <v>18750000</v>
      </c>
    </row>
    <row r="122" spans="1:3" ht="13.5" thickTop="1">
      <c r="A122" s="26" t="s">
        <v>230</v>
      </c>
      <c r="B122" s="28" t="str">
        <f>B518</f>
        <v>TRANSFERENCIAS CORRIENTES A PERSONAS</v>
      </c>
      <c r="C122" s="29">
        <f>C123</f>
        <v>18750000</v>
      </c>
    </row>
    <row r="123" spans="1:3" ht="12.75">
      <c r="A123" t="s">
        <v>231</v>
      </c>
      <c r="B123" t="str">
        <f>B519</f>
        <v>Becas a terceras personas</v>
      </c>
      <c r="C123" s="3">
        <f>C519</f>
        <v>18750000</v>
      </c>
    </row>
    <row r="124" ht="12.75">
      <c r="C124" s="3"/>
    </row>
    <row r="125" spans="1:4" ht="13.5" thickBot="1">
      <c r="A125" s="26" t="s">
        <v>883</v>
      </c>
      <c r="B125" s="704" t="s">
        <v>1009</v>
      </c>
      <c r="C125" s="27"/>
      <c r="D125" s="705">
        <f>C126</f>
        <v>2167174.7</v>
      </c>
    </row>
    <row r="126" spans="1:4" ht="13.5" thickTop="1">
      <c r="A126" s="28" t="s">
        <v>884</v>
      </c>
      <c r="B126" s="28" t="s">
        <v>947</v>
      </c>
      <c r="C126" s="29">
        <f>C127</f>
        <v>2167174.7</v>
      </c>
      <c r="D126" s="68"/>
    </row>
    <row r="127" spans="1:4" ht="12.75">
      <c r="A127" s="36" t="s">
        <v>885</v>
      </c>
      <c r="B127" s="36" t="s">
        <v>886</v>
      </c>
      <c r="C127" s="37">
        <f>C307</f>
        <v>2167174.7</v>
      </c>
      <c r="D127" s="68"/>
    </row>
    <row r="128" spans="1:3" ht="12.75">
      <c r="A128" s="33"/>
      <c r="B128" s="34" t="s">
        <v>882</v>
      </c>
      <c r="C128" s="3"/>
    </row>
    <row r="129" spans="1:3" ht="13.5" thickBot="1">
      <c r="A129" s="33"/>
      <c r="B129" s="34"/>
      <c r="C129" s="3"/>
    </row>
    <row r="130" spans="2:4" ht="13.5" thickBot="1">
      <c r="B130" s="709" t="s">
        <v>1022</v>
      </c>
      <c r="C130" s="707"/>
      <c r="D130" s="708">
        <f>D5+D29+D73+D105+D110+D121+D125</f>
        <v>851276072.5410703</v>
      </c>
    </row>
    <row r="131" spans="2:4" ht="12.75">
      <c r="B131" s="100"/>
      <c r="C131" s="100"/>
      <c r="D131" s="101"/>
    </row>
    <row r="132" spans="2:4" ht="12.75">
      <c r="B132" s="100"/>
      <c r="C132" s="100"/>
      <c r="D132" s="101"/>
    </row>
    <row r="133" spans="2:4" ht="12.75">
      <c r="B133" s="100"/>
      <c r="C133" s="100"/>
      <c r="D133" s="101"/>
    </row>
    <row r="134" spans="2:4" ht="12.75">
      <c r="B134" s="100"/>
      <c r="C134" s="100"/>
      <c r="D134" s="101"/>
    </row>
    <row r="135" spans="2:4" ht="12.75">
      <c r="B135" s="100"/>
      <c r="C135" s="100"/>
      <c r="D135" s="101"/>
    </row>
    <row r="136" spans="2:4" ht="12.75">
      <c r="B136" s="100"/>
      <c r="C136" s="100"/>
      <c r="D136" s="101"/>
    </row>
    <row r="137" spans="2:4" ht="12.75">
      <c r="B137" s="100"/>
      <c r="C137" s="100"/>
      <c r="D137" s="101"/>
    </row>
    <row r="138" spans="2:4" ht="12.75">
      <c r="B138" s="100"/>
      <c r="C138" s="100"/>
      <c r="D138" s="101"/>
    </row>
    <row r="139" spans="2:4" ht="12.75">
      <c r="B139" s="100"/>
      <c r="C139" s="100"/>
      <c r="D139" s="101"/>
    </row>
    <row r="140" spans="2:4" ht="12.75">
      <c r="B140" s="100"/>
      <c r="C140" s="100"/>
      <c r="D140" s="101"/>
    </row>
    <row r="141" spans="2:4" ht="12.75">
      <c r="B141" s="100"/>
      <c r="C141" s="100"/>
      <c r="D141" s="101"/>
    </row>
    <row r="142" spans="2:4" ht="12.75">
      <c r="B142" s="100"/>
      <c r="C142" s="100"/>
      <c r="D142" s="101"/>
    </row>
    <row r="143" spans="2:4" ht="12.75">
      <c r="B143" s="100"/>
      <c r="C143" s="100"/>
      <c r="D143" s="101"/>
    </row>
    <row r="144" spans="2:4" ht="12.75">
      <c r="B144" s="100"/>
      <c r="C144" s="100"/>
      <c r="D144" s="101"/>
    </row>
    <row r="145" spans="2:4" ht="12.75">
      <c r="B145" s="100"/>
      <c r="C145" s="100"/>
      <c r="D145" s="101"/>
    </row>
    <row r="146" spans="2:4" ht="12.75">
      <c r="B146" s="100"/>
      <c r="C146" s="100"/>
      <c r="D146" s="101"/>
    </row>
    <row r="147" spans="2:4" ht="12.75">
      <c r="B147" s="100"/>
      <c r="C147" s="100"/>
      <c r="D147" s="101"/>
    </row>
    <row r="148" spans="2:4" ht="12.75">
      <c r="B148" s="100"/>
      <c r="C148" s="100"/>
      <c r="D148" s="101"/>
    </row>
    <row r="149" spans="2:4" ht="12.75">
      <c r="B149" s="100"/>
      <c r="C149" s="100"/>
      <c r="D149" s="101"/>
    </row>
    <row r="150" spans="2:4" ht="12.75">
      <c r="B150" s="100"/>
      <c r="C150" s="100"/>
      <c r="D150" s="101"/>
    </row>
    <row r="151" spans="2:4" ht="12.75">
      <c r="B151" s="100"/>
      <c r="C151" s="100"/>
      <c r="D151" s="101"/>
    </row>
    <row r="152" spans="2:4" ht="12.75">
      <c r="B152" s="100"/>
      <c r="C152" s="100"/>
      <c r="D152" s="101"/>
    </row>
    <row r="153" spans="2:4" ht="12.75">
      <c r="B153" s="100"/>
      <c r="C153" s="100"/>
      <c r="D153" s="101"/>
    </row>
    <row r="154" spans="2:4" ht="12.75">
      <c r="B154" s="100"/>
      <c r="C154" s="100"/>
      <c r="D154" s="101"/>
    </row>
    <row r="155" spans="2:4" ht="12.75">
      <c r="B155" s="100"/>
      <c r="C155" s="100"/>
      <c r="D155" s="101"/>
    </row>
    <row r="156" spans="2:4" ht="12.75">
      <c r="B156" s="100"/>
      <c r="C156" s="100"/>
      <c r="D156" s="101"/>
    </row>
    <row r="157" spans="2:4" ht="12.75">
      <c r="B157" s="100"/>
      <c r="C157" s="100"/>
      <c r="D157" s="101"/>
    </row>
    <row r="158" spans="2:4" ht="12.75">
      <c r="B158" s="100"/>
      <c r="C158" s="100"/>
      <c r="D158" s="101"/>
    </row>
    <row r="159" spans="2:4" ht="12.75">
      <c r="B159" s="100"/>
      <c r="C159" s="100"/>
      <c r="D159" s="101"/>
    </row>
    <row r="160" spans="2:4" ht="12.75">
      <c r="B160" s="100"/>
      <c r="C160" s="100"/>
      <c r="D160" s="101"/>
    </row>
    <row r="161" spans="2:4" ht="12.75">
      <c r="B161" s="100"/>
      <c r="C161" s="100"/>
      <c r="D161" s="101"/>
    </row>
    <row r="162" spans="2:4" ht="12.75">
      <c r="B162" s="100"/>
      <c r="C162" s="100"/>
      <c r="D162" s="101"/>
    </row>
    <row r="163" spans="2:4" ht="12.75">
      <c r="B163" s="100"/>
      <c r="C163" s="100"/>
      <c r="D163" s="101"/>
    </row>
    <row r="164" spans="2:4" ht="12.75">
      <c r="B164" s="100"/>
      <c r="C164" s="100"/>
      <c r="D164" s="101"/>
    </row>
    <row r="165" spans="2:4" ht="12.75">
      <c r="B165" s="100"/>
      <c r="C165" s="100"/>
      <c r="D165" s="101"/>
    </row>
    <row r="166" spans="2:4" ht="12.75">
      <c r="B166" s="100"/>
      <c r="C166" s="100"/>
      <c r="D166" s="101"/>
    </row>
    <row r="167" spans="2:4" ht="12.75">
      <c r="B167" s="100"/>
      <c r="C167" s="100"/>
      <c r="D167" s="101"/>
    </row>
    <row r="168" spans="2:4" ht="12.75">
      <c r="B168" s="100"/>
      <c r="C168" s="100"/>
      <c r="D168" s="101"/>
    </row>
    <row r="169" spans="2:4" ht="12.75">
      <c r="B169" s="100"/>
      <c r="C169" s="100"/>
      <c r="D169" s="101"/>
    </row>
    <row r="170" spans="2:4" ht="12.75">
      <c r="B170" s="100"/>
      <c r="C170" s="100"/>
      <c r="D170" s="101"/>
    </row>
    <row r="171" spans="2:4" ht="12.75">
      <c r="B171" s="100"/>
      <c r="C171" s="100"/>
      <c r="D171" s="101"/>
    </row>
    <row r="172" spans="2:4" ht="12.75">
      <c r="B172" s="100"/>
      <c r="C172" s="100"/>
      <c r="D172" s="101"/>
    </row>
    <row r="173" spans="2:4" ht="12.75">
      <c r="B173" s="100"/>
      <c r="C173" s="100"/>
      <c r="D173" s="101"/>
    </row>
    <row r="174" spans="2:4" ht="12.75">
      <c r="B174" s="100"/>
      <c r="C174" s="100"/>
      <c r="D174" s="101"/>
    </row>
    <row r="175" spans="2:4" ht="12.75">
      <c r="B175" s="100"/>
      <c r="C175" s="100"/>
      <c r="D175" s="101"/>
    </row>
    <row r="176" spans="2:4" ht="12.75">
      <c r="B176" s="100"/>
      <c r="C176" s="100"/>
      <c r="D176" s="101"/>
    </row>
    <row r="177" spans="2:4" ht="12.75">
      <c r="B177" s="100"/>
      <c r="C177" s="100"/>
      <c r="D177" s="101"/>
    </row>
    <row r="178" spans="2:4" ht="12.75">
      <c r="B178" s="100"/>
      <c r="C178" s="100"/>
      <c r="D178" s="101"/>
    </row>
    <row r="179" spans="2:4" ht="12.75">
      <c r="B179" s="100"/>
      <c r="C179" s="100"/>
      <c r="D179" s="101"/>
    </row>
    <row r="180" spans="1:4" ht="16.5" thickBot="1">
      <c r="A180" s="846" t="s">
        <v>497</v>
      </c>
      <c r="B180" s="846"/>
      <c r="C180" s="846"/>
      <c r="D180" s="846"/>
    </row>
    <row r="181" spans="1:4" ht="13.5" thickBot="1">
      <c r="A181" s="190" t="s">
        <v>1388</v>
      </c>
      <c r="B181" s="712" t="s">
        <v>852</v>
      </c>
      <c r="C181" s="191"/>
      <c r="D181" s="717">
        <f>C182</f>
        <v>100000</v>
      </c>
    </row>
    <row r="182" spans="1:4" ht="13.5" thickTop="1">
      <c r="A182" s="190" t="s">
        <v>1389</v>
      </c>
      <c r="B182" s="192" t="s">
        <v>870</v>
      </c>
      <c r="C182" s="777">
        <f>C183</f>
        <v>100000</v>
      </c>
      <c r="D182" s="191"/>
    </row>
    <row r="183" spans="1:4" ht="12.75">
      <c r="A183" s="193" t="s">
        <v>1390</v>
      </c>
      <c r="B183" s="193" t="s">
        <v>1291</v>
      </c>
      <c r="C183" s="778">
        <v>100000</v>
      </c>
      <c r="D183" s="191"/>
    </row>
    <row r="184" spans="1:4" ht="12.75">
      <c r="A184" s="191"/>
      <c r="B184" s="191"/>
      <c r="C184" s="781"/>
      <c r="D184" s="191"/>
    </row>
    <row r="185" spans="1:4" ht="13.5" thickBot="1">
      <c r="A185" s="30" t="s">
        <v>1196</v>
      </c>
      <c r="B185" s="704" t="s">
        <v>874</v>
      </c>
      <c r="C185" s="748"/>
      <c r="D185" s="705">
        <f>+C186</f>
        <v>400000</v>
      </c>
    </row>
    <row r="186" spans="1:4" ht="13.5" thickTop="1">
      <c r="A186" s="30" t="s">
        <v>1491</v>
      </c>
      <c r="B186" s="28" t="s">
        <v>694</v>
      </c>
      <c r="C186" s="602">
        <f>+C187</f>
        <v>400000</v>
      </c>
      <c r="D186" s="98"/>
    </row>
    <row r="187" spans="1:4" ht="12.75">
      <c r="A187" s="148" t="s">
        <v>1600</v>
      </c>
      <c r="B187" s="36" t="s">
        <v>595</v>
      </c>
      <c r="C187" s="603">
        <v>400000</v>
      </c>
      <c r="D187" s="98"/>
    </row>
    <row r="188" spans="1:4" ht="13.5" thickBot="1">
      <c r="A188" s="148"/>
      <c r="B188" s="36"/>
      <c r="C188" s="603"/>
      <c r="D188" s="98"/>
    </row>
    <row r="189" spans="2:4" ht="13.5" thickBot="1">
      <c r="B189" s="709" t="s">
        <v>498</v>
      </c>
      <c r="C189" s="707"/>
      <c r="D189" s="711">
        <f>D181+D185</f>
        <v>500000</v>
      </c>
    </row>
    <row r="190" spans="2:4" ht="12.75">
      <c r="B190" s="100"/>
      <c r="C190" s="100"/>
      <c r="D190" s="101"/>
    </row>
    <row r="191" spans="1:4" ht="16.5" thickBot="1">
      <c r="A191" s="846" t="s">
        <v>1183</v>
      </c>
      <c r="B191" s="846"/>
      <c r="C191" s="846"/>
      <c r="D191" s="846"/>
    </row>
    <row r="192" spans="1:4" ht="15.75" thickBot="1">
      <c r="A192" s="190" t="s">
        <v>1464</v>
      </c>
      <c r="B192" s="704" t="s">
        <v>818</v>
      </c>
      <c r="C192" s="716"/>
      <c r="D192" s="717">
        <f>C193+C196+C199+C204+C209</f>
        <v>14087747.542622667</v>
      </c>
    </row>
    <row r="193" spans="1:4" ht="15.75" thickTop="1">
      <c r="A193" s="190" t="s">
        <v>1465</v>
      </c>
      <c r="B193" s="28" t="s">
        <v>819</v>
      </c>
      <c r="C193" s="501">
        <f>C194</f>
        <v>7229616.28</v>
      </c>
      <c r="D193" s="474"/>
    </row>
    <row r="194" spans="1:4" ht="15">
      <c r="A194" s="193" t="s">
        <v>1466</v>
      </c>
      <c r="B194" t="s">
        <v>820</v>
      </c>
      <c r="C194" s="778">
        <v>7229616.28</v>
      </c>
      <c r="D194" s="474"/>
    </row>
    <row r="195" spans="1:4" ht="15">
      <c r="A195" s="193"/>
      <c r="C195" s="778"/>
      <c r="D195" s="474"/>
    </row>
    <row r="196" spans="1:4" ht="15">
      <c r="A196" s="30" t="s">
        <v>1497</v>
      </c>
      <c r="B196" s="28" t="s">
        <v>822</v>
      </c>
      <c r="C196" s="777">
        <f>C197</f>
        <v>1000000</v>
      </c>
      <c r="D196" s="474"/>
    </row>
    <row r="197" spans="1:4" ht="15">
      <c r="A197" s="24" t="s">
        <v>1498</v>
      </c>
      <c r="B197" t="s">
        <v>489</v>
      </c>
      <c r="C197" s="778">
        <v>1000000</v>
      </c>
      <c r="D197" s="474"/>
    </row>
    <row r="198" spans="1:4" ht="15">
      <c r="A198" s="193"/>
      <c r="C198" s="778"/>
      <c r="D198" s="474"/>
    </row>
    <row r="199" spans="1:4" ht="15">
      <c r="A199" s="190" t="s">
        <v>1467</v>
      </c>
      <c r="B199" s="28" t="s">
        <v>833</v>
      </c>
      <c r="C199" s="777">
        <f>C200+C201+C202</f>
        <v>3725050.816666667</v>
      </c>
      <c r="D199" s="474"/>
    </row>
    <row r="200" spans="1:4" ht="15">
      <c r="A200" s="193" t="s">
        <v>1468</v>
      </c>
      <c r="B200" t="s">
        <v>835</v>
      </c>
      <c r="C200" s="778">
        <v>2385773.37</v>
      </c>
      <c r="D200" s="474"/>
    </row>
    <row r="201" spans="1:4" ht="15">
      <c r="A201" s="193" t="s">
        <v>1469</v>
      </c>
      <c r="B201" t="s">
        <v>839</v>
      </c>
      <c r="C201" s="778">
        <f>(C194+C197+C200+C202)/12</f>
        <v>919589.7766666667</v>
      </c>
      <c r="D201" s="474"/>
    </row>
    <row r="202" spans="1:4" ht="15">
      <c r="A202" s="193" t="s">
        <v>1480</v>
      </c>
      <c r="B202" t="s">
        <v>1477</v>
      </c>
      <c r="C202" s="778">
        <v>419687.67</v>
      </c>
      <c r="D202" s="474"/>
    </row>
    <row r="203" spans="1:4" ht="15">
      <c r="A203" s="193"/>
      <c r="C203" s="778"/>
      <c r="D203" s="474"/>
    </row>
    <row r="204" spans="1:4" ht="15">
      <c r="A204" s="30" t="s">
        <v>1470</v>
      </c>
      <c r="B204" s="28" t="s">
        <v>841</v>
      </c>
      <c r="C204" s="777">
        <f>C206+C207</f>
        <v>1636501.9665560003</v>
      </c>
      <c r="D204" s="474"/>
    </row>
    <row r="205" spans="1:4" ht="15">
      <c r="A205" s="24"/>
      <c r="B205" s="31" t="s">
        <v>842</v>
      </c>
      <c r="C205" s="780"/>
      <c r="D205" s="474"/>
    </row>
    <row r="206" spans="1:4" ht="15">
      <c r="A206" s="148" t="s">
        <v>1471</v>
      </c>
      <c r="B206" t="s">
        <v>844</v>
      </c>
      <c r="C206" s="778">
        <f>(C194+C197+C200+C202)*14.33%</f>
        <v>1581326.5799560002</v>
      </c>
      <c r="D206" s="474"/>
    </row>
    <row r="207" spans="1:4" ht="15">
      <c r="A207" s="148" t="s">
        <v>1472</v>
      </c>
      <c r="B207" t="s">
        <v>846</v>
      </c>
      <c r="C207" s="778">
        <f>(C194+C197+C200+C202)*0.5%</f>
        <v>55175.386600000005</v>
      </c>
      <c r="D207" s="474"/>
    </row>
    <row r="208" spans="1:4" ht="15">
      <c r="A208" s="474"/>
      <c r="B208" s="474"/>
      <c r="C208" s="780"/>
      <c r="D208" s="474"/>
    </row>
    <row r="209" spans="1:4" ht="15">
      <c r="A209" s="30" t="s">
        <v>1473</v>
      </c>
      <c r="B209" s="28" t="s">
        <v>848</v>
      </c>
      <c r="C209" s="777">
        <f>C211+C212</f>
        <v>496578.47939999995</v>
      </c>
      <c r="D209" s="474"/>
    </row>
    <row r="210" spans="1:4" ht="15">
      <c r="A210" s="30"/>
      <c r="B210" s="31" t="s">
        <v>849</v>
      </c>
      <c r="C210" s="780"/>
      <c r="D210" s="474"/>
    </row>
    <row r="211" spans="1:4" ht="15">
      <c r="A211" s="148" t="s">
        <v>1474</v>
      </c>
      <c r="B211" s="33" t="s">
        <v>1369</v>
      </c>
      <c r="C211" s="778">
        <f>(C194+C197+C200+C202)*1.5%</f>
        <v>165526.1598</v>
      </c>
      <c r="D211" s="474"/>
    </row>
    <row r="212" spans="1:4" ht="15">
      <c r="A212" s="148" t="s">
        <v>1475</v>
      </c>
      <c r="B212" t="s">
        <v>851</v>
      </c>
      <c r="C212" s="778">
        <f>(C194+C197+C200+C202)*3%</f>
        <v>331052.3196</v>
      </c>
      <c r="D212" s="474"/>
    </row>
    <row r="213" spans="1:4" ht="12.75">
      <c r="A213" s="191"/>
      <c r="B213" s="191"/>
      <c r="C213" s="781"/>
      <c r="D213" s="191"/>
    </row>
    <row r="214" spans="1:4" ht="13.5" thickBot="1">
      <c r="A214" s="30" t="s">
        <v>1141</v>
      </c>
      <c r="B214" s="704" t="s">
        <v>852</v>
      </c>
      <c r="C214" s="606"/>
      <c r="D214" s="705">
        <f>C215+C218</f>
        <v>205912252.45999998</v>
      </c>
    </row>
    <row r="215" spans="1:3" ht="13.5" thickTop="1">
      <c r="A215" s="26" t="s">
        <v>1233</v>
      </c>
      <c r="B215" s="28" t="s">
        <v>864</v>
      </c>
      <c r="C215" s="602">
        <f>SUM(C216:C216)</f>
        <v>205621091.67</v>
      </c>
    </row>
    <row r="216" spans="1:3" ht="12.75">
      <c r="A216" s="33" t="s">
        <v>1234</v>
      </c>
      <c r="B216" s="33" t="s">
        <v>967</v>
      </c>
      <c r="C216" s="601">
        <v>205621091.67</v>
      </c>
    </row>
    <row r="217" spans="1:3" ht="12.75">
      <c r="A217" s="33"/>
      <c r="B217" s="33"/>
      <c r="C217" s="601"/>
    </row>
    <row r="218" spans="1:3" ht="12.75">
      <c r="A218" s="26" t="s">
        <v>1462</v>
      </c>
      <c r="B218" s="28" t="s">
        <v>1238</v>
      </c>
      <c r="C218" s="602">
        <f>C219</f>
        <v>291160.79</v>
      </c>
    </row>
    <row r="219" spans="1:3" ht="12.75">
      <c r="A219" s="33" t="s">
        <v>1463</v>
      </c>
      <c r="B219" s="34" t="s">
        <v>868</v>
      </c>
      <c r="C219" s="601">
        <v>291160.79</v>
      </c>
    </row>
    <row r="220" spans="1:3" ht="13.5" thickBot="1">
      <c r="A220" s="33"/>
      <c r="B220" s="33"/>
      <c r="C220" s="601"/>
    </row>
    <row r="221" spans="2:4" ht="13.5" thickBot="1">
      <c r="B221" s="709" t="s">
        <v>1142</v>
      </c>
      <c r="C221" s="707"/>
      <c r="D221" s="711">
        <f>D214+D192</f>
        <v>220000000.00262263</v>
      </c>
    </row>
    <row r="222" spans="2:4" ht="12.75">
      <c r="B222" s="97"/>
      <c r="C222" s="97"/>
      <c r="D222" s="629"/>
    </row>
    <row r="223" spans="1:4" ht="15.75" thickBot="1">
      <c r="A223" s="849" t="s">
        <v>1184</v>
      </c>
      <c r="B223" s="849"/>
      <c r="C223" s="849"/>
      <c r="D223" s="849"/>
    </row>
    <row r="224" spans="1:4" ht="13.5" thickBot="1">
      <c r="A224" s="30" t="s">
        <v>1143</v>
      </c>
      <c r="B224" s="704" t="s">
        <v>818</v>
      </c>
      <c r="C224" s="27"/>
      <c r="D224" s="705">
        <f>C225+C229+C235+C240+C245</f>
        <v>115606455.118684</v>
      </c>
    </row>
    <row r="225" spans="1:4" ht="13.5" thickTop="1">
      <c r="A225" s="25" t="s">
        <v>1144</v>
      </c>
      <c r="B225" s="28" t="s">
        <v>819</v>
      </c>
      <c r="C225" s="602">
        <f>SUM(C226:C227)</f>
        <v>62587723.48</v>
      </c>
      <c r="D225" s="3"/>
    </row>
    <row r="226" spans="1:4" ht="12.75">
      <c r="A226" s="24" t="s">
        <v>1145</v>
      </c>
      <c r="B226" t="s">
        <v>820</v>
      </c>
      <c r="C226" s="601">
        <v>56087723.48</v>
      </c>
      <c r="D226" s="3"/>
    </row>
    <row r="227" spans="1:4" ht="12.75">
      <c r="A227" s="24" t="s">
        <v>209</v>
      </c>
      <c r="B227" t="s">
        <v>821</v>
      </c>
      <c r="C227" s="601">
        <v>6500000</v>
      </c>
      <c r="D227" s="3"/>
    </row>
    <row r="228" spans="1:4" ht="12.75">
      <c r="A228" s="24"/>
      <c r="C228" s="601"/>
      <c r="D228" s="3"/>
    </row>
    <row r="229" spans="1:4" ht="12.75">
      <c r="A229" s="30" t="s">
        <v>1146</v>
      </c>
      <c r="B229" s="28" t="s">
        <v>822</v>
      </c>
      <c r="C229" s="602">
        <f>SUM(C230:C230)</f>
        <v>2000000</v>
      </c>
      <c r="D229" s="3"/>
    </row>
    <row r="230" spans="1:4" ht="12.75">
      <c r="A230" s="24" t="s">
        <v>1147</v>
      </c>
      <c r="B230" t="s">
        <v>489</v>
      </c>
      <c r="C230" s="601">
        <v>2000000</v>
      </c>
      <c r="D230" s="3"/>
    </row>
    <row r="231" spans="1:4" ht="12.75">
      <c r="A231" s="24"/>
      <c r="C231" s="601"/>
      <c r="D231" s="3"/>
    </row>
    <row r="232" spans="1:4" ht="12.75">
      <c r="A232" s="24"/>
      <c r="C232" s="601"/>
      <c r="D232" s="3"/>
    </row>
    <row r="233" spans="1:4" ht="12.75">
      <c r="A233" s="24"/>
      <c r="C233" s="601"/>
      <c r="D233" s="3"/>
    </row>
    <row r="234" spans="1:4" ht="12.75">
      <c r="A234" s="24"/>
      <c r="C234" s="601"/>
      <c r="D234" s="3"/>
    </row>
    <row r="235" spans="1:4" ht="12.75">
      <c r="A235" s="30" t="s">
        <v>1148</v>
      </c>
      <c r="B235" s="28" t="s">
        <v>833</v>
      </c>
      <c r="C235" s="602">
        <f>SUM(C236:C238)</f>
        <v>33514310.29</v>
      </c>
      <c r="D235" s="3"/>
    </row>
    <row r="236" spans="1:4" ht="12.75">
      <c r="A236" s="24" t="s">
        <v>1149</v>
      </c>
      <c r="B236" t="s">
        <v>835</v>
      </c>
      <c r="C236" s="601">
        <v>20000000</v>
      </c>
      <c r="D236" s="3"/>
    </row>
    <row r="237" spans="1:4" ht="12.75">
      <c r="A237" s="24" t="s">
        <v>1150</v>
      </c>
      <c r="B237" t="s">
        <v>839</v>
      </c>
      <c r="C237" s="601">
        <f>(C226+C227+C230+C236+C238)/12</f>
        <v>7546310.289999999</v>
      </c>
      <c r="D237" s="3"/>
    </row>
    <row r="238" spans="1:4" ht="12.75">
      <c r="A238" s="24" t="s">
        <v>1482</v>
      </c>
      <c r="B238" t="s">
        <v>1477</v>
      </c>
      <c r="C238" s="601">
        <v>5968000</v>
      </c>
      <c r="D238" s="3"/>
    </row>
    <row r="239" spans="1:4" ht="12.75">
      <c r="A239" s="24"/>
      <c r="C239" s="601"/>
      <c r="D239" s="3"/>
    </row>
    <row r="240" spans="1:4" ht="12.75">
      <c r="A240" s="30" t="s">
        <v>1151</v>
      </c>
      <c r="B240" s="28" t="s">
        <v>841</v>
      </c>
      <c r="C240" s="602">
        <f>SUM(C242:C243)</f>
        <v>13429413.792084</v>
      </c>
      <c r="D240" s="3"/>
    </row>
    <row r="241" spans="1:4" ht="12.75">
      <c r="A241" s="24"/>
      <c r="B241" s="31" t="s">
        <v>842</v>
      </c>
      <c r="C241" s="601"/>
      <c r="D241" s="3"/>
    </row>
    <row r="242" spans="1:4" ht="12.75">
      <c r="A242" s="24" t="s">
        <v>1152</v>
      </c>
      <c r="B242" t="s">
        <v>844</v>
      </c>
      <c r="C242" s="601">
        <f>(C226+C227+C230+C236+C238)*14.33%</f>
        <v>12976635.174684</v>
      </c>
      <c r="D242" s="3"/>
    </row>
    <row r="243" spans="1:4" ht="12.75">
      <c r="A243" s="24" t="s">
        <v>1153</v>
      </c>
      <c r="B243" t="s">
        <v>846</v>
      </c>
      <c r="C243" s="601">
        <f>(C226+C227+C230+C236+C238)*0.5%</f>
        <v>452778.61739999993</v>
      </c>
      <c r="D243" s="3"/>
    </row>
    <row r="244" spans="1:4" ht="12.75">
      <c r="A244" s="24"/>
      <c r="C244" s="601"/>
      <c r="D244" s="3"/>
    </row>
    <row r="245" spans="1:4" ht="12.75">
      <c r="A245" s="30" t="s">
        <v>1154</v>
      </c>
      <c r="B245" s="28" t="s">
        <v>848</v>
      </c>
      <c r="C245" s="602">
        <f>SUM(C247:C248)</f>
        <v>4075007.5566</v>
      </c>
      <c r="D245" s="3"/>
    </row>
    <row r="246" spans="1:4" ht="12.75">
      <c r="A246" s="30"/>
      <c r="B246" s="31" t="s">
        <v>849</v>
      </c>
      <c r="C246" s="773"/>
      <c r="D246" s="3"/>
    </row>
    <row r="247" spans="1:4" ht="12.75">
      <c r="A247" s="148" t="s">
        <v>1372</v>
      </c>
      <c r="B247" s="33" t="s">
        <v>1369</v>
      </c>
      <c r="C247" s="601">
        <f>(C226+C227+C230+C236+C238)*1.5%</f>
        <v>1358335.8521999998</v>
      </c>
      <c r="D247" s="3"/>
    </row>
    <row r="248" spans="1:4" ht="12.75">
      <c r="A248" s="24" t="s">
        <v>1155</v>
      </c>
      <c r="B248" t="s">
        <v>851</v>
      </c>
      <c r="C248" s="601">
        <f>(C226+C227+C230+C236+C238)*3%</f>
        <v>2716671.7043999997</v>
      </c>
      <c r="D248" s="3"/>
    </row>
    <row r="249" spans="1:4" ht="12.75">
      <c r="A249" s="24"/>
      <c r="C249" s="601"/>
      <c r="D249" s="3"/>
    </row>
    <row r="250" spans="1:4" ht="13.5" thickBot="1">
      <c r="A250" s="30" t="s">
        <v>1156</v>
      </c>
      <c r="B250" s="704" t="s">
        <v>852</v>
      </c>
      <c r="C250" s="606"/>
      <c r="D250" s="705">
        <f>+C252+C254+C257+C260+C265</f>
        <v>18237681.9</v>
      </c>
    </row>
    <row r="251" spans="1:4" ht="13.5" thickTop="1">
      <c r="A251" s="26" t="s">
        <v>1286</v>
      </c>
      <c r="B251" s="28" t="s">
        <v>962</v>
      </c>
      <c r="C251" s="602">
        <f>C252</f>
        <v>750000</v>
      </c>
      <c r="D251" s="101"/>
    </row>
    <row r="252" spans="1:4" ht="12.75">
      <c r="A252" s="148" t="s">
        <v>1287</v>
      </c>
      <c r="B252" s="36" t="s">
        <v>693</v>
      </c>
      <c r="C252" s="606">
        <v>750000</v>
      </c>
      <c r="D252" s="101"/>
    </row>
    <row r="253" spans="1:4" ht="12.75">
      <c r="A253" s="65"/>
      <c r="B253" s="100"/>
      <c r="C253" s="772"/>
      <c r="D253" s="101"/>
    </row>
    <row r="254" spans="1:4" ht="12.75">
      <c r="A254" s="26" t="s">
        <v>1288</v>
      </c>
      <c r="B254" s="28" t="s">
        <v>864</v>
      </c>
      <c r="C254" s="602">
        <f>+C255</f>
        <v>160000</v>
      </c>
      <c r="D254" s="101"/>
    </row>
    <row r="255" spans="1:4" ht="12.75">
      <c r="A255" s="148" t="s">
        <v>1289</v>
      </c>
      <c r="B255" s="36" t="s">
        <v>1257</v>
      </c>
      <c r="C255" s="606">
        <v>160000</v>
      </c>
      <c r="D255" s="101"/>
    </row>
    <row r="256" spans="1:4" ht="12.75">
      <c r="A256" s="65"/>
      <c r="B256" s="100"/>
      <c r="C256" s="772"/>
      <c r="D256" s="101"/>
    </row>
    <row r="257" spans="1:3" ht="12.75">
      <c r="A257" s="26" t="s">
        <v>1157</v>
      </c>
      <c r="B257" s="28" t="s">
        <v>866</v>
      </c>
      <c r="C257" s="602">
        <f>C258</f>
        <v>4577681.9</v>
      </c>
    </row>
    <row r="258" spans="1:3" ht="12.75">
      <c r="A258" t="s">
        <v>1158</v>
      </c>
      <c r="B258" t="s">
        <v>868</v>
      </c>
      <c r="C258" s="601">
        <v>4577681.9</v>
      </c>
    </row>
    <row r="259" ht="12.75">
      <c r="C259" s="601"/>
    </row>
    <row r="260" spans="1:3" ht="12.75">
      <c r="A260" s="26" t="s">
        <v>1159</v>
      </c>
      <c r="B260" s="28" t="s">
        <v>870</v>
      </c>
      <c r="C260" s="602">
        <f>SUM(C261:C263)</f>
        <v>12500000</v>
      </c>
    </row>
    <row r="261" spans="1:3" ht="12.75">
      <c r="A261" s="33" t="s">
        <v>1193</v>
      </c>
      <c r="B261" s="36" t="s">
        <v>1194</v>
      </c>
      <c r="C261" s="603">
        <v>5000000</v>
      </c>
    </row>
    <row r="262" spans="1:3" ht="12.75">
      <c r="A262" s="33" t="s">
        <v>1664</v>
      </c>
      <c r="B262" s="34" t="s">
        <v>1665</v>
      </c>
      <c r="C262" s="603">
        <v>5000000</v>
      </c>
    </row>
    <row r="263" spans="1:3" ht="12.75">
      <c r="A263" s="33" t="s">
        <v>1290</v>
      </c>
      <c r="B263" s="36" t="s">
        <v>1291</v>
      </c>
      <c r="C263" s="603">
        <v>2500000</v>
      </c>
    </row>
    <row r="264" spans="1:3" ht="12.75">
      <c r="A264" s="33"/>
      <c r="B264" s="36"/>
      <c r="C264" s="603"/>
    </row>
    <row r="265" spans="1:3" ht="12.75">
      <c r="A265" s="26" t="s">
        <v>1295</v>
      </c>
      <c r="B265" s="28" t="s">
        <v>1267</v>
      </c>
      <c r="C265" s="602">
        <f>SUM(C266:C267)</f>
        <v>250000</v>
      </c>
    </row>
    <row r="266" spans="1:3" ht="12.75">
      <c r="A266" s="33" t="s">
        <v>1296</v>
      </c>
      <c r="B266" s="34" t="s">
        <v>1269</v>
      </c>
      <c r="C266" s="603">
        <v>250000</v>
      </c>
    </row>
    <row r="267" spans="1:3" ht="12.75">
      <c r="A267" s="33"/>
      <c r="B267" s="34"/>
      <c r="C267" s="603"/>
    </row>
    <row r="268" spans="1:4" ht="13.5" thickBot="1">
      <c r="A268" s="26" t="s">
        <v>1160</v>
      </c>
      <c r="B268" s="704" t="s">
        <v>874</v>
      </c>
      <c r="C268" s="606"/>
      <c r="D268" s="705">
        <f>C269+C275+C285+C289</f>
        <v>40450000</v>
      </c>
    </row>
    <row r="269" spans="1:3" ht="13.5" thickTop="1">
      <c r="A269" s="26" t="s">
        <v>1161</v>
      </c>
      <c r="B269" s="28" t="s">
        <v>876</v>
      </c>
      <c r="C269" s="602">
        <f>SUM(C270:C273)</f>
        <v>10450000</v>
      </c>
    </row>
    <row r="270" spans="1:3" ht="12.75">
      <c r="A270" t="s">
        <v>1162</v>
      </c>
      <c r="B270" t="s">
        <v>887</v>
      </c>
      <c r="C270" s="601">
        <v>5000000</v>
      </c>
    </row>
    <row r="271" spans="1:3" ht="12.75">
      <c r="A271" s="33" t="s">
        <v>1445</v>
      </c>
      <c r="B271" s="33" t="s">
        <v>1273</v>
      </c>
      <c r="C271" s="601">
        <v>200000</v>
      </c>
    </row>
    <row r="272" spans="1:3" ht="12.75">
      <c r="A272" s="33" t="s">
        <v>1447</v>
      </c>
      <c r="B272" s="33" t="s">
        <v>695</v>
      </c>
      <c r="C272" s="601">
        <v>5000000</v>
      </c>
    </row>
    <row r="273" spans="1:3" ht="12.75">
      <c r="A273" s="33" t="s">
        <v>1304</v>
      </c>
      <c r="B273" s="33" t="s">
        <v>235</v>
      </c>
      <c r="C273" s="601">
        <v>250000</v>
      </c>
    </row>
    <row r="274" ht="12.75">
      <c r="C274" s="601"/>
    </row>
    <row r="275" spans="1:3" ht="12.75">
      <c r="A275" s="26" t="s">
        <v>1163</v>
      </c>
      <c r="B275" s="28" t="s">
        <v>988</v>
      </c>
      <c r="C275" s="602">
        <f>SUM(C277:C283)</f>
        <v>22200000</v>
      </c>
    </row>
    <row r="276" spans="1:3" ht="12.75">
      <c r="A276" s="26"/>
      <c r="B276" s="31" t="s">
        <v>989</v>
      </c>
      <c r="C276" s="773"/>
    </row>
    <row r="277" spans="1:3" ht="12.75">
      <c r="A277" s="33" t="s">
        <v>1592</v>
      </c>
      <c r="B277" s="36" t="s">
        <v>205</v>
      </c>
      <c r="C277" s="606">
        <v>3000000</v>
      </c>
    </row>
    <row r="278" spans="1:3" ht="12.75">
      <c r="A278" t="s">
        <v>1164</v>
      </c>
      <c r="B278" t="s">
        <v>993</v>
      </c>
      <c r="C278" s="601">
        <v>12500000</v>
      </c>
    </row>
    <row r="279" spans="1:3" ht="12.75">
      <c r="A279" t="s">
        <v>210</v>
      </c>
      <c r="B279" t="s">
        <v>206</v>
      </c>
      <c r="C279" s="601">
        <v>1500000</v>
      </c>
    </row>
    <row r="280" spans="1:3" ht="12.75">
      <c r="A280" s="33" t="s">
        <v>1593</v>
      </c>
      <c r="B280" s="33" t="s">
        <v>1594</v>
      </c>
      <c r="C280" s="601">
        <v>2200000</v>
      </c>
    </row>
    <row r="281" spans="1:3" ht="12.75">
      <c r="A281" s="33" t="s">
        <v>1595</v>
      </c>
      <c r="B281" s="33" t="s">
        <v>1596</v>
      </c>
      <c r="C281" s="601">
        <v>500000</v>
      </c>
    </row>
    <row r="282" spans="1:3" ht="12.75">
      <c r="A282" s="33" t="s">
        <v>1198</v>
      </c>
      <c r="B282" s="33" t="s">
        <v>997</v>
      </c>
      <c r="C282" s="601">
        <v>1000000</v>
      </c>
    </row>
    <row r="283" spans="1:3" ht="12.75">
      <c r="A283" t="s">
        <v>0</v>
      </c>
      <c r="B283" t="s">
        <v>1</v>
      </c>
      <c r="C283" s="601">
        <v>1500000</v>
      </c>
    </row>
    <row r="284" ht="12.75">
      <c r="C284" s="601"/>
    </row>
    <row r="285" spans="1:3" ht="12.75">
      <c r="A285" s="26" t="s">
        <v>1165</v>
      </c>
      <c r="B285" s="28" t="s">
        <v>999</v>
      </c>
      <c r="C285" s="602">
        <f>SUM(C286:C287)</f>
        <v>3000000</v>
      </c>
    </row>
    <row r="286" spans="1:3" ht="12.75">
      <c r="A286" s="33" t="s">
        <v>211</v>
      </c>
      <c r="B286" s="36" t="s">
        <v>212</v>
      </c>
      <c r="C286" s="603">
        <v>2000000</v>
      </c>
    </row>
    <row r="287" spans="1:3" ht="12.75">
      <c r="A287" s="33" t="s">
        <v>1391</v>
      </c>
      <c r="B287" s="34" t="s">
        <v>1003</v>
      </c>
      <c r="C287" s="603">
        <v>1000000</v>
      </c>
    </row>
    <row r="288" spans="1:3" ht="12.75">
      <c r="A288" s="33"/>
      <c r="B288" s="34"/>
      <c r="C288" s="603"/>
    </row>
    <row r="289" spans="1:3" ht="12.75">
      <c r="A289" s="26" t="s">
        <v>213</v>
      </c>
      <c r="B289" s="28" t="s">
        <v>891</v>
      </c>
      <c r="C289" s="602">
        <f>SUM(C290:C292)</f>
        <v>4800000</v>
      </c>
    </row>
    <row r="290" spans="1:3" ht="12.75">
      <c r="A290" t="s">
        <v>214</v>
      </c>
      <c r="B290" t="s">
        <v>200</v>
      </c>
      <c r="C290" s="601">
        <v>2300000</v>
      </c>
    </row>
    <row r="291" spans="1:3" ht="12.75">
      <c r="A291" s="33" t="s">
        <v>1323</v>
      </c>
      <c r="B291" s="33" t="s">
        <v>202</v>
      </c>
      <c r="C291" s="601">
        <v>500000</v>
      </c>
    </row>
    <row r="292" spans="1:3" ht="12.75">
      <c r="A292" s="33" t="s">
        <v>1199</v>
      </c>
      <c r="B292" s="33" t="s">
        <v>9</v>
      </c>
      <c r="C292" s="601">
        <v>2000000</v>
      </c>
    </row>
    <row r="293" spans="1:3" ht="12.75">
      <c r="A293" s="33"/>
      <c r="B293" s="33"/>
      <c r="C293" s="601"/>
    </row>
    <row r="294" spans="1:3" ht="12.75">
      <c r="A294" s="33"/>
      <c r="B294" s="33"/>
      <c r="C294" s="601"/>
    </row>
    <row r="295" spans="1:4" ht="13.5" thickBot="1">
      <c r="A295" s="26" t="s">
        <v>242</v>
      </c>
      <c r="B295" s="704" t="s">
        <v>896</v>
      </c>
      <c r="C295" s="773"/>
      <c r="D295" s="705">
        <f>C296</f>
        <v>51470.4</v>
      </c>
    </row>
    <row r="296" spans="1:3" ht="13.5" thickTop="1">
      <c r="A296" s="26" t="s">
        <v>243</v>
      </c>
      <c r="B296" s="28" t="s">
        <v>897</v>
      </c>
      <c r="C296" s="602">
        <f>C297</f>
        <v>51470.4</v>
      </c>
    </row>
    <row r="297" spans="1:3" ht="12.75">
      <c r="A297" t="s">
        <v>244</v>
      </c>
      <c r="B297" t="s">
        <v>245</v>
      </c>
      <c r="C297" s="797">
        <v>51470.4</v>
      </c>
    </row>
    <row r="298" spans="2:3" ht="12.75">
      <c r="B298" t="s">
        <v>246</v>
      </c>
      <c r="C298" s="601"/>
    </row>
    <row r="299" ht="12.75">
      <c r="C299" s="601"/>
    </row>
    <row r="300" spans="1:4" ht="13.5" thickBot="1">
      <c r="A300" s="26" t="s">
        <v>1392</v>
      </c>
      <c r="B300" s="704" t="s">
        <v>898</v>
      </c>
      <c r="C300" s="773"/>
      <c r="D300" s="705">
        <f>C301</f>
        <v>6000000</v>
      </c>
    </row>
    <row r="301" spans="1:3" ht="13.5" thickTop="1">
      <c r="A301" s="26" t="s">
        <v>1393</v>
      </c>
      <c r="B301" s="28" t="s">
        <v>899</v>
      </c>
      <c r="C301" s="602">
        <f>SUM(C302:C303)</f>
        <v>6000000</v>
      </c>
    </row>
    <row r="302" spans="1:3" ht="12.75">
      <c r="A302" s="33" t="s">
        <v>1666</v>
      </c>
      <c r="B302" s="36" t="s">
        <v>1420</v>
      </c>
      <c r="C302" s="603">
        <v>2000000</v>
      </c>
    </row>
    <row r="303" spans="1:3" ht="12.75">
      <c r="A303" s="33" t="s">
        <v>1394</v>
      </c>
      <c r="B303" s="36" t="s">
        <v>707</v>
      </c>
      <c r="C303" s="603">
        <v>4000000</v>
      </c>
    </row>
    <row r="304" spans="1:3" ht="12.75">
      <c r="A304" s="33"/>
      <c r="B304" s="36"/>
      <c r="C304" s="603"/>
    </row>
    <row r="305" spans="1:4" ht="13.5" thickBot="1">
      <c r="A305" s="26" t="s">
        <v>878</v>
      </c>
      <c r="B305" s="704" t="s">
        <v>1009</v>
      </c>
      <c r="C305" s="773"/>
      <c r="D305" s="705">
        <f>C306</f>
        <v>2167174.7</v>
      </c>
    </row>
    <row r="306" spans="1:3" ht="13.5" thickTop="1">
      <c r="A306" s="26" t="s">
        <v>879</v>
      </c>
      <c r="B306" s="28" t="s">
        <v>947</v>
      </c>
      <c r="C306" s="602">
        <f>C307</f>
        <v>2167174.7</v>
      </c>
    </row>
    <row r="307" spans="1:3" ht="12.75">
      <c r="A307" s="26" t="s">
        <v>880</v>
      </c>
      <c r="B307" t="s">
        <v>881</v>
      </c>
      <c r="C307" s="796">
        <v>2167174.7</v>
      </c>
    </row>
    <row r="308" spans="2:3" ht="12.75">
      <c r="B308" t="s">
        <v>882</v>
      </c>
      <c r="C308" s="3"/>
    </row>
    <row r="309" ht="13.5" thickBot="1">
      <c r="C309" s="3"/>
    </row>
    <row r="310" spans="2:4" ht="13.5" thickBot="1">
      <c r="B310" s="709" t="s">
        <v>1166</v>
      </c>
      <c r="C310" s="707"/>
      <c r="D310" s="711">
        <f>D224+D250+D268+D295+D300+D305</f>
        <v>182512782.118684</v>
      </c>
    </row>
    <row r="311" spans="2:4" ht="12.75">
      <c r="B311" s="97"/>
      <c r="C311" s="97"/>
      <c r="D311" s="629"/>
    </row>
    <row r="312" spans="1:4" ht="16.5" thickBot="1">
      <c r="A312" s="846" t="s">
        <v>1185</v>
      </c>
      <c r="B312" s="846"/>
      <c r="C312" s="846"/>
      <c r="D312" s="846"/>
    </row>
    <row r="313" spans="1:4" ht="13.5" thickBot="1">
      <c r="A313" s="30" t="s">
        <v>1348</v>
      </c>
      <c r="B313" s="704" t="s">
        <v>818</v>
      </c>
      <c r="C313" s="773"/>
      <c r="D313" s="705">
        <f>C314+C317+C320+C325+C330</f>
        <v>34956201.516479336</v>
      </c>
    </row>
    <row r="314" spans="1:4" ht="13.5" thickTop="1">
      <c r="A314" s="25" t="s">
        <v>1167</v>
      </c>
      <c r="B314" s="28" t="s">
        <v>819</v>
      </c>
      <c r="C314" s="602">
        <f>SUM(C315:C315)</f>
        <v>13000000</v>
      </c>
      <c r="D314" s="3"/>
    </row>
    <row r="315" spans="1:4" ht="12.75">
      <c r="A315" s="24" t="s">
        <v>1168</v>
      </c>
      <c r="B315" t="s">
        <v>820</v>
      </c>
      <c r="C315" s="601">
        <v>13000000</v>
      </c>
      <c r="D315" s="3"/>
    </row>
    <row r="316" spans="1:4" ht="12.75">
      <c r="A316" s="24"/>
      <c r="C316" s="601"/>
      <c r="D316" s="3"/>
    </row>
    <row r="317" spans="1:4" ht="12.75">
      <c r="A317" s="30" t="s">
        <v>1169</v>
      </c>
      <c r="B317" s="28" t="s">
        <v>822</v>
      </c>
      <c r="C317" s="602">
        <f>SUM(C318:C318)</f>
        <v>4000000</v>
      </c>
      <c r="D317" s="3"/>
    </row>
    <row r="318" spans="1:4" ht="12.75">
      <c r="A318" s="24" t="s">
        <v>1170</v>
      </c>
      <c r="B318" t="s">
        <v>489</v>
      </c>
      <c r="C318" s="601">
        <v>4000000</v>
      </c>
      <c r="D318" s="3"/>
    </row>
    <row r="319" spans="1:4" ht="12.75">
      <c r="A319" s="24"/>
      <c r="C319" s="601"/>
      <c r="D319" s="3"/>
    </row>
    <row r="320" spans="1:4" ht="12.75">
      <c r="A320" s="30" t="s">
        <v>1171</v>
      </c>
      <c r="B320" s="28" t="s">
        <v>833</v>
      </c>
      <c r="C320" s="602">
        <f>SUM(C321:C323)</f>
        <v>12663347.588333335</v>
      </c>
      <c r="D320" s="3"/>
    </row>
    <row r="321" spans="1:4" ht="12.75">
      <c r="A321" s="24" t="s">
        <v>1172</v>
      </c>
      <c r="B321" t="s">
        <v>835</v>
      </c>
      <c r="C321" s="601">
        <v>8480692</v>
      </c>
      <c r="D321" s="3"/>
    </row>
    <row r="322" spans="1:4" ht="12.75">
      <c r="A322" s="24" t="s">
        <v>1173</v>
      </c>
      <c r="B322" t="s">
        <v>839</v>
      </c>
      <c r="C322" s="601">
        <f>(C315+C318+C321+C323)/12</f>
        <v>2281795.9683333333</v>
      </c>
      <c r="D322" s="3"/>
    </row>
    <row r="323" spans="1:4" ht="12.75">
      <c r="A323" s="24" t="s">
        <v>1483</v>
      </c>
      <c r="B323" t="s">
        <v>1477</v>
      </c>
      <c r="C323" s="601">
        <v>1900859.62</v>
      </c>
      <c r="D323" s="3"/>
    </row>
    <row r="324" spans="1:4" ht="12.75">
      <c r="A324" s="24"/>
      <c r="C324" s="601"/>
      <c r="D324" s="3"/>
    </row>
    <row r="325" spans="1:4" ht="12.75">
      <c r="A325" s="30" t="s">
        <v>1174</v>
      </c>
      <c r="B325" s="28" t="s">
        <v>841</v>
      </c>
      <c r="C325" s="602">
        <f>SUM(C327:C328)</f>
        <v>4060684.1052460005</v>
      </c>
      <c r="D325" s="3"/>
    </row>
    <row r="326" spans="1:4" ht="12.75">
      <c r="A326" s="24"/>
      <c r="B326" s="31" t="s">
        <v>842</v>
      </c>
      <c r="C326" s="601"/>
      <c r="D326" s="3"/>
    </row>
    <row r="327" spans="1:4" ht="12.75">
      <c r="A327" s="24" t="s">
        <v>1175</v>
      </c>
      <c r="B327" t="s">
        <v>844</v>
      </c>
      <c r="C327" s="601">
        <f>(C315+C318+C321+C323)*14.33%</f>
        <v>3923776.3471460002</v>
      </c>
      <c r="D327" s="3"/>
    </row>
    <row r="328" spans="1:4" ht="12.75">
      <c r="A328" s="24" t="s">
        <v>1176</v>
      </c>
      <c r="B328" t="s">
        <v>846</v>
      </c>
      <c r="C328" s="601">
        <f>(C315+C318+C321+C323)*0.5%</f>
        <v>136907.7581</v>
      </c>
      <c r="D328" s="3"/>
    </row>
    <row r="329" spans="1:4" ht="12.75">
      <c r="A329" s="24"/>
      <c r="C329" s="601"/>
      <c r="D329" s="3"/>
    </row>
    <row r="330" spans="1:4" ht="12.75">
      <c r="A330" s="30" t="s">
        <v>1177</v>
      </c>
      <c r="B330" s="28" t="s">
        <v>848</v>
      </c>
      <c r="C330" s="602">
        <f>SUM(C332:C333)</f>
        <v>1232169.8229</v>
      </c>
      <c r="D330" s="3"/>
    </row>
    <row r="331" spans="1:4" ht="12.75">
      <c r="A331" s="30"/>
      <c r="B331" s="31" t="s">
        <v>849</v>
      </c>
      <c r="C331" s="773"/>
      <c r="D331" s="3"/>
    </row>
    <row r="332" spans="1:4" ht="12.75">
      <c r="A332" s="148" t="s">
        <v>1373</v>
      </c>
      <c r="B332" s="33" t="s">
        <v>1369</v>
      </c>
      <c r="C332" s="601">
        <f>(C315+C318+C321+C323)*1.5%</f>
        <v>410723.2743</v>
      </c>
      <c r="D332" s="3"/>
    </row>
    <row r="333" spans="1:4" ht="12.75">
      <c r="A333" s="24" t="s">
        <v>1178</v>
      </c>
      <c r="B333" t="s">
        <v>851</v>
      </c>
      <c r="C333" s="601">
        <f>(C315+C318+C321+C323)*3%</f>
        <v>821446.5486</v>
      </c>
      <c r="D333" s="3"/>
    </row>
    <row r="334" spans="1:4" ht="12.75">
      <c r="A334" s="24"/>
      <c r="C334" s="601"/>
      <c r="D334" s="3"/>
    </row>
    <row r="335" spans="1:4" ht="13.5" thickBot="1">
      <c r="A335" s="30" t="s">
        <v>805</v>
      </c>
      <c r="B335" s="704" t="s">
        <v>852</v>
      </c>
      <c r="C335" s="606"/>
      <c r="D335" s="705">
        <f>+C336</f>
        <v>393798.48</v>
      </c>
    </row>
    <row r="336" spans="1:3" ht="13.5" thickTop="1">
      <c r="A336" s="26" t="s">
        <v>1179</v>
      </c>
      <c r="B336" s="28" t="s">
        <v>866</v>
      </c>
      <c r="C336" s="602">
        <f>C337</f>
        <v>393798.48</v>
      </c>
    </row>
    <row r="337" spans="1:3" ht="12.75">
      <c r="A337" t="s">
        <v>1180</v>
      </c>
      <c r="B337" t="s">
        <v>868</v>
      </c>
      <c r="C337" s="601">
        <v>393798.48</v>
      </c>
    </row>
    <row r="338" ht="12.75">
      <c r="C338" s="601"/>
    </row>
    <row r="339" spans="1:4" ht="13.5" thickBot="1">
      <c r="A339" s="26" t="s">
        <v>1545</v>
      </c>
      <c r="B339" s="704" t="s">
        <v>874</v>
      </c>
      <c r="C339" s="601"/>
      <c r="D339" s="705">
        <f>C340+C345</f>
        <v>650000</v>
      </c>
    </row>
    <row r="340" spans="1:3" ht="13.5" thickTop="1">
      <c r="A340" s="26" t="s">
        <v>1546</v>
      </c>
      <c r="B340" s="28" t="s">
        <v>876</v>
      </c>
      <c r="C340" s="602">
        <f>SUM(C341:C343)</f>
        <v>550000</v>
      </c>
    </row>
    <row r="341" spans="1:3" ht="12.75">
      <c r="A341" t="s">
        <v>1547</v>
      </c>
      <c r="B341" t="s">
        <v>887</v>
      </c>
      <c r="C341" s="601">
        <v>250000</v>
      </c>
    </row>
    <row r="342" spans="1:3" ht="12.75">
      <c r="A342" t="s">
        <v>1548</v>
      </c>
      <c r="B342" t="s">
        <v>695</v>
      </c>
      <c r="C342" s="601">
        <v>150000</v>
      </c>
    </row>
    <row r="343" spans="1:3" ht="12.75">
      <c r="A343" t="s">
        <v>1549</v>
      </c>
      <c r="B343" t="s">
        <v>235</v>
      </c>
      <c r="C343" s="601">
        <v>150000</v>
      </c>
    </row>
    <row r="344" ht="12.75">
      <c r="C344" s="601"/>
    </row>
    <row r="345" spans="1:3" ht="12.75">
      <c r="A345" s="26" t="s">
        <v>1550</v>
      </c>
      <c r="B345" s="28" t="s">
        <v>999</v>
      </c>
      <c r="C345" s="602">
        <f>SUM(C346:C346)</f>
        <v>100000</v>
      </c>
    </row>
    <row r="346" spans="1:3" ht="12.75">
      <c r="A346" t="s">
        <v>1551</v>
      </c>
      <c r="B346" t="s">
        <v>1001</v>
      </c>
      <c r="C346" s="601">
        <v>100000</v>
      </c>
    </row>
    <row r="347" ht="13.5" thickBot="1">
      <c r="C347" s="3"/>
    </row>
    <row r="348" spans="2:4" ht="13.5" thickBot="1">
      <c r="B348" s="709" t="s">
        <v>1181</v>
      </c>
      <c r="C348" s="707"/>
      <c r="D348" s="711">
        <f>D313+D335+D339</f>
        <v>35999999.99647933</v>
      </c>
    </row>
    <row r="349" spans="2:4" ht="12.75">
      <c r="B349" s="97"/>
      <c r="C349" s="97"/>
      <c r="D349" s="629"/>
    </row>
    <row r="350" spans="2:4" ht="12.75">
      <c r="B350" s="97"/>
      <c r="C350" s="97"/>
      <c r="D350" s="629"/>
    </row>
    <row r="351" spans="2:4" ht="12.75">
      <c r="B351" s="97"/>
      <c r="C351" s="97"/>
      <c r="D351" s="629"/>
    </row>
    <row r="352" spans="2:4" ht="12.75">
      <c r="B352" s="97"/>
      <c r="C352" s="97"/>
      <c r="D352" s="629"/>
    </row>
    <row r="353" spans="2:4" ht="12.75">
      <c r="B353" s="97"/>
      <c r="C353" s="97"/>
      <c r="D353" s="629"/>
    </row>
    <row r="354" spans="1:4" ht="16.5" thickBot="1">
      <c r="A354" s="846" t="s">
        <v>1186</v>
      </c>
      <c r="B354" s="846"/>
      <c r="C354" s="846"/>
      <c r="D354" s="846"/>
    </row>
    <row r="355" spans="1:4" ht="13.5" thickBot="1">
      <c r="A355" s="30" t="s">
        <v>1182</v>
      </c>
      <c r="B355" s="704" t="s">
        <v>818</v>
      </c>
      <c r="C355" s="27"/>
      <c r="D355" s="705">
        <f>C356+C360+C363+C369+C374</f>
        <v>103223456.20825769</v>
      </c>
    </row>
    <row r="356" spans="1:4" ht="13.5" thickTop="1">
      <c r="A356" s="25" t="s">
        <v>1187</v>
      </c>
      <c r="B356" s="28" t="s">
        <v>819</v>
      </c>
      <c r="C356" s="602">
        <f>SUM(C357:C358)</f>
        <v>49188186.6</v>
      </c>
      <c r="D356" s="3"/>
    </row>
    <row r="357" spans="1:4" ht="12.75">
      <c r="A357" s="24" t="s">
        <v>1188</v>
      </c>
      <c r="B357" t="s">
        <v>820</v>
      </c>
      <c r="C357" s="601">
        <v>47988186.6</v>
      </c>
      <c r="D357" s="3"/>
    </row>
    <row r="358" spans="1:4" ht="12.75">
      <c r="A358" s="24" t="s">
        <v>696</v>
      </c>
      <c r="B358" t="s">
        <v>821</v>
      </c>
      <c r="C358" s="601">
        <v>1200000</v>
      </c>
      <c r="D358" s="3"/>
    </row>
    <row r="359" spans="1:4" ht="12.75">
      <c r="A359" s="24"/>
      <c r="C359" s="601"/>
      <c r="D359" s="3"/>
    </row>
    <row r="360" spans="1:4" ht="12.75">
      <c r="A360" s="30" t="s">
        <v>1189</v>
      </c>
      <c r="B360" s="28" t="s">
        <v>822</v>
      </c>
      <c r="C360" s="602">
        <f>SUM(C361:C361)</f>
        <v>2500000</v>
      </c>
      <c r="D360" s="3"/>
    </row>
    <row r="361" spans="1:4" ht="12.75">
      <c r="A361" s="24" t="s">
        <v>1190</v>
      </c>
      <c r="B361" t="s">
        <v>489</v>
      </c>
      <c r="C361" s="601">
        <v>2500000</v>
      </c>
      <c r="D361" s="3"/>
    </row>
    <row r="362" spans="1:4" ht="12.75">
      <c r="A362" s="24"/>
      <c r="C362" s="601"/>
      <c r="D362" s="3"/>
    </row>
    <row r="363" spans="1:4" ht="12.75">
      <c r="A363" s="30" t="s">
        <v>1191</v>
      </c>
      <c r="B363" s="28" t="s">
        <v>833</v>
      </c>
      <c r="C363" s="602">
        <f>SUM(C364:C367)</f>
        <v>35905806.10916667</v>
      </c>
      <c r="D363" s="3"/>
    </row>
    <row r="364" spans="1:4" ht="12.75">
      <c r="A364" s="24" t="s">
        <v>1192</v>
      </c>
      <c r="B364" t="s">
        <v>835</v>
      </c>
      <c r="C364" s="601">
        <v>20864316.66</v>
      </c>
      <c r="D364" s="3"/>
    </row>
    <row r="365" spans="1:4" ht="12.75">
      <c r="A365" s="24" t="s">
        <v>232</v>
      </c>
      <c r="B365" t="s">
        <v>233</v>
      </c>
      <c r="C365" s="601">
        <v>4644358.76</v>
      </c>
      <c r="D365" s="3"/>
    </row>
    <row r="366" spans="1:4" ht="12.75">
      <c r="A366" s="24" t="s">
        <v>16</v>
      </c>
      <c r="B366" t="s">
        <v>839</v>
      </c>
      <c r="C366" s="601">
        <f>(C357+C358+C361+C364+C365+C367)/12</f>
        <v>6737999.439166668</v>
      </c>
      <c r="D366" s="3"/>
    </row>
    <row r="367" spans="1:4" ht="12.75">
      <c r="A367" s="24" t="s">
        <v>1484</v>
      </c>
      <c r="B367" t="s">
        <v>1477</v>
      </c>
      <c r="C367" s="601">
        <v>3659131.25</v>
      </c>
      <c r="D367" s="3"/>
    </row>
    <row r="368" spans="1:4" ht="12.75">
      <c r="A368" s="24"/>
      <c r="C368" s="601"/>
      <c r="D368" s="3"/>
    </row>
    <row r="369" spans="1:4" ht="12.75">
      <c r="A369" s="30" t="s">
        <v>17</v>
      </c>
      <c r="B369" s="28" t="s">
        <v>841</v>
      </c>
      <c r="C369" s="602">
        <f>SUM(C371:C372)</f>
        <v>11990943.801941004</v>
      </c>
      <c r="D369" s="3"/>
    </row>
    <row r="370" spans="1:4" ht="12.75">
      <c r="A370" s="24"/>
      <c r="B370" s="31" t="s">
        <v>842</v>
      </c>
      <c r="C370" s="601"/>
      <c r="D370" s="3"/>
    </row>
    <row r="371" spans="1:4" ht="12.75">
      <c r="A371" s="24" t="s">
        <v>18</v>
      </c>
      <c r="B371" t="s">
        <v>844</v>
      </c>
      <c r="C371" s="601">
        <f>(C357+C358+C361+C364+C365+C367)*14.33%</f>
        <v>11586663.835591003</v>
      </c>
      <c r="D371" s="3"/>
    </row>
    <row r="372" spans="1:4" ht="12.75">
      <c r="A372" s="24" t="s">
        <v>19</v>
      </c>
      <c r="B372" t="s">
        <v>846</v>
      </c>
      <c r="C372" s="601">
        <f>(C357+C358+C361+C364+C365+C367)*0.5%</f>
        <v>404279.96635000006</v>
      </c>
      <c r="D372" s="3"/>
    </row>
    <row r="373" spans="1:4" ht="12.75">
      <c r="A373" s="24"/>
      <c r="C373" s="601"/>
      <c r="D373" s="3"/>
    </row>
    <row r="374" spans="1:4" ht="12.75">
      <c r="A374" s="30" t="s">
        <v>20</v>
      </c>
      <c r="B374" s="28" t="s">
        <v>848</v>
      </c>
      <c r="C374" s="602">
        <f>SUM(C376:C377)</f>
        <v>3638519.6971500004</v>
      </c>
      <c r="D374" s="3"/>
    </row>
    <row r="375" spans="1:4" ht="12.75">
      <c r="A375" s="30"/>
      <c r="B375" s="31" t="s">
        <v>849</v>
      </c>
      <c r="C375" s="773"/>
      <c r="D375" s="3"/>
    </row>
    <row r="376" spans="1:4" ht="12.75">
      <c r="A376" s="148" t="s">
        <v>1374</v>
      </c>
      <c r="B376" s="33" t="s">
        <v>1369</v>
      </c>
      <c r="C376" s="601">
        <f>(C357+C358+C361+C364+C365+C367)*1.5%</f>
        <v>1212839.8990500001</v>
      </c>
      <c r="D376" s="3"/>
    </row>
    <row r="377" spans="1:4" ht="12.75">
      <c r="A377" s="24" t="s">
        <v>21</v>
      </c>
      <c r="B377" t="s">
        <v>851</v>
      </c>
      <c r="C377" s="601">
        <f>(C357+C358+C361+C364+C365+C367)*3%</f>
        <v>2425679.7981000002</v>
      </c>
      <c r="D377" s="3"/>
    </row>
    <row r="378" spans="1:4" ht="12.75">
      <c r="A378" s="24"/>
      <c r="C378" s="601"/>
      <c r="D378" s="3"/>
    </row>
    <row r="379" spans="1:4" ht="13.5" thickBot="1">
      <c r="A379" s="30" t="s">
        <v>22</v>
      </c>
      <c r="B379" s="704" t="s">
        <v>852</v>
      </c>
      <c r="C379" s="606"/>
      <c r="D379" s="705">
        <f>C380+C383+C388+C397+C400+C403+C406+C411+C414+C392</f>
        <v>88906547.37</v>
      </c>
    </row>
    <row r="380" spans="1:4" ht="13.5" thickTop="1">
      <c r="A380" s="30" t="s">
        <v>23</v>
      </c>
      <c r="B380" s="28" t="s">
        <v>962</v>
      </c>
      <c r="C380" s="602">
        <f>SUM(C381:C381)</f>
        <v>250000</v>
      </c>
      <c r="D380" s="3"/>
    </row>
    <row r="381" spans="1:4" ht="12.75">
      <c r="A381" s="24" t="s">
        <v>24</v>
      </c>
      <c r="B381" t="s">
        <v>964</v>
      </c>
      <c r="C381" s="601">
        <v>250000</v>
      </c>
      <c r="D381" s="3"/>
    </row>
    <row r="382" spans="1:4" ht="12.75">
      <c r="A382" s="24"/>
      <c r="C382" s="601"/>
      <c r="D382" s="3"/>
    </row>
    <row r="383" spans="1:4" ht="12.75">
      <c r="A383" s="30" t="s">
        <v>25</v>
      </c>
      <c r="B383" s="28" t="s">
        <v>854</v>
      </c>
      <c r="C383" s="602">
        <f>+C384+C385+C386</f>
        <v>61168436.18</v>
      </c>
      <c r="D383" s="3"/>
    </row>
    <row r="384" spans="1:4" ht="12.75">
      <c r="A384" s="148" t="s">
        <v>1489</v>
      </c>
      <c r="B384" s="36" t="s">
        <v>1490</v>
      </c>
      <c r="C384" s="603">
        <v>1000000</v>
      </c>
      <c r="D384" s="3"/>
    </row>
    <row r="385" spans="1:4" ht="12.75">
      <c r="A385" s="24" t="s">
        <v>26</v>
      </c>
      <c r="B385" s="34" t="s">
        <v>970</v>
      </c>
      <c r="C385" s="606">
        <v>60068436.18</v>
      </c>
      <c r="D385" s="3"/>
    </row>
    <row r="386" spans="1:4" ht="12.75">
      <c r="A386" s="148" t="s">
        <v>1395</v>
      </c>
      <c r="B386" s="34" t="s">
        <v>542</v>
      </c>
      <c r="C386" s="601">
        <v>100000</v>
      </c>
      <c r="D386" s="3"/>
    </row>
    <row r="387" spans="1:4" ht="12.75">
      <c r="A387" s="24"/>
      <c r="B387" s="34"/>
      <c r="C387" s="601"/>
      <c r="D387" s="3"/>
    </row>
    <row r="388" spans="1:4" ht="12.75">
      <c r="A388" s="30" t="s">
        <v>1200</v>
      </c>
      <c r="B388" s="35" t="s">
        <v>860</v>
      </c>
      <c r="C388" s="602">
        <f>C389+C390</f>
        <v>338000</v>
      </c>
      <c r="D388" s="3"/>
    </row>
    <row r="389" spans="1:4" ht="12.75">
      <c r="A389" s="148" t="s">
        <v>1448</v>
      </c>
      <c r="B389" s="34" t="s">
        <v>491</v>
      </c>
      <c r="C389" s="603">
        <v>288000</v>
      </c>
      <c r="D389" s="3"/>
    </row>
    <row r="390" spans="1:4" ht="12.75">
      <c r="A390" s="148" t="s">
        <v>1201</v>
      </c>
      <c r="B390" s="34" t="s">
        <v>545</v>
      </c>
      <c r="C390" s="601">
        <v>50000</v>
      </c>
      <c r="D390" s="3"/>
    </row>
    <row r="391" spans="1:4" ht="12.75">
      <c r="A391" s="24"/>
      <c r="B391" s="34"/>
      <c r="C391" s="601"/>
      <c r="D391" s="3"/>
    </row>
    <row r="392" spans="1:4" ht="12.75">
      <c r="A392" s="30" t="s">
        <v>697</v>
      </c>
      <c r="B392" s="35" t="s">
        <v>864</v>
      </c>
      <c r="C392" s="602">
        <f>SUM(C393:C395)</f>
        <v>20100000</v>
      </c>
      <c r="D392" s="3"/>
    </row>
    <row r="393" spans="1:4" ht="12.75">
      <c r="A393" s="148" t="s">
        <v>1300</v>
      </c>
      <c r="B393" s="34" t="s">
        <v>1041</v>
      </c>
      <c r="C393" s="603">
        <v>5000000</v>
      </c>
      <c r="D393" s="3"/>
    </row>
    <row r="394" spans="1:4" ht="12.75">
      <c r="A394" s="148" t="s">
        <v>285</v>
      </c>
      <c r="B394" s="34" t="s">
        <v>555</v>
      </c>
      <c r="C394" s="603">
        <v>15000000</v>
      </c>
      <c r="D394" s="3"/>
    </row>
    <row r="395" spans="1:4" ht="12.75">
      <c r="A395" s="24" t="s">
        <v>698</v>
      </c>
      <c r="B395" s="34" t="s">
        <v>699</v>
      </c>
      <c r="C395" s="601">
        <v>100000</v>
      </c>
      <c r="D395" s="3"/>
    </row>
    <row r="396" spans="1:4" ht="12.75">
      <c r="A396" s="24"/>
      <c r="B396" s="34"/>
      <c r="C396" s="601"/>
      <c r="D396" s="3"/>
    </row>
    <row r="397" spans="1:4" ht="12.75">
      <c r="A397" s="30" t="s">
        <v>1397</v>
      </c>
      <c r="B397" s="35" t="s">
        <v>1260</v>
      </c>
      <c r="C397" s="602">
        <f>C398</f>
        <v>50000</v>
      </c>
      <c r="D397" s="3"/>
    </row>
    <row r="398" spans="1:4" ht="12.75">
      <c r="A398" s="148" t="s">
        <v>1398</v>
      </c>
      <c r="B398" s="34" t="s">
        <v>47</v>
      </c>
      <c r="C398" s="601">
        <v>50000</v>
      </c>
      <c r="D398" s="3"/>
    </row>
    <row r="399" ht="12.75">
      <c r="C399" s="352"/>
    </row>
    <row r="400" spans="1:3" ht="12.75">
      <c r="A400" s="26" t="s">
        <v>27</v>
      </c>
      <c r="B400" s="28" t="s">
        <v>866</v>
      </c>
      <c r="C400" s="602">
        <f>C401</f>
        <v>1800111.19</v>
      </c>
    </row>
    <row r="401" spans="1:3" ht="12.75">
      <c r="A401" t="s">
        <v>28</v>
      </c>
      <c r="B401" t="s">
        <v>868</v>
      </c>
      <c r="C401" s="601">
        <v>1800111.19</v>
      </c>
    </row>
    <row r="402" ht="12.75">
      <c r="C402" s="601"/>
    </row>
    <row r="403" spans="1:3" ht="12.75">
      <c r="A403" s="26" t="s">
        <v>1301</v>
      </c>
      <c r="B403" s="28" t="s">
        <v>974</v>
      </c>
      <c r="C403" s="602">
        <f>C404</f>
        <v>100000</v>
      </c>
    </row>
    <row r="404" spans="1:3" ht="12.75">
      <c r="A404" s="33" t="s">
        <v>1302</v>
      </c>
      <c r="B404" s="33" t="s">
        <v>194</v>
      </c>
      <c r="C404" s="601">
        <v>100000</v>
      </c>
    </row>
    <row r="405" ht="12.75">
      <c r="C405" s="601"/>
    </row>
    <row r="406" spans="1:3" ht="12.75">
      <c r="A406" s="26" t="s">
        <v>29</v>
      </c>
      <c r="B406" s="28" t="s">
        <v>870</v>
      </c>
      <c r="C406" s="602">
        <f>SUM(C407:C409)</f>
        <v>2350000</v>
      </c>
    </row>
    <row r="407" spans="1:3" ht="12.75">
      <c r="A407" t="s">
        <v>30</v>
      </c>
      <c r="B407" t="s">
        <v>872</v>
      </c>
      <c r="C407" s="601">
        <v>1750000</v>
      </c>
    </row>
    <row r="408" spans="1:3" ht="12.75">
      <c r="A408" s="33" t="s">
        <v>1399</v>
      </c>
      <c r="B408" s="33" t="s">
        <v>1400</v>
      </c>
      <c r="C408" s="601">
        <v>100000</v>
      </c>
    </row>
    <row r="409" spans="1:3" ht="12.75">
      <c r="A409" s="33" t="s">
        <v>1667</v>
      </c>
      <c r="B409" s="33" t="s">
        <v>1668</v>
      </c>
      <c r="C409" s="601">
        <v>500000</v>
      </c>
    </row>
    <row r="410" spans="1:3" ht="12.75">
      <c r="A410" s="33"/>
      <c r="B410" s="33"/>
      <c r="C410" s="601"/>
    </row>
    <row r="411" spans="1:3" ht="12.75">
      <c r="A411" s="26" t="s">
        <v>1503</v>
      </c>
      <c r="B411" s="28" t="s">
        <v>1267</v>
      </c>
      <c r="C411" s="602">
        <f>C412</f>
        <v>200000</v>
      </c>
    </row>
    <row r="412" spans="1:3" ht="12.75">
      <c r="A412" s="33" t="s">
        <v>1504</v>
      </c>
      <c r="B412" s="34" t="s">
        <v>1269</v>
      </c>
      <c r="C412" s="601">
        <v>200000</v>
      </c>
    </row>
    <row r="413" ht="12.75">
      <c r="C413" s="601"/>
    </row>
    <row r="414" spans="1:3" ht="12.75">
      <c r="A414" s="26" t="s">
        <v>31</v>
      </c>
      <c r="B414" s="28" t="s">
        <v>980</v>
      </c>
      <c r="C414" s="602">
        <f>C415+C416</f>
        <v>2550000</v>
      </c>
    </row>
    <row r="415" spans="1:3" ht="12.75">
      <c r="A415" t="s">
        <v>32</v>
      </c>
      <c r="B415" t="s">
        <v>982</v>
      </c>
      <c r="C415" s="601">
        <v>2500000</v>
      </c>
    </row>
    <row r="416" spans="1:3" ht="12.75">
      <c r="A416" s="33" t="s">
        <v>1601</v>
      </c>
      <c r="B416" s="33" t="s">
        <v>1587</v>
      </c>
      <c r="C416" s="601">
        <v>50000</v>
      </c>
    </row>
    <row r="417" ht="12.75">
      <c r="C417" s="601"/>
    </row>
    <row r="418" spans="1:4" ht="13.5" thickBot="1">
      <c r="A418" s="26" t="s">
        <v>33</v>
      </c>
      <c r="B418" s="704" t="s">
        <v>874</v>
      </c>
      <c r="C418" s="606"/>
      <c r="D418" s="705">
        <f>C419+C424+C431+C435</f>
        <v>17470000</v>
      </c>
    </row>
    <row r="419" spans="1:3" ht="13.5" thickTop="1">
      <c r="A419" s="26" t="s">
        <v>34</v>
      </c>
      <c r="B419" s="28" t="s">
        <v>876</v>
      </c>
      <c r="C419" s="602">
        <f>SUM(C420:C422)</f>
        <v>3850000</v>
      </c>
    </row>
    <row r="420" spans="1:3" ht="12.75">
      <c r="A420" t="s">
        <v>35</v>
      </c>
      <c r="B420" t="s">
        <v>887</v>
      </c>
      <c r="C420" s="601">
        <v>1300000</v>
      </c>
    </row>
    <row r="421" spans="1:3" ht="12.75">
      <c r="A421" t="s">
        <v>5</v>
      </c>
      <c r="B421" t="s">
        <v>695</v>
      </c>
      <c r="C421" s="601">
        <v>50000</v>
      </c>
    </row>
    <row r="422" spans="1:3" ht="12.75">
      <c r="A422" t="s">
        <v>6</v>
      </c>
      <c r="B422" t="s">
        <v>235</v>
      </c>
      <c r="C422" s="601">
        <v>2500000</v>
      </c>
    </row>
    <row r="423" ht="12.75">
      <c r="C423" s="601"/>
    </row>
    <row r="424" spans="1:3" ht="12.75">
      <c r="A424" s="26" t="s">
        <v>36</v>
      </c>
      <c r="B424" s="28" t="s">
        <v>988</v>
      </c>
      <c r="C424" s="602">
        <f>SUM(C426:C429)</f>
        <v>10700000</v>
      </c>
    </row>
    <row r="425" spans="1:3" ht="12.75">
      <c r="A425" s="26"/>
      <c r="B425" s="31" t="s">
        <v>989</v>
      </c>
      <c r="C425" s="773"/>
    </row>
    <row r="426" spans="1:3" ht="12.75">
      <c r="A426" s="33" t="s">
        <v>286</v>
      </c>
      <c r="B426" s="36" t="s">
        <v>205</v>
      </c>
      <c r="C426" s="606">
        <v>6000000</v>
      </c>
    </row>
    <row r="427" spans="1:3" ht="12.75">
      <c r="A427" s="33" t="s">
        <v>287</v>
      </c>
      <c r="B427" s="34" t="s">
        <v>288</v>
      </c>
      <c r="C427" s="606">
        <v>500000</v>
      </c>
    </row>
    <row r="428" spans="1:3" ht="12.75">
      <c r="A428" s="33" t="s">
        <v>1305</v>
      </c>
      <c r="B428" s="34" t="s">
        <v>1306</v>
      </c>
      <c r="C428" s="606">
        <v>200000</v>
      </c>
    </row>
    <row r="429" spans="1:3" ht="12.75">
      <c r="A429" t="s">
        <v>41</v>
      </c>
      <c r="B429" t="s">
        <v>997</v>
      </c>
      <c r="C429" s="601">
        <v>4000000</v>
      </c>
    </row>
    <row r="430" ht="12.75">
      <c r="C430" s="601"/>
    </row>
    <row r="431" spans="1:3" ht="12.75">
      <c r="A431" s="26" t="s">
        <v>42</v>
      </c>
      <c r="B431" s="28" t="s">
        <v>999</v>
      </c>
      <c r="C431" s="602">
        <f>SUM(C432:C433)</f>
        <v>1300000</v>
      </c>
    </row>
    <row r="432" spans="1:3" ht="12.75">
      <c r="A432" t="s">
        <v>43</v>
      </c>
      <c r="B432" t="s">
        <v>1001</v>
      </c>
      <c r="C432" s="601">
        <v>300000</v>
      </c>
    </row>
    <row r="433" spans="1:3" ht="12.75">
      <c r="A433" t="s">
        <v>44</v>
      </c>
      <c r="B433" t="s">
        <v>1003</v>
      </c>
      <c r="C433" s="601">
        <v>1000000</v>
      </c>
    </row>
    <row r="434" ht="12.75">
      <c r="C434" s="601"/>
    </row>
    <row r="435" spans="1:3" ht="12.75">
      <c r="A435" s="26" t="s">
        <v>702</v>
      </c>
      <c r="B435" s="28" t="s">
        <v>891</v>
      </c>
      <c r="C435" s="602">
        <f>SUM(C436:C440)</f>
        <v>1620000</v>
      </c>
    </row>
    <row r="436" spans="1:3" ht="12.75">
      <c r="A436" s="33" t="s">
        <v>289</v>
      </c>
      <c r="B436" s="36" t="s">
        <v>615</v>
      </c>
      <c r="C436" s="603">
        <v>120000</v>
      </c>
    </row>
    <row r="437" spans="1:3" ht="12.75">
      <c r="A437" s="33" t="s">
        <v>7</v>
      </c>
      <c r="B437" s="36" t="s">
        <v>472</v>
      </c>
      <c r="C437" s="603">
        <v>100000</v>
      </c>
    </row>
    <row r="438" spans="1:3" ht="12.75">
      <c r="A438" t="s">
        <v>703</v>
      </c>
      <c r="B438" t="s">
        <v>692</v>
      </c>
      <c r="C438" s="601">
        <v>1000000</v>
      </c>
    </row>
    <row r="439" spans="1:3" ht="12.75">
      <c r="A439" t="s">
        <v>8</v>
      </c>
      <c r="B439" t="s">
        <v>9</v>
      </c>
      <c r="C439" s="601">
        <v>350000</v>
      </c>
    </row>
    <row r="440" spans="1:3" ht="12.75">
      <c r="A440" s="33" t="s">
        <v>1544</v>
      </c>
      <c r="B440" s="33" t="s">
        <v>621</v>
      </c>
      <c r="C440" s="601">
        <v>50000</v>
      </c>
    </row>
    <row r="441" ht="12.75">
      <c r="C441" s="601"/>
    </row>
    <row r="442" spans="1:4" ht="13.5" thickBot="1">
      <c r="A442" s="26" t="s">
        <v>704</v>
      </c>
      <c r="B442" s="704" t="s">
        <v>898</v>
      </c>
      <c r="C442" s="773"/>
      <c r="D442" s="705">
        <f>C443+C447</f>
        <v>120399996.42</v>
      </c>
    </row>
    <row r="443" spans="1:3" ht="13.5" thickTop="1">
      <c r="A443" s="26" t="s">
        <v>705</v>
      </c>
      <c r="B443" s="28" t="s">
        <v>899</v>
      </c>
      <c r="C443" s="602">
        <f>SUM(C444:C445)</f>
        <v>12600000</v>
      </c>
    </row>
    <row r="444" spans="1:3" ht="12.75">
      <c r="A444" s="33" t="s">
        <v>1403</v>
      </c>
      <c r="B444" s="34" t="s">
        <v>900</v>
      </c>
      <c r="C444" s="603">
        <v>600000</v>
      </c>
    </row>
    <row r="445" spans="1:3" ht="12.75">
      <c r="A445" t="s">
        <v>706</v>
      </c>
      <c r="B445" t="s">
        <v>707</v>
      </c>
      <c r="C445" s="601">
        <v>12000000</v>
      </c>
    </row>
    <row r="446" ht="12.75">
      <c r="C446" s="601"/>
    </row>
    <row r="447" spans="1:3" ht="12.75">
      <c r="A447" s="97" t="s">
        <v>10</v>
      </c>
      <c r="B447" s="28" t="s">
        <v>743</v>
      </c>
      <c r="C447" s="602">
        <f>SUM(C448:C449)</f>
        <v>107799996.42</v>
      </c>
    </row>
    <row r="448" spans="1:3" ht="12.75">
      <c r="A448" t="s">
        <v>11</v>
      </c>
      <c r="B448" t="s">
        <v>12</v>
      </c>
      <c r="C448" s="601">
        <v>69747900.58</v>
      </c>
    </row>
    <row r="449" spans="1:3" ht="12.75">
      <c r="A449" s="33" t="s">
        <v>1405</v>
      </c>
      <c r="B449" s="33" t="s">
        <v>13</v>
      </c>
      <c r="C449" s="601">
        <v>38052095.84</v>
      </c>
    </row>
    <row r="450" ht="13.5" thickBot="1">
      <c r="C450" s="601"/>
    </row>
    <row r="451" spans="2:4" ht="13.5" thickBot="1">
      <c r="B451" s="709" t="s">
        <v>45</v>
      </c>
      <c r="C451" s="707"/>
      <c r="D451" s="711">
        <f>D355+D379+D418+D442</f>
        <v>329999999.9982577</v>
      </c>
    </row>
    <row r="452" spans="2:4" ht="12.75">
      <c r="B452" s="97"/>
      <c r="C452" s="97"/>
      <c r="D452" s="629"/>
    </row>
    <row r="453" spans="1:4" ht="15.75" thickBot="1">
      <c r="A453" s="849" t="s">
        <v>1642</v>
      </c>
      <c r="B453" s="849"/>
      <c r="C453" s="849"/>
      <c r="D453" s="849"/>
    </row>
    <row r="454" spans="1:4" ht="13.5" thickBot="1">
      <c r="A454" s="26" t="s">
        <v>1643</v>
      </c>
      <c r="B454" s="731" t="s">
        <v>852</v>
      </c>
      <c r="C454" s="97"/>
      <c r="D454" s="732">
        <f>C455</f>
        <v>5000000</v>
      </c>
    </row>
    <row r="455" spans="1:4" ht="13.5" thickTop="1">
      <c r="A455" s="26" t="s">
        <v>1644</v>
      </c>
      <c r="B455" s="28" t="s">
        <v>974</v>
      </c>
      <c r="C455" s="29">
        <f>C456</f>
        <v>5000000</v>
      </c>
      <c r="D455" s="629"/>
    </row>
    <row r="456" spans="1:4" ht="12.75">
      <c r="A456" s="33" t="s">
        <v>1645</v>
      </c>
      <c r="B456" s="36" t="s">
        <v>976</v>
      </c>
      <c r="C456" s="603">
        <v>5000000</v>
      </c>
      <c r="D456" s="629"/>
    </row>
    <row r="457" spans="2:4" ht="13.5" thickBot="1">
      <c r="B457" s="97"/>
      <c r="C457" s="97"/>
      <c r="D457" s="629"/>
    </row>
    <row r="458" spans="2:4" ht="13.5" thickBot="1">
      <c r="B458" s="709" t="s">
        <v>1646</v>
      </c>
      <c r="C458" s="707"/>
      <c r="D458" s="711">
        <f>+D454</f>
        <v>5000000</v>
      </c>
    </row>
    <row r="459" spans="2:4" ht="12.75">
      <c r="B459" s="97"/>
      <c r="C459" s="97"/>
      <c r="D459" s="629"/>
    </row>
    <row r="460" spans="1:4" ht="15.75" thickBot="1">
      <c r="A460" s="849" t="s">
        <v>708</v>
      </c>
      <c r="B460" s="849"/>
      <c r="C460" s="849"/>
      <c r="D460" s="849"/>
    </row>
    <row r="461" spans="1:4" ht="13.5" thickBot="1">
      <c r="A461" s="30" t="s">
        <v>709</v>
      </c>
      <c r="B461" s="704" t="s">
        <v>818</v>
      </c>
      <c r="C461" s="773"/>
      <c r="D461" s="705">
        <f>C462+C465+C468+C474+C479</f>
        <v>20242102.374378</v>
      </c>
    </row>
    <row r="462" spans="1:4" ht="13.5" thickTop="1">
      <c r="A462" s="25" t="s">
        <v>710</v>
      </c>
      <c r="B462" s="28" t="s">
        <v>819</v>
      </c>
      <c r="C462" s="602">
        <f>SUM(C463:C463)</f>
        <v>8186448.11</v>
      </c>
      <c r="D462" s="3"/>
    </row>
    <row r="463" spans="1:4" ht="12.75">
      <c r="A463" s="24" t="s">
        <v>711</v>
      </c>
      <c r="B463" t="s">
        <v>820</v>
      </c>
      <c r="C463" s="601">
        <v>8186448.11</v>
      </c>
      <c r="D463" s="3"/>
    </row>
    <row r="464" spans="1:4" ht="12.75">
      <c r="A464" s="24"/>
      <c r="C464" s="601"/>
      <c r="D464" s="3"/>
    </row>
    <row r="465" spans="1:4" ht="12.75">
      <c r="A465" s="30" t="s">
        <v>1603</v>
      </c>
      <c r="B465" s="28" t="s">
        <v>822</v>
      </c>
      <c r="C465" s="602">
        <f>C466</f>
        <v>100000</v>
      </c>
      <c r="D465" s="3"/>
    </row>
    <row r="466" spans="1:4" ht="12.75">
      <c r="A466" s="148" t="s">
        <v>1604</v>
      </c>
      <c r="B466" s="34" t="s">
        <v>489</v>
      </c>
      <c r="C466" s="601">
        <v>100000</v>
      </c>
      <c r="D466" s="3"/>
    </row>
    <row r="467" spans="1:4" ht="12.75">
      <c r="A467" s="24"/>
      <c r="C467" s="601"/>
      <c r="D467" s="3"/>
    </row>
    <row r="468" spans="1:4" ht="12.75">
      <c r="A468" s="30" t="s">
        <v>712</v>
      </c>
      <c r="B468" s="28" t="s">
        <v>833</v>
      </c>
      <c r="C468" s="602">
        <f>SUM(C469:C472)</f>
        <v>8890719.105</v>
      </c>
      <c r="D468" s="3"/>
    </row>
    <row r="469" spans="1:4" ht="12.75">
      <c r="A469" s="24" t="s">
        <v>713</v>
      </c>
      <c r="B469" t="s">
        <v>835</v>
      </c>
      <c r="C469" s="601">
        <v>1964747.55</v>
      </c>
      <c r="D469" s="3"/>
    </row>
    <row r="470" spans="1:4" ht="12.75">
      <c r="A470" s="24" t="s">
        <v>1380</v>
      </c>
      <c r="B470" t="s">
        <v>233</v>
      </c>
      <c r="C470" s="601">
        <v>4502546.46</v>
      </c>
      <c r="D470" s="3"/>
    </row>
    <row r="471" spans="1:4" ht="12.75">
      <c r="A471" s="24" t="s">
        <v>714</v>
      </c>
      <c r="B471" t="s">
        <v>839</v>
      </c>
      <c r="C471" s="601">
        <f>(C463+C469+C466+C470+C472)/12</f>
        <v>1321320.555</v>
      </c>
      <c r="D471" s="3"/>
    </row>
    <row r="472" spans="1:4" ht="12.75">
      <c r="A472" s="24" t="s">
        <v>1485</v>
      </c>
      <c r="B472" t="s">
        <v>1477</v>
      </c>
      <c r="C472" s="601">
        <v>1102104.54</v>
      </c>
      <c r="D472" s="3"/>
    </row>
    <row r="473" spans="1:4" ht="12.75">
      <c r="A473" s="24"/>
      <c r="C473" s="601"/>
      <c r="D473" s="3"/>
    </row>
    <row r="474" spans="1:4" ht="12.75">
      <c r="A474" s="30" t="s">
        <v>715</v>
      </c>
      <c r="B474" s="28" t="s">
        <v>841</v>
      </c>
      <c r="C474" s="602">
        <f>SUM(C476:C477)</f>
        <v>2351422.059678</v>
      </c>
      <c r="D474" s="3"/>
    </row>
    <row r="475" spans="1:4" ht="12.75">
      <c r="A475" s="24"/>
      <c r="B475" s="31" t="s">
        <v>842</v>
      </c>
      <c r="C475" s="601"/>
      <c r="D475" s="3"/>
    </row>
    <row r="476" spans="1:4" ht="12.75">
      <c r="A476" s="24" t="s">
        <v>716</v>
      </c>
      <c r="B476" t="s">
        <v>844</v>
      </c>
      <c r="C476" s="601">
        <f>(C463+C469+C466+C470+C472)*14.33%</f>
        <v>2272142.826378</v>
      </c>
      <c r="D476" s="3"/>
    </row>
    <row r="477" spans="1:4" ht="12.75">
      <c r="A477" s="24" t="s">
        <v>717</v>
      </c>
      <c r="B477" t="s">
        <v>846</v>
      </c>
      <c r="C477" s="601">
        <f>(C463+C466+C469+C470+C472)*0.5%</f>
        <v>79279.2333</v>
      </c>
      <c r="D477" s="3"/>
    </row>
    <row r="478" spans="1:4" ht="12.75">
      <c r="A478" s="24"/>
      <c r="C478" s="601"/>
      <c r="D478" s="3"/>
    </row>
    <row r="479" spans="1:4" ht="12.75">
      <c r="A479" s="30" t="s">
        <v>718</v>
      </c>
      <c r="B479" s="28" t="s">
        <v>848</v>
      </c>
      <c r="C479" s="602">
        <f>SUM(C481:C482)</f>
        <v>713513.0997</v>
      </c>
      <c r="D479" s="3"/>
    </row>
    <row r="480" spans="1:4" ht="12.75">
      <c r="A480" s="30"/>
      <c r="B480" s="31" t="s">
        <v>849</v>
      </c>
      <c r="C480" s="773"/>
      <c r="D480" s="3"/>
    </row>
    <row r="481" spans="1:4" ht="12.75">
      <c r="A481" s="148" t="s">
        <v>1375</v>
      </c>
      <c r="B481" s="33" t="s">
        <v>1369</v>
      </c>
      <c r="C481" s="601">
        <f>(C463+C466+C469+C470+C472)*1.5%</f>
        <v>237837.6999</v>
      </c>
      <c r="D481" s="3"/>
    </row>
    <row r="482" spans="1:4" ht="12.75">
      <c r="A482" s="24" t="s">
        <v>719</v>
      </c>
      <c r="B482" t="s">
        <v>851</v>
      </c>
      <c r="C482" s="601">
        <f>(C463+C466+C469+C470+C472)*3%</f>
        <v>475675.3998</v>
      </c>
      <c r="D482" s="3"/>
    </row>
    <row r="483" spans="1:4" ht="12.75">
      <c r="A483" s="24"/>
      <c r="C483" s="601"/>
      <c r="D483" s="3"/>
    </row>
    <row r="484" spans="1:4" ht="13.5" thickBot="1">
      <c r="A484" s="30" t="s">
        <v>720</v>
      </c>
      <c r="B484" s="704" t="s">
        <v>852</v>
      </c>
      <c r="C484" s="773"/>
      <c r="D484" s="705">
        <f>+C492+C498+C501+C488+C485+C495</f>
        <v>19867188.05</v>
      </c>
    </row>
    <row r="485" spans="1:4" ht="13.5" thickTop="1">
      <c r="A485" s="30" t="s">
        <v>1605</v>
      </c>
      <c r="B485" s="28" t="s">
        <v>962</v>
      </c>
      <c r="C485" s="602">
        <f>C486</f>
        <v>161276.57</v>
      </c>
      <c r="D485" s="98"/>
    </row>
    <row r="486" spans="1:4" ht="12.75">
      <c r="A486" s="148" t="s">
        <v>1606</v>
      </c>
      <c r="B486" s="36" t="s">
        <v>693</v>
      </c>
      <c r="C486" s="606">
        <v>161276.57</v>
      </c>
      <c r="D486" s="98"/>
    </row>
    <row r="487" spans="1:4" ht="12.75">
      <c r="A487" s="148"/>
      <c r="B487" s="36"/>
      <c r="C487" s="606"/>
      <c r="D487" s="98"/>
    </row>
    <row r="488" spans="1:4" ht="12.75">
      <c r="A488" s="30" t="s">
        <v>1607</v>
      </c>
      <c r="B488" s="35" t="s">
        <v>860</v>
      </c>
      <c r="C488" s="602">
        <f>SUM(C489:C490)</f>
        <v>400000</v>
      </c>
      <c r="D488" s="98"/>
    </row>
    <row r="489" spans="1:4" ht="12.75">
      <c r="A489" s="148" t="s">
        <v>1608</v>
      </c>
      <c r="B489" s="34" t="s">
        <v>545</v>
      </c>
      <c r="C489" s="606">
        <v>200000</v>
      </c>
      <c r="D489" s="98"/>
    </row>
    <row r="490" spans="1:4" ht="12.75">
      <c r="A490" s="148" t="s">
        <v>1609</v>
      </c>
      <c r="B490" s="34" t="s">
        <v>547</v>
      </c>
      <c r="C490" s="606">
        <v>200000</v>
      </c>
      <c r="D490" s="98"/>
    </row>
    <row r="491" spans="1:4" ht="12.75">
      <c r="A491" s="30"/>
      <c r="B491" s="97"/>
      <c r="C491" s="773"/>
      <c r="D491" s="98"/>
    </row>
    <row r="492" spans="1:4" ht="12.75">
      <c r="A492" s="30" t="s">
        <v>721</v>
      </c>
      <c r="B492" s="28" t="s">
        <v>722</v>
      </c>
      <c r="C492" s="602">
        <f>C493</f>
        <v>6132213.52</v>
      </c>
      <c r="D492" s="3"/>
    </row>
    <row r="493" spans="1:4" ht="12.75">
      <c r="A493" s="24" t="s">
        <v>723</v>
      </c>
      <c r="B493" s="33" t="s">
        <v>1309</v>
      </c>
      <c r="C493" s="601">
        <f>+INGRESOS!C66</f>
        <v>6132213.52</v>
      </c>
      <c r="D493" s="147"/>
    </row>
    <row r="494" spans="1:4" ht="12.75">
      <c r="A494" s="24"/>
      <c r="B494" s="33"/>
      <c r="C494" s="601"/>
      <c r="D494" s="147"/>
    </row>
    <row r="495" spans="1:4" ht="12.75">
      <c r="A495" s="30" t="s">
        <v>1611</v>
      </c>
      <c r="B495" s="28" t="s">
        <v>1260</v>
      </c>
      <c r="C495" s="602">
        <f>C496</f>
        <v>600000</v>
      </c>
      <c r="D495" s="147"/>
    </row>
    <row r="496" spans="1:4" ht="12.75">
      <c r="A496" s="148" t="s">
        <v>1612</v>
      </c>
      <c r="B496" s="34" t="s">
        <v>47</v>
      </c>
      <c r="C496" s="601">
        <v>600000</v>
      </c>
      <c r="D496" s="147"/>
    </row>
    <row r="497" spans="1:4" ht="12.75">
      <c r="A497" s="24"/>
      <c r="B497" s="33"/>
      <c r="C497" s="601"/>
      <c r="D497" s="147"/>
    </row>
    <row r="498" spans="1:4" ht="12.75">
      <c r="A498" s="30" t="s">
        <v>724</v>
      </c>
      <c r="B498" s="28" t="s">
        <v>725</v>
      </c>
      <c r="C498" s="602">
        <f>C499</f>
        <v>273697.96</v>
      </c>
      <c r="D498" s="3"/>
    </row>
    <row r="499" spans="1:4" ht="12.75">
      <c r="A499" s="24" t="s">
        <v>726</v>
      </c>
      <c r="B499" s="34" t="s">
        <v>868</v>
      </c>
      <c r="C499" s="601">
        <v>273697.96</v>
      </c>
      <c r="D499" s="3"/>
    </row>
    <row r="500" spans="1:4" ht="12.75">
      <c r="A500" s="24"/>
      <c r="C500" s="601"/>
      <c r="D500" s="3"/>
    </row>
    <row r="501" spans="1:4" ht="12.75">
      <c r="A501" s="30" t="s">
        <v>727</v>
      </c>
      <c r="B501" s="35" t="s">
        <v>974</v>
      </c>
      <c r="C501" s="602">
        <f>SUM(C502:C503)</f>
        <v>12300000</v>
      </c>
      <c r="D501" s="3"/>
    </row>
    <row r="502" spans="1:4" ht="12.75">
      <c r="A502" s="148" t="s">
        <v>1635</v>
      </c>
      <c r="B502" s="34" t="s">
        <v>194</v>
      </c>
      <c r="C502" s="603">
        <v>7100000</v>
      </c>
      <c r="D502" s="3"/>
    </row>
    <row r="503" spans="1:4" ht="12.75">
      <c r="A503" s="24" t="s">
        <v>728</v>
      </c>
      <c r="B503" s="34" t="s">
        <v>976</v>
      </c>
      <c r="C503" s="601">
        <v>5200000</v>
      </c>
      <c r="D503" s="3"/>
    </row>
    <row r="504" spans="1:4" ht="12.75">
      <c r="A504" s="24"/>
      <c r="B504" s="34"/>
      <c r="C504" s="601"/>
      <c r="D504" s="3"/>
    </row>
    <row r="505" spans="1:4" ht="13.5" thickBot="1">
      <c r="A505" s="30" t="s">
        <v>253</v>
      </c>
      <c r="B505" s="715" t="s">
        <v>874</v>
      </c>
      <c r="C505" s="773"/>
      <c r="D505" s="705">
        <f>C506+C512+C509</f>
        <v>4420000</v>
      </c>
    </row>
    <row r="506" spans="1:4" ht="13.5" thickTop="1">
      <c r="A506" s="30" t="s">
        <v>468</v>
      </c>
      <c r="B506" s="35" t="s">
        <v>694</v>
      </c>
      <c r="C506" s="602">
        <f>C507</f>
        <v>70000</v>
      </c>
      <c r="D506" s="98"/>
    </row>
    <row r="507" spans="1:4" ht="12.75">
      <c r="A507" s="148" t="s">
        <v>469</v>
      </c>
      <c r="B507" s="34" t="s">
        <v>695</v>
      </c>
      <c r="C507" s="606">
        <v>70000</v>
      </c>
      <c r="D507" s="101"/>
    </row>
    <row r="508" spans="1:4" ht="12.75">
      <c r="A508" s="148"/>
      <c r="B508" s="34"/>
      <c r="C508" s="606"/>
      <c r="D508" s="101"/>
    </row>
    <row r="509" spans="1:4" ht="12.75">
      <c r="A509" s="30" t="s">
        <v>254</v>
      </c>
      <c r="B509" s="35" t="s">
        <v>1005</v>
      </c>
      <c r="C509" s="602">
        <f>C510</f>
        <v>500000</v>
      </c>
      <c r="D509" s="101"/>
    </row>
    <row r="510" spans="1:4" ht="12.75">
      <c r="A510" s="24" t="s">
        <v>255</v>
      </c>
      <c r="B510" s="34" t="s">
        <v>1007</v>
      </c>
      <c r="C510" s="601">
        <v>500000</v>
      </c>
      <c r="D510" s="101"/>
    </row>
    <row r="511" spans="1:4" ht="12.75">
      <c r="A511" s="148"/>
      <c r="B511" s="34"/>
      <c r="C511" s="606"/>
      <c r="D511" s="101"/>
    </row>
    <row r="512" spans="1:4" ht="12.75">
      <c r="A512" s="30" t="s">
        <v>470</v>
      </c>
      <c r="B512" s="35" t="s">
        <v>891</v>
      </c>
      <c r="C512" s="602">
        <f>SUM(C513:C515)</f>
        <v>3850000</v>
      </c>
      <c r="D512" s="37"/>
    </row>
    <row r="513" spans="1:4" ht="12.75">
      <c r="A513" s="148" t="s">
        <v>1552</v>
      </c>
      <c r="B513" s="34" t="s">
        <v>615</v>
      </c>
      <c r="C513" s="603">
        <v>50000</v>
      </c>
      <c r="D513" s="37"/>
    </row>
    <row r="514" spans="1:4" ht="12.75">
      <c r="A514" s="148" t="s">
        <v>471</v>
      </c>
      <c r="B514" s="34" t="s">
        <v>472</v>
      </c>
      <c r="C514" s="603">
        <v>100000</v>
      </c>
      <c r="D514" s="37"/>
    </row>
    <row r="515" spans="1:4" ht="12.75">
      <c r="A515" s="148" t="s">
        <v>1636</v>
      </c>
      <c r="B515" s="34" t="s">
        <v>1637</v>
      </c>
      <c r="C515" s="603">
        <v>3700000</v>
      </c>
      <c r="D515" s="37"/>
    </row>
    <row r="516" spans="1:4" ht="12.75">
      <c r="A516" s="148"/>
      <c r="B516" s="34"/>
      <c r="C516" s="603"/>
      <c r="D516" s="37"/>
    </row>
    <row r="517" spans="1:4" ht="13.5" thickBot="1">
      <c r="A517" s="30" t="s">
        <v>729</v>
      </c>
      <c r="B517" s="715" t="s">
        <v>797</v>
      </c>
      <c r="C517" s="773"/>
      <c r="D517" s="705">
        <f>C518</f>
        <v>18750000</v>
      </c>
    </row>
    <row r="518" spans="1:4" ht="13.5" thickTop="1">
      <c r="A518" s="30" t="s">
        <v>730</v>
      </c>
      <c r="B518" s="35" t="s">
        <v>945</v>
      </c>
      <c r="C518" s="602">
        <f>C519</f>
        <v>18750000</v>
      </c>
      <c r="D518" s="101"/>
    </row>
    <row r="519" spans="1:4" ht="12.75">
      <c r="A519" s="24" t="s">
        <v>731</v>
      </c>
      <c r="B519" s="34" t="s">
        <v>732</v>
      </c>
      <c r="C519" s="601">
        <v>18750000</v>
      </c>
      <c r="D519" s="3"/>
    </row>
    <row r="520" spans="1:4" ht="13.5" thickBot="1">
      <c r="A520" s="24"/>
      <c r="B520" s="34"/>
      <c r="C520" s="3"/>
      <c r="D520" s="3"/>
    </row>
    <row r="521" spans="1:4" ht="13.5" thickBot="1">
      <c r="A521" s="24"/>
      <c r="B521" s="709" t="s">
        <v>733</v>
      </c>
      <c r="C521" s="707"/>
      <c r="D521" s="711">
        <f>D461+D484+D505+D517</f>
        <v>63279290.424378</v>
      </c>
    </row>
    <row r="522" spans="1:4" ht="12.75">
      <c r="A522" s="24"/>
      <c r="B522" s="100"/>
      <c r="C522" s="100"/>
      <c r="D522" s="101"/>
    </row>
    <row r="523" spans="1:4" ht="15.75" thickBot="1">
      <c r="A523" s="849" t="s">
        <v>1034</v>
      </c>
      <c r="B523" s="849"/>
      <c r="C523" s="849"/>
      <c r="D523" s="849"/>
    </row>
    <row r="524" spans="1:4" ht="15" thickBot="1">
      <c r="A524" s="30" t="s">
        <v>1516</v>
      </c>
      <c r="B524" s="704" t="s">
        <v>818</v>
      </c>
      <c r="C524" s="758"/>
      <c r="D524" s="717">
        <f>C525+C528+C534+C539</f>
        <v>7497109.090648667</v>
      </c>
    </row>
    <row r="525" spans="1:4" ht="15" thickTop="1">
      <c r="A525" s="25" t="s">
        <v>1517</v>
      </c>
      <c r="B525" s="28" t="s">
        <v>819</v>
      </c>
      <c r="C525" s="501">
        <f>C526</f>
        <v>4312923.24</v>
      </c>
      <c r="D525" s="758"/>
    </row>
    <row r="526" spans="1:4" ht="14.25">
      <c r="A526" s="148" t="s">
        <v>1518</v>
      </c>
      <c r="B526" t="s">
        <v>820</v>
      </c>
      <c r="C526" s="778">
        <v>4312923.24</v>
      </c>
      <c r="D526" s="758"/>
    </row>
    <row r="527" spans="1:4" ht="14.25">
      <c r="A527" s="24"/>
      <c r="C527" s="779"/>
      <c r="D527" s="758"/>
    </row>
    <row r="528" spans="1:4" ht="14.25">
      <c r="A528" s="30" t="s">
        <v>1519</v>
      </c>
      <c r="B528" s="28" t="s">
        <v>833</v>
      </c>
      <c r="C528" s="777">
        <f>SUM(C529:C531)</f>
        <v>2049019.5116666667</v>
      </c>
      <c r="D528" s="758"/>
    </row>
    <row r="529" spans="1:4" ht="14.25">
      <c r="A529" s="148" t="s">
        <v>1520</v>
      </c>
      <c r="B529" t="s">
        <v>835</v>
      </c>
      <c r="C529" s="778">
        <v>1293876.97</v>
      </c>
      <c r="D529" s="758"/>
    </row>
    <row r="530" spans="1:4" ht="14.25">
      <c r="A530" s="148" t="s">
        <v>1521</v>
      </c>
      <c r="B530" t="s">
        <v>839</v>
      </c>
      <c r="C530" s="778">
        <f>(C526+C529+C531)/12</f>
        <v>489380.21166666667</v>
      </c>
      <c r="D530" s="758"/>
    </row>
    <row r="531" spans="1:4" ht="14.25">
      <c r="A531" s="148" t="s">
        <v>1522</v>
      </c>
      <c r="B531" t="s">
        <v>1477</v>
      </c>
      <c r="C531" s="778">
        <v>265762.33</v>
      </c>
      <c r="D531" s="758"/>
    </row>
    <row r="532" spans="1:4" ht="14.25">
      <c r="A532" s="148"/>
      <c r="C532" s="778"/>
      <c r="D532" s="758"/>
    </row>
    <row r="533" spans="1:4" ht="14.25">
      <c r="A533" s="758"/>
      <c r="B533" s="758"/>
      <c r="C533" s="779"/>
      <c r="D533" s="758"/>
    </row>
    <row r="534" spans="1:4" ht="14.25">
      <c r="A534" s="30" t="s">
        <v>1523</v>
      </c>
      <c r="B534" s="28" t="s">
        <v>841</v>
      </c>
      <c r="C534" s="777">
        <f>SUM(C536:C537)</f>
        <v>870901.024682</v>
      </c>
      <c r="D534" s="758"/>
    </row>
    <row r="535" spans="1:4" ht="14.25">
      <c r="A535" s="24"/>
      <c r="B535" s="31" t="s">
        <v>842</v>
      </c>
      <c r="C535" s="779"/>
      <c r="D535" s="758"/>
    </row>
    <row r="536" spans="1:4" ht="14.25">
      <c r="A536" s="148" t="s">
        <v>1524</v>
      </c>
      <c r="B536" t="s">
        <v>844</v>
      </c>
      <c r="C536" s="778">
        <f>(C526+C529+C531)*14.33%</f>
        <v>841538.211982</v>
      </c>
      <c r="D536" s="758"/>
    </row>
    <row r="537" spans="1:4" ht="14.25">
      <c r="A537" s="148" t="s">
        <v>1525</v>
      </c>
      <c r="B537" t="s">
        <v>846</v>
      </c>
      <c r="C537" s="778">
        <f>(C526+C529+C531)*0.5%</f>
        <v>29362.812700000002</v>
      </c>
      <c r="D537" s="758"/>
    </row>
    <row r="538" spans="1:4" ht="14.25">
      <c r="A538" s="24"/>
      <c r="C538" s="779"/>
      <c r="D538" s="758"/>
    </row>
    <row r="539" spans="1:4" ht="14.25">
      <c r="A539" s="30" t="s">
        <v>1526</v>
      </c>
      <c r="B539" s="28" t="s">
        <v>848</v>
      </c>
      <c r="C539" s="777">
        <f>SUM(C541:C542)</f>
        <v>264265.31429999997</v>
      </c>
      <c r="D539" s="758"/>
    </row>
    <row r="540" spans="1:4" ht="14.25">
      <c r="A540" s="30"/>
      <c r="B540" s="31" t="s">
        <v>849</v>
      </c>
      <c r="C540" s="778"/>
      <c r="D540" s="758"/>
    </row>
    <row r="541" spans="1:4" ht="14.25">
      <c r="A541" s="148" t="s">
        <v>1527</v>
      </c>
      <c r="B541" s="33" t="s">
        <v>1369</v>
      </c>
      <c r="C541" s="778">
        <f>(C526+C529+C531)*1.5%</f>
        <v>88088.4381</v>
      </c>
      <c r="D541" s="758"/>
    </row>
    <row r="542" spans="1:4" ht="14.25">
      <c r="A542" s="148" t="s">
        <v>1528</v>
      </c>
      <c r="B542" t="s">
        <v>851</v>
      </c>
      <c r="C542" s="778">
        <f>(C526+C529+C531)*3%</f>
        <v>176176.8762</v>
      </c>
      <c r="D542" s="758"/>
    </row>
    <row r="543" spans="1:4" ht="14.25">
      <c r="A543" s="758"/>
      <c r="B543" s="758"/>
      <c r="C543" s="779"/>
      <c r="D543" s="758"/>
    </row>
    <row r="544" spans="1:4" ht="13.5" thickBot="1">
      <c r="A544" s="30" t="s">
        <v>1035</v>
      </c>
      <c r="B544" s="704" t="s">
        <v>852</v>
      </c>
      <c r="C544" s="606"/>
      <c r="D544" s="705">
        <f>C545+C548+C551+C557+C554</f>
        <v>1556772.82</v>
      </c>
    </row>
    <row r="545" spans="1:4" ht="13.5" thickTop="1">
      <c r="A545" s="30" t="s">
        <v>1529</v>
      </c>
      <c r="B545" s="28" t="s">
        <v>854</v>
      </c>
      <c r="C545" s="602">
        <f>C546</f>
        <v>600000</v>
      </c>
      <c r="D545" s="98"/>
    </row>
    <row r="546" spans="1:4" ht="12.75">
      <c r="A546" s="148" t="s">
        <v>1530</v>
      </c>
      <c r="B546" s="34" t="s">
        <v>970</v>
      </c>
      <c r="C546" s="606">
        <v>600000</v>
      </c>
      <c r="D546" s="98"/>
    </row>
    <row r="547" spans="1:4" ht="12.75">
      <c r="A547" s="148"/>
      <c r="B547" s="34"/>
      <c r="C547" s="606"/>
      <c r="D547" s="98"/>
    </row>
    <row r="548" spans="1:4" ht="12.75">
      <c r="A548" s="30" t="s">
        <v>1531</v>
      </c>
      <c r="B548" s="28" t="s">
        <v>722</v>
      </c>
      <c r="C548" s="602">
        <f>C549</f>
        <v>725983.91</v>
      </c>
      <c r="D548" s="98"/>
    </row>
    <row r="549" spans="1:4" ht="12.75">
      <c r="A549" s="148" t="s">
        <v>1532</v>
      </c>
      <c r="B549" s="33" t="s">
        <v>967</v>
      </c>
      <c r="C549" s="606">
        <v>725983.91</v>
      </c>
      <c r="D549" s="98"/>
    </row>
    <row r="550" spans="1:4" ht="12.75">
      <c r="A550" s="148"/>
      <c r="B550" s="33"/>
      <c r="C550" s="606"/>
      <c r="D550" s="98"/>
    </row>
    <row r="551" spans="1:4" ht="12.75">
      <c r="A551" s="30" t="s">
        <v>1568</v>
      </c>
      <c r="B551" s="28" t="s">
        <v>725</v>
      </c>
      <c r="C551" s="602">
        <f>C552</f>
        <v>100788.91</v>
      </c>
      <c r="D551" s="98"/>
    </row>
    <row r="552" spans="1:4" ht="12.75">
      <c r="A552" s="24" t="s">
        <v>1569</v>
      </c>
      <c r="B552" s="34" t="s">
        <v>868</v>
      </c>
      <c r="C552" s="606">
        <v>100788.91</v>
      </c>
      <c r="D552" s="98"/>
    </row>
    <row r="553" spans="1:4" ht="12.75">
      <c r="A553" s="148"/>
      <c r="B553" s="34"/>
      <c r="C553" s="606"/>
      <c r="D553" s="98"/>
    </row>
    <row r="554" spans="1:4" ht="12.75">
      <c r="A554" s="30" t="s">
        <v>1326</v>
      </c>
      <c r="B554" s="28" t="s">
        <v>870</v>
      </c>
      <c r="C554" s="602">
        <f>C555</f>
        <v>100000</v>
      </c>
      <c r="D554" s="101"/>
    </row>
    <row r="555" spans="1:4" ht="12.75">
      <c r="A555" s="148" t="s">
        <v>1613</v>
      </c>
      <c r="B555" s="34" t="s">
        <v>1614</v>
      </c>
      <c r="C555" s="606">
        <v>100000</v>
      </c>
      <c r="D555" s="101"/>
    </row>
    <row r="556" spans="1:4" ht="12.75">
      <c r="A556" s="148"/>
      <c r="B556" s="34"/>
      <c r="C556" s="606"/>
      <c r="D556" s="101"/>
    </row>
    <row r="557" spans="1:4" ht="12.75">
      <c r="A557" s="26" t="s">
        <v>1533</v>
      </c>
      <c r="B557" s="28" t="s">
        <v>980</v>
      </c>
      <c r="C557" s="602">
        <f>C558</f>
        <v>30000</v>
      </c>
      <c r="D557" s="101"/>
    </row>
    <row r="558" spans="1:4" ht="12.75">
      <c r="A558" s="33" t="s">
        <v>1534</v>
      </c>
      <c r="B558" t="s">
        <v>982</v>
      </c>
      <c r="C558" s="606">
        <v>30000</v>
      </c>
      <c r="D558" s="101"/>
    </row>
    <row r="559" spans="1:4" ht="12.75">
      <c r="A559" s="65"/>
      <c r="B559" s="100"/>
      <c r="C559" s="772"/>
      <c r="D559" s="101"/>
    </row>
    <row r="560" spans="1:4" ht="13.5" thickBot="1">
      <c r="A560" s="30" t="s">
        <v>1312</v>
      </c>
      <c r="B560" s="715" t="s">
        <v>874</v>
      </c>
      <c r="C560" s="773"/>
      <c r="D560" s="705">
        <f>C561+C566+C569</f>
        <v>946118.09</v>
      </c>
    </row>
    <row r="561" spans="1:4" ht="13.5" thickTop="1">
      <c r="A561" s="30" t="s">
        <v>1449</v>
      </c>
      <c r="B561" s="35" t="s">
        <v>876</v>
      </c>
      <c r="C561" s="602">
        <f>SUM(C562:C564)</f>
        <v>220000</v>
      </c>
      <c r="D561" s="98"/>
    </row>
    <row r="562" spans="1:4" ht="12.75">
      <c r="A562" s="148" t="s">
        <v>1450</v>
      </c>
      <c r="B562" s="34" t="s">
        <v>595</v>
      </c>
      <c r="C562" s="606">
        <v>150000</v>
      </c>
      <c r="D562" s="98"/>
    </row>
    <row r="563" spans="1:4" ht="12.75">
      <c r="A563" s="148" t="s">
        <v>1451</v>
      </c>
      <c r="B563" s="34" t="s">
        <v>1273</v>
      </c>
      <c r="C563" s="606">
        <v>20000</v>
      </c>
      <c r="D563" s="98"/>
    </row>
    <row r="564" spans="1:4" ht="12.75">
      <c r="A564" s="148" t="s">
        <v>1535</v>
      </c>
      <c r="B564" s="34" t="s">
        <v>1536</v>
      </c>
      <c r="C564" s="606">
        <v>50000</v>
      </c>
      <c r="D564" s="98"/>
    </row>
    <row r="565" spans="1:4" ht="12.75">
      <c r="A565" s="30"/>
      <c r="B565" s="748"/>
      <c r="C565" s="773"/>
      <c r="D565" s="98"/>
    </row>
    <row r="566" spans="1:4" ht="12.75">
      <c r="A566" s="30" t="s">
        <v>1313</v>
      </c>
      <c r="B566" s="28" t="s">
        <v>1197</v>
      </c>
      <c r="C566" s="602">
        <f>C567</f>
        <v>200000</v>
      </c>
      <c r="D566" s="101"/>
    </row>
    <row r="567" spans="1:4" ht="12.75">
      <c r="A567" s="148" t="s">
        <v>1314</v>
      </c>
      <c r="B567" s="36" t="s">
        <v>212</v>
      </c>
      <c r="C567" s="603">
        <v>200000</v>
      </c>
      <c r="D567" s="101"/>
    </row>
    <row r="568" spans="1:4" ht="12.75">
      <c r="A568" s="148"/>
      <c r="B568" s="36"/>
      <c r="C568" s="603"/>
      <c r="D568" s="101"/>
    </row>
    <row r="569" spans="1:4" ht="12.75">
      <c r="A569" s="30" t="s">
        <v>1315</v>
      </c>
      <c r="B569" s="28" t="s">
        <v>891</v>
      </c>
      <c r="C569" s="602">
        <f>C570+C571+C572</f>
        <v>526118.09</v>
      </c>
      <c r="D569" s="101"/>
    </row>
    <row r="570" spans="1:4" ht="12.75">
      <c r="A570" s="148" t="s">
        <v>1537</v>
      </c>
      <c r="B570" s="36" t="s">
        <v>1203</v>
      </c>
      <c r="C570" s="603">
        <v>325000</v>
      </c>
      <c r="D570" s="101"/>
    </row>
    <row r="571" spans="1:4" ht="12.75">
      <c r="A571" s="148" t="s">
        <v>1316</v>
      </c>
      <c r="B571" s="36" t="s">
        <v>202</v>
      </c>
      <c r="C571" s="603">
        <v>100000</v>
      </c>
      <c r="D571" s="101"/>
    </row>
    <row r="572" spans="1:4" ht="12.75">
      <c r="A572" s="148" t="s">
        <v>1317</v>
      </c>
      <c r="B572" s="34" t="s">
        <v>9</v>
      </c>
      <c r="C572" s="603">
        <v>101118.09</v>
      </c>
      <c r="D572" s="101"/>
    </row>
    <row r="573" spans="1:4" ht="13.5" thickBot="1">
      <c r="A573" s="148"/>
      <c r="B573" s="34"/>
      <c r="C573" s="603"/>
      <c r="D573" s="101"/>
    </row>
    <row r="574" spans="1:4" ht="13.5" thickBot="1">
      <c r="A574" s="148"/>
      <c r="B574" s="709" t="s">
        <v>1036</v>
      </c>
      <c r="C574" s="707"/>
      <c r="D574" s="711">
        <f>+D524+D544+D560</f>
        <v>10000000.000648666</v>
      </c>
    </row>
    <row r="575" spans="1:4" ht="12.75">
      <c r="A575" s="148"/>
      <c r="B575" s="97"/>
      <c r="C575" s="97"/>
      <c r="D575" s="629"/>
    </row>
    <row r="576" spans="1:4" ht="15.75" thickBot="1">
      <c r="A576" s="849" t="s">
        <v>735</v>
      </c>
      <c r="B576" s="849"/>
      <c r="C576" s="849"/>
      <c r="D576" s="849"/>
    </row>
    <row r="577" spans="1:4" ht="13.5" thickBot="1">
      <c r="A577" s="190" t="s">
        <v>1407</v>
      </c>
      <c r="B577" s="712" t="s">
        <v>852</v>
      </c>
      <c r="C577" s="730"/>
      <c r="D577" s="717">
        <f>C578</f>
        <v>200000</v>
      </c>
    </row>
    <row r="578" spans="1:4" ht="13.5" thickTop="1">
      <c r="A578" s="190" t="s">
        <v>1408</v>
      </c>
      <c r="B578" s="192" t="s">
        <v>962</v>
      </c>
      <c r="C578" s="777">
        <f>C579</f>
        <v>200000</v>
      </c>
      <c r="D578" s="191"/>
    </row>
    <row r="579" spans="1:4" ht="12.75">
      <c r="A579" s="193" t="s">
        <v>1409</v>
      </c>
      <c r="B579" s="193" t="s">
        <v>693</v>
      </c>
      <c r="C579" s="778">
        <v>200000</v>
      </c>
      <c r="D579" s="191"/>
    </row>
    <row r="580" spans="1:4" ht="12.75">
      <c r="A580" s="193"/>
      <c r="B580" s="193"/>
      <c r="C580" s="778"/>
      <c r="D580" s="191"/>
    </row>
    <row r="581" spans="1:4" ht="13.5" thickBot="1">
      <c r="A581" s="30" t="s">
        <v>1318</v>
      </c>
      <c r="B581" s="704" t="s">
        <v>874</v>
      </c>
      <c r="C581" s="606"/>
      <c r="D581" s="705">
        <f>+C582+C586</f>
        <v>334000</v>
      </c>
    </row>
    <row r="582" spans="1:3" ht="13.5" thickTop="1">
      <c r="A582" s="26" t="s">
        <v>1410</v>
      </c>
      <c r="B582" s="35" t="s">
        <v>999</v>
      </c>
      <c r="C582" s="602">
        <f>C583</f>
        <v>162000</v>
      </c>
    </row>
    <row r="583" spans="1:3" ht="12.75">
      <c r="A583" s="33" t="s">
        <v>1411</v>
      </c>
      <c r="B583" s="34" t="s">
        <v>212</v>
      </c>
      <c r="C583" s="603">
        <v>162000</v>
      </c>
    </row>
    <row r="584" spans="1:3" ht="12.75">
      <c r="A584" s="33"/>
      <c r="B584" s="34"/>
      <c r="C584" s="603"/>
    </row>
    <row r="585" spans="1:3" ht="12.75">
      <c r="A585" s="33"/>
      <c r="B585" s="34"/>
      <c r="C585" s="603"/>
    </row>
    <row r="586" spans="1:3" ht="12.75">
      <c r="A586" s="26" t="s">
        <v>1412</v>
      </c>
      <c r="B586" s="35" t="s">
        <v>1413</v>
      </c>
      <c r="C586" s="602">
        <f>C587</f>
        <v>172000</v>
      </c>
    </row>
    <row r="587" spans="1:3" ht="12.75">
      <c r="A587" s="33" t="s">
        <v>1414</v>
      </c>
      <c r="B587" s="34" t="s">
        <v>1415</v>
      </c>
      <c r="C587" s="603">
        <v>172000</v>
      </c>
    </row>
    <row r="588" spans="1:3" ht="13.5" thickBot="1">
      <c r="A588" s="33"/>
      <c r="B588" s="34"/>
      <c r="C588" s="603"/>
    </row>
    <row r="589" spans="2:4" ht="13.5" thickBot="1">
      <c r="B589" s="709" t="s">
        <v>736</v>
      </c>
      <c r="C589" s="707"/>
      <c r="D589" s="711">
        <f>D577+D581</f>
        <v>534000</v>
      </c>
    </row>
    <row r="590" spans="2:4" ht="12.75">
      <c r="B590" s="100"/>
      <c r="C590" s="100"/>
      <c r="D590" s="101"/>
    </row>
    <row r="591" spans="1:4" ht="15.75" thickBot="1">
      <c r="A591" s="849" t="s">
        <v>54</v>
      </c>
      <c r="B591" s="849"/>
      <c r="C591" s="849"/>
      <c r="D591" s="849"/>
    </row>
    <row r="592" spans="1:4" ht="13.5" thickBot="1">
      <c r="A592" s="190" t="s">
        <v>1615</v>
      </c>
      <c r="B592" s="712" t="s">
        <v>852</v>
      </c>
      <c r="C592" s="191"/>
      <c r="D592" s="717">
        <f>C596+C593+C599</f>
        <v>1550000</v>
      </c>
    </row>
    <row r="593" spans="1:4" ht="13.5" thickTop="1">
      <c r="A593" s="190" t="s">
        <v>1669</v>
      </c>
      <c r="B593" s="192" t="s">
        <v>962</v>
      </c>
      <c r="C593" s="501">
        <f>C594</f>
        <v>700000</v>
      </c>
      <c r="D593" s="730"/>
    </row>
    <row r="594" spans="1:4" ht="12.75">
      <c r="A594" s="193" t="s">
        <v>1670</v>
      </c>
      <c r="B594" s="193" t="s">
        <v>693</v>
      </c>
      <c r="C594" s="778">
        <v>700000</v>
      </c>
      <c r="D594" s="730"/>
    </row>
    <row r="595" spans="1:4" ht="12.75">
      <c r="A595" s="190"/>
      <c r="B595" s="190"/>
      <c r="C595" s="781"/>
      <c r="D595" s="730"/>
    </row>
    <row r="596" spans="1:4" ht="12.75">
      <c r="A596" s="190" t="s">
        <v>1616</v>
      </c>
      <c r="B596" s="192" t="s">
        <v>860</v>
      </c>
      <c r="C596" s="777">
        <f>C597</f>
        <v>650000</v>
      </c>
      <c r="D596" s="191"/>
    </row>
    <row r="597" spans="1:4" ht="15">
      <c r="A597" s="193" t="s">
        <v>1617</v>
      </c>
      <c r="B597" s="193" t="s">
        <v>545</v>
      </c>
      <c r="C597" s="778">
        <v>650000</v>
      </c>
      <c r="D597" s="716"/>
    </row>
    <row r="598" spans="1:4" ht="15">
      <c r="A598" s="716"/>
      <c r="B598" s="716"/>
      <c r="C598" s="827"/>
      <c r="D598" s="716"/>
    </row>
    <row r="599" spans="1:4" ht="12.75">
      <c r="A599" s="190" t="s">
        <v>1618</v>
      </c>
      <c r="B599" s="192" t="s">
        <v>974</v>
      </c>
      <c r="C599" s="777">
        <f>C600</f>
        <v>200000</v>
      </c>
      <c r="D599" s="191"/>
    </row>
    <row r="600" spans="1:4" ht="12.75">
      <c r="A600" s="193" t="s">
        <v>1619</v>
      </c>
      <c r="B600" s="193" t="s">
        <v>976</v>
      </c>
      <c r="C600" s="778">
        <v>200000</v>
      </c>
      <c r="D600" s="191"/>
    </row>
    <row r="601" spans="1:4" ht="12.75">
      <c r="A601" s="193"/>
      <c r="B601" s="193"/>
      <c r="C601" s="502"/>
      <c r="D601" s="191"/>
    </row>
    <row r="602" spans="1:4" ht="13.5" thickBot="1">
      <c r="A602" s="26" t="s">
        <v>237</v>
      </c>
      <c r="B602" s="715" t="s">
        <v>874</v>
      </c>
      <c r="C602" s="98"/>
      <c r="D602" s="705">
        <f>C603+C606</f>
        <v>900000</v>
      </c>
    </row>
    <row r="603" spans="1:4" ht="13.5" thickTop="1">
      <c r="A603" s="26" t="s">
        <v>238</v>
      </c>
      <c r="B603" s="35" t="s">
        <v>1005</v>
      </c>
      <c r="C603" s="29">
        <f>C604</f>
        <v>600000</v>
      </c>
      <c r="D603" s="97"/>
    </row>
    <row r="604" spans="1:3" ht="12.75">
      <c r="A604" s="33" t="s">
        <v>239</v>
      </c>
      <c r="B604" s="34" t="s">
        <v>240</v>
      </c>
      <c r="C604" s="603">
        <v>600000</v>
      </c>
    </row>
    <row r="605" spans="1:3" ht="12.75">
      <c r="A605" s="33"/>
      <c r="B605" s="34"/>
      <c r="C605" s="603"/>
    </row>
    <row r="606" spans="1:3" ht="12.75">
      <c r="A606" s="26" t="s">
        <v>503</v>
      </c>
      <c r="B606" s="35" t="s">
        <v>891</v>
      </c>
      <c r="C606" s="602">
        <f>SUM(C607:C609)</f>
        <v>300000</v>
      </c>
    </row>
    <row r="607" spans="1:3" ht="12.75">
      <c r="A607" s="33" t="s">
        <v>1671</v>
      </c>
      <c r="B607" s="34" t="s">
        <v>1203</v>
      </c>
      <c r="C607" s="603">
        <v>80000</v>
      </c>
    </row>
    <row r="608" spans="1:3" ht="12.75">
      <c r="A608" s="33" t="s">
        <v>1620</v>
      </c>
      <c r="B608" s="34" t="s">
        <v>202</v>
      </c>
      <c r="C608" s="603">
        <v>175000</v>
      </c>
    </row>
    <row r="609" spans="1:3" ht="12.75">
      <c r="A609" s="33" t="s">
        <v>1672</v>
      </c>
      <c r="B609" s="34" t="s">
        <v>9</v>
      </c>
      <c r="C609" s="37">
        <v>45000</v>
      </c>
    </row>
    <row r="610" spans="1:3" ht="13.5" thickBot="1">
      <c r="A610" s="33"/>
      <c r="B610" s="34"/>
      <c r="C610" s="603"/>
    </row>
    <row r="611" spans="2:4" ht="13.5" thickBot="1">
      <c r="B611" s="709" t="s">
        <v>55</v>
      </c>
      <c r="C611" s="707"/>
      <c r="D611" s="711">
        <f>+D602+D592</f>
        <v>2450000</v>
      </c>
    </row>
    <row r="612" spans="2:4" ht="12.75">
      <c r="B612" s="100"/>
      <c r="C612" s="100"/>
      <c r="D612" s="101"/>
    </row>
    <row r="613" spans="2:4" ht="12.75">
      <c r="B613" s="100"/>
      <c r="C613" s="100"/>
      <c r="D613" s="101"/>
    </row>
    <row r="614" spans="1:4" ht="15.75" thickBot="1">
      <c r="A614" s="849" t="s">
        <v>221</v>
      </c>
      <c r="B614" s="849"/>
      <c r="C614" s="849"/>
      <c r="D614" s="849"/>
    </row>
    <row r="615" spans="1:4" ht="15">
      <c r="A615" s="474"/>
      <c r="B615" s="474"/>
      <c r="C615" s="474"/>
      <c r="D615" s="474"/>
    </row>
    <row r="616" spans="1:4" ht="13.5" thickBot="1">
      <c r="A616" s="30" t="s">
        <v>222</v>
      </c>
      <c r="B616" s="704" t="s">
        <v>852</v>
      </c>
      <c r="C616" s="147"/>
      <c r="D616" s="705">
        <f>+C617</f>
        <v>1000000</v>
      </c>
    </row>
    <row r="617" spans="1:3" ht="13.5" thickTop="1">
      <c r="A617" s="26" t="s">
        <v>223</v>
      </c>
      <c r="B617" s="35" t="s">
        <v>864</v>
      </c>
      <c r="C617" s="29">
        <f>C618</f>
        <v>1000000</v>
      </c>
    </row>
    <row r="618" spans="1:3" ht="12.75">
      <c r="A618" s="33" t="s">
        <v>224</v>
      </c>
      <c r="B618" s="34" t="s">
        <v>967</v>
      </c>
      <c r="C618" s="603">
        <v>1000000</v>
      </c>
    </row>
    <row r="619" ht="13.5" thickBot="1"/>
    <row r="620" spans="2:4" ht="13.5" thickBot="1">
      <c r="B620" s="709" t="s">
        <v>1227</v>
      </c>
      <c r="C620" s="707"/>
      <c r="D620" s="711">
        <f>D616</f>
        <v>1000000</v>
      </c>
    </row>
    <row r="621" spans="1:4" ht="13.5" thickBot="1">
      <c r="A621" s="19"/>
      <c r="B621" s="69"/>
      <c r="C621" s="69"/>
      <c r="D621" s="102"/>
    </row>
    <row r="622" spans="2:4" ht="13.5" thickBot="1">
      <c r="B622" s="709" t="s">
        <v>1022</v>
      </c>
      <c r="C622" s="707"/>
      <c r="D622" s="708">
        <f>D189+D221+D310+D348+D451+D458+D521+D574+D589+D611+D620</f>
        <v>851276072.5410703</v>
      </c>
    </row>
  </sheetData>
  <sheetProtection/>
  <mergeCells count="14">
    <mergeCell ref="A591:D591"/>
    <mergeCell ref="A460:D460"/>
    <mergeCell ref="A576:D576"/>
    <mergeCell ref="A523:D523"/>
    <mergeCell ref="A614:D614"/>
    <mergeCell ref="A354:D354"/>
    <mergeCell ref="A453:D453"/>
    <mergeCell ref="A1:D1"/>
    <mergeCell ref="A2:D2"/>
    <mergeCell ref="A3:D3"/>
    <mergeCell ref="A191:D191"/>
    <mergeCell ref="A223:D223"/>
    <mergeCell ref="A312:D312"/>
    <mergeCell ref="A180:D180"/>
  </mergeCells>
  <printOptions/>
  <pageMargins left="0.3937007874015748" right="0.3937007874015748" top="0.1968503937007874" bottom="0.1968503937007874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25">
      <selection activeCell="H52" sqref="H52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</cols>
  <sheetData>
    <row r="1" spans="1:4" ht="18">
      <c r="A1" s="844" t="s">
        <v>808</v>
      </c>
      <c r="B1" s="844"/>
      <c r="C1" s="844"/>
      <c r="D1" s="844"/>
    </row>
    <row r="2" spans="1:4" ht="18">
      <c r="A2" s="844" t="s">
        <v>1658</v>
      </c>
      <c r="B2" s="844"/>
      <c r="C2" s="844"/>
      <c r="D2" s="844"/>
    </row>
    <row r="3" spans="1:4" ht="16.5" thickBot="1">
      <c r="A3" s="846" t="s">
        <v>1023</v>
      </c>
      <c r="B3" s="846"/>
      <c r="C3" s="846"/>
      <c r="D3" s="846"/>
    </row>
    <row r="4" spans="1:4" ht="13.5" thickBot="1">
      <c r="A4" s="30" t="s">
        <v>935</v>
      </c>
      <c r="B4" s="704" t="s">
        <v>818</v>
      </c>
      <c r="C4" s="36"/>
      <c r="D4" s="705">
        <f>C5+C8+C11+C17+C22</f>
        <v>63253444.78217134</v>
      </c>
    </row>
    <row r="5" spans="1:4" ht="13.5" thickTop="1">
      <c r="A5" s="25" t="s">
        <v>936</v>
      </c>
      <c r="B5" s="28" t="s">
        <v>819</v>
      </c>
      <c r="C5" s="29">
        <f>C6</f>
        <v>33792975.45</v>
      </c>
      <c r="D5" s="19"/>
    </row>
    <row r="6" spans="1:4" ht="12.75">
      <c r="A6" s="24" t="s">
        <v>937</v>
      </c>
      <c r="B6" t="s">
        <v>820</v>
      </c>
      <c r="C6" s="20">
        <f>C62+C95</f>
        <v>33792975.45</v>
      </c>
      <c r="D6" s="19"/>
    </row>
    <row r="7" spans="1:4" ht="12.75">
      <c r="A7" s="24"/>
      <c r="C7" s="20"/>
      <c r="D7" s="19"/>
    </row>
    <row r="8" spans="1:4" ht="12.75">
      <c r="A8" s="30" t="s">
        <v>1501</v>
      </c>
      <c r="B8" s="28" t="s">
        <v>822</v>
      </c>
      <c r="C8" s="29">
        <f>C9</f>
        <v>2000000</v>
      </c>
      <c r="D8" s="19"/>
    </row>
    <row r="9" spans="1:4" ht="12.75">
      <c r="A9" s="148" t="s">
        <v>1502</v>
      </c>
      <c r="B9" t="s">
        <v>824</v>
      </c>
      <c r="C9" s="20">
        <f>C65+C98</f>
        <v>2000000</v>
      </c>
      <c r="D9" s="19"/>
    </row>
    <row r="10" spans="1:4" ht="12.75">
      <c r="A10" s="191"/>
      <c r="B10" s="191"/>
      <c r="C10" s="19"/>
      <c r="D10" s="19"/>
    </row>
    <row r="11" spans="1:4" ht="12.75">
      <c r="A11" s="30" t="s">
        <v>938</v>
      </c>
      <c r="B11" s="28" t="s">
        <v>833</v>
      </c>
      <c r="C11" s="29">
        <f>SUM(C12:C15)</f>
        <v>17883020.148333333</v>
      </c>
      <c r="D11" s="19"/>
    </row>
    <row r="12" spans="1:4" ht="12.75">
      <c r="A12" s="148" t="s">
        <v>1237</v>
      </c>
      <c r="B12" s="36" t="s">
        <v>520</v>
      </c>
      <c r="C12" s="37">
        <f>C68+C101</f>
        <v>3049397.77</v>
      </c>
      <c r="D12" s="19"/>
    </row>
    <row r="13" spans="1:4" ht="12.75">
      <c r="A13" s="148" t="s">
        <v>1328</v>
      </c>
      <c r="B13" s="36" t="s">
        <v>1329</v>
      </c>
      <c r="C13" s="37">
        <f>C69</f>
        <v>8166542.17</v>
      </c>
      <c r="D13" s="19"/>
    </row>
    <row r="14" spans="1:4" ht="12.75">
      <c r="A14" s="24" t="s">
        <v>939</v>
      </c>
      <c r="B14" t="s">
        <v>839</v>
      </c>
      <c r="C14" s="20">
        <f>C70+C102</f>
        <v>4128922.7383333333</v>
      </c>
      <c r="D14" s="19"/>
    </row>
    <row r="15" spans="1:4" ht="12.75">
      <c r="A15" s="24" t="s">
        <v>1486</v>
      </c>
      <c r="B15" t="s">
        <v>1477</v>
      </c>
      <c r="C15" s="20">
        <f>C71+C103</f>
        <v>2538157.4699999997</v>
      </c>
      <c r="D15" s="19"/>
    </row>
    <row r="16" spans="1:4" ht="12.75">
      <c r="A16" s="191"/>
      <c r="B16" s="191"/>
      <c r="C16" s="19"/>
      <c r="D16" s="19"/>
    </row>
    <row r="17" spans="1:4" ht="12.75">
      <c r="A17" s="30" t="s">
        <v>940</v>
      </c>
      <c r="B17" s="28" t="s">
        <v>841</v>
      </c>
      <c r="C17" s="29">
        <f>C19+C20</f>
        <v>7347830.905138</v>
      </c>
      <c r="D17" s="19"/>
    </row>
    <row r="18" spans="1:4" ht="12.75">
      <c r="A18" s="24"/>
      <c r="B18" s="31" t="s">
        <v>842</v>
      </c>
      <c r="C18" s="19"/>
      <c r="D18" s="19"/>
    </row>
    <row r="19" spans="1:4" ht="12.75">
      <c r="A19" s="24" t="s">
        <v>941</v>
      </c>
      <c r="B19" t="s">
        <v>844</v>
      </c>
      <c r="C19" s="20">
        <f>C75+C107</f>
        <v>7100095.540838</v>
      </c>
      <c r="D19" s="19"/>
    </row>
    <row r="20" spans="1:4" ht="12.75">
      <c r="A20" s="24" t="s">
        <v>942</v>
      </c>
      <c r="B20" t="s">
        <v>846</v>
      </c>
      <c r="C20" s="20">
        <f>C76+C108</f>
        <v>247735.3643</v>
      </c>
      <c r="D20" s="19"/>
    </row>
    <row r="21" spans="1:4" ht="12.75">
      <c r="A21" s="24"/>
      <c r="C21" s="19"/>
      <c r="D21" s="19"/>
    </row>
    <row r="22" spans="1:4" ht="12.75">
      <c r="A22" s="30" t="s">
        <v>943</v>
      </c>
      <c r="B22" s="28" t="s">
        <v>848</v>
      </c>
      <c r="C22" s="29">
        <f>C24+C25</f>
        <v>2229618.2786999997</v>
      </c>
      <c r="D22" s="19"/>
    </row>
    <row r="23" spans="1:4" ht="12.75">
      <c r="A23" s="30"/>
      <c r="B23" s="31" t="s">
        <v>849</v>
      </c>
      <c r="C23" s="19"/>
      <c r="D23" s="19"/>
    </row>
    <row r="24" spans="1:4" ht="12.75">
      <c r="A24" s="148" t="s">
        <v>1377</v>
      </c>
      <c r="B24" s="33" t="s">
        <v>1369</v>
      </c>
      <c r="C24" s="20">
        <f>C80+C112</f>
        <v>743206.0928999999</v>
      </c>
      <c r="D24" s="19"/>
    </row>
    <row r="25" spans="1:4" ht="12.75">
      <c r="A25" s="24" t="s">
        <v>944</v>
      </c>
      <c r="B25" t="s">
        <v>851</v>
      </c>
      <c r="C25" s="20">
        <f>C81+C113</f>
        <v>1486412.1857999999</v>
      </c>
      <c r="D25" s="19"/>
    </row>
    <row r="26" spans="1:4" ht="12.75">
      <c r="A26" s="24"/>
      <c r="C26" s="20"/>
      <c r="D26" s="19"/>
    </row>
    <row r="27" spans="1:4" ht="13.5" thickBot="1">
      <c r="A27" s="30">
        <v>3.1</v>
      </c>
      <c r="B27" s="704" t="s">
        <v>852</v>
      </c>
      <c r="C27" s="27"/>
      <c r="D27" s="705">
        <f>+C31+C28+C34</f>
        <v>91077601.82</v>
      </c>
    </row>
    <row r="28" spans="1:4" ht="13.5" thickTop="1">
      <c r="A28" s="30" t="s">
        <v>1320</v>
      </c>
      <c r="B28" s="28" t="s">
        <v>864</v>
      </c>
      <c r="C28" s="29">
        <f>+C29</f>
        <v>90000000</v>
      </c>
      <c r="D28" s="101"/>
    </row>
    <row r="29" spans="1:4" ht="12.75">
      <c r="A29" s="148" t="s">
        <v>1432</v>
      </c>
      <c r="B29" s="36" t="s">
        <v>967</v>
      </c>
      <c r="C29" s="37">
        <f>C126</f>
        <v>90000000</v>
      </c>
      <c r="D29" s="101"/>
    </row>
    <row r="30" spans="1:4" ht="12.75">
      <c r="A30" s="65"/>
      <c r="B30" s="100"/>
      <c r="C30" s="66"/>
      <c r="D30" s="101"/>
    </row>
    <row r="31" spans="1:4" ht="12.75">
      <c r="A31" s="30" t="s">
        <v>1241</v>
      </c>
      <c r="B31" s="28" t="s">
        <v>1238</v>
      </c>
      <c r="C31" s="29">
        <f>C32</f>
        <v>977601.82</v>
      </c>
      <c r="D31" s="98"/>
    </row>
    <row r="32" spans="1:4" ht="12.75">
      <c r="A32" s="148" t="s">
        <v>1242</v>
      </c>
      <c r="B32" s="36" t="s">
        <v>1243</v>
      </c>
      <c r="C32" s="147">
        <f>C85</f>
        <v>977601.82</v>
      </c>
      <c r="D32" s="98"/>
    </row>
    <row r="33" spans="1:4" ht="12.75">
      <c r="A33" s="148"/>
      <c r="B33" s="36"/>
      <c r="C33" s="147"/>
      <c r="D33" s="98"/>
    </row>
    <row r="34" spans="1:4" ht="12.75">
      <c r="A34" s="26" t="s">
        <v>1507</v>
      </c>
      <c r="B34" s="28" t="s">
        <v>1267</v>
      </c>
      <c r="C34" s="29">
        <f>C35</f>
        <v>100000</v>
      </c>
      <c r="D34" s="98"/>
    </row>
    <row r="35" spans="1:4" ht="12.75">
      <c r="A35" s="33" t="s">
        <v>1508</v>
      </c>
      <c r="B35" s="33" t="s">
        <v>1269</v>
      </c>
      <c r="C35" s="147">
        <f>C88</f>
        <v>100000</v>
      </c>
      <c r="D35" s="98"/>
    </row>
    <row r="36" spans="1:4" ht="12.75">
      <c r="A36" s="65"/>
      <c r="B36" s="100"/>
      <c r="C36" s="66"/>
      <c r="D36" s="101"/>
    </row>
    <row r="37" spans="1:4" ht="13.5" thickBot="1">
      <c r="A37" s="26" t="s">
        <v>746</v>
      </c>
      <c r="B37" s="704" t="s">
        <v>898</v>
      </c>
      <c r="C37" s="27"/>
      <c r="D37" s="705">
        <f>C38</f>
        <v>353125390.13</v>
      </c>
    </row>
    <row r="38" spans="1:3" ht="13.5" thickTop="1">
      <c r="A38" s="26" t="s">
        <v>747</v>
      </c>
      <c r="B38" s="28" t="s">
        <v>743</v>
      </c>
      <c r="C38" s="29">
        <f>SUM(C39:C39)</f>
        <v>353125390.13</v>
      </c>
    </row>
    <row r="39" spans="1:3" ht="12.75">
      <c r="A39" t="s">
        <v>748</v>
      </c>
      <c r="B39" t="s">
        <v>745</v>
      </c>
      <c r="C39" s="3">
        <f>C118</f>
        <v>353125390.13</v>
      </c>
    </row>
    <row r="40" spans="2:3" ht="12.75">
      <c r="B40" s="19"/>
      <c r="C40" s="3"/>
    </row>
    <row r="41" spans="1:4" ht="13.5" thickBot="1">
      <c r="A41" s="26" t="s">
        <v>176</v>
      </c>
      <c r="B41" s="715" t="s">
        <v>166</v>
      </c>
      <c r="C41" s="147"/>
      <c r="D41" s="705">
        <f>C42</f>
        <v>11387274.39</v>
      </c>
    </row>
    <row r="42" spans="1:3" ht="13.5" thickTop="1">
      <c r="A42" s="26" t="s">
        <v>177</v>
      </c>
      <c r="B42" s="35" t="s">
        <v>168</v>
      </c>
      <c r="C42" s="29">
        <f>C43</f>
        <v>11387274.39</v>
      </c>
    </row>
    <row r="43" spans="1:3" ht="12.75">
      <c r="A43" s="26" t="s">
        <v>178</v>
      </c>
      <c r="B43" s="188" t="s">
        <v>219</v>
      </c>
      <c r="C43" s="32">
        <f>SUM(C44:C44)</f>
        <v>11387274.39</v>
      </c>
    </row>
    <row r="44" spans="1:3" ht="12.75">
      <c r="A44" s="33" t="s">
        <v>220</v>
      </c>
      <c r="B44" s="34" t="s">
        <v>1008</v>
      </c>
      <c r="C44" s="3">
        <f>C134</f>
        <v>11387274.39</v>
      </c>
    </row>
    <row r="45" spans="1:3" ht="13.5" thickBot="1">
      <c r="A45" s="33"/>
      <c r="B45" s="34"/>
      <c r="C45" s="3"/>
    </row>
    <row r="46" spans="2:4" ht="13.5" thickBot="1">
      <c r="B46" s="709" t="s">
        <v>1024</v>
      </c>
      <c r="C46" s="707"/>
      <c r="D46" s="708">
        <f>+D4+D27+D37+D41</f>
        <v>518843711.1221713</v>
      </c>
    </row>
    <row r="47" spans="2:4" ht="12.75">
      <c r="B47" s="97"/>
      <c r="C47" s="97"/>
      <c r="D47" s="98"/>
    </row>
    <row r="48" spans="2:4" ht="12.75">
      <c r="B48" s="97"/>
      <c r="C48" s="97"/>
      <c r="D48" s="98"/>
    </row>
    <row r="49" spans="2:4" ht="12.75">
      <c r="B49" s="97"/>
      <c r="C49" s="97"/>
      <c r="D49" s="98"/>
    </row>
    <row r="50" spans="2:4" ht="12.75">
      <c r="B50" s="97"/>
      <c r="C50" s="97"/>
      <c r="D50" s="98"/>
    </row>
    <row r="51" spans="2:4" ht="12.75">
      <c r="B51" s="97"/>
      <c r="C51" s="97"/>
      <c r="D51" s="98"/>
    </row>
    <row r="52" spans="2:4" ht="12.75">
      <c r="B52" s="97"/>
      <c r="C52" s="97"/>
      <c r="D52" s="98"/>
    </row>
    <row r="53" spans="2:4" ht="12.75">
      <c r="B53" s="97"/>
      <c r="C53" s="97"/>
      <c r="D53" s="98"/>
    </row>
    <row r="54" spans="2:4" ht="12.75">
      <c r="B54" s="97"/>
      <c r="C54" s="97"/>
      <c r="D54" s="98"/>
    </row>
    <row r="55" spans="2:4" ht="12.75">
      <c r="B55" s="97"/>
      <c r="C55" s="97"/>
      <c r="D55" s="98"/>
    </row>
    <row r="56" spans="2:4" ht="12.75">
      <c r="B56" s="97"/>
      <c r="C56" s="97"/>
      <c r="D56" s="98"/>
    </row>
    <row r="57" spans="2:4" ht="12.75">
      <c r="B57" s="97"/>
      <c r="C57" s="97"/>
      <c r="D57" s="98"/>
    </row>
    <row r="58" spans="2:4" ht="12.75">
      <c r="B58" s="97"/>
      <c r="C58" s="97"/>
      <c r="D58" s="98"/>
    </row>
    <row r="59" spans="1:4" ht="15.75" thickBot="1">
      <c r="A59" s="849" t="s">
        <v>56</v>
      </c>
      <c r="B59" s="849"/>
      <c r="C59" s="849"/>
      <c r="D59" s="849"/>
    </row>
    <row r="60" spans="1:4" ht="13.5" thickBot="1">
      <c r="A60" s="30" t="s">
        <v>925</v>
      </c>
      <c r="B60" s="704" t="s">
        <v>818</v>
      </c>
      <c r="C60" s="191"/>
      <c r="D60" s="718">
        <f>C61+C64+C67+C73+C78</f>
        <v>34568103.451186</v>
      </c>
    </row>
    <row r="61" spans="1:4" ht="13.5" thickTop="1">
      <c r="A61" s="25" t="s">
        <v>926</v>
      </c>
      <c r="B61" s="28" t="s">
        <v>819</v>
      </c>
      <c r="C61" s="501">
        <f>C62</f>
        <v>15526902.4</v>
      </c>
      <c r="D61" s="191"/>
    </row>
    <row r="62" spans="1:4" ht="12.75">
      <c r="A62" s="24" t="s">
        <v>927</v>
      </c>
      <c r="B62" t="s">
        <v>514</v>
      </c>
      <c r="C62" s="778">
        <v>15526902.4</v>
      </c>
      <c r="D62" s="191"/>
    </row>
    <row r="63" spans="1:4" ht="12.75">
      <c r="A63" s="24"/>
      <c r="C63" s="778"/>
      <c r="D63" s="191"/>
    </row>
    <row r="64" spans="1:4" ht="12.75">
      <c r="A64" s="30" t="s">
        <v>1499</v>
      </c>
      <c r="B64" s="28" t="s">
        <v>822</v>
      </c>
      <c r="C64" s="777">
        <f>C65</f>
        <v>500000</v>
      </c>
      <c r="D64" s="191"/>
    </row>
    <row r="65" spans="1:4" ht="12.75">
      <c r="A65" s="148" t="s">
        <v>1500</v>
      </c>
      <c r="B65" t="s">
        <v>824</v>
      </c>
      <c r="C65" s="778">
        <v>500000</v>
      </c>
      <c r="D65" s="191"/>
    </row>
    <row r="66" spans="1:4" ht="12.75">
      <c r="A66" s="191"/>
      <c r="B66" s="191"/>
      <c r="C66" s="781"/>
      <c r="D66" s="191"/>
    </row>
    <row r="67" spans="1:4" ht="12.75">
      <c r="A67" s="30" t="s">
        <v>928</v>
      </c>
      <c r="B67" s="28" t="s">
        <v>833</v>
      </c>
      <c r="C67" s="777">
        <f>SUM(C68:C71)</f>
        <v>13307110.555000002</v>
      </c>
      <c r="D67" s="191"/>
    </row>
    <row r="68" spans="1:4" ht="12.75">
      <c r="A68" s="148" t="s">
        <v>1236</v>
      </c>
      <c r="B68" s="36" t="s">
        <v>835</v>
      </c>
      <c r="C68" s="778">
        <v>1822474.04</v>
      </c>
      <c r="D68" s="191"/>
    </row>
    <row r="69" spans="1:4" ht="12.75">
      <c r="A69" s="148" t="s">
        <v>1327</v>
      </c>
      <c r="B69" s="36" t="s">
        <v>233</v>
      </c>
      <c r="C69" s="778">
        <v>8166542.17</v>
      </c>
      <c r="D69" s="191"/>
    </row>
    <row r="70" spans="1:4" ht="12.75">
      <c r="A70" s="24" t="s">
        <v>929</v>
      </c>
      <c r="B70" t="s">
        <v>839</v>
      </c>
      <c r="C70" s="778">
        <f>(C62+C65+C68+C71+C69)/12</f>
        <v>2256462.535</v>
      </c>
      <c r="D70" s="191"/>
    </row>
    <row r="71" spans="1:4" ht="12.75">
      <c r="A71" s="24" t="s">
        <v>1487</v>
      </c>
      <c r="B71" t="s">
        <v>1477</v>
      </c>
      <c r="C71" s="778">
        <v>1061631.81</v>
      </c>
      <c r="D71" s="191"/>
    </row>
    <row r="72" spans="1:4" ht="12.75">
      <c r="A72" s="191"/>
      <c r="B72" s="191"/>
      <c r="C72" s="781"/>
      <c r="D72" s="191"/>
    </row>
    <row r="73" spans="1:4" ht="12.75">
      <c r="A73" s="30" t="s">
        <v>930</v>
      </c>
      <c r="B73" s="28" t="s">
        <v>841</v>
      </c>
      <c r="C73" s="777">
        <f>C75+C76</f>
        <v>4015600.7272860003</v>
      </c>
      <c r="D73" s="191"/>
    </row>
    <row r="74" spans="1:4" ht="12.75">
      <c r="A74" s="24"/>
      <c r="B74" s="31" t="s">
        <v>842</v>
      </c>
      <c r="C74" s="781"/>
      <c r="D74" s="191"/>
    </row>
    <row r="75" spans="1:4" ht="12.75">
      <c r="A75" s="24" t="s">
        <v>931</v>
      </c>
      <c r="B75" t="s">
        <v>844</v>
      </c>
      <c r="C75" s="778">
        <f>(C62+C65+C68+C69+C71)*14.33%</f>
        <v>3880212.975186</v>
      </c>
      <c r="D75" s="191"/>
    </row>
    <row r="76" spans="1:4" ht="12.75">
      <c r="A76" s="24" t="s">
        <v>932</v>
      </c>
      <c r="B76" t="s">
        <v>846</v>
      </c>
      <c r="C76" s="778">
        <f>(C62+C65+C68+C69+C71)*0.5%</f>
        <v>135387.75209999998</v>
      </c>
      <c r="D76" s="191"/>
    </row>
    <row r="77" spans="1:4" ht="12.75">
      <c r="A77" s="24"/>
      <c r="C77" s="778"/>
      <c r="D77" s="191"/>
    </row>
    <row r="78" spans="1:4" ht="12.75">
      <c r="A78" s="30" t="s">
        <v>933</v>
      </c>
      <c r="B78" s="28" t="s">
        <v>848</v>
      </c>
      <c r="C78" s="777">
        <f>C80+C81</f>
        <v>1218489.7688999998</v>
      </c>
      <c r="D78" s="191"/>
    </row>
    <row r="79" spans="1:4" ht="12.75">
      <c r="A79" s="30"/>
      <c r="B79" s="31" t="s">
        <v>849</v>
      </c>
      <c r="C79" s="778"/>
      <c r="D79" s="191"/>
    </row>
    <row r="80" spans="1:4" ht="12.75">
      <c r="A80" s="148" t="s">
        <v>1376</v>
      </c>
      <c r="B80" s="33" t="s">
        <v>1369</v>
      </c>
      <c r="C80" s="778">
        <f>(C62+C65+C68+C69+C71)*1.5%</f>
        <v>406163.25629999995</v>
      </c>
      <c r="D80" s="191"/>
    </row>
    <row r="81" spans="1:4" ht="12.75">
      <c r="A81" s="24" t="s">
        <v>934</v>
      </c>
      <c r="B81" t="s">
        <v>851</v>
      </c>
      <c r="C81" s="778">
        <f>(C62+C65+C68+C69+C71)*3%</f>
        <v>812326.5125999999</v>
      </c>
      <c r="D81" s="191"/>
    </row>
    <row r="82" spans="1:4" ht="12.75">
      <c r="A82" s="24"/>
      <c r="C82" s="778"/>
      <c r="D82" s="191"/>
    </row>
    <row r="83" spans="1:4" ht="13.5" thickBot="1">
      <c r="A83" s="26" t="s">
        <v>1204</v>
      </c>
      <c r="B83" s="704" t="s">
        <v>852</v>
      </c>
      <c r="C83" s="773"/>
      <c r="D83" s="719">
        <f>+C84+C87</f>
        <v>1077601.8199999998</v>
      </c>
    </row>
    <row r="84" spans="1:4" ht="13.5" thickTop="1">
      <c r="A84" s="26" t="s">
        <v>1239</v>
      </c>
      <c r="B84" s="28" t="s">
        <v>1238</v>
      </c>
      <c r="C84" s="602">
        <f>C85</f>
        <v>977601.82</v>
      </c>
      <c r="D84" s="629"/>
    </row>
    <row r="85" spans="1:4" ht="12.75">
      <c r="A85" s="33" t="s">
        <v>1240</v>
      </c>
      <c r="B85" s="36" t="s">
        <v>562</v>
      </c>
      <c r="C85" s="606">
        <v>977601.82</v>
      </c>
      <c r="D85" s="628"/>
    </row>
    <row r="86" spans="1:4" ht="12.75">
      <c r="A86" s="33"/>
      <c r="B86" s="36"/>
      <c r="C86" s="606"/>
      <c r="D86" s="628"/>
    </row>
    <row r="87" spans="1:4" ht="12.75">
      <c r="A87" s="26" t="s">
        <v>1505</v>
      </c>
      <c r="B87" s="28" t="s">
        <v>1267</v>
      </c>
      <c r="C87" s="602">
        <f>C88</f>
        <v>100000</v>
      </c>
      <c r="D87" s="628"/>
    </row>
    <row r="88" spans="1:4" ht="12.75">
      <c r="A88" s="33" t="s">
        <v>1506</v>
      </c>
      <c r="B88" s="33" t="s">
        <v>1269</v>
      </c>
      <c r="C88" s="606">
        <v>100000</v>
      </c>
      <c r="D88" s="628"/>
    </row>
    <row r="89" spans="1:4" ht="13.5" thickBot="1">
      <c r="A89" s="68"/>
      <c r="B89" s="100"/>
      <c r="C89" s="792"/>
      <c r="D89" s="628"/>
    </row>
    <row r="90" spans="2:4" ht="13.5" thickBot="1">
      <c r="B90" s="709" t="s">
        <v>57</v>
      </c>
      <c r="C90" s="707"/>
      <c r="D90" s="711">
        <f>D60+D83</f>
        <v>35645705.271186</v>
      </c>
    </row>
    <row r="91" spans="2:4" ht="12.75">
      <c r="B91" s="97"/>
      <c r="C91" s="97"/>
      <c r="D91" s="629"/>
    </row>
    <row r="92" spans="1:4" ht="13.5" thickBot="1">
      <c r="A92" s="847" t="s">
        <v>1681</v>
      </c>
      <c r="B92" s="847"/>
      <c r="C92" s="847"/>
      <c r="D92" s="847"/>
    </row>
    <row r="93" spans="1:4" ht="13.5" thickBot="1">
      <c r="A93" s="30" t="s">
        <v>925</v>
      </c>
      <c r="B93" s="704" t="s">
        <v>818</v>
      </c>
      <c r="C93" s="191"/>
      <c r="D93" s="732">
        <f>C94+C97+C100+C105+C110</f>
        <v>28685341.330985334</v>
      </c>
    </row>
    <row r="94" spans="1:4" ht="13.5" thickTop="1">
      <c r="A94" s="25" t="s">
        <v>926</v>
      </c>
      <c r="B94" s="28" t="s">
        <v>819</v>
      </c>
      <c r="C94" s="501">
        <f>C95</f>
        <v>18266073.05</v>
      </c>
      <c r="D94" s="629"/>
    </row>
    <row r="95" spans="1:4" ht="12.75">
      <c r="A95" s="24" t="s">
        <v>927</v>
      </c>
      <c r="B95" t="s">
        <v>514</v>
      </c>
      <c r="C95" s="778">
        <v>18266073.05</v>
      </c>
      <c r="D95" s="629"/>
    </row>
    <row r="96" spans="2:4" ht="12.75">
      <c r="B96" s="97"/>
      <c r="C96" s="97"/>
      <c r="D96" s="629"/>
    </row>
    <row r="97" spans="1:4" ht="12.75">
      <c r="A97" s="30" t="s">
        <v>1499</v>
      </c>
      <c r="B97" s="28" t="s">
        <v>822</v>
      </c>
      <c r="C97" s="777">
        <f>C98</f>
        <v>1500000</v>
      </c>
      <c r="D97" s="629"/>
    </row>
    <row r="98" spans="1:4" ht="12.75">
      <c r="A98" s="148" t="s">
        <v>1500</v>
      </c>
      <c r="B98" t="s">
        <v>824</v>
      </c>
      <c r="C98" s="778">
        <v>1500000</v>
      </c>
      <c r="D98" s="629"/>
    </row>
    <row r="99" spans="1:4" ht="12.75">
      <c r="A99" s="191"/>
      <c r="B99" s="191"/>
      <c r="C99" s="781"/>
      <c r="D99" s="629"/>
    </row>
    <row r="100" spans="1:4" ht="12.75">
      <c r="A100" s="30" t="s">
        <v>928</v>
      </c>
      <c r="B100" s="28" t="s">
        <v>833</v>
      </c>
      <c r="C100" s="777">
        <f>SUM(C101:C103)</f>
        <v>4575909.593333334</v>
      </c>
      <c r="D100" s="629"/>
    </row>
    <row r="101" spans="1:4" ht="12.75">
      <c r="A101" s="148" t="s">
        <v>1236</v>
      </c>
      <c r="B101" s="36" t="s">
        <v>835</v>
      </c>
      <c r="C101" s="778">
        <v>1226923.73</v>
      </c>
      <c r="D101" s="629"/>
    </row>
    <row r="102" spans="1:4" ht="12.75">
      <c r="A102" s="24" t="s">
        <v>929</v>
      </c>
      <c r="B102" t="s">
        <v>839</v>
      </c>
      <c r="C102" s="778">
        <f>(C95+C98+C101+C103)/12</f>
        <v>1872460.2033333334</v>
      </c>
      <c r="D102" s="629"/>
    </row>
    <row r="103" spans="1:4" ht="12.75">
      <c r="A103" s="24" t="s">
        <v>1487</v>
      </c>
      <c r="B103" t="s">
        <v>1477</v>
      </c>
      <c r="C103" s="778">
        <v>1476525.66</v>
      </c>
      <c r="D103" s="629"/>
    </row>
    <row r="104" spans="2:4" ht="12.75">
      <c r="B104" s="97"/>
      <c r="C104" s="97"/>
      <c r="D104" s="629"/>
    </row>
    <row r="105" spans="1:4" ht="12.75">
      <c r="A105" s="30" t="s">
        <v>930</v>
      </c>
      <c r="B105" s="28" t="s">
        <v>841</v>
      </c>
      <c r="C105" s="777">
        <f>C107+C108</f>
        <v>3332230.177852</v>
      </c>
      <c r="D105" s="629"/>
    </row>
    <row r="106" spans="1:4" ht="12.75">
      <c r="A106" s="24"/>
      <c r="B106" s="31" t="s">
        <v>842</v>
      </c>
      <c r="C106" s="781"/>
      <c r="D106" s="629"/>
    </row>
    <row r="107" spans="1:4" ht="12.75">
      <c r="A107" s="24" t="s">
        <v>931</v>
      </c>
      <c r="B107" t="s">
        <v>844</v>
      </c>
      <c r="C107" s="778">
        <f>(C95+C98+C101+C103)*14.33%</f>
        <v>3219882.5656520003</v>
      </c>
      <c r="D107" s="629"/>
    </row>
    <row r="108" spans="1:4" ht="12.75">
      <c r="A108" s="24" t="s">
        <v>932</v>
      </c>
      <c r="B108" t="s">
        <v>846</v>
      </c>
      <c r="C108" s="778">
        <f>(C95+C98+C101+C103)*0.5%</f>
        <v>112347.6122</v>
      </c>
      <c r="D108" s="629"/>
    </row>
    <row r="109" spans="1:4" ht="12.75">
      <c r="A109" s="24"/>
      <c r="C109" s="778"/>
      <c r="D109" s="629"/>
    </row>
    <row r="110" spans="1:4" ht="12.75">
      <c r="A110" s="30" t="s">
        <v>933</v>
      </c>
      <c r="B110" s="28" t="s">
        <v>848</v>
      </c>
      <c r="C110" s="777">
        <f>C112+C113</f>
        <v>1011128.5097999999</v>
      </c>
      <c r="D110" s="629"/>
    </row>
    <row r="111" spans="1:4" ht="12.75">
      <c r="A111" s="30"/>
      <c r="B111" s="31" t="s">
        <v>849</v>
      </c>
      <c r="C111" s="778"/>
      <c r="D111" s="629"/>
    </row>
    <row r="112" spans="1:4" ht="12.75">
      <c r="A112" s="148" t="s">
        <v>1376</v>
      </c>
      <c r="B112" s="33" t="s">
        <v>1369</v>
      </c>
      <c r="C112" s="778">
        <f>(C95+C98+C101+C103)*1.5%</f>
        <v>337042.8366</v>
      </c>
      <c r="D112" s="629"/>
    </row>
    <row r="113" spans="1:4" ht="12.75">
      <c r="A113" s="24" t="s">
        <v>934</v>
      </c>
      <c r="B113" t="s">
        <v>851</v>
      </c>
      <c r="C113" s="778">
        <f>(C95+C98+C101+C103)*3%</f>
        <v>674085.6732</v>
      </c>
      <c r="D113" s="628"/>
    </row>
    <row r="114" spans="1:4" ht="12.75">
      <c r="A114" s="24"/>
      <c r="C114" s="778"/>
      <c r="D114" s="628"/>
    </row>
    <row r="115" spans="1:4" ht="12.75">
      <c r="A115" s="24"/>
      <c r="C115" s="778"/>
      <c r="D115" s="628"/>
    </row>
    <row r="116" spans="1:4" ht="13.5" thickBot="1">
      <c r="A116" s="30" t="s">
        <v>741</v>
      </c>
      <c r="B116" s="704" t="s">
        <v>898</v>
      </c>
      <c r="C116" s="828"/>
      <c r="D116" s="719">
        <f>C117</f>
        <v>353125390.13</v>
      </c>
    </row>
    <row r="117" spans="1:4" ht="13.5" thickTop="1">
      <c r="A117" s="30" t="s">
        <v>742</v>
      </c>
      <c r="B117" s="28" t="s">
        <v>743</v>
      </c>
      <c r="C117" s="777">
        <f>C118</f>
        <v>353125390.13</v>
      </c>
      <c r="D117" s="628"/>
    </row>
    <row r="118" spans="1:4" ht="12.75">
      <c r="A118" s="148" t="s">
        <v>744</v>
      </c>
      <c r="B118" s="829" t="s">
        <v>251</v>
      </c>
      <c r="C118" s="830">
        <f>C119</f>
        <v>353125390.13</v>
      </c>
      <c r="D118" s="628"/>
    </row>
    <row r="119" spans="1:4" ht="12.75">
      <c r="A119" s="148" t="s">
        <v>256</v>
      </c>
      <c r="B119" s="34" t="s">
        <v>1682</v>
      </c>
      <c r="C119" s="778">
        <v>353125390.13</v>
      </c>
      <c r="D119" s="628"/>
    </row>
    <row r="120" spans="1:4" ht="13.5" thickBot="1">
      <c r="A120" s="148"/>
      <c r="B120" s="34"/>
      <c r="C120" s="778"/>
      <c r="D120" s="628"/>
    </row>
    <row r="121" spans="1:4" ht="13.5" thickBot="1">
      <c r="A121" s="24"/>
      <c r="B121" s="706" t="s">
        <v>1683</v>
      </c>
      <c r="C121" s="831"/>
      <c r="D121" s="711">
        <f>D93+D116</f>
        <v>381810731.4609853</v>
      </c>
    </row>
    <row r="122" spans="1:4" ht="12.75">
      <c r="A122" s="24"/>
      <c r="C122" s="778"/>
      <c r="D122" s="628"/>
    </row>
    <row r="123" spans="1:4" ht="16.5" thickBot="1">
      <c r="A123" s="846" t="s">
        <v>1416</v>
      </c>
      <c r="B123" s="846"/>
      <c r="C123" s="846"/>
      <c r="D123" s="846"/>
    </row>
    <row r="124" spans="1:4" ht="13.5" thickBot="1">
      <c r="A124" s="26" t="s">
        <v>1417</v>
      </c>
      <c r="B124" s="731" t="s">
        <v>852</v>
      </c>
      <c r="C124" s="100"/>
      <c r="D124" s="732">
        <f>C125</f>
        <v>90000000</v>
      </c>
    </row>
    <row r="125" spans="1:4" ht="13.5" thickTop="1">
      <c r="A125" s="26" t="s">
        <v>1418</v>
      </c>
      <c r="B125" s="28" t="s">
        <v>864</v>
      </c>
      <c r="C125" s="29">
        <f>+C126</f>
        <v>90000000</v>
      </c>
      <c r="D125" s="628"/>
    </row>
    <row r="126" spans="1:4" ht="12.75">
      <c r="A126" s="33" t="s">
        <v>1430</v>
      </c>
      <c r="B126" s="36" t="s">
        <v>1431</v>
      </c>
      <c r="C126" s="37">
        <f>+INGRESOS!C46</f>
        <v>90000000</v>
      </c>
      <c r="D126" s="628"/>
    </row>
    <row r="127" spans="1:4" ht="13.5" thickBot="1">
      <c r="A127" s="33"/>
      <c r="B127" s="36"/>
      <c r="C127" s="37"/>
      <c r="D127" s="628"/>
    </row>
    <row r="128" spans="1:4" ht="13.5" thickBot="1">
      <c r="A128" s="33"/>
      <c r="B128" s="709" t="s">
        <v>1419</v>
      </c>
      <c r="C128" s="707"/>
      <c r="D128" s="711">
        <f>D124</f>
        <v>90000000</v>
      </c>
    </row>
    <row r="129" spans="1:4" ht="12.75">
      <c r="A129" s="33"/>
      <c r="B129" s="97"/>
      <c r="C129" s="97"/>
      <c r="D129" s="629"/>
    </row>
    <row r="130" spans="1:4" ht="16.5" thickBot="1">
      <c r="A130" s="846" t="s">
        <v>59</v>
      </c>
      <c r="B130" s="846"/>
      <c r="C130" s="846"/>
      <c r="D130" s="846"/>
    </row>
    <row r="131" spans="1:4" ht="13.5" thickBot="1">
      <c r="A131" s="26" t="s">
        <v>165</v>
      </c>
      <c r="B131" s="715" t="s">
        <v>166</v>
      </c>
      <c r="C131" s="147"/>
      <c r="D131" s="705">
        <f>C132</f>
        <v>11387274.39</v>
      </c>
    </row>
    <row r="132" spans="1:3" ht="13.5" thickTop="1">
      <c r="A132" s="26" t="s">
        <v>167</v>
      </c>
      <c r="B132" s="35" t="s">
        <v>168</v>
      </c>
      <c r="C132" s="29">
        <f>C133</f>
        <v>11387274.39</v>
      </c>
    </row>
    <row r="133" spans="1:3" ht="12.75">
      <c r="A133" s="26" t="s">
        <v>169</v>
      </c>
      <c r="B133" s="188" t="s">
        <v>217</v>
      </c>
      <c r="C133" s="32">
        <f>SUM(C134:C135)</f>
        <v>11387274.39</v>
      </c>
    </row>
    <row r="134" spans="1:3" ht="12.75">
      <c r="A134" s="33" t="s">
        <v>218</v>
      </c>
      <c r="B134" s="34" t="s">
        <v>1008</v>
      </c>
      <c r="C134" s="601">
        <v>11387274.39</v>
      </c>
    </row>
    <row r="135" spans="2:3" ht="13.5" thickBot="1">
      <c r="B135" s="33"/>
      <c r="C135" s="3"/>
    </row>
    <row r="136" spans="2:4" ht="13.5" thickBot="1">
      <c r="B136" s="709" t="s">
        <v>58</v>
      </c>
      <c r="C136" s="707"/>
      <c r="D136" s="708">
        <f>+D131</f>
        <v>11387274.39</v>
      </c>
    </row>
    <row r="137" ht="13.5" thickBot="1"/>
    <row r="138" spans="2:4" ht="13.5" thickBot="1">
      <c r="B138" s="709" t="s">
        <v>1024</v>
      </c>
      <c r="C138" s="707"/>
      <c r="D138" s="708">
        <f>+D90+D128+D136+D121</f>
        <v>518843711.1221713</v>
      </c>
    </row>
    <row r="140" ht="12.75">
      <c r="E140" s="3"/>
    </row>
  </sheetData>
  <sheetProtection/>
  <mergeCells count="7">
    <mergeCell ref="A130:D130"/>
    <mergeCell ref="A1:D1"/>
    <mergeCell ref="A2:D2"/>
    <mergeCell ref="A3:D3"/>
    <mergeCell ref="A59:D59"/>
    <mergeCell ref="A123:D123"/>
    <mergeCell ref="A92:D92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37.140625" style="0" customWidth="1"/>
    <col min="2" max="2" width="16.421875" style="0" customWidth="1"/>
  </cols>
  <sheetData>
    <row r="1" ht="13.5" thickBot="1"/>
    <row r="2" spans="1:3" ht="13.5" thickBot="1">
      <c r="A2" s="850" t="s">
        <v>1248</v>
      </c>
      <c r="B2" s="851"/>
      <c r="C2" s="852"/>
    </row>
    <row r="3" spans="1:3" ht="12.75">
      <c r="A3" s="630" t="s">
        <v>1244</v>
      </c>
      <c r="B3" s="7">
        <f>+INGRESOS!C9</f>
        <v>2318001800.33</v>
      </c>
      <c r="C3" s="631" t="s">
        <v>1028</v>
      </c>
    </row>
    <row r="4" spans="1:3" ht="12.75">
      <c r="A4" s="632"/>
      <c r="B4" s="105"/>
      <c r="C4" s="633"/>
    </row>
    <row r="5" spans="1:3" ht="12.75">
      <c r="A5" s="634" t="s">
        <v>1245</v>
      </c>
      <c r="B5" s="73"/>
      <c r="C5" s="635"/>
    </row>
    <row r="6" spans="1:3" ht="12.75">
      <c r="A6" s="634" t="s">
        <v>1246</v>
      </c>
      <c r="B6" s="59">
        <f>B3*40%</f>
        <v>927200720.132</v>
      </c>
      <c r="C6" s="782">
        <f>B6/B3</f>
        <v>0.4</v>
      </c>
    </row>
    <row r="7" spans="1:3" ht="12.75">
      <c r="A7" s="630"/>
      <c r="B7" s="6"/>
      <c r="C7" s="783"/>
    </row>
    <row r="8" spans="1:3" ht="13.5" thickBot="1">
      <c r="A8" s="637" t="s">
        <v>1247</v>
      </c>
      <c r="B8" s="638">
        <f>+'PROGRAMA 1'!D5+'PROGRAMA 1'!D78+'PROGRAMA 1'!D103+'PROGRAMA 1'!D31</f>
        <v>741895138.4887366</v>
      </c>
      <c r="C8" s="784">
        <f>B8/B3</f>
        <v>0.3200580510261543</v>
      </c>
    </row>
    <row r="10" ht="12.75">
      <c r="A10" s="33" t="s">
        <v>1249</v>
      </c>
    </row>
  </sheetData>
  <sheetProtection/>
  <mergeCells count="1"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4">
      <selection activeCell="A4" sqref="A4"/>
    </sheetView>
  </sheetViews>
  <sheetFormatPr defaultColWidth="11.421875" defaultRowHeight="12.75"/>
  <cols>
    <col min="1" max="1" width="12.421875" style="0" customWidth="1"/>
    <col min="2" max="2" width="43.00390625" style="0" customWidth="1"/>
    <col min="3" max="5" width="15.7109375" style="0" customWidth="1"/>
    <col min="6" max="6" width="28.7109375" style="0" customWidth="1"/>
  </cols>
  <sheetData>
    <row r="2" spans="1:6" ht="12.75">
      <c r="A2" s="853" t="s">
        <v>808</v>
      </c>
      <c r="B2" s="853"/>
      <c r="C2" s="853"/>
      <c r="D2" s="853"/>
      <c r="E2" s="853"/>
      <c r="F2" s="853"/>
    </row>
    <row r="3" spans="1:6" ht="12.75">
      <c r="A3" s="853" t="s">
        <v>1658</v>
      </c>
      <c r="B3" s="853"/>
      <c r="C3" s="853"/>
      <c r="D3" s="853"/>
      <c r="E3" s="853"/>
      <c r="F3" s="853"/>
    </row>
    <row r="5" spans="1:6" ht="12.75">
      <c r="A5" s="853" t="s">
        <v>129</v>
      </c>
      <c r="B5" s="853"/>
      <c r="C5" s="853"/>
      <c r="D5" s="853"/>
      <c r="E5" s="853"/>
      <c r="F5" s="853"/>
    </row>
    <row r="6" spans="1:6" ht="12.75">
      <c r="A6" s="853" t="s">
        <v>130</v>
      </c>
      <c r="B6" s="853"/>
      <c r="C6" s="853"/>
      <c r="D6" s="853"/>
      <c r="E6" s="853"/>
      <c r="F6" s="853"/>
    </row>
    <row r="7" ht="13.5" thickBot="1"/>
    <row r="8" spans="1:6" ht="12.75">
      <c r="A8" s="519" t="s">
        <v>756</v>
      </c>
      <c r="B8" s="519" t="s">
        <v>121</v>
      </c>
      <c r="C8" s="519" t="s">
        <v>123</v>
      </c>
      <c r="D8" s="519" t="s">
        <v>125</v>
      </c>
      <c r="E8" s="519" t="s">
        <v>758</v>
      </c>
      <c r="F8" s="519" t="s">
        <v>127</v>
      </c>
    </row>
    <row r="9" spans="1:6" ht="13.5" thickBot="1">
      <c r="A9" s="520" t="s">
        <v>120</v>
      </c>
      <c r="B9" s="520" t="s">
        <v>122</v>
      </c>
      <c r="C9" s="520" t="s">
        <v>124</v>
      </c>
      <c r="D9" s="520" t="s">
        <v>126</v>
      </c>
      <c r="E9" s="520"/>
      <c r="F9" s="520" t="s">
        <v>128</v>
      </c>
    </row>
    <row r="10" spans="1:6" ht="13.5" thickBot="1">
      <c r="A10" s="521" t="s">
        <v>359</v>
      </c>
      <c r="B10" s="522" t="s">
        <v>797</v>
      </c>
      <c r="C10" s="523"/>
      <c r="D10" s="523"/>
      <c r="E10" s="524">
        <f>SUM(E11:E15)</f>
        <v>0</v>
      </c>
      <c r="F10" s="525"/>
    </row>
    <row r="11" spans="1:6" ht="15.75" customHeight="1">
      <c r="A11" s="749"/>
      <c r="B11" s="749"/>
      <c r="C11" s="749"/>
      <c r="D11" s="750" t="s">
        <v>761</v>
      </c>
      <c r="E11" s="648">
        <v>0</v>
      </c>
      <c r="F11" s="750"/>
    </row>
    <row r="12" spans="1:6" ht="12.75">
      <c r="A12" s="6" t="s">
        <v>761</v>
      </c>
      <c r="B12" s="6" t="s">
        <v>761</v>
      </c>
      <c r="C12" s="6"/>
      <c r="D12" s="6" t="s">
        <v>761</v>
      </c>
      <c r="E12" s="7">
        <v>0</v>
      </c>
      <c r="F12" s="6" t="s">
        <v>761</v>
      </c>
    </row>
    <row r="13" spans="1:6" ht="12.75">
      <c r="A13" s="4" t="s">
        <v>761</v>
      </c>
      <c r="B13" s="4" t="s">
        <v>761</v>
      </c>
      <c r="C13" s="4"/>
      <c r="D13" s="4" t="s">
        <v>761</v>
      </c>
      <c r="E13" s="5">
        <v>0</v>
      </c>
      <c r="F13" s="4"/>
    </row>
    <row r="14" spans="1:6" ht="12.75">
      <c r="A14" s="4" t="s">
        <v>761</v>
      </c>
      <c r="B14" s="4" t="s">
        <v>761</v>
      </c>
      <c r="C14" s="4"/>
      <c r="D14" s="4" t="s">
        <v>761</v>
      </c>
      <c r="E14" s="5">
        <v>0</v>
      </c>
      <c r="F14" s="4" t="s">
        <v>761</v>
      </c>
    </row>
    <row r="15" spans="1:6" ht="13.5" thickBot="1">
      <c r="A15" s="4" t="s">
        <v>761</v>
      </c>
      <c r="B15" s="4" t="s">
        <v>761</v>
      </c>
      <c r="C15" s="4"/>
      <c r="D15" s="4"/>
      <c r="E15" s="5">
        <v>0</v>
      </c>
      <c r="F15" s="4"/>
    </row>
    <row r="16" spans="1:6" ht="13.5" thickBot="1">
      <c r="A16" s="593" t="s">
        <v>358</v>
      </c>
      <c r="B16" s="522" t="s">
        <v>804</v>
      </c>
      <c r="C16" s="526"/>
      <c r="D16" s="526"/>
      <c r="E16" s="527" t="e">
        <f>E18</f>
        <v>#REF!</v>
      </c>
      <c r="F16" s="528"/>
    </row>
    <row r="17" spans="1:6" ht="12.75">
      <c r="A17" s="594" t="s">
        <v>1054</v>
      </c>
      <c r="B17" s="529" t="s">
        <v>360</v>
      </c>
      <c r="C17" s="530"/>
      <c r="D17" s="530"/>
      <c r="E17" s="531"/>
      <c r="F17" s="532"/>
    </row>
    <row r="18" spans="1:6" ht="12.75">
      <c r="A18" s="594"/>
      <c r="B18" s="529" t="s">
        <v>361</v>
      </c>
      <c r="C18" s="530"/>
      <c r="D18" s="530"/>
      <c r="E18" s="534" t="e">
        <f>SUM(E19:E35)</f>
        <v>#REF!</v>
      </c>
      <c r="F18" s="533"/>
    </row>
    <row r="19" spans="1:6" ht="12.75">
      <c r="A19" s="753" t="s">
        <v>1452</v>
      </c>
      <c r="B19" s="152" t="s">
        <v>1456</v>
      </c>
      <c r="C19" s="4" t="s">
        <v>1457</v>
      </c>
      <c r="D19" s="4" t="s">
        <v>1656</v>
      </c>
      <c r="E19" s="502" t="e">
        <f>+'PROGRAMA 3'!#REF!</f>
        <v>#REF!</v>
      </c>
      <c r="F19" s="6" t="s">
        <v>1458</v>
      </c>
    </row>
    <row r="20" spans="1:6" ht="12.75">
      <c r="A20" s="751" t="s">
        <v>1453</v>
      </c>
      <c r="B20" s="105" t="s">
        <v>1455</v>
      </c>
      <c r="C20" s="105" t="s">
        <v>1459</v>
      </c>
      <c r="D20" s="105" t="s">
        <v>1460</v>
      </c>
      <c r="E20" s="769" t="e">
        <f>+'PROGRAMA 3'!#REF!</f>
        <v>#REF!</v>
      </c>
      <c r="F20" s="752" t="s">
        <v>1461</v>
      </c>
    </row>
    <row r="21" spans="1:6" ht="12.75">
      <c r="A21" s="753" t="s">
        <v>1454</v>
      </c>
      <c r="B21" s="152" t="s">
        <v>1493</v>
      </c>
      <c r="C21" s="152" t="s">
        <v>1495</v>
      </c>
      <c r="D21" s="152" t="s">
        <v>1657</v>
      </c>
      <c r="E21" s="769" t="e">
        <f>+'PROGRAMA 3'!#REF!</f>
        <v>#REF!</v>
      </c>
      <c r="F21" s="757" t="s">
        <v>1651</v>
      </c>
    </row>
    <row r="22" spans="1:6" ht="12.75">
      <c r="A22" s="753" t="s">
        <v>1494</v>
      </c>
      <c r="B22" s="152" t="s">
        <v>1555</v>
      </c>
      <c r="C22" s="152" t="s">
        <v>1556</v>
      </c>
      <c r="D22" s="152" t="s">
        <v>1657</v>
      </c>
      <c r="E22" s="769" t="e">
        <f>+'PROGRAMA 3'!#REF!</f>
        <v>#REF!</v>
      </c>
      <c r="F22" s="757" t="s">
        <v>1496</v>
      </c>
    </row>
    <row r="23" spans="1:6" ht="12.75">
      <c r="A23" s="753" t="s">
        <v>1553</v>
      </c>
      <c r="B23" s="152" t="s">
        <v>1621</v>
      </c>
      <c r="C23" s="152" t="s">
        <v>1622</v>
      </c>
      <c r="D23" s="152" t="s">
        <v>1655</v>
      </c>
      <c r="E23" s="769" t="e">
        <f>+'PROGRAMA 3'!#REF!</f>
        <v>#REF!</v>
      </c>
      <c r="F23" s="757" t="s">
        <v>1652</v>
      </c>
    </row>
    <row r="24" spans="1:6" ht="12.75">
      <c r="A24" s="753" t="s">
        <v>1554</v>
      </c>
      <c r="B24" s="152" t="s">
        <v>1558</v>
      </c>
      <c r="C24" s="152" t="s">
        <v>1557</v>
      </c>
      <c r="D24" s="152" t="s">
        <v>1657</v>
      </c>
      <c r="E24" s="769" t="e">
        <f>+'PROGRAMA 3'!#REF!</f>
        <v>#REF!</v>
      </c>
      <c r="F24" s="757" t="s">
        <v>1654</v>
      </c>
    </row>
    <row r="25" spans="1:6" ht="12.75">
      <c r="A25" s="4" t="s">
        <v>1564</v>
      </c>
      <c r="B25" s="152" t="s">
        <v>1639</v>
      </c>
      <c r="C25" s="152" t="s">
        <v>1640</v>
      </c>
      <c r="D25" s="4" t="s">
        <v>1641</v>
      </c>
      <c r="E25" s="769" t="e">
        <f>+'PROGRAMA 3'!#REF!</f>
        <v>#REF!</v>
      </c>
      <c r="F25" s="757" t="s">
        <v>1653</v>
      </c>
    </row>
    <row r="26" spans="1:6" ht="12.75">
      <c r="A26" s="4"/>
      <c r="B26" s="4"/>
      <c r="C26" s="4"/>
      <c r="D26" s="4"/>
      <c r="E26" s="5"/>
      <c r="F26" s="4"/>
    </row>
    <row r="27" spans="1:6" ht="12.75">
      <c r="A27" s="4"/>
      <c r="B27" s="4"/>
      <c r="C27" s="4"/>
      <c r="D27" s="4"/>
      <c r="E27" s="5"/>
      <c r="F27" s="4"/>
    </row>
    <row r="28" spans="1:6" ht="12.75">
      <c r="A28" s="4"/>
      <c r="B28" s="4"/>
      <c r="C28" s="4"/>
      <c r="D28" s="4"/>
      <c r="E28" s="5"/>
      <c r="F28" s="4"/>
    </row>
    <row r="29" spans="1:6" ht="12.75">
      <c r="A29" s="4"/>
      <c r="B29" s="4"/>
      <c r="C29" s="4"/>
      <c r="D29" s="4"/>
      <c r="E29" s="5"/>
      <c r="F29" s="4"/>
    </row>
    <row r="30" spans="1:6" ht="12.75">
      <c r="A30" s="4"/>
      <c r="B30" s="4"/>
      <c r="C30" s="4"/>
      <c r="D30" s="4"/>
      <c r="E30" s="5"/>
      <c r="F30" s="4"/>
    </row>
    <row r="31" spans="1:6" ht="12.75">
      <c r="A31" s="4"/>
      <c r="B31" s="4"/>
      <c r="C31" s="4"/>
      <c r="D31" s="4"/>
      <c r="E31" s="5"/>
      <c r="F31" s="4"/>
    </row>
    <row r="32" spans="1:6" ht="12.75">
      <c r="A32" s="4"/>
      <c r="B32" s="4"/>
      <c r="C32" s="4"/>
      <c r="D32" s="4"/>
      <c r="E32" s="5"/>
      <c r="F32" s="4"/>
    </row>
    <row r="33" spans="1:6" ht="12.75">
      <c r="A33" s="4"/>
      <c r="B33" s="4"/>
      <c r="C33" s="4"/>
      <c r="D33" s="4"/>
      <c r="E33" s="5"/>
      <c r="F33" s="4"/>
    </row>
    <row r="34" spans="1:6" ht="12.75">
      <c r="A34" s="4"/>
      <c r="B34" s="4"/>
      <c r="C34" s="4"/>
      <c r="D34" s="4"/>
      <c r="E34" s="5"/>
      <c r="F34" s="4"/>
    </row>
    <row r="35" spans="1:6" ht="13.5" thickBot="1">
      <c r="A35" s="106"/>
      <c r="B35" s="73"/>
      <c r="C35" s="73"/>
      <c r="D35" s="73"/>
      <c r="E35" s="59"/>
      <c r="F35" s="106"/>
    </row>
    <row r="36" spans="1:6" ht="13.5" thickBot="1">
      <c r="A36" s="8"/>
      <c r="B36" s="9" t="s">
        <v>811</v>
      </c>
      <c r="C36" s="9"/>
      <c r="D36" s="9"/>
      <c r="E36" s="10" t="e">
        <f>E10+E16</f>
        <v>#REF!</v>
      </c>
      <c r="F36" s="142"/>
    </row>
    <row r="39" ht="12.75">
      <c r="A39" t="s">
        <v>90</v>
      </c>
    </row>
    <row r="41" ht="12.75">
      <c r="A41" s="33" t="s">
        <v>1623</v>
      </c>
    </row>
  </sheetData>
  <sheetProtection/>
  <mergeCells count="4">
    <mergeCell ref="A2:F2"/>
    <mergeCell ref="A3:F3"/>
    <mergeCell ref="A5:F5"/>
    <mergeCell ref="A6:F6"/>
  </mergeCells>
  <printOptions/>
  <pageMargins left="0" right="0" top="0.3937007874015748" bottom="0.3937007874015748" header="0" footer="0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20.00390625" style="0" customWidth="1"/>
    <col min="2" max="2" width="21.28125" style="0" customWidth="1"/>
    <col min="3" max="3" width="17.421875" style="0" customWidth="1"/>
    <col min="4" max="5" width="17.7109375" style="0" customWidth="1"/>
    <col min="6" max="6" width="18.140625" style="0" customWidth="1"/>
  </cols>
  <sheetData>
    <row r="1" spans="2:5" ht="18">
      <c r="B1" s="857" t="s">
        <v>808</v>
      </c>
      <c r="C1" s="857"/>
      <c r="D1" s="857"/>
      <c r="E1" s="857"/>
    </row>
    <row r="2" spans="2:5" ht="15.75">
      <c r="B2" s="848" t="s">
        <v>1658</v>
      </c>
      <c r="C2" s="848"/>
      <c r="D2" s="848"/>
      <c r="E2" s="848"/>
    </row>
    <row r="3" spans="2:5" ht="15.75">
      <c r="B3" s="848" t="s">
        <v>79</v>
      </c>
      <c r="C3" s="848"/>
      <c r="D3" s="848"/>
      <c r="E3" s="848"/>
    </row>
    <row r="4" spans="2:5" ht="15.75">
      <c r="B4" s="858" t="s">
        <v>80</v>
      </c>
      <c r="C4" s="858"/>
      <c r="D4" s="858"/>
      <c r="E4" s="858"/>
    </row>
    <row r="5" spans="2:5" ht="18.75" thickBot="1">
      <c r="B5" s="108"/>
      <c r="C5" s="108"/>
      <c r="D5" s="108"/>
      <c r="E5" s="108"/>
    </row>
    <row r="6" spans="1:6" ht="16.5" thickBot="1">
      <c r="A6" s="854" t="s">
        <v>1441</v>
      </c>
      <c r="B6" s="855"/>
      <c r="C6" s="855"/>
      <c r="D6" s="855"/>
      <c r="E6" s="855"/>
      <c r="F6" s="856"/>
    </row>
    <row r="7" spans="1:6" ht="15.75">
      <c r="A7" s="535" t="s">
        <v>81</v>
      </c>
      <c r="B7" s="741" t="s">
        <v>82</v>
      </c>
      <c r="C7" s="536" t="s">
        <v>83</v>
      </c>
      <c r="D7" s="741" t="s">
        <v>1009</v>
      </c>
      <c r="E7" s="536" t="s">
        <v>811</v>
      </c>
      <c r="F7" s="743" t="s">
        <v>84</v>
      </c>
    </row>
    <row r="8" spans="1:6" ht="16.5" thickBot="1">
      <c r="A8" s="537" t="s">
        <v>1442</v>
      </c>
      <c r="B8" s="538"/>
      <c r="C8" s="538"/>
      <c r="D8" s="538"/>
      <c r="E8" s="538"/>
      <c r="F8" s="744" t="s">
        <v>85</v>
      </c>
    </row>
    <row r="9" spans="1:6" ht="15">
      <c r="A9" s="55"/>
      <c r="B9" s="112"/>
      <c r="C9" s="114"/>
      <c r="D9" s="114"/>
      <c r="E9" s="114"/>
      <c r="F9" s="745"/>
    </row>
    <row r="10" spans="1:6" ht="15">
      <c r="A10" s="507" t="s">
        <v>258</v>
      </c>
      <c r="B10" s="112" t="s">
        <v>577</v>
      </c>
      <c r="C10" s="114">
        <v>51470.4</v>
      </c>
      <c r="D10" s="114">
        <v>2167174.7</v>
      </c>
      <c r="E10" s="539">
        <f>C10+D10</f>
        <v>2218645.1</v>
      </c>
      <c r="F10" s="635" t="s">
        <v>259</v>
      </c>
    </row>
    <row r="11" spans="1:6" ht="15">
      <c r="A11" s="746" t="s">
        <v>258</v>
      </c>
      <c r="B11" s="112" t="s">
        <v>1340</v>
      </c>
      <c r="C11" s="114">
        <v>2643142.59</v>
      </c>
      <c r="D11" s="114">
        <v>14410692.09</v>
      </c>
      <c r="E11" s="539">
        <f>C11+D11</f>
        <v>17053834.68</v>
      </c>
      <c r="F11" s="635" t="s">
        <v>1341</v>
      </c>
    </row>
    <row r="12" spans="1:6" ht="15">
      <c r="A12" s="746"/>
      <c r="B12" s="112"/>
      <c r="C12" s="114"/>
      <c r="D12" s="114"/>
      <c r="E12" s="539"/>
      <c r="F12" s="635" t="s">
        <v>761</v>
      </c>
    </row>
    <row r="13" spans="1:6" ht="13.5" thickBot="1">
      <c r="A13" s="61"/>
      <c r="B13" s="73"/>
      <c r="C13" s="73"/>
      <c r="D13" s="73"/>
      <c r="E13" s="73"/>
      <c r="F13" s="635"/>
    </row>
    <row r="14" spans="1:6" ht="16.5" thickBot="1">
      <c r="A14" s="540" t="s">
        <v>86</v>
      </c>
      <c r="B14" s="541" t="s">
        <v>761</v>
      </c>
      <c r="C14" s="542">
        <f>SUM(C9:C13)</f>
        <v>2694612.9899999998</v>
      </c>
      <c r="D14" s="542">
        <f>SUM(D9:D13)</f>
        <v>16577866.79</v>
      </c>
      <c r="E14" s="543">
        <f>SUM(C14:D14)</f>
        <v>19272479.779999997</v>
      </c>
      <c r="F14" s="747"/>
    </row>
    <row r="15" ht="13.5" thickBot="1"/>
    <row r="16" spans="1:5" ht="15.75">
      <c r="A16" s="544" t="s">
        <v>87</v>
      </c>
      <c r="B16" s="545"/>
      <c r="C16" s="545"/>
      <c r="D16" s="545"/>
      <c r="E16" s="546"/>
    </row>
    <row r="17" spans="1:5" ht="16.5" thickBot="1">
      <c r="A17" s="547" t="s">
        <v>1684</v>
      </c>
      <c r="B17" s="548"/>
      <c r="C17" s="549">
        <f>C14</f>
        <v>2694612.9899999998</v>
      </c>
      <c r="D17" s="549">
        <f>SUM(D14)</f>
        <v>16577866.79</v>
      </c>
      <c r="E17" s="550">
        <f>E14</f>
        <v>19272479.779999997</v>
      </c>
    </row>
    <row r="18" ht="13.5" thickBot="1"/>
    <row r="19" spans="1:5" ht="16.5" thickBot="1">
      <c r="A19" s="541" t="s">
        <v>88</v>
      </c>
      <c r="B19" s="551"/>
      <c r="C19" s="542">
        <f>C14-C17</f>
        <v>0</v>
      </c>
      <c r="D19" s="542">
        <f>D14-D17</f>
        <v>0</v>
      </c>
      <c r="E19" s="552">
        <f>E14-E17</f>
        <v>0</v>
      </c>
    </row>
    <row r="22" ht="15">
      <c r="A22" s="42" t="s">
        <v>89</v>
      </c>
    </row>
    <row r="24" ht="15">
      <c r="A24" s="353" t="s">
        <v>1685</v>
      </c>
    </row>
  </sheetData>
  <sheetProtection/>
  <mergeCells count="5">
    <mergeCell ref="A6:F6"/>
    <mergeCell ref="B1:E1"/>
    <mergeCell ref="B2:E2"/>
    <mergeCell ref="B3:E3"/>
    <mergeCell ref="B4:E4"/>
  </mergeCells>
  <printOptions horizontalCentered="1"/>
  <pageMargins left="0" right="0" top="1.1811023622047245" bottom="0.3937007874015748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6">
      <selection activeCell="B11" sqref="B11"/>
    </sheetView>
  </sheetViews>
  <sheetFormatPr defaultColWidth="11.421875" defaultRowHeight="12.75"/>
  <cols>
    <col min="1" max="1" width="51.7109375" style="0" customWidth="1"/>
    <col min="2" max="2" width="21.28125" style="0" customWidth="1"/>
    <col min="3" max="3" width="19.8515625" style="0" customWidth="1"/>
  </cols>
  <sheetData>
    <row r="1" spans="1:3" ht="18">
      <c r="A1" s="844" t="s">
        <v>808</v>
      </c>
      <c r="B1" s="844"/>
      <c r="C1" s="844"/>
    </row>
    <row r="2" spans="1:3" ht="15">
      <c r="A2" s="859" t="s">
        <v>1659</v>
      </c>
      <c r="B2" s="859"/>
      <c r="C2" s="859"/>
    </row>
    <row r="3" spans="1:3" ht="15">
      <c r="A3" s="859" t="s">
        <v>61</v>
      </c>
      <c r="B3" s="859"/>
      <c r="C3" s="859"/>
    </row>
    <row r="4" spans="1:3" ht="15">
      <c r="A4" s="859" t="s">
        <v>1342</v>
      </c>
      <c r="B4" s="859"/>
      <c r="C4" s="859"/>
    </row>
    <row r="5" ht="13.5" thickBot="1"/>
    <row r="6" spans="1:3" ht="15.75">
      <c r="A6" s="675" t="s">
        <v>63</v>
      </c>
      <c r="B6" s="677" t="s">
        <v>64</v>
      </c>
      <c r="C6" s="678" t="s">
        <v>65</v>
      </c>
    </row>
    <row r="7" spans="1:3" ht="15.75">
      <c r="A7" s="676" t="s">
        <v>501</v>
      </c>
      <c r="B7" s="679" t="s">
        <v>66</v>
      </c>
      <c r="C7" s="680" t="s">
        <v>67</v>
      </c>
    </row>
    <row r="8" spans="1:3" ht="16.5" thickBot="1">
      <c r="A8" s="109" t="s">
        <v>761</v>
      </c>
      <c r="B8" s="681" t="s">
        <v>60</v>
      </c>
      <c r="C8" s="682" t="s">
        <v>68</v>
      </c>
    </row>
    <row r="9" spans="1:3" ht="12.75">
      <c r="A9" s="630"/>
      <c r="B9" s="6"/>
      <c r="C9" s="636"/>
    </row>
    <row r="10" spans="1:3" ht="15">
      <c r="A10" s="649" t="s">
        <v>69</v>
      </c>
      <c r="B10" s="104">
        <v>8</v>
      </c>
      <c r="C10" s="650">
        <v>8</v>
      </c>
    </row>
    <row r="11" spans="1:3" ht="15">
      <c r="A11" s="649" t="s">
        <v>70</v>
      </c>
      <c r="B11" s="110">
        <v>39867</v>
      </c>
      <c r="C11" s="651">
        <v>39867</v>
      </c>
    </row>
    <row r="12" spans="1:3" ht="15">
      <c r="A12" s="649" t="s">
        <v>71</v>
      </c>
      <c r="B12" s="158">
        <v>720484.66</v>
      </c>
      <c r="C12" s="652">
        <v>742261.3</v>
      </c>
    </row>
    <row r="13" spans="1:3" ht="15">
      <c r="A13" s="649" t="s">
        <v>72</v>
      </c>
      <c r="B13" s="158">
        <v>367447.17</v>
      </c>
      <c r="C13" s="652">
        <v>400821.1</v>
      </c>
    </row>
    <row r="14" spans="1:3" ht="15.75" thickBot="1">
      <c r="A14" s="653" t="s">
        <v>74</v>
      </c>
      <c r="B14" s="159">
        <f>B12*65%</f>
        <v>468315.02900000004</v>
      </c>
      <c r="C14" s="654">
        <f>C12*65%</f>
        <v>482469.84500000003</v>
      </c>
    </row>
    <row r="15" spans="1:3" ht="15.75" thickBot="1">
      <c r="A15" s="111" t="s">
        <v>75</v>
      </c>
      <c r="B15" s="160">
        <f>SUM(B12:B14)</f>
        <v>1556246.8590000002</v>
      </c>
      <c r="C15" s="161">
        <f>SUM(C12:C14)</f>
        <v>1625552.2449999999</v>
      </c>
    </row>
    <row r="16" spans="1:3" ht="15.75" thickBot="1">
      <c r="A16" s="655" t="s">
        <v>76</v>
      </c>
      <c r="B16" s="656"/>
      <c r="C16" s="162"/>
    </row>
    <row r="17" spans="1:3" ht="15.75" thickBot="1">
      <c r="A17" s="657" t="s">
        <v>77</v>
      </c>
      <c r="B17" s="658">
        <f>B15*10%</f>
        <v>155624.6859</v>
      </c>
      <c r="C17" s="659">
        <f>C15*10%</f>
        <v>162555.2245</v>
      </c>
    </row>
    <row r="18" spans="1:3" ht="15.75" thickBot="1">
      <c r="A18" s="163" t="s">
        <v>78</v>
      </c>
      <c r="B18" s="164">
        <f>SUM(B15:B17)</f>
        <v>1711871.5449</v>
      </c>
      <c r="C18" s="165">
        <f>SUM(C15:C17)</f>
        <v>1788107.4695</v>
      </c>
    </row>
    <row r="19" spans="1:3" ht="16.5" thickBot="1" thickTop="1">
      <c r="A19" s="660" t="s">
        <v>74</v>
      </c>
      <c r="B19" s="646">
        <f>B18*65%</f>
        <v>1112716.5041850002</v>
      </c>
      <c r="C19" s="661">
        <f>C18*65%</f>
        <v>1162269.855175</v>
      </c>
    </row>
    <row r="20" spans="1:3" ht="16.5" thickBot="1">
      <c r="A20" s="664" t="s">
        <v>62</v>
      </c>
      <c r="B20" s="665">
        <f>B18+B19</f>
        <v>2824588.0490850005</v>
      </c>
      <c r="C20" s="666">
        <f>C18+C19</f>
        <v>2950377.324675</v>
      </c>
    </row>
    <row r="21" ht="13.5" thickBot="1"/>
    <row r="22" spans="1:3" ht="15">
      <c r="A22" s="670" t="s">
        <v>1343</v>
      </c>
      <c r="B22" s="103"/>
      <c r="C22" s="604"/>
    </row>
    <row r="23" spans="1:3" ht="15">
      <c r="A23" s="667" t="s">
        <v>1344</v>
      </c>
      <c r="B23" s="668">
        <f>B18*80%</f>
        <v>1369497.2359200001</v>
      </c>
      <c r="C23" s="669">
        <f>C18*80%</f>
        <v>1430485.9756</v>
      </c>
    </row>
    <row r="24" spans="1:3" ht="15">
      <c r="A24" s="667" t="s">
        <v>1346</v>
      </c>
      <c r="B24" s="668"/>
      <c r="C24" s="669"/>
    </row>
    <row r="25" spans="1:3" ht="15.75" thickBot="1">
      <c r="A25" s="671" t="s">
        <v>74</v>
      </c>
      <c r="B25" s="662">
        <f>B23*65%</f>
        <v>890173.2033480001</v>
      </c>
      <c r="C25" s="663">
        <f>C23*65%</f>
        <v>929815.88414</v>
      </c>
    </row>
    <row r="26" spans="1:3" ht="17.25" thickBot="1" thickTop="1">
      <c r="A26" s="672" t="s">
        <v>1345</v>
      </c>
      <c r="B26" s="673">
        <f>SUM(B23:B25)</f>
        <v>2259670.4392680004</v>
      </c>
      <c r="C26" s="674">
        <f>SUM(C23:C25)</f>
        <v>2360301.85974</v>
      </c>
    </row>
    <row r="29" ht="12.75">
      <c r="A29" s="33" t="s">
        <v>1347</v>
      </c>
    </row>
    <row r="31" ht="12.75">
      <c r="A31" s="33" t="s">
        <v>1693</v>
      </c>
    </row>
    <row r="38" ht="12.75">
      <c r="A38" s="107"/>
    </row>
    <row r="39" ht="12.75">
      <c r="A39" s="131" t="s">
        <v>1349</v>
      </c>
    </row>
    <row r="40" ht="12.75">
      <c r="A40" s="131" t="s">
        <v>1350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Flores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Allem Barrantes</cp:lastModifiedBy>
  <cp:lastPrinted>2018-02-02T13:39:54Z</cp:lastPrinted>
  <dcterms:created xsi:type="dcterms:W3CDTF">2005-08-22T15:51:49Z</dcterms:created>
  <dcterms:modified xsi:type="dcterms:W3CDTF">2018-02-02T13:42:34Z</dcterms:modified>
  <cp:category/>
  <cp:version/>
  <cp:contentType/>
  <cp:contentStatus/>
</cp:coreProperties>
</file>